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activeX/activeX122.xml" ContentType="application/vnd.ms-office.activeX+xml"/>
  <Override PartName="/xl/activeX/activeX122.bin" ContentType="application/vnd.ms-office.activeX"/>
  <Override PartName="/xl/activeX/activeX123.xml" ContentType="application/vnd.ms-office.activeX+xml"/>
  <Override PartName="/xl/activeX/activeX123.bin" ContentType="application/vnd.ms-office.activeX"/>
  <Override PartName="/xl/activeX/activeX124.xml" ContentType="application/vnd.ms-office.activeX+xml"/>
  <Override PartName="/xl/activeX/activeX124.bin" ContentType="application/vnd.ms-office.activeX"/>
  <Override PartName="/xl/activeX/activeX125.xml" ContentType="application/vnd.ms-office.activeX+xml"/>
  <Override PartName="/xl/activeX/activeX125.bin" ContentType="application/vnd.ms-office.activeX"/>
  <Override PartName="/xl/activeX/activeX126.xml" ContentType="application/vnd.ms-office.activeX+xml"/>
  <Override PartName="/xl/activeX/activeX126.bin" ContentType="application/vnd.ms-office.activeX"/>
  <Override PartName="/xl/activeX/activeX127.xml" ContentType="application/vnd.ms-office.activeX+xml"/>
  <Override PartName="/xl/activeX/activeX127.bin" ContentType="application/vnd.ms-office.activeX"/>
  <Override PartName="/xl/activeX/activeX128.xml" ContentType="application/vnd.ms-office.activeX+xml"/>
  <Override PartName="/xl/activeX/activeX128.bin" ContentType="application/vnd.ms-office.activeX"/>
  <Override PartName="/xl/activeX/activeX129.xml" ContentType="application/vnd.ms-office.activeX+xml"/>
  <Override PartName="/xl/activeX/activeX129.bin" ContentType="application/vnd.ms-office.activeX"/>
  <Override PartName="/xl/activeX/activeX130.xml" ContentType="application/vnd.ms-office.activeX+xml"/>
  <Override PartName="/xl/activeX/activeX130.bin" ContentType="application/vnd.ms-office.activeX"/>
  <Override PartName="/xl/activeX/activeX131.xml" ContentType="application/vnd.ms-office.activeX+xml"/>
  <Override PartName="/xl/activeX/activeX131.bin" ContentType="application/vnd.ms-office.activeX"/>
  <Override PartName="/xl/activeX/activeX132.xml" ContentType="application/vnd.ms-office.activeX+xml"/>
  <Override PartName="/xl/activeX/activeX132.bin" ContentType="application/vnd.ms-office.activeX"/>
  <Override PartName="/xl/activeX/activeX133.xml" ContentType="application/vnd.ms-office.activeX+xml"/>
  <Override PartName="/xl/activeX/activeX133.bin" ContentType="application/vnd.ms-office.activeX"/>
  <Override PartName="/xl/activeX/activeX134.xml" ContentType="application/vnd.ms-office.activeX+xml"/>
  <Override PartName="/xl/activeX/activeX134.bin" ContentType="application/vnd.ms-office.activeX"/>
  <Override PartName="/xl/activeX/activeX135.xml" ContentType="application/vnd.ms-office.activeX+xml"/>
  <Override PartName="/xl/activeX/activeX135.bin" ContentType="application/vnd.ms-office.activeX"/>
  <Override PartName="/xl/activeX/activeX136.xml" ContentType="application/vnd.ms-office.activeX+xml"/>
  <Override PartName="/xl/activeX/activeX136.bin" ContentType="application/vnd.ms-office.activeX"/>
  <Override PartName="/xl/activeX/activeX137.xml" ContentType="application/vnd.ms-office.activeX+xml"/>
  <Override PartName="/xl/activeX/activeX137.bin" ContentType="application/vnd.ms-office.activeX"/>
  <Override PartName="/xl/activeX/activeX138.xml" ContentType="application/vnd.ms-office.activeX+xml"/>
  <Override PartName="/xl/activeX/activeX138.bin" ContentType="application/vnd.ms-office.activeX"/>
  <Override PartName="/xl/activeX/activeX139.xml" ContentType="application/vnd.ms-office.activeX+xml"/>
  <Override PartName="/xl/activeX/activeX139.bin" ContentType="application/vnd.ms-office.activeX"/>
  <Override PartName="/xl/activeX/activeX140.xml" ContentType="application/vnd.ms-office.activeX+xml"/>
  <Override PartName="/xl/activeX/activeX140.bin" ContentType="application/vnd.ms-office.activeX"/>
  <Override PartName="/xl/activeX/activeX141.xml" ContentType="application/vnd.ms-office.activeX+xml"/>
  <Override PartName="/xl/activeX/activeX141.bin" ContentType="application/vnd.ms-office.activeX"/>
  <Override PartName="/xl/activeX/activeX142.xml" ContentType="application/vnd.ms-office.activeX+xml"/>
  <Override PartName="/xl/activeX/activeX142.bin" ContentType="application/vnd.ms-office.activeX"/>
  <Override PartName="/xl/activeX/activeX143.xml" ContentType="application/vnd.ms-office.activeX+xml"/>
  <Override PartName="/xl/activeX/activeX143.bin" ContentType="application/vnd.ms-office.activeX"/>
  <Override PartName="/xl/activeX/activeX144.xml" ContentType="application/vnd.ms-office.activeX+xml"/>
  <Override PartName="/xl/activeX/activeX144.bin" ContentType="application/vnd.ms-office.activeX"/>
  <Override PartName="/xl/activeX/activeX145.xml" ContentType="application/vnd.ms-office.activeX+xml"/>
  <Override PartName="/xl/activeX/activeX145.bin" ContentType="application/vnd.ms-office.activeX"/>
  <Override PartName="/xl/activeX/activeX146.xml" ContentType="application/vnd.ms-office.activeX+xml"/>
  <Override PartName="/xl/activeX/activeX146.bin" ContentType="application/vnd.ms-office.activeX"/>
  <Override PartName="/xl/activeX/activeX147.xml" ContentType="application/vnd.ms-office.activeX+xml"/>
  <Override PartName="/xl/activeX/activeX147.bin" ContentType="application/vnd.ms-office.activeX"/>
  <Override PartName="/xl/activeX/activeX148.xml" ContentType="application/vnd.ms-office.activeX+xml"/>
  <Override PartName="/xl/activeX/activeX148.bin" ContentType="application/vnd.ms-office.activeX"/>
  <Override PartName="/xl/activeX/activeX149.xml" ContentType="application/vnd.ms-office.activeX+xml"/>
  <Override PartName="/xl/activeX/activeX149.bin" ContentType="application/vnd.ms-office.activeX"/>
  <Override PartName="/xl/activeX/activeX150.xml" ContentType="application/vnd.ms-office.activeX+xml"/>
  <Override PartName="/xl/activeX/activeX150.bin" ContentType="application/vnd.ms-office.activeX"/>
  <Override PartName="/xl/activeX/activeX151.xml" ContentType="application/vnd.ms-office.activeX+xml"/>
  <Override PartName="/xl/activeX/activeX151.bin" ContentType="application/vnd.ms-office.activeX"/>
  <Override PartName="/xl/activeX/activeX152.xml" ContentType="application/vnd.ms-office.activeX+xml"/>
  <Override PartName="/xl/activeX/activeX152.bin" ContentType="application/vnd.ms-office.activeX"/>
  <Override PartName="/xl/activeX/activeX153.xml" ContentType="application/vnd.ms-office.activeX+xml"/>
  <Override PartName="/xl/activeX/activeX153.bin" ContentType="application/vnd.ms-office.activeX"/>
  <Override PartName="/xl/activeX/activeX154.xml" ContentType="application/vnd.ms-office.activeX+xml"/>
  <Override PartName="/xl/activeX/activeX154.bin" ContentType="application/vnd.ms-office.activeX"/>
  <Override PartName="/xl/activeX/activeX155.xml" ContentType="application/vnd.ms-office.activeX+xml"/>
  <Override PartName="/xl/activeX/activeX155.bin" ContentType="application/vnd.ms-office.activeX"/>
  <Override PartName="/xl/activeX/activeX156.xml" ContentType="application/vnd.ms-office.activeX+xml"/>
  <Override PartName="/xl/activeX/activeX156.bin" ContentType="application/vnd.ms-office.activeX"/>
  <Override PartName="/xl/activeX/activeX157.xml" ContentType="application/vnd.ms-office.activeX+xml"/>
  <Override PartName="/xl/activeX/activeX157.bin" ContentType="application/vnd.ms-office.activeX"/>
  <Override PartName="/xl/activeX/activeX158.xml" ContentType="application/vnd.ms-office.activeX+xml"/>
  <Override PartName="/xl/activeX/activeX158.bin" ContentType="application/vnd.ms-office.activeX"/>
  <Override PartName="/xl/activeX/activeX159.xml" ContentType="application/vnd.ms-office.activeX+xml"/>
  <Override PartName="/xl/activeX/activeX159.bin" ContentType="application/vnd.ms-office.activeX"/>
  <Override PartName="/xl/activeX/activeX160.xml" ContentType="application/vnd.ms-office.activeX+xml"/>
  <Override PartName="/xl/activeX/activeX160.bin" ContentType="application/vnd.ms-office.activeX"/>
  <Override PartName="/xl/activeX/activeX161.xml" ContentType="application/vnd.ms-office.activeX+xml"/>
  <Override PartName="/xl/activeX/activeX161.bin" ContentType="application/vnd.ms-office.activeX"/>
  <Override PartName="/xl/activeX/activeX162.xml" ContentType="application/vnd.ms-office.activeX+xml"/>
  <Override PartName="/xl/activeX/activeX162.bin" ContentType="application/vnd.ms-office.activeX"/>
  <Override PartName="/xl/activeX/activeX163.xml" ContentType="application/vnd.ms-office.activeX+xml"/>
  <Override PartName="/xl/activeX/activeX163.bin" ContentType="application/vnd.ms-office.activeX"/>
  <Override PartName="/xl/activeX/activeX164.xml" ContentType="application/vnd.ms-office.activeX+xml"/>
  <Override PartName="/xl/activeX/activeX164.bin" ContentType="application/vnd.ms-office.activeX"/>
  <Override PartName="/xl/activeX/activeX165.xml" ContentType="application/vnd.ms-office.activeX+xml"/>
  <Override PartName="/xl/activeX/activeX165.bin" ContentType="application/vnd.ms-office.activeX"/>
  <Override PartName="/xl/activeX/activeX166.xml" ContentType="application/vnd.ms-office.activeX+xml"/>
  <Override PartName="/xl/activeX/activeX166.bin" ContentType="application/vnd.ms-office.activeX"/>
  <Override PartName="/xl/activeX/activeX167.xml" ContentType="application/vnd.ms-office.activeX+xml"/>
  <Override PartName="/xl/activeX/activeX167.bin" ContentType="application/vnd.ms-office.activeX"/>
  <Override PartName="/xl/activeX/activeX168.xml" ContentType="application/vnd.ms-office.activeX+xml"/>
  <Override PartName="/xl/activeX/activeX168.bin" ContentType="application/vnd.ms-office.activeX"/>
  <Override PartName="/xl/activeX/activeX169.xml" ContentType="application/vnd.ms-office.activeX+xml"/>
  <Override PartName="/xl/activeX/activeX169.bin" ContentType="application/vnd.ms-office.activeX"/>
  <Override PartName="/xl/activeX/activeX170.xml" ContentType="application/vnd.ms-office.activeX+xml"/>
  <Override PartName="/xl/activeX/activeX170.bin" ContentType="application/vnd.ms-office.activeX"/>
  <Override PartName="/xl/activeX/activeX171.xml" ContentType="application/vnd.ms-office.activeX+xml"/>
  <Override PartName="/xl/activeX/activeX171.bin" ContentType="application/vnd.ms-office.activeX"/>
  <Override PartName="/xl/activeX/activeX172.xml" ContentType="application/vnd.ms-office.activeX+xml"/>
  <Override PartName="/xl/activeX/activeX172.bin" ContentType="application/vnd.ms-office.activeX"/>
  <Override PartName="/xl/activeX/activeX173.xml" ContentType="application/vnd.ms-office.activeX+xml"/>
  <Override PartName="/xl/activeX/activeX173.bin" ContentType="application/vnd.ms-office.activeX"/>
  <Override PartName="/xl/activeX/activeX174.xml" ContentType="application/vnd.ms-office.activeX+xml"/>
  <Override PartName="/xl/activeX/activeX174.bin" ContentType="application/vnd.ms-office.activeX"/>
  <Override PartName="/xl/activeX/activeX175.xml" ContentType="application/vnd.ms-office.activeX+xml"/>
  <Override PartName="/xl/activeX/activeX175.bin" ContentType="application/vnd.ms-office.activeX"/>
  <Override PartName="/xl/activeX/activeX176.xml" ContentType="application/vnd.ms-office.activeX+xml"/>
  <Override PartName="/xl/activeX/activeX176.bin" ContentType="application/vnd.ms-office.activeX"/>
  <Override PartName="/xl/activeX/activeX177.xml" ContentType="application/vnd.ms-office.activeX+xml"/>
  <Override PartName="/xl/activeX/activeX177.bin" ContentType="application/vnd.ms-office.activeX"/>
  <Override PartName="/xl/activeX/activeX178.xml" ContentType="application/vnd.ms-office.activeX+xml"/>
  <Override PartName="/xl/activeX/activeX178.bin" ContentType="application/vnd.ms-office.activeX"/>
  <Override PartName="/xl/activeX/activeX179.xml" ContentType="application/vnd.ms-office.activeX+xml"/>
  <Override PartName="/xl/activeX/activeX179.bin" ContentType="application/vnd.ms-office.activeX"/>
  <Override PartName="/xl/activeX/activeX180.xml" ContentType="application/vnd.ms-office.activeX+xml"/>
  <Override PartName="/xl/activeX/activeX180.bin" ContentType="application/vnd.ms-office.activeX"/>
  <Override PartName="/xl/activeX/activeX181.xml" ContentType="application/vnd.ms-office.activeX+xml"/>
  <Override PartName="/xl/activeX/activeX181.bin" ContentType="application/vnd.ms-office.activeX"/>
  <Override PartName="/xl/activeX/activeX182.xml" ContentType="application/vnd.ms-office.activeX+xml"/>
  <Override PartName="/xl/activeX/activeX182.bin" ContentType="application/vnd.ms-office.activeX"/>
  <Override PartName="/xl/activeX/activeX183.xml" ContentType="application/vnd.ms-office.activeX+xml"/>
  <Override PartName="/xl/activeX/activeX183.bin" ContentType="application/vnd.ms-office.activeX"/>
  <Override PartName="/xl/activeX/activeX184.xml" ContentType="application/vnd.ms-office.activeX+xml"/>
  <Override PartName="/xl/activeX/activeX184.bin" ContentType="application/vnd.ms-office.activeX"/>
  <Override PartName="/xl/activeX/activeX185.xml" ContentType="application/vnd.ms-office.activeX+xml"/>
  <Override PartName="/xl/activeX/activeX185.bin" ContentType="application/vnd.ms-office.activeX"/>
  <Override PartName="/xl/activeX/activeX186.xml" ContentType="application/vnd.ms-office.activeX+xml"/>
  <Override PartName="/xl/activeX/activeX186.bin" ContentType="application/vnd.ms-office.activeX"/>
  <Override PartName="/xl/activeX/activeX187.xml" ContentType="application/vnd.ms-office.activeX+xml"/>
  <Override PartName="/xl/activeX/activeX187.bin" ContentType="application/vnd.ms-office.activeX"/>
  <Override PartName="/xl/activeX/activeX188.xml" ContentType="application/vnd.ms-office.activeX+xml"/>
  <Override PartName="/xl/activeX/activeX188.bin" ContentType="application/vnd.ms-office.activeX"/>
  <Override PartName="/xl/activeX/activeX189.xml" ContentType="application/vnd.ms-office.activeX+xml"/>
  <Override PartName="/xl/activeX/activeX189.bin" ContentType="application/vnd.ms-office.activeX"/>
  <Override PartName="/xl/activeX/activeX190.xml" ContentType="application/vnd.ms-office.activeX+xml"/>
  <Override PartName="/xl/activeX/activeX190.bin" ContentType="application/vnd.ms-office.activeX"/>
  <Override PartName="/xl/activeX/activeX191.xml" ContentType="application/vnd.ms-office.activeX+xml"/>
  <Override PartName="/xl/activeX/activeX191.bin" ContentType="application/vnd.ms-office.activeX"/>
  <Override PartName="/xl/activeX/activeX192.xml" ContentType="application/vnd.ms-office.activeX+xml"/>
  <Override PartName="/xl/activeX/activeX192.bin" ContentType="application/vnd.ms-office.activeX"/>
  <Override PartName="/xl/activeX/activeX193.xml" ContentType="application/vnd.ms-office.activeX+xml"/>
  <Override PartName="/xl/activeX/activeX193.bin" ContentType="application/vnd.ms-office.activeX"/>
  <Override PartName="/xl/activeX/activeX194.xml" ContentType="application/vnd.ms-office.activeX+xml"/>
  <Override PartName="/xl/activeX/activeX194.bin" ContentType="application/vnd.ms-office.activeX"/>
  <Override PartName="/xl/activeX/activeX195.xml" ContentType="application/vnd.ms-office.activeX+xml"/>
  <Override PartName="/xl/activeX/activeX195.bin" ContentType="application/vnd.ms-office.activeX"/>
  <Override PartName="/xl/activeX/activeX196.xml" ContentType="application/vnd.ms-office.activeX+xml"/>
  <Override PartName="/xl/activeX/activeX196.bin" ContentType="application/vnd.ms-office.activeX"/>
  <Override PartName="/xl/activeX/activeX197.xml" ContentType="application/vnd.ms-office.activeX+xml"/>
  <Override PartName="/xl/activeX/activeX197.bin" ContentType="application/vnd.ms-office.activeX"/>
  <Override PartName="/xl/activeX/activeX198.xml" ContentType="application/vnd.ms-office.activeX+xml"/>
  <Override PartName="/xl/activeX/activeX198.bin" ContentType="application/vnd.ms-office.activeX"/>
  <Override PartName="/xl/activeX/activeX199.xml" ContentType="application/vnd.ms-office.activeX+xml"/>
  <Override PartName="/xl/activeX/activeX199.bin" ContentType="application/vnd.ms-office.activeX"/>
  <Override PartName="/xl/activeX/activeX200.xml" ContentType="application/vnd.ms-office.activeX+xml"/>
  <Override PartName="/xl/activeX/activeX200.bin" ContentType="application/vnd.ms-office.activeX"/>
  <Override PartName="/xl/activeX/activeX201.xml" ContentType="application/vnd.ms-office.activeX+xml"/>
  <Override PartName="/xl/activeX/activeX201.bin" ContentType="application/vnd.ms-office.activeX"/>
  <Override PartName="/xl/activeX/activeX202.xml" ContentType="application/vnd.ms-office.activeX+xml"/>
  <Override PartName="/xl/activeX/activeX202.bin" ContentType="application/vnd.ms-office.activeX"/>
  <Override PartName="/xl/activeX/activeX203.xml" ContentType="application/vnd.ms-office.activeX+xml"/>
  <Override PartName="/xl/activeX/activeX203.bin" ContentType="application/vnd.ms-office.activeX"/>
  <Override PartName="/xl/activeX/activeX204.xml" ContentType="application/vnd.ms-office.activeX+xml"/>
  <Override PartName="/xl/activeX/activeX204.bin" ContentType="application/vnd.ms-office.activeX"/>
  <Override PartName="/xl/activeX/activeX205.xml" ContentType="application/vnd.ms-office.activeX+xml"/>
  <Override PartName="/xl/activeX/activeX205.bin" ContentType="application/vnd.ms-office.activeX"/>
  <Override PartName="/xl/activeX/activeX206.xml" ContentType="application/vnd.ms-office.activeX+xml"/>
  <Override PartName="/xl/activeX/activeX206.bin" ContentType="application/vnd.ms-office.activeX"/>
  <Override PartName="/xl/activeX/activeX207.xml" ContentType="application/vnd.ms-office.activeX+xml"/>
  <Override PartName="/xl/activeX/activeX207.bin" ContentType="application/vnd.ms-office.activeX"/>
  <Override PartName="/xl/activeX/activeX208.xml" ContentType="application/vnd.ms-office.activeX+xml"/>
  <Override PartName="/xl/activeX/activeX208.bin" ContentType="application/vnd.ms-office.activeX"/>
  <Override PartName="/xl/activeX/activeX209.xml" ContentType="application/vnd.ms-office.activeX+xml"/>
  <Override PartName="/xl/activeX/activeX209.bin" ContentType="application/vnd.ms-office.activeX"/>
  <Override PartName="/xl/activeX/activeX210.xml" ContentType="application/vnd.ms-office.activeX+xml"/>
  <Override PartName="/xl/activeX/activeX210.bin" ContentType="application/vnd.ms-office.activeX"/>
  <Override PartName="/xl/activeX/activeX211.xml" ContentType="application/vnd.ms-office.activeX+xml"/>
  <Override PartName="/xl/activeX/activeX211.bin" ContentType="application/vnd.ms-office.activeX"/>
  <Override PartName="/xl/activeX/activeX212.xml" ContentType="application/vnd.ms-office.activeX+xml"/>
  <Override PartName="/xl/activeX/activeX212.bin" ContentType="application/vnd.ms-office.activeX"/>
  <Override PartName="/xl/activeX/activeX213.xml" ContentType="application/vnd.ms-office.activeX+xml"/>
  <Override PartName="/xl/activeX/activeX213.bin" ContentType="application/vnd.ms-office.activeX"/>
  <Override PartName="/xl/activeX/activeX214.xml" ContentType="application/vnd.ms-office.activeX+xml"/>
  <Override PartName="/xl/activeX/activeX214.bin" ContentType="application/vnd.ms-office.activeX"/>
  <Override PartName="/xl/activeX/activeX215.xml" ContentType="application/vnd.ms-office.activeX+xml"/>
  <Override PartName="/xl/activeX/activeX215.bin" ContentType="application/vnd.ms-office.activeX"/>
  <Override PartName="/xl/activeX/activeX216.xml" ContentType="application/vnd.ms-office.activeX+xml"/>
  <Override PartName="/xl/activeX/activeX216.bin" ContentType="application/vnd.ms-office.activeX"/>
  <Override PartName="/xl/activeX/activeX217.xml" ContentType="application/vnd.ms-office.activeX+xml"/>
  <Override PartName="/xl/activeX/activeX217.bin" ContentType="application/vnd.ms-office.activeX"/>
  <Override PartName="/xl/activeX/activeX218.xml" ContentType="application/vnd.ms-office.activeX+xml"/>
  <Override PartName="/xl/activeX/activeX218.bin" ContentType="application/vnd.ms-office.activeX"/>
  <Override PartName="/xl/activeX/activeX219.xml" ContentType="application/vnd.ms-office.activeX+xml"/>
  <Override PartName="/xl/activeX/activeX219.bin" ContentType="application/vnd.ms-office.activeX"/>
  <Override PartName="/xl/activeX/activeX220.xml" ContentType="application/vnd.ms-office.activeX+xml"/>
  <Override PartName="/xl/activeX/activeX220.bin" ContentType="application/vnd.ms-office.activeX"/>
  <Override PartName="/xl/activeX/activeX221.xml" ContentType="application/vnd.ms-office.activeX+xml"/>
  <Override PartName="/xl/activeX/activeX221.bin" ContentType="application/vnd.ms-office.activeX"/>
  <Override PartName="/xl/activeX/activeX222.xml" ContentType="application/vnd.ms-office.activeX+xml"/>
  <Override PartName="/xl/activeX/activeX222.bin" ContentType="application/vnd.ms-office.activeX"/>
  <Override PartName="/xl/activeX/activeX223.xml" ContentType="application/vnd.ms-office.activeX+xml"/>
  <Override PartName="/xl/activeX/activeX223.bin" ContentType="application/vnd.ms-office.activeX"/>
  <Override PartName="/xl/activeX/activeX224.xml" ContentType="application/vnd.ms-office.activeX+xml"/>
  <Override PartName="/xl/activeX/activeX224.bin" ContentType="application/vnd.ms-office.activeX"/>
  <Override PartName="/xl/activeX/activeX225.xml" ContentType="application/vnd.ms-office.activeX+xml"/>
  <Override PartName="/xl/activeX/activeX225.bin" ContentType="application/vnd.ms-office.activeX"/>
  <Override PartName="/xl/activeX/activeX226.xml" ContentType="application/vnd.ms-office.activeX+xml"/>
  <Override PartName="/xl/activeX/activeX226.bin" ContentType="application/vnd.ms-office.activeX"/>
  <Override PartName="/xl/activeX/activeX227.xml" ContentType="application/vnd.ms-office.activeX+xml"/>
  <Override PartName="/xl/activeX/activeX227.bin" ContentType="application/vnd.ms-office.activeX"/>
  <Override PartName="/xl/activeX/activeX228.xml" ContentType="application/vnd.ms-office.activeX+xml"/>
  <Override PartName="/xl/activeX/activeX228.bin" ContentType="application/vnd.ms-office.activeX"/>
  <Override PartName="/xl/activeX/activeX229.xml" ContentType="application/vnd.ms-office.activeX+xml"/>
  <Override PartName="/xl/activeX/activeX229.bin" ContentType="application/vnd.ms-office.activeX"/>
  <Override PartName="/xl/activeX/activeX230.xml" ContentType="application/vnd.ms-office.activeX+xml"/>
  <Override PartName="/xl/activeX/activeX230.bin" ContentType="application/vnd.ms-office.activeX"/>
  <Override PartName="/xl/activeX/activeX231.xml" ContentType="application/vnd.ms-office.activeX+xml"/>
  <Override PartName="/xl/activeX/activeX231.bin" ContentType="application/vnd.ms-office.activeX"/>
  <Override PartName="/xl/activeX/activeX232.xml" ContentType="application/vnd.ms-office.activeX+xml"/>
  <Override PartName="/xl/activeX/activeX232.bin" ContentType="application/vnd.ms-office.activeX"/>
  <Override PartName="/xl/activeX/activeX233.xml" ContentType="application/vnd.ms-office.activeX+xml"/>
  <Override PartName="/xl/activeX/activeX233.bin" ContentType="application/vnd.ms-office.activeX"/>
  <Override PartName="/xl/activeX/activeX234.xml" ContentType="application/vnd.ms-office.activeX+xml"/>
  <Override PartName="/xl/activeX/activeX234.bin" ContentType="application/vnd.ms-office.activeX"/>
  <Override PartName="/xl/activeX/activeX235.xml" ContentType="application/vnd.ms-office.activeX+xml"/>
  <Override PartName="/xl/activeX/activeX235.bin" ContentType="application/vnd.ms-office.activeX"/>
  <Override PartName="/xl/activeX/activeX236.xml" ContentType="application/vnd.ms-office.activeX+xml"/>
  <Override PartName="/xl/activeX/activeX236.bin" ContentType="application/vnd.ms-office.activeX"/>
  <Override PartName="/xl/activeX/activeX237.xml" ContentType="application/vnd.ms-office.activeX+xml"/>
  <Override PartName="/xl/activeX/activeX237.bin" ContentType="application/vnd.ms-office.activeX"/>
  <Override PartName="/xl/activeX/activeX238.xml" ContentType="application/vnd.ms-office.activeX+xml"/>
  <Override PartName="/xl/activeX/activeX238.bin" ContentType="application/vnd.ms-office.activeX"/>
  <Override PartName="/xl/activeX/activeX239.xml" ContentType="application/vnd.ms-office.activeX+xml"/>
  <Override PartName="/xl/activeX/activeX239.bin" ContentType="application/vnd.ms-office.activeX"/>
  <Override PartName="/xl/activeX/activeX240.xml" ContentType="application/vnd.ms-office.activeX+xml"/>
  <Override PartName="/xl/activeX/activeX240.bin" ContentType="application/vnd.ms-office.activeX"/>
  <Override PartName="/xl/activeX/activeX241.xml" ContentType="application/vnd.ms-office.activeX+xml"/>
  <Override PartName="/xl/activeX/activeX241.bin" ContentType="application/vnd.ms-office.activeX"/>
  <Override PartName="/xl/activeX/activeX242.xml" ContentType="application/vnd.ms-office.activeX+xml"/>
  <Override PartName="/xl/activeX/activeX242.bin" ContentType="application/vnd.ms-office.activeX"/>
  <Override PartName="/xl/activeX/activeX243.xml" ContentType="application/vnd.ms-office.activeX+xml"/>
  <Override PartName="/xl/activeX/activeX243.bin" ContentType="application/vnd.ms-office.activeX"/>
  <Override PartName="/xl/activeX/activeX244.xml" ContentType="application/vnd.ms-office.activeX+xml"/>
  <Override PartName="/xl/activeX/activeX244.bin" ContentType="application/vnd.ms-office.activeX"/>
  <Override PartName="/xl/activeX/activeX245.xml" ContentType="application/vnd.ms-office.activeX+xml"/>
  <Override PartName="/xl/activeX/activeX245.bin" ContentType="application/vnd.ms-office.activeX"/>
  <Override PartName="/xl/activeX/activeX246.xml" ContentType="application/vnd.ms-office.activeX+xml"/>
  <Override PartName="/xl/activeX/activeX246.bin" ContentType="application/vnd.ms-office.activeX"/>
  <Override PartName="/xl/activeX/activeX247.xml" ContentType="application/vnd.ms-office.activeX+xml"/>
  <Override PartName="/xl/activeX/activeX247.bin" ContentType="application/vnd.ms-office.activeX"/>
  <Override PartName="/xl/activeX/activeX248.xml" ContentType="application/vnd.ms-office.activeX+xml"/>
  <Override PartName="/xl/activeX/activeX248.bin" ContentType="application/vnd.ms-office.activeX"/>
  <Override PartName="/xl/activeX/activeX249.xml" ContentType="application/vnd.ms-office.activeX+xml"/>
  <Override PartName="/xl/activeX/activeX249.bin" ContentType="application/vnd.ms-office.activeX"/>
  <Override PartName="/xl/activeX/activeX250.xml" ContentType="application/vnd.ms-office.activeX+xml"/>
  <Override PartName="/xl/activeX/activeX250.bin" ContentType="application/vnd.ms-office.activeX"/>
  <Override PartName="/xl/activeX/activeX251.xml" ContentType="application/vnd.ms-office.activeX+xml"/>
  <Override PartName="/xl/activeX/activeX251.bin" ContentType="application/vnd.ms-office.activeX"/>
  <Override PartName="/xl/activeX/activeX252.xml" ContentType="application/vnd.ms-office.activeX+xml"/>
  <Override PartName="/xl/activeX/activeX252.bin" ContentType="application/vnd.ms-office.activeX"/>
  <Override PartName="/xl/activeX/activeX253.xml" ContentType="application/vnd.ms-office.activeX+xml"/>
  <Override PartName="/xl/activeX/activeX253.bin" ContentType="application/vnd.ms-office.activeX"/>
  <Override PartName="/xl/activeX/activeX254.xml" ContentType="application/vnd.ms-office.activeX+xml"/>
  <Override PartName="/xl/activeX/activeX254.bin" ContentType="application/vnd.ms-office.activeX"/>
  <Override PartName="/xl/activeX/activeX255.xml" ContentType="application/vnd.ms-office.activeX+xml"/>
  <Override PartName="/xl/activeX/activeX255.bin" ContentType="application/vnd.ms-office.activeX"/>
  <Override PartName="/xl/activeX/activeX256.xml" ContentType="application/vnd.ms-office.activeX+xml"/>
  <Override PartName="/xl/activeX/activeX256.bin" ContentType="application/vnd.ms-office.activeX"/>
  <Override PartName="/xl/activeX/activeX257.xml" ContentType="application/vnd.ms-office.activeX+xml"/>
  <Override PartName="/xl/activeX/activeX257.bin" ContentType="application/vnd.ms-office.activeX"/>
  <Override PartName="/xl/activeX/activeX258.xml" ContentType="application/vnd.ms-office.activeX+xml"/>
  <Override PartName="/xl/activeX/activeX258.bin" ContentType="application/vnd.ms-office.activeX"/>
  <Override PartName="/xl/activeX/activeX259.xml" ContentType="application/vnd.ms-office.activeX+xml"/>
  <Override PartName="/xl/activeX/activeX259.bin" ContentType="application/vnd.ms-office.activeX"/>
  <Override PartName="/xl/activeX/activeX260.xml" ContentType="application/vnd.ms-office.activeX+xml"/>
  <Override PartName="/xl/activeX/activeX260.bin" ContentType="application/vnd.ms-office.activeX"/>
  <Override PartName="/xl/activeX/activeX261.xml" ContentType="application/vnd.ms-office.activeX+xml"/>
  <Override PartName="/xl/activeX/activeX261.bin" ContentType="application/vnd.ms-office.activeX"/>
  <Override PartName="/xl/activeX/activeX262.xml" ContentType="application/vnd.ms-office.activeX+xml"/>
  <Override PartName="/xl/activeX/activeX262.bin" ContentType="application/vnd.ms-office.activeX"/>
  <Override PartName="/xl/activeX/activeX263.xml" ContentType="application/vnd.ms-office.activeX+xml"/>
  <Override PartName="/xl/activeX/activeX263.bin" ContentType="application/vnd.ms-office.activeX"/>
  <Override PartName="/xl/activeX/activeX264.xml" ContentType="application/vnd.ms-office.activeX+xml"/>
  <Override PartName="/xl/activeX/activeX264.bin" ContentType="application/vnd.ms-office.activeX"/>
  <Override PartName="/xl/activeX/activeX265.xml" ContentType="application/vnd.ms-office.activeX+xml"/>
  <Override PartName="/xl/activeX/activeX265.bin" ContentType="application/vnd.ms-office.activeX"/>
  <Override PartName="/xl/activeX/activeX266.xml" ContentType="application/vnd.ms-office.activeX+xml"/>
  <Override PartName="/xl/activeX/activeX266.bin" ContentType="application/vnd.ms-office.activeX"/>
  <Override PartName="/xl/activeX/activeX267.xml" ContentType="application/vnd.ms-office.activeX+xml"/>
  <Override PartName="/xl/activeX/activeX267.bin" ContentType="application/vnd.ms-office.activeX"/>
  <Override PartName="/xl/activeX/activeX268.xml" ContentType="application/vnd.ms-office.activeX+xml"/>
  <Override PartName="/xl/activeX/activeX268.bin" ContentType="application/vnd.ms-office.activeX"/>
  <Override PartName="/xl/activeX/activeX269.xml" ContentType="application/vnd.ms-office.activeX+xml"/>
  <Override PartName="/xl/activeX/activeX269.bin" ContentType="application/vnd.ms-office.activeX"/>
  <Override PartName="/xl/activeX/activeX270.xml" ContentType="application/vnd.ms-office.activeX+xml"/>
  <Override PartName="/xl/activeX/activeX270.bin" ContentType="application/vnd.ms-office.activeX"/>
  <Override PartName="/xl/activeX/activeX271.xml" ContentType="application/vnd.ms-office.activeX+xml"/>
  <Override PartName="/xl/activeX/activeX271.bin" ContentType="application/vnd.ms-office.activeX"/>
  <Override PartName="/xl/activeX/activeX272.xml" ContentType="application/vnd.ms-office.activeX+xml"/>
  <Override PartName="/xl/activeX/activeX272.bin" ContentType="application/vnd.ms-office.activeX"/>
  <Override PartName="/xl/activeX/activeX273.xml" ContentType="application/vnd.ms-office.activeX+xml"/>
  <Override PartName="/xl/activeX/activeX273.bin" ContentType="application/vnd.ms-office.activeX"/>
  <Override PartName="/xl/activeX/activeX274.xml" ContentType="application/vnd.ms-office.activeX+xml"/>
  <Override PartName="/xl/activeX/activeX274.bin" ContentType="application/vnd.ms-office.activeX"/>
  <Override PartName="/xl/activeX/activeX275.xml" ContentType="application/vnd.ms-office.activeX+xml"/>
  <Override PartName="/xl/activeX/activeX275.bin" ContentType="application/vnd.ms-office.activeX"/>
  <Override PartName="/xl/activeX/activeX276.xml" ContentType="application/vnd.ms-office.activeX+xml"/>
  <Override PartName="/xl/activeX/activeX276.bin" ContentType="application/vnd.ms-office.activeX"/>
  <Override PartName="/xl/activeX/activeX277.xml" ContentType="application/vnd.ms-office.activeX+xml"/>
  <Override PartName="/xl/activeX/activeX277.bin" ContentType="application/vnd.ms-office.activeX"/>
  <Override PartName="/xl/activeX/activeX278.xml" ContentType="application/vnd.ms-office.activeX+xml"/>
  <Override PartName="/xl/activeX/activeX278.bin" ContentType="application/vnd.ms-office.activeX"/>
  <Override PartName="/xl/activeX/activeX279.xml" ContentType="application/vnd.ms-office.activeX+xml"/>
  <Override PartName="/xl/activeX/activeX279.bin" ContentType="application/vnd.ms-office.activeX"/>
  <Override PartName="/xl/activeX/activeX280.xml" ContentType="application/vnd.ms-office.activeX+xml"/>
  <Override PartName="/xl/activeX/activeX280.bin" ContentType="application/vnd.ms-office.activeX"/>
  <Override PartName="/xl/activeX/activeX281.xml" ContentType="application/vnd.ms-office.activeX+xml"/>
  <Override PartName="/xl/activeX/activeX281.bin" ContentType="application/vnd.ms-office.activeX"/>
  <Override PartName="/xl/activeX/activeX282.xml" ContentType="application/vnd.ms-office.activeX+xml"/>
  <Override PartName="/xl/activeX/activeX282.bin" ContentType="application/vnd.ms-office.activeX"/>
  <Override PartName="/xl/activeX/activeX283.xml" ContentType="application/vnd.ms-office.activeX+xml"/>
  <Override PartName="/xl/activeX/activeX283.bin" ContentType="application/vnd.ms-office.activeX"/>
  <Override PartName="/xl/activeX/activeX284.xml" ContentType="application/vnd.ms-office.activeX+xml"/>
  <Override PartName="/xl/activeX/activeX284.bin" ContentType="application/vnd.ms-office.activeX"/>
  <Override PartName="/xl/activeX/activeX285.xml" ContentType="application/vnd.ms-office.activeX+xml"/>
  <Override PartName="/xl/activeX/activeX285.bin" ContentType="application/vnd.ms-office.activeX"/>
  <Override PartName="/xl/activeX/activeX286.xml" ContentType="application/vnd.ms-office.activeX+xml"/>
  <Override PartName="/xl/activeX/activeX286.bin" ContentType="application/vnd.ms-office.activeX"/>
  <Override PartName="/xl/activeX/activeX287.xml" ContentType="application/vnd.ms-office.activeX+xml"/>
  <Override PartName="/xl/activeX/activeX287.bin" ContentType="application/vnd.ms-office.activeX"/>
  <Override PartName="/xl/activeX/activeX288.xml" ContentType="application/vnd.ms-office.activeX+xml"/>
  <Override PartName="/xl/activeX/activeX288.bin" ContentType="application/vnd.ms-office.activeX"/>
  <Override PartName="/xl/activeX/activeX289.xml" ContentType="application/vnd.ms-office.activeX+xml"/>
  <Override PartName="/xl/activeX/activeX289.bin" ContentType="application/vnd.ms-office.activeX"/>
  <Override PartName="/xl/activeX/activeX290.xml" ContentType="application/vnd.ms-office.activeX+xml"/>
  <Override PartName="/xl/activeX/activeX290.bin" ContentType="application/vnd.ms-office.activeX"/>
  <Override PartName="/xl/activeX/activeX291.xml" ContentType="application/vnd.ms-office.activeX+xml"/>
  <Override PartName="/xl/activeX/activeX291.bin" ContentType="application/vnd.ms-office.activeX"/>
  <Override PartName="/xl/activeX/activeX292.xml" ContentType="application/vnd.ms-office.activeX+xml"/>
  <Override PartName="/xl/activeX/activeX292.bin" ContentType="application/vnd.ms-office.activeX"/>
  <Override PartName="/xl/activeX/activeX293.xml" ContentType="application/vnd.ms-office.activeX+xml"/>
  <Override PartName="/xl/activeX/activeX293.bin" ContentType="application/vnd.ms-office.activeX"/>
  <Override PartName="/xl/activeX/activeX294.xml" ContentType="application/vnd.ms-office.activeX+xml"/>
  <Override PartName="/xl/activeX/activeX294.bin" ContentType="application/vnd.ms-office.activeX"/>
  <Override PartName="/xl/activeX/activeX295.xml" ContentType="application/vnd.ms-office.activeX+xml"/>
  <Override PartName="/xl/activeX/activeX295.bin" ContentType="application/vnd.ms-office.activeX"/>
  <Override PartName="/xl/activeX/activeX296.xml" ContentType="application/vnd.ms-office.activeX+xml"/>
  <Override PartName="/xl/activeX/activeX296.bin" ContentType="application/vnd.ms-office.activeX"/>
  <Override PartName="/xl/activeX/activeX297.xml" ContentType="application/vnd.ms-office.activeX+xml"/>
  <Override PartName="/xl/activeX/activeX297.bin" ContentType="application/vnd.ms-office.activeX"/>
  <Override PartName="/xl/activeX/activeX298.xml" ContentType="application/vnd.ms-office.activeX+xml"/>
  <Override PartName="/xl/activeX/activeX298.bin" ContentType="application/vnd.ms-office.activeX"/>
  <Override PartName="/xl/activeX/activeX299.xml" ContentType="application/vnd.ms-office.activeX+xml"/>
  <Override PartName="/xl/activeX/activeX299.bin" ContentType="application/vnd.ms-office.activeX"/>
  <Override PartName="/xl/activeX/activeX300.xml" ContentType="application/vnd.ms-office.activeX+xml"/>
  <Override PartName="/xl/activeX/activeX300.bin" ContentType="application/vnd.ms-office.activeX"/>
  <Override PartName="/xl/activeX/activeX301.xml" ContentType="application/vnd.ms-office.activeX+xml"/>
  <Override PartName="/xl/activeX/activeX301.bin" ContentType="application/vnd.ms-office.activeX"/>
  <Override PartName="/xl/activeX/activeX302.xml" ContentType="application/vnd.ms-office.activeX+xml"/>
  <Override PartName="/xl/activeX/activeX302.bin" ContentType="application/vnd.ms-office.activeX"/>
  <Override PartName="/xl/activeX/activeX303.xml" ContentType="application/vnd.ms-office.activeX+xml"/>
  <Override PartName="/xl/activeX/activeX303.bin" ContentType="application/vnd.ms-office.activeX"/>
  <Override PartName="/xl/activeX/activeX304.xml" ContentType="application/vnd.ms-office.activeX+xml"/>
  <Override PartName="/xl/activeX/activeX304.bin" ContentType="application/vnd.ms-office.activeX"/>
  <Override PartName="/xl/activeX/activeX305.xml" ContentType="application/vnd.ms-office.activeX+xml"/>
  <Override PartName="/xl/activeX/activeX305.bin" ContentType="application/vnd.ms-office.activeX"/>
  <Override PartName="/xl/activeX/activeX306.xml" ContentType="application/vnd.ms-office.activeX+xml"/>
  <Override PartName="/xl/activeX/activeX306.bin" ContentType="application/vnd.ms-office.activeX"/>
  <Override PartName="/xl/activeX/activeX307.xml" ContentType="application/vnd.ms-office.activeX+xml"/>
  <Override PartName="/xl/activeX/activeX307.bin" ContentType="application/vnd.ms-office.activeX"/>
  <Override PartName="/xl/activeX/activeX308.xml" ContentType="application/vnd.ms-office.activeX+xml"/>
  <Override PartName="/xl/activeX/activeX308.bin" ContentType="application/vnd.ms-office.activeX"/>
  <Override PartName="/xl/activeX/activeX309.xml" ContentType="application/vnd.ms-office.activeX+xml"/>
  <Override PartName="/xl/activeX/activeX309.bin" ContentType="application/vnd.ms-office.activeX"/>
  <Override PartName="/xl/activeX/activeX310.xml" ContentType="application/vnd.ms-office.activeX+xml"/>
  <Override PartName="/xl/activeX/activeX310.bin" ContentType="application/vnd.ms-office.activeX"/>
  <Override PartName="/xl/activeX/activeX311.xml" ContentType="application/vnd.ms-office.activeX+xml"/>
  <Override PartName="/xl/activeX/activeX311.bin" ContentType="application/vnd.ms-office.activeX"/>
  <Override PartName="/xl/activeX/activeX312.xml" ContentType="application/vnd.ms-office.activeX+xml"/>
  <Override PartName="/xl/activeX/activeX312.bin" ContentType="application/vnd.ms-office.activeX"/>
  <Override PartName="/xl/activeX/activeX313.xml" ContentType="application/vnd.ms-office.activeX+xml"/>
  <Override PartName="/xl/activeX/activeX313.bin" ContentType="application/vnd.ms-office.activeX"/>
  <Override PartName="/xl/activeX/activeX314.xml" ContentType="application/vnd.ms-office.activeX+xml"/>
  <Override PartName="/xl/activeX/activeX314.bin" ContentType="application/vnd.ms-office.activeX"/>
  <Override PartName="/xl/activeX/activeX315.xml" ContentType="application/vnd.ms-office.activeX+xml"/>
  <Override PartName="/xl/activeX/activeX315.bin" ContentType="application/vnd.ms-office.activeX"/>
  <Override PartName="/xl/activeX/activeX316.xml" ContentType="application/vnd.ms-office.activeX+xml"/>
  <Override PartName="/xl/activeX/activeX316.bin" ContentType="application/vnd.ms-office.activeX"/>
  <Override PartName="/xl/activeX/activeX317.xml" ContentType="application/vnd.ms-office.activeX+xml"/>
  <Override PartName="/xl/activeX/activeX317.bin" ContentType="application/vnd.ms-office.activeX"/>
  <Override PartName="/xl/activeX/activeX318.xml" ContentType="application/vnd.ms-office.activeX+xml"/>
  <Override PartName="/xl/activeX/activeX318.bin" ContentType="application/vnd.ms-office.activeX"/>
  <Override PartName="/xl/activeX/activeX319.xml" ContentType="application/vnd.ms-office.activeX+xml"/>
  <Override PartName="/xl/activeX/activeX319.bin" ContentType="application/vnd.ms-office.activeX"/>
  <Override PartName="/xl/activeX/activeX320.xml" ContentType="application/vnd.ms-office.activeX+xml"/>
  <Override PartName="/xl/activeX/activeX320.bin" ContentType="application/vnd.ms-office.activeX"/>
  <Override PartName="/xl/activeX/activeX321.xml" ContentType="application/vnd.ms-office.activeX+xml"/>
  <Override PartName="/xl/activeX/activeX321.bin" ContentType="application/vnd.ms-office.activeX"/>
  <Override PartName="/xl/activeX/activeX322.xml" ContentType="application/vnd.ms-office.activeX+xml"/>
  <Override PartName="/xl/activeX/activeX322.bin" ContentType="application/vnd.ms-office.activeX"/>
  <Override PartName="/xl/activeX/activeX323.xml" ContentType="application/vnd.ms-office.activeX+xml"/>
  <Override PartName="/xl/activeX/activeX323.bin" ContentType="application/vnd.ms-office.activeX"/>
  <Override PartName="/xl/activeX/activeX324.xml" ContentType="application/vnd.ms-office.activeX+xml"/>
  <Override PartName="/xl/activeX/activeX324.bin" ContentType="application/vnd.ms-office.activeX"/>
  <Override PartName="/xl/activeX/activeX325.xml" ContentType="application/vnd.ms-office.activeX+xml"/>
  <Override PartName="/xl/activeX/activeX325.bin" ContentType="application/vnd.ms-office.activeX"/>
  <Override PartName="/xl/activeX/activeX326.xml" ContentType="application/vnd.ms-office.activeX+xml"/>
  <Override PartName="/xl/activeX/activeX326.bin" ContentType="application/vnd.ms-office.activeX"/>
  <Override PartName="/xl/activeX/activeX327.xml" ContentType="application/vnd.ms-office.activeX+xml"/>
  <Override PartName="/xl/activeX/activeX327.bin" ContentType="application/vnd.ms-office.activeX"/>
  <Override PartName="/xl/activeX/activeX328.xml" ContentType="application/vnd.ms-office.activeX+xml"/>
  <Override PartName="/xl/activeX/activeX328.bin" ContentType="application/vnd.ms-office.activeX"/>
  <Override PartName="/xl/activeX/activeX329.xml" ContentType="application/vnd.ms-office.activeX+xml"/>
  <Override PartName="/xl/activeX/activeX329.bin" ContentType="application/vnd.ms-office.activeX"/>
  <Override PartName="/xl/activeX/activeX330.xml" ContentType="application/vnd.ms-office.activeX+xml"/>
  <Override PartName="/xl/activeX/activeX330.bin" ContentType="application/vnd.ms-office.activeX"/>
  <Override PartName="/xl/activeX/activeX331.xml" ContentType="application/vnd.ms-office.activeX+xml"/>
  <Override PartName="/xl/activeX/activeX331.bin" ContentType="application/vnd.ms-office.activeX"/>
  <Override PartName="/xl/activeX/activeX332.xml" ContentType="application/vnd.ms-office.activeX+xml"/>
  <Override PartName="/xl/activeX/activeX332.bin" ContentType="application/vnd.ms-office.activeX"/>
  <Override PartName="/xl/activeX/activeX333.xml" ContentType="application/vnd.ms-office.activeX+xml"/>
  <Override PartName="/xl/activeX/activeX333.bin" ContentType="application/vnd.ms-office.activeX"/>
  <Override PartName="/xl/activeX/activeX334.xml" ContentType="application/vnd.ms-office.activeX+xml"/>
  <Override PartName="/xl/activeX/activeX334.bin" ContentType="application/vnd.ms-office.activeX"/>
  <Override PartName="/xl/activeX/activeX335.xml" ContentType="application/vnd.ms-office.activeX+xml"/>
  <Override PartName="/xl/activeX/activeX335.bin" ContentType="application/vnd.ms-office.activeX"/>
  <Override PartName="/xl/activeX/activeX336.xml" ContentType="application/vnd.ms-office.activeX+xml"/>
  <Override PartName="/xl/activeX/activeX336.bin" ContentType="application/vnd.ms-office.activeX"/>
  <Override PartName="/xl/activeX/activeX337.xml" ContentType="application/vnd.ms-office.activeX+xml"/>
  <Override PartName="/xl/activeX/activeX337.bin" ContentType="application/vnd.ms-office.activeX"/>
  <Override PartName="/xl/activeX/activeX338.xml" ContentType="application/vnd.ms-office.activeX+xml"/>
  <Override PartName="/xl/activeX/activeX338.bin" ContentType="application/vnd.ms-office.activeX"/>
  <Override PartName="/xl/activeX/activeX339.xml" ContentType="application/vnd.ms-office.activeX+xml"/>
  <Override PartName="/xl/activeX/activeX339.bin" ContentType="application/vnd.ms-office.activeX"/>
  <Override PartName="/xl/activeX/activeX340.xml" ContentType="application/vnd.ms-office.activeX+xml"/>
  <Override PartName="/xl/activeX/activeX340.bin" ContentType="application/vnd.ms-office.activeX"/>
  <Override PartName="/xl/activeX/activeX341.xml" ContentType="application/vnd.ms-office.activeX+xml"/>
  <Override PartName="/xl/activeX/activeX341.bin" ContentType="application/vnd.ms-office.activeX"/>
  <Override PartName="/xl/activeX/activeX342.xml" ContentType="application/vnd.ms-office.activeX+xml"/>
  <Override PartName="/xl/activeX/activeX342.bin" ContentType="application/vnd.ms-office.activeX"/>
  <Override PartName="/xl/activeX/activeX343.xml" ContentType="application/vnd.ms-office.activeX+xml"/>
  <Override PartName="/xl/activeX/activeX343.bin" ContentType="application/vnd.ms-office.activeX"/>
  <Override PartName="/xl/activeX/activeX344.xml" ContentType="application/vnd.ms-office.activeX+xml"/>
  <Override PartName="/xl/activeX/activeX344.bin" ContentType="application/vnd.ms-office.activeX"/>
  <Override PartName="/xl/activeX/activeX345.xml" ContentType="application/vnd.ms-office.activeX+xml"/>
  <Override PartName="/xl/activeX/activeX345.bin" ContentType="application/vnd.ms-office.activeX"/>
  <Override PartName="/xl/activeX/activeX346.xml" ContentType="application/vnd.ms-office.activeX+xml"/>
  <Override PartName="/xl/activeX/activeX346.bin" ContentType="application/vnd.ms-office.activeX"/>
  <Override PartName="/xl/activeX/activeX347.xml" ContentType="application/vnd.ms-office.activeX+xml"/>
  <Override PartName="/xl/activeX/activeX347.bin" ContentType="application/vnd.ms-office.activeX"/>
  <Override PartName="/xl/activeX/activeX348.xml" ContentType="application/vnd.ms-office.activeX+xml"/>
  <Override PartName="/xl/activeX/activeX348.bin" ContentType="application/vnd.ms-office.activeX"/>
  <Override PartName="/xl/activeX/activeX349.xml" ContentType="application/vnd.ms-office.activeX+xml"/>
  <Override PartName="/xl/activeX/activeX349.bin" ContentType="application/vnd.ms-office.activeX"/>
  <Override PartName="/xl/activeX/activeX350.xml" ContentType="application/vnd.ms-office.activeX+xml"/>
  <Override PartName="/xl/activeX/activeX350.bin" ContentType="application/vnd.ms-office.activeX"/>
  <Override PartName="/xl/activeX/activeX351.xml" ContentType="application/vnd.ms-office.activeX+xml"/>
  <Override PartName="/xl/activeX/activeX351.bin" ContentType="application/vnd.ms-office.activeX"/>
  <Override PartName="/xl/activeX/activeX352.xml" ContentType="application/vnd.ms-office.activeX+xml"/>
  <Override PartName="/xl/activeX/activeX352.bin" ContentType="application/vnd.ms-office.activeX"/>
  <Override PartName="/xl/activeX/activeX353.xml" ContentType="application/vnd.ms-office.activeX+xml"/>
  <Override PartName="/xl/activeX/activeX353.bin" ContentType="application/vnd.ms-office.activeX"/>
  <Override PartName="/xl/activeX/activeX354.xml" ContentType="application/vnd.ms-office.activeX+xml"/>
  <Override PartName="/xl/activeX/activeX354.bin" ContentType="application/vnd.ms-office.activeX"/>
  <Override PartName="/xl/activeX/activeX355.xml" ContentType="application/vnd.ms-office.activeX+xml"/>
  <Override PartName="/xl/activeX/activeX355.bin" ContentType="application/vnd.ms-office.activeX"/>
  <Override PartName="/xl/activeX/activeX356.xml" ContentType="application/vnd.ms-office.activeX+xml"/>
  <Override PartName="/xl/activeX/activeX356.bin" ContentType="application/vnd.ms-office.activeX"/>
  <Override PartName="/xl/activeX/activeX357.xml" ContentType="application/vnd.ms-office.activeX+xml"/>
  <Override PartName="/xl/activeX/activeX357.bin" ContentType="application/vnd.ms-office.activeX"/>
  <Override PartName="/xl/activeX/activeX358.xml" ContentType="application/vnd.ms-office.activeX+xml"/>
  <Override PartName="/xl/activeX/activeX358.bin" ContentType="application/vnd.ms-office.activeX"/>
  <Override PartName="/xl/activeX/activeX359.xml" ContentType="application/vnd.ms-office.activeX+xml"/>
  <Override PartName="/xl/activeX/activeX359.bin" ContentType="application/vnd.ms-office.activeX"/>
  <Override PartName="/xl/activeX/activeX360.xml" ContentType="application/vnd.ms-office.activeX+xml"/>
  <Override PartName="/xl/activeX/activeX360.bin" ContentType="application/vnd.ms-office.activeX"/>
  <Override PartName="/xl/activeX/activeX361.xml" ContentType="application/vnd.ms-office.activeX+xml"/>
  <Override PartName="/xl/activeX/activeX361.bin" ContentType="application/vnd.ms-office.activeX"/>
  <Override PartName="/xl/activeX/activeX362.xml" ContentType="application/vnd.ms-office.activeX+xml"/>
  <Override PartName="/xl/activeX/activeX362.bin" ContentType="application/vnd.ms-office.activeX"/>
  <Override PartName="/xl/activeX/activeX363.xml" ContentType="application/vnd.ms-office.activeX+xml"/>
  <Override PartName="/xl/activeX/activeX363.bin" ContentType="application/vnd.ms-office.activeX"/>
  <Override PartName="/xl/activeX/activeX364.xml" ContentType="application/vnd.ms-office.activeX+xml"/>
  <Override PartName="/xl/activeX/activeX364.bin" ContentType="application/vnd.ms-office.activeX"/>
  <Override PartName="/xl/activeX/activeX365.xml" ContentType="application/vnd.ms-office.activeX+xml"/>
  <Override PartName="/xl/activeX/activeX365.bin" ContentType="application/vnd.ms-office.activeX"/>
  <Override PartName="/xl/activeX/activeX366.xml" ContentType="application/vnd.ms-office.activeX+xml"/>
  <Override PartName="/xl/activeX/activeX366.bin" ContentType="application/vnd.ms-office.activeX"/>
  <Override PartName="/xl/activeX/activeX367.xml" ContentType="application/vnd.ms-office.activeX+xml"/>
  <Override PartName="/xl/activeX/activeX367.bin" ContentType="application/vnd.ms-office.activeX"/>
  <Override PartName="/xl/activeX/activeX368.xml" ContentType="application/vnd.ms-office.activeX+xml"/>
  <Override PartName="/xl/activeX/activeX368.bin" ContentType="application/vnd.ms-office.activeX"/>
  <Override PartName="/xl/activeX/activeX369.xml" ContentType="application/vnd.ms-office.activeX+xml"/>
  <Override PartName="/xl/activeX/activeX369.bin" ContentType="application/vnd.ms-office.activeX"/>
  <Override PartName="/xl/activeX/activeX370.xml" ContentType="application/vnd.ms-office.activeX+xml"/>
  <Override PartName="/xl/activeX/activeX370.bin" ContentType="application/vnd.ms-office.activeX"/>
  <Override PartName="/xl/activeX/activeX371.xml" ContentType="application/vnd.ms-office.activeX+xml"/>
  <Override PartName="/xl/activeX/activeX371.bin" ContentType="application/vnd.ms-office.activeX"/>
  <Override PartName="/xl/activeX/activeX372.xml" ContentType="application/vnd.ms-office.activeX+xml"/>
  <Override PartName="/xl/activeX/activeX372.bin" ContentType="application/vnd.ms-office.activeX"/>
  <Override PartName="/xl/activeX/activeX373.xml" ContentType="application/vnd.ms-office.activeX+xml"/>
  <Override PartName="/xl/activeX/activeX373.bin" ContentType="application/vnd.ms-office.activeX"/>
  <Override PartName="/xl/activeX/activeX374.xml" ContentType="application/vnd.ms-office.activeX+xml"/>
  <Override PartName="/xl/activeX/activeX374.bin" ContentType="application/vnd.ms-office.activeX"/>
  <Override PartName="/xl/activeX/activeX375.xml" ContentType="application/vnd.ms-office.activeX+xml"/>
  <Override PartName="/xl/activeX/activeX375.bin" ContentType="application/vnd.ms-office.activeX"/>
  <Override PartName="/xl/activeX/activeX376.xml" ContentType="application/vnd.ms-office.activeX+xml"/>
  <Override PartName="/xl/activeX/activeX376.bin" ContentType="application/vnd.ms-office.activeX"/>
  <Override PartName="/xl/activeX/activeX377.xml" ContentType="application/vnd.ms-office.activeX+xml"/>
  <Override PartName="/xl/activeX/activeX377.bin" ContentType="application/vnd.ms-office.activeX"/>
  <Override PartName="/xl/activeX/activeX378.xml" ContentType="application/vnd.ms-office.activeX+xml"/>
  <Override PartName="/xl/activeX/activeX378.bin" ContentType="application/vnd.ms-office.activeX"/>
  <Override PartName="/xl/activeX/activeX379.xml" ContentType="application/vnd.ms-office.activeX+xml"/>
  <Override PartName="/xl/activeX/activeX379.bin" ContentType="application/vnd.ms-office.activeX"/>
  <Override PartName="/xl/activeX/activeX380.xml" ContentType="application/vnd.ms-office.activeX+xml"/>
  <Override PartName="/xl/activeX/activeX380.bin" ContentType="application/vnd.ms-office.activeX"/>
  <Override PartName="/xl/activeX/activeX381.xml" ContentType="application/vnd.ms-office.activeX+xml"/>
  <Override PartName="/xl/activeX/activeX381.bin" ContentType="application/vnd.ms-office.activeX"/>
  <Override PartName="/xl/activeX/activeX382.xml" ContentType="application/vnd.ms-office.activeX+xml"/>
  <Override PartName="/xl/activeX/activeX382.bin" ContentType="application/vnd.ms-office.activeX"/>
  <Override PartName="/xl/activeX/activeX383.xml" ContentType="application/vnd.ms-office.activeX+xml"/>
  <Override PartName="/xl/activeX/activeX383.bin" ContentType="application/vnd.ms-office.activeX"/>
  <Override PartName="/xl/activeX/activeX384.xml" ContentType="application/vnd.ms-office.activeX+xml"/>
  <Override PartName="/xl/activeX/activeX384.bin" ContentType="application/vnd.ms-office.activeX"/>
  <Override PartName="/xl/activeX/activeX385.xml" ContentType="application/vnd.ms-office.activeX+xml"/>
  <Override PartName="/xl/activeX/activeX385.bin" ContentType="application/vnd.ms-office.activeX"/>
  <Override PartName="/xl/activeX/activeX386.xml" ContentType="application/vnd.ms-office.activeX+xml"/>
  <Override PartName="/xl/activeX/activeX386.bin" ContentType="application/vnd.ms-office.activeX"/>
  <Override PartName="/xl/activeX/activeX387.xml" ContentType="application/vnd.ms-office.activeX+xml"/>
  <Override PartName="/xl/activeX/activeX387.bin" ContentType="application/vnd.ms-office.activeX"/>
  <Override PartName="/xl/activeX/activeX388.xml" ContentType="application/vnd.ms-office.activeX+xml"/>
  <Override PartName="/xl/activeX/activeX388.bin" ContentType="application/vnd.ms-office.activeX"/>
  <Override PartName="/xl/activeX/activeX389.xml" ContentType="application/vnd.ms-office.activeX+xml"/>
  <Override PartName="/xl/activeX/activeX389.bin" ContentType="application/vnd.ms-office.activeX"/>
  <Override PartName="/xl/activeX/activeX390.xml" ContentType="application/vnd.ms-office.activeX+xml"/>
  <Override PartName="/xl/activeX/activeX390.bin" ContentType="application/vnd.ms-office.activeX"/>
  <Override PartName="/xl/activeX/activeX391.xml" ContentType="application/vnd.ms-office.activeX+xml"/>
  <Override PartName="/xl/activeX/activeX391.bin" ContentType="application/vnd.ms-office.activeX"/>
  <Override PartName="/xl/activeX/activeX392.xml" ContentType="application/vnd.ms-office.activeX+xml"/>
  <Override PartName="/xl/activeX/activeX392.bin" ContentType="application/vnd.ms-office.activeX"/>
  <Override PartName="/xl/activeX/activeX393.xml" ContentType="application/vnd.ms-office.activeX+xml"/>
  <Override PartName="/xl/activeX/activeX393.bin" ContentType="application/vnd.ms-office.activeX"/>
  <Override PartName="/xl/activeX/activeX394.xml" ContentType="application/vnd.ms-office.activeX+xml"/>
  <Override PartName="/xl/activeX/activeX394.bin" ContentType="application/vnd.ms-office.activeX"/>
  <Override PartName="/xl/activeX/activeX395.xml" ContentType="application/vnd.ms-office.activeX+xml"/>
  <Override PartName="/xl/activeX/activeX395.bin" ContentType="application/vnd.ms-office.activeX"/>
  <Override PartName="/xl/activeX/activeX396.xml" ContentType="application/vnd.ms-office.activeX+xml"/>
  <Override PartName="/xl/activeX/activeX396.bin" ContentType="application/vnd.ms-office.activeX"/>
  <Override PartName="/xl/activeX/activeX397.xml" ContentType="application/vnd.ms-office.activeX+xml"/>
  <Override PartName="/xl/activeX/activeX397.bin" ContentType="application/vnd.ms-office.activeX"/>
  <Override PartName="/xl/activeX/activeX398.xml" ContentType="application/vnd.ms-office.activeX+xml"/>
  <Override PartName="/xl/activeX/activeX398.bin" ContentType="application/vnd.ms-office.activeX"/>
  <Override PartName="/xl/activeX/activeX399.xml" ContentType="application/vnd.ms-office.activeX+xml"/>
  <Override PartName="/xl/activeX/activeX399.bin" ContentType="application/vnd.ms-office.activeX"/>
  <Override PartName="/xl/activeX/activeX400.xml" ContentType="application/vnd.ms-office.activeX+xml"/>
  <Override PartName="/xl/activeX/activeX400.bin" ContentType="application/vnd.ms-office.activeX"/>
  <Override PartName="/xl/activeX/activeX401.xml" ContentType="application/vnd.ms-office.activeX+xml"/>
  <Override PartName="/xl/activeX/activeX401.bin" ContentType="application/vnd.ms-office.activeX"/>
  <Override PartName="/xl/activeX/activeX402.xml" ContentType="application/vnd.ms-office.activeX+xml"/>
  <Override PartName="/xl/activeX/activeX402.bin" ContentType="application/vnd.ms-office.activeX"/>
  <Override PartName="/xl/activeX/activeX403.xml" ContentType="application/vnd.ms-office.activeX+xml"/>
  <Override PartName="/xl/activeX/activeX403.bin" ContentType="application/vnd.ms-office.activeX"/>
  <Override PartName="/xl/activeX/activeX404.xml" ContentType="application/vnd.ms-office.activeX+xml"/>
  <Override PartName="/xl/activeX/activeX404.bin" ContentType="application/vnd.ms-office.activeX"/>
  <Override PartName="/xl/activeX/activeX405.xml" ContentType="application/vnd.ms-office.activeX+xml"/>
  <Override PartName="/xl/activeX/activeX405.bin" ContentType="application/vnd.ms-office.activeX"/>
  <Override PartName="/xl/activeX/activeX406.xml" ContentType="application/vnd.ms-office.activeX+xml"/>
  <Override PartName="/xl/activeX/activeX406.bin" ContentType="application/vnd.ms-office.activeX"/>
  <Override PartName="/xl/activeX/activeX407.xml" ContentType="application/vnd.ms-office.activeX+xml"/>
  <Override PartName="/xl/activeX/activeX407.bin" ContentType="application/vnd.ms-office.activeX"/>
  <Override PartName="/xl/activeX/activeX408.xml" ContentType="application/vnd.ms-office.activeX+xml"/>
  <Override PartName="/xl/activeX/activeX408.bin" ContentType="application/vnd.ms-office.activeX"/>
  <Override PartName="/xl/activeX/activeX409.xml" ContentType="application/vnd.ms-office.activeX+xml"/>
  <Override PartName="/xl/activeX/activeX409.bin" ContentType="application/vnd.ms-office.activeX"/>
  <Override PartName="/xl/activeX/activeX410.xml" ContentType="application/vnd.ms-office.activeX+xml"/>
  <Override PartName="/xl/activeX/activeX410.bin" ContentType="application/vnd.ms-office.activeX"/>
  <Override PartName="/xl/activeX/activeX411.xml" ContentType="application/vnd.ms-office.activeX+xml"/>
  <Override PartName="/xl/activeX/activeX411.bin" ContentType="application/vnd.ms-office.activeX"/>
  <Override PartName="/xl/activeX/activeX412.xml" ContentType="application/vnd.ms-office.activeX+xml"/>
  <Override PartName="/xl/activeX/activeX412.bin" ContentType="application/vnd.ms-office.activeX"/>
  <Override PartName="/xl/activeX/activeX413.xml" ContentType="application/vnd.ms-office.activeX+xml"/>
  <Override PartName="/xl/activeX/activeX413.bin" ContentType="application/vnd.ms-office.activeX"/>
  <Override PartName="/xl/activeX/activeX414.xml" ContentType="application/vnd.ms-office.activeX+xml"/>
  <Override PartName="/xl/activeX/activeX414.bin" ContentType="application/vnd.ms-office.activeX"/>
  <Override PartName="/xl/activeX/activeX415.xml" ContentType="application/vnd.ms-office.activeX+xml"/>
  <Override PartName="/xl/activeX/activeX415.bin" ContentType="application/vnd.ms-office.activeX"/>
  <Override PartName="/xl/activeX/activeX416.xml" ContentType="application/vnd.ms-office.activeX+xml"/>
  <Override PartName="/xl/activeX/activeX416.bin" ContentType="application/vnd.ms-office.activeX"/>
  <Override PartName="/xl/activeX/activeX417.xml" ContentType="application/vnd.ms-office.activeX+xml"/>
  <Override PartName="/xl/activeX/activeX417.bin" ContentType="application/vnd.ms-office.activeX"/>
  <Override PartName="/xl/activeX/activeX418.xml" ContentType="application/vnd.ms-office.activeX+xml"/>
  <Override PartName="/xl/activeX/activeX418.bin" ContentType="application/vnd.ms-office.activeX"/>
  <Override PartName="/xl/activeX/activeX419.xml" ContentType="application/vnd.ms-office.activeX+xml"/>
  <Override PartName="/xl/activeX/activeX419.bin" ContentType="application/vnd.ms-office.activeX"/>
  <Override PartName="/xl/activeX/activeX420.xml" ContentType="application/vnd.ms-office.activeX+xml"/>
  <Override PartName="/xl/activeX/activeX420.bin" ContentType="application/vnd.ms-office.activeX"/>
  <Override PartName="/xl/activeX/activeX421.xml" ContentType="application/vnd.ms-office.activeX+xml"/>
  <Override PartName="/xl/activeX/activeX421.bin" ContentType="application/vnd.ms-office.activeX"/>
  <Override PartName="/xl/activeX/activeX422.xml" ContentType="application/vnd.ms-office.activeX+xml"/>
  <Override PartName="/xl/activeX/activeX422.bin" ContentType="application/vnd.ms-office.activeX"/>
  <Override PartName="/xl/activeX/activeX423.xml" ContentType="application/vnd.ms-office.activeX+xml"/>
  <Override PartName="/xl/activeX/activeX423.bin" ContentType="application/vnd.ms-office.activeX"/>
  <Override PartName="/xl/activeX/activeX424.xml" ContentType="application/vnd.ms-office.activeX+xml"/>
  <Override PartName="/xl/activeX/activeX424.bin" ContentType="application/vnd.ms-office.activeX"/>
  <Override PartName="/xl/activeX/activeX425.xml" ContentType="application/vnd.ms-office.activeX+xml"/>
  <Override PartName="/xl/activeX/activeX425.bin" ContentType="application/vnd.ms-office.activeX"/>
  <Override PartName="/xl/activeX/activeX426.xml" ContentType="application/vnd.ms-office.activeX+xml"/>
  <Override PartName="/xl/activeX/activeX426.bin" ContentType="application/vnd.ms-office.activeX"/>
  <Override PartName="/xl/activeX/activeX427.xml" ContentType="application/vnd.ms-office.activeX+xml"/>
  <Override PartName="/xl/activeX/activeX427.bin" ContentType="application/vnd.ms-office.activeX"/>
  <Override PartName="/xl/activeX/activeX428.xml" ContentType="application/vnd.ms-office.activeX+xml"/>
  <Override PartName="/xl/activeX/activeX428.bin" ContentType="application/vnd.ms-office.activeX"/>
  <Override PartName="/xl/activeX/activeX429.xml" ContentType="application/vnd.ms-office.activeX+xml"/>
  <Override PartName="/xl/activeX/activeX429.bin" ContentType="application/vnd.ms-office.activeX"/>
  <Override PartName="/xl/activeX/activeX430.xml" ContentType="application/vnd.ms-office.activeX+xml"/>
  <Override PartName="/xl/activeX/activeX430.bin" ContentType="application/vnd.ms-office.activeX"/>
  <Override PartName="/xl/activeX/activeX431.xml" ContentType="application/vnd.ms-office.activeX+xml"/>
  <Override PartName="/xl/activeX/activeX431.bin" ContentType="application/vnd.ms-office.activeX"/>
  <Override PartName="/xl/activeX/activeX432.xml" ContentType="application/vnd.ms-office.activeX+xml"/>
  <Override PartName="/xl/activeX/activeX432.bin" ContentType="application/vnd.ms-office.activeX"/>
  <Override PartName="/xl/activeX/activeX433.xml" ContentType="application/vnd.ms-office.activeX+xml"/>
  <Override PartName="/xl/activeX/activeX433.bin" ContentType="application/vnd.ms-office.activeX"/>
  <Override PartName="/xl/activeX/activeX434.xml" ContentType="application/vnd.ms-office.activeX+xml"/>
  <Override PartName="/xl/activeX/activeX434.bin" ContentType="application/vnd.ms-office.activeX"/>
  <Override PartName="/xl/activeX/activeX435.xml" ContentType="application/vnd.ms-office.activeX+xml"/>
  <Override PartName="/xl/activeX/activeX435.bin" ContentType="application/vnd.ms-office.activeX"/>
  <Override PartName="/xl/activeX/activeX436.xml" ContentType="application/vnd.ms-office.activeX+xml"/>
  <Override PartName="/xl/activeX/activeX436.bin" ContentType="application/vnd.ms-office.activeX"/>
  <Override PartName="/xl/activeX/activeX437.xml" ContentType="application/vnd.ms-office.activeX+xml"/>
  <Override PartName="/xl/activeX/activeX437.bin" ContentType="application/vnd.ms-office.activeX"/>
  <Override PartName="/xl/activeX/activeX438.xml" ContentType="application/vnd.ms-office.activeX+xml"/>
  <Override PartName="/xl/activeX/activeX438.bin" ContentType="application/vnd.ms-office.activeX"/>
  <Override PartName="/xl/activeX/activeX439.xml" ContentType="application/vnd.ms-office.activeX+xml"/>
  <Override PartName="/xl/activeX/activeX439.bin" ContentType="application/vnd.ms-office.activeX"/>
  <Override PartName="/xl/activeX/activeX440.xml" ContentType="application/vnd.ms-office.activeX+xml"/>
  <Override PartName="/xl/activeX/activeX440.bin" ContentType="application/vnd.ms-office.activeX"/>
  <Override PartName="/xl/activeX/activeX441.xml" ContentType="application/vnd.ms-office.activeX+xml"/>
  <Override PartName="/xl/activeX/activeX441.bin" ContentType="application/vnd.ms-office.activeX"/>
  <Override PartName="/xl/activeX/activeX442.xml" ContentType="application/vnd.ms-office.activeX+xml"/>
  <Override PartName="/xl/activeX/activeX442.bin" ContentType="application/vnd.ms-office.activeX"/>
  <Override PartName="/xl/activeX/activeX443.xml" ContentType="application/vnd.ms-office.activeX+xml"/>
  <Override PartName="/xl/activeX/activeX443.bin" ContentType="application/vnd.ms-office.activeX"/>
  <Override PartName="/xl/activeX/activeX444.xml" ContentType="application/vnd.ms-office.activeX+xml"/>
  <Override PartName="/xl/activeX/activeX444.bin" ContentType="application/vnd.ms-office.activeX"/>
  <Override PartName="/xl/activeX/activeX445.xml" ContentType="application/vnd.ms-office.activeX+xml"/>
  <Override PartName="/xl/activeX/activeX445.bin" ContentType="application/vnd.ms-office.activeX"/>
  <Override PartName="/xl/activeX/activeX446.xml" ContentType="application/vnd.ms-office.activeX+xml"/>
  <Override PartName="/xl/activeX/activeX446.bin" ContentType="application/vnd.ms-office.activeX"/>
  <Override PartName="/xl/activeX/activeX447.xml" ContentType="application/vnd.ms-office.activeX+xml"/>
  <Override PartName="/xl/activeX/activeX447.bin" ContentType="application/vnd.ms-office.activeX"/>
  <Override PartName="/xl/activeX/activeX448.xml" ContentType="application/vnd.ms-office.activeX+xml"/>
  <Override PartName="/xl/activeX/activeX448.bin" ContentType="application/vnd.ms-office.activeX"/>
  <Override PartName="/xl/activeX/activeX449.xml" ContentType="application/vnd.ms-office.activeX+xml"/>
  <Override PartName="/xl/activeX/activeX449.bin" ContentType="application/vnd.ms-office.activeX"/>
  <Override PartName="/xl/activeX/activeX450.xml" ContentType="application/vnd.ms-office.activeX+xml"/>
  <Override PartName="/xl/activeX/activeX450.bin" ContentType="application/vnd.ms-office.activeX"/>
  <Override PartName="/xl/activeX/activeX451.xml" ContentType="application/vnd.ms-office.activeX+xml"/>
  <Override PartName="/xl/activeX/activeX451.bin" ContentType="application/vnd.ms-office.activeX"/>
  <Override PartName="/xl/activeX/activeX452.xml" ContentType="application/vnd.ms-office.activeX+xml"/>
  <Override PartName="/xl/activeX/activeX452.bin" ContentType="application/vnd.ms-office.activeX"/>
  <Override PartName="/xl/activeX/activeX453.xml" ContentType="application/vnd.ms-office.activeX+xml"/>
  <Override PartName="/xl/activeX/activeX453.bin" ContentType="application/vnd.ms-office.activeX"/>
  <Override PartName="/xl/activeX/activeX454.xml" ContentType="application/vnd.ms-office.activeX+xml"/>
  <Override PartName="/xl/activeX/activeX454.bin" ContentType="application/vnd.ms-office.activeX"/>
  <Override PartName="/xl/activeX/activeX455.xml" ContentType="application/vnd.ms-office.activeX+xml"/>
  <Override PartName="/xl/activeX/activeX455.bin" ContentType="application/vnd.ms-office.activeX"/>
  <Override PartName="/xl/activeX/activeX456.xml" ContentType="application/vnd.ms-office.activeX+xml"/>
  <Override PartName="/xl/activeX/activeX456.bin" ContentType="application/vnd.ms-office.activeX"/>
  <Override PartName="/xl/activeX/activeX457.xml" ContentType="application/vnd.ms-office.activeX+xml"/>
  <Override PartName="/xl/activeX/activeX457.bin" ContentType="application/vnd.ms-office.activeX"/>
  <Override PartName="/xl/activeX/activeX458.xml" ContentType="application/vnd.ms-office.activeX+xml"/>
  <Override PartName="/xl/activeX/activeX458.bin" ContentType="application/vnd.ms-office.activeX"/>
  <Override PartName="/xl/activeX/activeX459.xml" ContentType="application/vnd.ms-office.activeX+xml"/>
  <Override PartName="/xl/activeX/activeX459.bin" ContentType="application/vnd.ms-office.activeX"/>
  <Override PartName="/xl/activeX/activeX460.xml" ContentType="application/vnd.ms-office.activeX+xml"/>
  <Override PartName="/xl/activeX/activeX460.bin" ContentType="application/vnd.ms-office.activeX"/>
  <Override PartName="/xl/activeX/activeX461.xml" ContentType="application/vnd.ms-office.activeX+xml"/>
  <Override PartName="/xl/activeX/activeX461.bin" ContentType="application/vnd.ms-office.activeX"/>
  <Override PartName="/xl/activeX/activeX462.xml" ContentType="application/vnd.ms-office.activeX+xml"/>
  <Override PartName="/xl/activeX/activeX462.bin" ContentType="application/vnd.ms-office.activeX"/>
  <Override PartName="/xl/activeX/activeX463.xml" ContentType="application/vnd.ms-office.activeX+xml"/>
  <Override PartName="/xl/activeX/activeX463.bin" ContentType="application/vnd.ms-office.activeX"/>
  <Override PartName="/xl/activeX/activeX464.xml" ContentType="application/vnd.ms-office.activeX+xml"/>
  <Override PartName="/xl/activeX/activeX464.bin" ContentType="application/vnd.ms-office.activeX"/>
  <Override PartName="/xl/activeX/activeX465.xml" ContentType="application/vnd.ms-office.activeX+xml"/>
  <Override PartName="/xl/activeX/activeX465.bin" ContentType="application/vnd.ms-office.activeX"/>
  <Override PartName="/xl/activeX/activeX466.xml" ContentType="application/vnd.ms-office.activeX+xml"/>
  <Override PartName="/xl/activeX/activeX466.bin" ContentType="application/vnd.ms-office.activeX"/>
  <Override PartName="/xl/activeX/activeX467.xml" ContentType="application/vnd.ms-office.activeX+xml"/>
  <Override PartName="/xl/activeX/activeX467.bin" ContentType="application/vnd.ms-office.activeX"/>
  <Override PartName="/xl/activeX/activeX468.xml" ContentType="application/vnd.ms-office.activeX+xml"/>
  <Override PartName="/xl/activeX/activeX468.bin" ContentType="application/vnd.ms-office.activeX"/>
  <Override PartName="/xl/activeX/activeX469.xml" ContentType="application/vnd.ms-office.activeX+xml"/>
  <Override PartName="/xl/activeX/activeX469.bin" ContentType="application/vnd.ms-office.activeX"/>
  <Override PartName="/xl/activeX/activeX470.xml" ContentType="application/vnd.ms-office.activeX+xml"/>
  <Override PartName="/xl/activeX/activeX470.bin" ContentType="application/vnd.ms-office.activeX"/>
  <Override PartName="/xl/activeX/activeX471.xml" ContentType="application/vnd.ms-office.activeX+xml"/>
  <Override PartName="/xl/activeX/activeX471.bin" ContentType="application/vnd.ms-office.activeX"/>
  <Override PartName="/xl/activeX/activeX472.xml" ContentType="application/vnd.ms-office.activeX+xml"/>
  <Override PartName="/xl/activeX/activeX472.bin" ContentType="application/vnd.ms-office.activeX"/>
  <Override PartName="/xl/activeX/activeX473.xml" ContentType="application/vnd.ms-office.activeX+xml"/>
  <Override PartName="/xl/activeX/activeX473.bin" ContentType="application/vnd.ms-office.activeX"/>
  <Override PartName="/xl/activeX/activeX474.xml" ContentType="application/vnd.ms-office.activeX+xml"/>
  <Override PartName="/xl/activeX/activeX474.bin" ContentType="application/vnd.ms-office.activeX"/>
  <Override PartName="/xl/activeX/activeX475.xml" ContentType="application/vnd.ms-office.activeX+xml"/>
  <Override PartName="/xl/activeX/activeX475.bin" ContentType="application/vnd.ms-office.activeX"/>
  <Override PartName="/xl/activeX/activeX476.xml" ContentType="application/vnd.ms-office.activeX+xml"/>
  <Override PartName="/xl/activeX/activeX476.bin" ContentType="application/vnd.ms-office.activeX"/>
  <Override PartName="/xl/activeX/activeX477.xml" ContentType="application/vnd.ms-office.activeX+xml"/>
  <Override PartName="/xl/activeX/activeX477.bin" ContentType="application/vnd.ms-office.activeX"/>
  <Override PartName="/xl/activeX/activeX478.xml" ContentType="application/vnd.ms-office.activeX+xml"/>
  <Override PartName="/xl/activeX/activeX478.bin" ContentType="application/vnd.ms-office.activeX"/>
  <Override PartName="/xl/activeX/activeX479.xml" ContentType="application/vnd.ms-office.activeX+xml"/>
  <Override PartName="/xl/activeX/activeX479.bin" ContentType="application/vnd.ms-office.activeX"/>
  <Override PartName="/xl/activeX/activeX480.xml" ContentType="application/vnd.ms-office.activeX+xml"/>
  <Override PartName="/xl/activeX/activeX480.bin" ContentType="application/vnd.ms-office.activeX"/>
  <Override PartName="/xl/activeX/activeX481.xml" ContentType="application/vnd.ms-office.activeX+xml"/>
  <Override PartName="/xl/activeX/activeX481.bin" ContentType="application/vnd.ms-office.activeX"/>
  <Override PartName="/xl/activeX/activeX482.xml" ContentType="application/vnd.ms-office.activeX+xml"/>
  <Override PartName="/xl/activeX/activeX482.bin" ContentType="application/vnd.ms-office.activeX"/>
  <Override PartName="/xl/activeX/activeX483.xml" ContentType="application/vnd.ms-office.activeX+xml"/>
  <Override PartName="/xl/activeX/activeX483.bin" ContentType="application/vnd.ms-office.activeX"/>
  <Override PartName="/xl/activeX/activeX484.xml" ContentType="application/vnd.ms-office.activeX+xml"/>
  <Override PartName="/xl/activeX/activeX484.bin" ContentType="application/vnd.ms-office.activeX"/>
  <Override PartName="/xl/activeX/activeX485.xml" ContentType="application/vnd.ms-office.activeX+xml"/>
  <Override PartName="/xl/activeX/activeX485.bin" ContentType="application/vnd.ms-office.activeX"/>
  <Override PartName="/xl/activeX/activeX486.xml" ContentType="application/vnd.ms-office.activeX+xml"/>
  <Override PartName="/xl/activeX/activeX486.bin" ContentType="application/vnd.ms-office.activeX"/>
  <Override PartName="/xl/activeX/activeX487.xml" ContentType="application/vnd.ms-office.activeX+xml"/>
  <Override PartName="/xl/activeX/activeX487.bin" ContentType="application/vnd.ms-office.activeX"/>
  <Override PartName="/xl/activeX/activeX488.xml" ContentType="application/vnd.ms-office.activeX+xml"/>
  <Override PartName="/xl/activeX/activeX488.bin" ContentType="application/vnd.ms-office.activeX"/>
  <Override PartName="/xl/activeX/activeX489.xml" ContentType="application/vnd.ms-office.activeX+xml"/>
  <Override PartName="/xl/activeX/activeX489.bin" ContentType="application/vnd.ms-office.activeX"/>
  <Override PartName="/xl/activeX/activeX490.xml" ContentType="application/vnd.ms-office.activeX+xml"/>
  <Override PartName="/xl/activeX/activeX490.bin" ContentType="application/vnd.ms-office.activeX"/>
  <Override PartName="/xl/activeX/activeX491.xml" ContentType="application/vnd.ms-office.activeX+xml"/>
  <Override PartName="/xl/activeX/activeX491.bin" ContentType="application/vnd.ms-office.activeX"/>
  <Override PartName="/xl/activeX/activeX492.xml" ContentType="application/vnd.ms-office.activeX+xml"/>
  <Override PartName="/xl/activeX/activeX492.bin" ContentType="application/vnd.ms-office.activeX"/>
  <Override PartName="/xl/activeX/activeX493.xml" ContentType="application/vnd.ms-office.activeX+xml"/>
  <Override PartName="/xl/activeX/activeX493.bin" ContentType="application/vnd.ms-office.activeX"/>
  <Override PartName="/xl/activeX/activeX494.xml" ContentType="application/vnd.ms-office.activeX+xml"/>
  <Override PartName="/xl/activeX/activeX494.bin" ContentType="application/vnd.ms-office.activeX"/>
  <Override PartName="/xl/activeX/activeX495.xml" ContentType="application/vnd.ms-office.activeX+xml"/>
  <Override PartName="/xl/activeX/activeX495.bin" ContentType="application/vnd.ms-office.activeX"/>
  <Override PartName="/xl/activeX/activeX496.xml" ContentType="application/vnd.ms-office.activeX+xml"/>
  <Override PartName="/xl/activeX/activeX496.bin" ContentType="application/vnd.ms-office.activeX"/>
  <Override PartName="/xl/activeX/activeX497.xml" ContentType="application/vnd.ms-office.activeX+xml"/>
  <Override PartName="/xl/activeX/activeX497.bin" ContentType="application/vnd.ms-office.activeX"/>
  <Override PartName="/xl/activeX/activeX498.xml" ContentType="application/vnd.ms-office.activeX+xml"/>
  <Override PartName="/xl/activeX/activeX498.bin" ContentType="application/vnd.ms-office.activeX"/>
  <Override PartName="/xl/activeX/activeX499.xml" ContentType="application/vnd.ms-office.activeX+xml"/>
  <Override PartName="/xl/activeX/activeX499.bin" ContentType="application/vnd.ms-office.activeX"/>
  <Override PartName="/xl/activeX/activeX500.xml" ContentType="application/vnd.ms-office.activeX+xml"/>
  <Override PartName="/xl/activeX/activeX500.bin" ContentType="application/vnd.ms-office.activeX"/>
  <Override PartName="/xl/activeX/activeX501.xml" ContentType="application/vnd.ms-office.activeX+xml"/>
  <Override PartName="/xl/activeX/activeX501.bin" ContentType="application/vnd.ms-office.activeX"/>
  <Override PartName="/xl/activeX/activeX502.xml" ContentType="application/vnd.ms-office.activeX+xml"/>
  <Override PartName="/xl/activeX/activeX502.bin" ContentType="application/vnd.ms-office.activeX"/>
  <Override PartName="/xl/activeX/activeX503.xml" ContentType="application/vnd.ms-office.activeX+xml"/>
  <Override PartName="/xl/activeX/activeX503.bin" ContentType="application/vnd.ms-office.activeX"/>
  <Override PartName="/xl/activeX/activeX504.xml" ContentType="application/vnd.ms-office.activeX+xml"/>
  <Override PartName="/xl/activeX/activeX504.bin" ContentType="application/vnd.ms-office.activeX"/>
  <Override PartName="/xl/activeX/activeX505.xml" ContentType="application/vnd.ms-office.activeX+xml"/>
  <Override PartName="/xl/activeX/activeX505.bin" ContentType="application/vnd.ms-office.activeX"/>
  <Override PartName="/xl/activeX/activeX506.xml" ContentType="application/vnd.ms-office.activeX+xml"/>
  <Override PartName="/xl/activeX/activeX506.bin" ContentType="application/vnd.ms-office.activeX"/>
  <Override PartName="/xl/activeX/activeX507.xml" ContentType="application/vnd.ms-office.activeX+xml"/>
  <Override PartName="/xl/activeX/activeX507.bin" ContentType="application/vnd.ms-office.activeX"/>
  <Override PartName="/xl/activeX/activeX508.xml" ContentType="application/vnd.ms-office.activeX+xml"/>
  <Override PartName="/xl/activeX/activeX508.bin" ContentType="application/vnd.ms-office.activeX"/>
  <Override PartName="/xl/activeX/activeX509.xml" ContentType="application/vnd.ms-office.activeX+xml"/>
  <Override PartName="/xl/activeX/activeX509.bin" ContentType="application/vnd.ms-office.activeX"/>
  <Override PartName="/xl/activeX/activeX510.xml" ContentType="application/vnd.ms-office.activeX+xml"/>
  <Override PartName="/xl/activeX/activeX510.bin" ContentType="application/vnd.ms-office.activeX"/>
  <Override PartName="/xl/activeX/activeX511.xml" ContentType="application/vnd.ms-office.activeX+xml"/>
  <Override PartName="/xl/activeX/activeX511.bin" ContentType="application/vnd.ms-office.activeX"/>
  <Override PartName="/xl/activeX/activeX512.xml" ContentType="application/vnd.ms-office.activeX+xml"/>
  <Override PartName="/xl/activeX/activeX512.bin" ContentType="application/vnd.ms-office.activeX"/>
  <Override PartName="/xl/activeX/activeX513.xml" ContentType="application/vnd.ms-office.activeX+xml"/>
  <Override PartName="/xl/activeX/activeX513.bin" ContentType="application/vnd.ms-office.activeX"/>
  <Override PartName="/xl/activeX/activeX514.xml" ContentType="application/vnd.ms-office.activeX+xml"/>
  <Override PartName="/xl/activeX/activeX514.bin" ContentType="application/vnd.ms-office.activeX"/>
  <Override PartName="/xl/activeX/activeX515.xml" ContentType="application/vnd.ms-office.activeX+xml"/>
  <Override PartName="/xl/activeX/activeX515.bin" ContentType="application/vnd.ms-office.activeX"/>
  <Override PartName="/xl/activeX/activeX516.xml" ContentType="application/vnd.ms-office.activeX+xml"/>
  <Override PartName="/xl/activeX/activeX516.bin" ContentType="application/vnd.ms-office.activeX"/>
  <Override PartName="/xl/activeX/activeX517.xml" ContentType="application/vnd.ms-office.activeX+xml"/>
  <Override PartName="/xl/activeX/activeX517.bin" ContentType="application/vnd.ms-office.activeX"/>
  <Override PartName="/xl/activeX/activeX518.xml" ContentType="application/vnd.ms-office.activeX+xml"/>
  <Override PartName="/xl/activeX/activeX518.bin" ContentType="application/vnd.ms-office.activeX"/>
  <Override PartName="/xl/activeX/activeX519.xml" ContentType="application/vnd.ms-office.activeX+xml"/>
  <Override PartName="/xl/activeX/activeX519.bin" ContentType="application/vnd.ms-office.activeX"/>
  <Override PartName="/xl/activeX/activeX520.xml" ContentType="application/vnd.ms-office.activeX+xml"/>
  <Override PartName="/xl/activeX/activeX520.bin" ContentType="application/vnd.ms-office.activeX"/>
  <Override PartName="/xl/activeX/activeX521.xml" ContentType="application/vnd.ms-office.activeX+xml"/>
  <Override PartName="/xl/activeX/activeX521.bin" ContentType="application/vnd.ms-office.activeX"/>
  <Override PartName="/xl/activeX/activeX522.xml" ContentType="application/vnd.ms-office.activeX+xml"/>
  <Override PartName="/xl/activeX/activeX522.bin" ContentType="application/vnd.ms-office.activeX"/>
  <Override PartName="/xl/activeX/activeX523.xml" ContentType="application/vnd.ms-office.activeX+xml"/>
  <Override PartName="/xl/activeX/activeX523.bin" ContentType="application/vnd.ms-office.activeX"/>
  <Override PartName="/xl/activeX/activeX524.xml" ContentType="application/vnd.ms-office.activeX+xml"/>
  <Override PartName="/xl/activeX/activeX524.bin" ContentType="application/vnd.ms-office.activeX"/>
  <Override PartName="/xl/activeX/activeX525.xml" ContentType="application/vnd.ms-office.activeX+xml"/>
  <Override PartName="/xl/activeX/activeX525.bin" ContentType="application/vnd.ms-office.activeX"/>
  <Override PartName="/xl/activeX/activeX526.xml" ContentType="application/vnd.ms-office.activeX+xml"/>
  <Override PartName="/xl/activeX/activeX526.bin" ContentType="application/vnd.ms-office.activeX"/>
  <Override PartName="/xl/activeX/activeX527.xml" ContentType="application/vnd.ms-office.activeX+xml"/>
  <Override PartName="/xl/activeX/activeX527.bin" ContentType="application/vnd.ms-office.activeX"/>
  <Override PartName="/xl/activeX/activeX528.xml" ContentType="application/vnd.ms-office.activeX+xml"/>
  <Override PartName="/xl/activeX/activeX528.bin" ContentType="application/vnd.ms-office.activeX"/>
  <Override PartName="/xl/activeX/activeX529.xml" ContentType="application/vnd.ms-office.activeX+xml"/>
  <Override PartName="/xl/activeX/activeX529.bin" ContentType="application/vnd.ms-office.activeX"/>
  <Override PartName="/xl/activeX/activeX530.xml" ContentType="application/vnd.ms-office.activeX+xml"/>
  <Override PartName="/xl/activeX/activeX530.bin" ContentType="application/vnd.ms-office.activeX"/>
  <Override PartName="/xl/activeX/activeX531.xml" ContentType="application/vnd.ms-office.activeX+xml"/>
  <Override PartName="/xl/activeX/activeX531.bin" ContentType="application/vnd.ms-office.activeX"/>
  <Override PartName="/xl/activeX/activeX532.xml" ContentType="application/vnd.ms-office.activeX+xml"/>
  <Override PartName="/xl/activeX/activeX532.bin" ContentType="application/vnd.ms-office.activeX"/>
  <Override PartName="/xl/activeX/activeX533.xml" ContentType="application/vnd.ms-office.activeX+xml"/>
  <Override PartName="/xl/activeX/activeX533.bin" ContentType="application/vnd.ms-office.activeX"/>
  <Override PartName="/xl/activeX/activeX534.xml" ContentType="application/vnd.ms-office.activeX+xml"/>
  <Override PartName="/xl/activeX/activeX534.bin" ContentType="application/vnd.ms-office.activeX"/>
  <Override PartName="/xl/activeX/activeX535.xml" ContentType="application/vnd.ms-office.activeX+xml"/>
  <Override PartName="/xl/activeX/activeX535.bin" ContentType="application/vnd.ms-office.activeX"/>
  <Override PartName="/xl/activeX/activeX536.xml" ContentType="application/vnd.ms-office.activeX+xml"/>
  <Override PartName="/xl/activeX/activeX536.bin" ContentType="application/vnd.ms-office.activeX"/>
  <Override PartName="/xl/activeX/activeX537.xml" ContentType="application/vnd.ms-office.activeX+xml"/>
  <Override PartName="/xl/activeX/activeX537.bin" ContentType="application/vnd.ms-office.activeX"/>
  <Override PartName="/xl/activeX/activeX538.xml" ContentType="application/vnd.ms-office.activeX+xml"/>
  <Override PartName="/xl/activeX/activeX538.bin" ContentType="application/vnd.ms-office.activeX"/>
  <Override PartName="/xl/activeX/activeX539.xml" ContentType="application/vnd.ms-office.activeX+xml"/>
  <Override PartName="/xl/activeX/activeX539.bin" ContentType="application/vnd.ms-office.activeX"/>
  <Override PartName="/xl/activeX/activeX540.xml" ContentType="application/vnd.ms-office.activeX+xml"/>
  <Override PartName="/xl/activeX/activeX540.bin" ContentType="application/vnd.ms-office.activeX"/>
  <Override PartName="/xl/activeX/activeX541.xml" ContentType="application/vnd.ms-office.activeX+xml"/>
  <Override PartName="/xl/activeX/activeX541.bin" ContentType="application/vnd.ms-office.activeX"/>
  <Override PartName="/xl/activeX/activeX542.xml" ContentType="application/vnd.ms-office.activeX+xml"/>
  <Override PartName="/xl/activeX/activeX542.bin" ContentType="application/vnd.ms-office.activeX"/>
  <Override PartName="/xl/activeX/activeX543.xml" ContentType="application/vnd.ms-office.activeX+xml"/>
  <Override PartName="/xl/activeX/activeX543.bin" ContentType="application/vnd.ms-office.activeX"/>
  <Override PartName="/xl/activeX/activeX544.xml" ContentType="application/vnd.ms-office.activeX+xml"/>
  <Override PartName="/xl/activeX/activeX544.bin" ContentType="application/vnd.ms-office.activeX"/>
  <Override PartName="/xl/activeX/activeX545.xml" ContentType="application/vnd.ms-office.activeX+xml"/>
  <Override PartName="/xl/activeX/activeX545.bin" ContentType="application/vnd.ms-office.activeX"/>
  <Override PartName="/xl/activeX/activeX546.xml" ContentType="application/vnd.ms-office.activeX+xml"/>
  <Override PartName="/xl/activeX/activeX546.bin" ContentType="application/vnd.ms-office.activeX"/>
  <Override PartName="/xl/activeX/activeX547.xml" ContentType="application/vnd.ms-office.activeX+xml"/>
  <Override PartName="/xl/activeX/activeX547.bin" ContentType="application/vnd.ms-office.activeX"/>
  <Override PartName="/xl/activeX/activeX548.xml" ContentType="application/vnd.ms-office.activeX+xml"/>
  <Override PartName="/xl/activeX/activeX548.bin" ContentType="application/vnd.ms-office.activeX"/>
  <Override PartName="/xl/activeX/activeX549.xml" ContentType="application/vnd.ms-office.activeX+xml"/>
  <Override PartName="/xl/activeX/activeX549.bin" ContentType="application/vnd.ms-office.activeX"/>
  <Override PartName="/xl/activeX/activeX550.xml" ContentType="application/vnd.ms-office.activeX+xml"/>
  <Override PartName="/xl/activeX/activeX550.bin" ContentType="application/vnd.ms-office.activeX"/>
  <Override PartName="/xl/activeX/activeX551.xml" ContentType="application/vnd.ms-office.activeX+xml"/>
  <Override PartName="/xl/activeX/activeX551.bin" ContentType="application/vnd.ms-office.activeX"/>
  <Override PartName="/xl/activeX/activeX552.xml" ContentType="application/vnd.ms-office.activeX+xml"/>
  <Override PartName="/xl/activeX/activeX552.bin" ContentType="application/vnd.ms-office.activeX"/>
  <Override PartName="/xl/activeX/activeX553.xml" ContentType="application/vnd.ms-office.activeX+xml"/>
  <Override PartName="/xl/activeX/activeX553.bin" ContentType="application/vnd.ms-office.activeX"/>
  <Override PartName="/xl/activeX/activeX554.xml" ContentType="application/vnd.ms-office.activeX+xml"/>
  <Override PartName="/xl/activeX/activeX554.bin" ContentType="application/vnd.ms-office.activeX"/>
  <Override PartName="/xl/activeX/activeX555.xml" ContentType="application/vnd.ms-office.activeX+xml"/>
  <Override PartName="/xl/activeX/activeX555.bin" ContentType="application/vnd.ms-office.activeX"/>
  <Override PartName="/xl/activeX/activeX556.xml" ContentType="application/vnd.ms-office.activeX+xml"/>
  <Override PartName="/xl/activeX/activeX556.bin" ContentType="application/vnd.ms-office.activeX"/>
  <Override PartName="/xl/activeX/activeX557.xml" ContentType="application/vnd.ms-office.activeX+xml"/>
  <Override PartName="/xl/activeX/activeX557.bin" ContentType="application/vnd.ms-office.activeX"/>
  <Override PartName="/xl/activeX/activeX558.xml" ContentType="application/vnd.ms-office.activeX+xml"/>
  <Override PartName="/xl/activeX/activeX558.bin" ContentType="application/vnd.ms-office.activeX"/>
  <Override PartName="/xl/activeX/activeX559.xml" ContentType="application/vnd.ms-office.activeX+xml"/>
  <Override PartName="/xl/activeX/activeX559.bin" ContentType="application/vnd.ms-office.activeX"/>
  <Override PartName="/xl/activeX/activeX560.xml" ContentType="application/vnd.ms-office.activeX+xml"/>
  <Override PartName="/xl/activeX/activeX560.bin" ContentType="application/vnd.ms-office.activeX"/>
  <Override PartName="/xl/activeX/activeX561.xml" ContentType="application/vnd.ms-office.activeX+xml"/>
  <Override PartName="/xl/activeX/activeX561.bin" ContentType="application/vnd.ms-office.activeX"/>
  <Override PartName="/xl/activeX/activeX562.xml" ContentType="application/vnd.ms-office.activeX+xml"/>
  <Override PartName="/xl/activeX/activeX562.bin" ContentType="application/vnd.ms-office.activeX"/>
  <Override PartName="/xl/activeX/activeX563.xml" ContentType="application/vnd.ms-office.activeX+xml"/>
  <Override PartName="/xl/activeX/activeX563.bin" ContentType="application/vnd.ms-office.activeX"/>
  <Override PartName="/xl/activeX/activeX564.xml" ContentType="application/vnd.ms-office.activeX+xml"/>
  <Override PartName="/xl/activeX/activeX564.bin" ContentType="application/vnd.ms-office.activeX"/>
  <Override PartName="/xl/activeX/activeX565.xml" ContentType="application/vnd.ms-office.activeX+xml"/>
  <Override PartName="/xl/activeX/activeX565.bin" ContentType="application/vnd.ms-office.activeX"/>
  <Override PartName="/xl/activeX/activeX566.xml" ContentType="application/vnd.ms-office.activeX+xml"/>
  <Override PartName="/xl/activeX/activeX566.bin" ContentType="application/vnd.ms-office.activeX"/>
  <Override PartName="/xl/activeX/activeX567.xml" ContentType="application/vnd.ms-office.activeX+xml"/>
  <Override PartName="/xl/activeX/activeX567.bin" ContentType="application/vnd.ms-office.activeX"/>
  <Override PartName="/xl/activeX/activeX568.xml" ContentType="application/vnd.ms-office.activeX+xml"/>
  <Override PartName="/xl/activeX/activeX568.bin" ContentType="application/vnd.ms-office.activeX"/>
  <Override PartName="/xl/activeX/activeX569.xml" ContentType="application/vnd.ms-office.activeX+xml"/>
  <Override PartName="/xl/activeX/activeX569.bin" ContentType="application/vnd.ms-office.activeX"/>
  <Override PartName="/xl/activeX/activeX570.xml" ContentType="application/vnd.ms-office.activeX+xml"/>
  <Override PartName="/xl/activeX/activeX570.bin" ContentType="application/vnd.ms-office.activeX"/>
  <Override PartName="/xl/activeX/activeX571.xml" ContentType="application/vnd.ms-office.activeX+xml"/>
  <Override PartName="/xl/activeX/activeX571.bin" ContentType="application/vnd.ms-office.activeX"/>
  <Override PartName="/xl/activeX/activeX572.xml" ContentType="application/vnd.ms-office.activeX+xml"/>
  <Override PartName="/xl/activeX/activeX572.bin" ContentType="application/vnd.ms-office.activeX"/>
  <Override PartName="/xl/activeX/activeX573.xml" ContentType="application/vnd.ms-office.activeX+xml"/>
  <Override PartName="/xl/activeX/activeX573.bin" ContentType="application/vnd.ms-office.activeX"/>
  <Override PartName="/xl/activeX/activeX574.xml" ContentType="application/vnd.ms-office.activeX+xml"/>
  <Override PartName="/xl/activeX/activeX574.bin" ContentType="application/vnd.ms-office.activeX"/>
  <Override PartName="/xl/activeX/activeX575.xml" ContentType="application/vnd.ms-office.activeX+xml"/>
  <Override PartName="/xl/activeX/activeX575.bin" ContentType="application/vnd.ms-office.activeX"/>
  <Override PartName="/xl/activeX/activeX576.xml" ContentType="application/vnd.ms-office.activeX+xml"/>
  <Override PartName="/xl/activeX/activeX576.bin" ContentType="application/vnd.ms-office.activeX"/>
  <Override PartName="/xl/activeX/activeX577.xml" ContentType="application/vnd.ms-office.activeX+xml"/>
  <Override PartName="/xl/activeX/activeX577.bin" ContentType="application/vnd.ms-office.activeX"/>
  <Override PartName="/xl/activeX/activeX578.xml" ContentType="application/vnd.ms-office.activeX+xml"/>
  <Override PartName="/xl/activeX/activeX578.bin" ContentType="application/vnd.ms-office.activeX"/>
  <Override PartName="/xl/activeX/activeX579.xml" ContentType="application/vnd.ms-office.activeX+xml"/>
  <Override PartName="/xl/activeX/activeX579.bin" ContentType="application/vnd.ms-office.activeX"/>
  <Override PartName="/xl/activeX/activeX580.xml" ContentType="application/vnd.ms-office.activeX+xml"/>
  <Override PartName="/xl/activeX/activeX580.bin" ContentType="application/vnd.ms-office.activeX"/>
  <Override PartName="/xl/activeX/activeX581.xml" ContentType="application/vnd.ms-office.activeX+xml"/>
  <Override PartName="/xl/activeX/activeX581.bin" ContentType="application/vnd.ms-office.activeX"/>
  <Override PartName="/xl/activeX/activeX582.xml" ContentType="application/vnd.ms-office.activeX+xml"/>
  <Override PartName="/xl/activeX/activeX582.bin" ContentType="application/vnd.ms-office.activeX"/>
  <Override PartName="/xl/activeX/activeX583.xml" ContentType="application/vnd.ms-office.activeX+xml"/>
  <Override PartName="/xl/activeX/activeX583.bin" ContentType="application/vnd.ms-office.activeX"/>
  <Override PartName="/xl/activeX/activeX584.xml" ContentType="application/vnd.ms-office.activeX+xml"/>
  <Override PartName="/xl/activeX/activeX584.bin" ContentType="application/vnd.ms-office.activeX"/>
  <Override PartName="/xl/activeX/activeX585.xml" ContentType="application/vnd.ms-office.activeX+xml"/>
  <Override PartName="/xl/activeX/activeX585.bin" ContentType="application/vnd.ms-office.activeX"/>
  <Override PartName="/xl/activeX/activeX586.xml" ContentType="application/vnd.ms-office.activeX+xml"/>
  <Override PartName="/xl/activeX/activeX586.bin" ContentType="application/vnd.ms-office.activeX"/>
  <Override PartName="/xl/activeX/activeX587.xml" ContentType="application/vnd.ms-office.activeX+xml"/>
  <Override PartName="/xl/activeX/activeX587.bin" ContentType="application/vnd.ms-office.activeX"/>
  <Override PartName="/xl/activeX/activeX588.xml" ContentType="application/vnd.ms-office.activeX+xml"/>
  <Override PartName="/xl/activeX/activeX588.bin" ContentType="application/vnd.ms-office.activeX"/>
  <Override PartName="/xl/activeX/activeX589.xml" ContentType="application/vnd.ms-office.activeX+xml"/>
  <Override PartName="/xl/activeX/activeX589.bin" ContentType="application/vnd.ms-office.activeX"/>
  <Override PartName="/xl/activeX/activeX590.xml" ContentType="application/vnd.ms-office.activeX+xml"/>
  <Override PartName="/xl/activeX/activeX590.bin" ContentType="application/vnd.ms-office.activeX"/>
  <Override PartName="/xl/activeX/activeX591.xml" ContentType="application/vnd.ms-office.activeX+xml"/>
  <Override PartName="/xl/activeX/activeX591.bin" ContentType="application/vnd.ms-office.activeX"/>
  <Override PartName="/xl/activeX/activeX592.xml" ContentType="application/vnd.ms-office.activeX+xml"/>
  <Override PartName="/xl/activeX/activeX592.bin" ContentType="application/vnd.ms-office.activeX"/>
  <Override PartName="/xl/activeX/activeX593.xml" ContentType="application/vnd.ms-office.activeX+xml"/>
  <Override PartName="/xl/activeX/activeX593.bin" ContentType="application/vnd.ms-office.activeX"/>
  <Override PartName="/xl/activeX/activeX594.xml" ContentType="application/vnd.ms-office.activeX+xml"/>
  <Override PartName="/xl/activeX/activeX594.bin" ContentType="application/vnd.ms-office.activeX"/>
  <Override PartName="/xl/activeX/activeX595.xml" ContentType="application/vnd.ms-office.activeX+xml"/>
  <Override PartName="/xl/activeX/activeX595.bin" ContentType="application/vnd.ms-office.activeX"/>
  <Override PartName="/xl/activeX/activeX596.xml" ContentType="application/vnd.ms-office.activeX+xml"/>
  <Override PartName="/xl/activeX/activeX596.bin" ContentType="application/vnd.ms-office.activeX"/>
  <Override PartName="/xl/activeX/activeX597.xml" ContentType="application/vnd.ms-office.activeX+xml"/>
  <Override PartName="/xl/activeX/activeX597.bin" ContentType="application/vnd.ms-office.activeX"/>
  <Override PartName="/xl/activeX/activeX598.xml" ContentType="application/vnd.ms-office.activeX+xml"/>
  <Override PartName="/xl/activeX/activeX598.bin" ContentType="application/vnd.ms-office.activeX"/>
  <Override PartName="/xl/activeX/activeX599.xml" ContentType="application/vnd.ms-office.activeX+xml"/>
  <Override PartName="/xl/activeX/activeX599.bin" ContentType="application/vnd.ms-office.activeX"/>
  <Override PartName="/xl/activeX/activeX600.xml" ContentType="application/vnd.ms-office.activeX+xml"/>
  <Override PartName="/xl/activeX/activeX600.bin" ContentType="application/vnd.ms-office.activeX"/>
  <Override PartName="/xl/activeX/activeX601.xml" ContentType="application/vnd.ms-office.activeX+xml"/>
  <Override PartName="/xl/activeX/activeX601.bin" ContentType="application/vnd.ms-office.activeX"/>
  <Override PartName="/xl/activeX/activeX602.xml" ContentType="application/vnd.ms-office.activeX+xml"/>
  <Override PartName="/xl/activeX/activeX602.bin" ContentType="application/vnd.ms-office.activeX"/>
  <Override PartName="/xl/activeX/activeX603.xml" ContentType="application/vnd.ms-office.activeX+xml"/>
  <Override PartName="/xl/activeX/activeX603.bin" ContentType="application/vnd.ms-office.activeX"/>
  <Override PartName="/xl/activeX/activeX604.xml" ContentType="application/vnd.ms-office.activeX+xml"/>
  <Override PartName="/xl/activeX/activeX604.bin" ContentType="application/vnd.ms-office.activeX"/>
  <Override PartName="/xl/activeX/activeX605.xml" ContentType="application/vnd.ms-office.activeX+xml"/>
  <Override PartName="/xl/activeX/activeX605.bin" ContentType="application/vnd.ms-office.activeX"/>
  <Override PartName="/xl/activeX/activeX606.xml" ContentType="application/vnd.ms-office.activeX+xml"/>
  <Override PartName="/xl/activeX/activeX606.bin" ContentType="application/vnd.ms-office.activeX"/>
  <Override PartName="/xl/activeX/activeX607.xml" ContentType="application/vnd.ms-office.activeX+xml"/>
  <Override PartName="/xl/activeX/activeX607.bin" ContentType="application/vnd.ms-office.activeX"/>
  <Override PartName="/xl/activeX/activeX608.xml" ContentType="application/vnd.ms-office.activeX+xml"/>
  <Override PartName="/xl/activeX/activeX608.bin" ContentType="application/vnd.ms-office.activeX"/>
  <Override PartName="/xl/activeX/activeX609.xml" ContentType="application/vnd.ms-office.activeX+xml"/>
  <Override PartName="/xl/activeX/activeX609.bin" ContentType="application/vnd.ms-office.activeX"/>
  <Override PartName="/xl/activeX/activeX610.xml" ContentType="application/vnd.ms-office.activeX+xml"/>
  <Override PartName="/xl/activeX/activeX610.bin" ContentType="application/vnd.ms-office.activeX"/>
  <Override PartName="/xl/activeX/activeX611.xml" ContentType="application/vnd.ms-office.activeX+xml"/>
  <Override PartName="/xl/activeX/activeX611.bin" ContentType="application/vnd.ms-office.activeX"/>
  <Override PartName="/xl/activeX/activeX612.xml" ContentType="application/vnd.ms-office.activeX+xml"/>
  <Override PartName="/xl/activeX/activeX612.bin" ContentType="application/vnd.ms-office.activeX"/>
  <Override PartName="/xl/activeX/activeX613.xml" ContentType="application/vnd.ms-office.activeX+xml"/>
  <Override PartName="/xl/activeX/activeX613.bin" ContentType="application/vnd.ms-office.activeX"/>
  <Override PartName="/xl/activeX/activeX614.xml" ContentType="application/vnd.ms-office.activeX+xml"/>
  <Override PartName="/xl/activeX/activeX614.bin" ContentType="application/vnd.ms-office.activeX"/>
  <Override PartName="/xl/activeX/activeX615.xml" ContentType="application/vnd.ms-office.activeX+xml"/>
  <Override PartName="/xl/activeX/activeX615.bin" ContentType="application/vnd.ms-office.activeX"/>
  <Override PartName="/xl/activeX/activeX616.xml" ContentType="application/vnd.ms-office.activeX+xml"/>
  <Override PartName="/xl/activeX/activeX616.bin" ContentType="application/vnd.ms-office.activeX"/>
  <Override PartName="/xl/activeX/activeX617.xml" ContentType="application/vnd.ms-office.activeX+xml"/>
  <Override PartName="/xl/activeX/activeX617.bin" ContentType="application/vnd.ms-office.activeX"/>
  <Override PartName="/xl/activeX/activeX618.xml" ContentType="application/vnd.ms-office.activeX+xml"/>
  <Override PartName="/xl/activeX/activeX618.bin" ContentType="application/vnd.ms-office.activeX"/>
  <Override PartName="/xl/activeX/activeX619.xml" ContentType="application/vnd.ms-office.activeX+xml"/>
  <Override PartName="/xl/activeX/activeX619.bin" ContentType="application/vnd.ms-office.activeX"/>
  <Override PartName="/xl/activeX/activeX620.xml" ContentType="application/vnd.ms-office.activeX+xml"/>
  <Override PartName="/xl/activeX/activeX620.bin" ContentType="application/vnd.ms-office.activeX"/>
  <Override PartName="/xl/activeX/activeX621.xml" ContentType="application/vnd.ms-office.activeX+xml"/>
  <Override PartName="/xl/activeX/activeX621.bin" ContentType="application/vnd.ms-office.activeX"/>
  <Override PartName="/xl/activeX/activeX622.xml" ContentType="application/vnd.ms-office.activeX+xml"/>
  <Override PartName="/xl/activeX/activeX622.bin" ContentType="application/vnd.ms-office.activeX"/>
  <Override PartName="/xl/activeX/activeX623.xml" ContentType="application/vnd.ms-office.activeX+xml"/>
  <Override PartName="/xl/activeX/activeX623.bin" ContentType="application/vnd.ms-office.activeX"/>
  <Override PartName="/xl/activeX/activeX624.xml" ContentType="application/vnd.ms-office.activeX+xml"/>
  <Override PartName="/xl/activeX/activeX624.bin" ContentType="application/vnd.ms-office.activeX"/>
  <Override PartName="/xl/activeX/activeX625.xml" ContentType="application/vnd.ms-office.activeX+xml"/>
  <Override PartName="/xl/activeX/activeX625.bin" ContentType="application/vnd.ms-office.activeX"/>
  <Override PartName="/xl/activeX/activeX626.xml" ContentType="application/vnd.ms-office.activeX+xml"/>
  <Override PartName="/xl/activeX/activeX626.bin" ContentType="application/vnd.ms-office.activeX"/>
  <Override PartName="/xl/activeX/activeX627.xml" ContentType="application/vnd.ms-office.activeX+xml"/>
  <Override PartName="/xl/activeX/activeX627.bin" ContentType="application/vnd.ms-office.activeX"/>
  <Override PartName="/xl/activeX/activeX628.xml" ContentType="application/vnd.ms-office.activeX+xml"/>
  <Override PartName="/xl/activeX/activeX628.bin" ContentType="application/vnd.ms-office.activeX"/>
  <Override PartName="/xl/activeX/activeX629.xml" ContentType="application/vnd.ms-office.activeX+xml"/>
  <Override PartName="/xl/activeX/activeX629.bin" ContentType="application/vnd.ms-office.activeX"/>
  <Override PartName="/xl/activeX/activeX630.xml" ContentType="application/vnd.ms-office.activeX+xml"/>
  <Override PartName="/xl/activeX/activeX630.bin" ContentType="application/vnd.ms-office.activeX"/>
  <Override PartName="/xl/activeX/activeX631.xml" ContentType="application/vnd.ms-office.activeX+xml"/>
  <Override PartName="/xl/activeX/activeX631.bin" ContentType="application/vnd.ms-office.activeX"/>
  <Override PartName="/xl/activeX/activeX632.xml" ContentType="application/vnd.ms-office.activeX+xml"/>
  <Override PartName="/xl/activeX/activeX632.bin" ContentType="application/vnd.ms-office.activeX"/>
  <Override PartName="/xl/activeX/activeX633.xml" ContentType="application/vnd.ms-office.activeX+xml"/>
  <Override PartName="/xl/activeX/activeX633.bin" ContentType="application/vnd.ms-office.activeX"/>
  <Override PartName="/xl/activeX/activeX634.xml" ContentType="application/vnd.ms-office.activeX+xml"/>
  <Override PartName="/xl/activeX/activeX634.bin" ContentType="application/vnd.ms-office.activeX"/>
  <Override PartName="/xl/activeX/activeX635.xml" ContentType="application/vnd.ms-office.activeX+xml"/>
  <Override PartName="/xl/activeX/activeX635.bin" ContentType="application/vnd.ms-office.activeX"/>
  <Override PartName="/xl/activeX/activeX636.xml" ContentType="application/vnd.ms-office.activeX+xml"/>
  <Override PartName="/xl/activeX/activeX636.bin" ContentType="application/vnd.ms-office.activeX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drawings/drawing3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-3851\Downloads\"/>
    </mc:Choice>
  </mc:AlternateContent>
  <bookViews>
    <workbookView minimized="1" xWindow="945" yWindow="345" windowWidth="25065" windowHeight="15750" tabRatio="786" firstSheet="3" activeTab="3"/>
  </bookViews>
  <sheets>
    <sheet name="FWB" sheetId="3" state="hidden" r:id="rId1"/>
    <sheet name="ModusOperandi" sheetId="20" r:id="rId2"/>
    <sheet name="DG" sheetId="25" state="hidden" r:id="rId3"/>
    <sheet name="DC_Acc&amp;ULD not closed" sheetId="16" r:id="rId4"/>
    <sheet name="DC_ULD closed" sheetId="17" r:id="rId5"/>
    <sheet name="ErrorMessages" sheetId="27" r:id="rId6"/>
    <sheet name="Monitoring" sheetId="18" r:id="rId7"/>
    <sheet name="Pretest 0911" sheetId="23" state="hidden" r:id="rId8"/>
    <sheet name="Pretest1011" sheetId="24" state="hidden" r:id="rId9"/>
    <sheet name="IBS Report RH1" sheetId="11" state="hidden" r:id="rId10"/>
    <sheet name="DG List" sheetId="19" r:id="rId11"/>
    <sheet name="Outstation iCargo List" sheetId="22" r:id="rId12"/>
  </sheets>
  <definedNames>
    <definedName name="lnkViewLogs" localSheetId="0">FWB!$M$2</definedName>
  </definedNames>
  <calcPr calcId="162913"/>
  <pivotCaches>
    <pivotCache cacheId="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1734" i="16" l="1"/>
  <c r="AL1735" i="16"/>
  <c r="AL1736" i="16"/>
  <c r="AL1737" i="16"/>
  <c r="AL1738" i="16"/>
  <c r="AL1739" i="16"/>
  <c r="AL1740" i="16"/>
  <c r="AL1741" i="16"/>
  <c r="AL1742" i="16"/>
  <c r="AL1743" i="16"/>
  <c r="AL1744" i="16"/>
  <c r="AL1745" i="16"/>
  <c r="AL1746" i="16"/>
  <c r="AL1747" i="16"/>
  <c r="AL1748" i="16"/>
  <c r="AL1749" i="16"/>
  <c r="AL1750" i="16"/>
  <c r="AL1751" i="16"/>
  <c r="AL1752" i="16"/>
  <c r="AL1753" i="16"/>
  <c r="AL1754" i="16"/>
  <c r="AL1755" i="16"/>
  <c r="AL1756" i="16"/>
  <c r="AL1757" i="16"/>
  <c r="AL1758" i="16"/>
  <c r="AL1759" i="16"/>
  <c r="AL1760" i="16"/>
  <c r="AL1761" i="16"/>
  <c r="AL1762" i="16"/>
  <c r="AL1763" i="16"/>
  <c r="AL1764" i="16"/>
  <c r="AL1765" i="16"/>
  <c r="AL1766" i="16"/>
  <c r="AL1767" i="16"/>
  <c r="AL1768" i="16"/>
  <c r="AL1769" i="16"/>
  <c r="AL1770" i="16"/>
  <c r="AL1771" i="16"/>
  <c r="AL1772" i="16"/>
  <c r="AL1773" i="16"/>
  <c r="AL1774" i="16"/>
  <c r="AL1775" i="16"/>
  <c r="AL1776" i="16"/>
  <c r="AL1777" i="16"/>
  <c r="AL1778" i="16"/>
  <c r="AL1779" i="16"/>
  <c r="AL1780" i="16"/>
  <c r="AL1781" i="16"/>
  <c r="AL1782" i="16"/>
  <c r="AL1783" i="16"/>
  <c r="AL1784" i="16"/>
  <c r="AL1785" i="16"/>
  <c r="AL1786" i="16"/>
  <c r="AL1787" i="16"/>
  <c r="AL1788" i="16"/>
  <c r="AL1789" i="16"/>
  <c r="AL1790" i="16"/>
  <c r="AL1791" i="16"/>
  <c r="AL1792" i="16"/>
  <c r="AL1793" i="16"/>
  <c r="AL1794" i="16"/>
  <c r="AL1795" i="16"/>
  <c r="AL1796" i="16"/>
  <c r="AL1797" i="16"/>
  <c r="AL1798" i="16"/>
  <c r="AL1799" i="16"/>
  <c r="AL1800" i="16"/>
  <c r="AL1801" i="16"/>
  <c r="AL1802" i="16"/>
  <c r="AL1803" i="16"/>
  <c r="AL1804" i="16"/>
  <c r="AL1805" i="16"/>
  <c r="AL1806" i="16"/>
  <c r="AL1807" i="16"/>
  <c r="AL1808" i="16"/>
  <c r="AL1809" i="16"/>
  <c r="AL1810" i="16"/>
  <c r="AL1811" i="16"/>
  <c r="AL1812" i="16"/>
  <c r="AL1813" i="16"/>
  <c r="AL1814" i="16"/>
  <c r="AL1815" i="16"/>
  <c r="AL1816" i="16"/>
  <c r="AL1817" i="16"/>
  <c r="AL1818" i="16"/>
  <c r="AL1819" i="16"/>
  <c r="AL1820" i="16"/>
  <c r="AL1821" i="16"/>
  <c r="AL1822" i="16"/>
  <c r="AL1823" i="16"/>
  <c r="AL1824" i="16"/>
  <c r="AL1825" i="16"/>
  <c r="AL1826" i="16"/>
  <c r="AL1827" i="16"/>
  <c r="AL1828" i="16"/>
  <c r="AL1829" i="16"/>
  <c r="AL1830" i="16"/>
  <c r="AL1831" i="16"/>
  <c r="AL1832" i="16"/>
  <c r="AL1833" i="16"/>
  <c r="AL1834" i="16"/>
  <c r="AL1835" i="16"/>
  <c r="AL1836" i="16"/>
  <c r="AL1837" i="16"/>
  <c r="AL1838" i="16"/>
  <c r="AL1839" i="16"/>
  <c r="AL1840" i="16"/>
  <c r="AL1841" i="16"/>
  <c r="AL1842" i="16"/>
  <c r="AL1843" i="16"/>
  <c r="AL1844" i="16"/>
  <c r="AL1845" i="16"/>
  <c r="AL1846" i="16"/>
  <c r="AL1847" i="16"/>
  <c r="AL1848" i="16"/>
  <c r="AL1849" i="16"/>
  <c r="AL1850" i="16"/>
  <c r="AL1851" i="16"/>
  <c r="AL1852" i="16"/>
  <c r="AL1853" i="16"/>
  <c r="AL1854" i="16"/>
  <c r="AL1855" i="16"/>
  <c r="AL1856" i="16"/>
  <c r="AL1857" i="16"/>
  <c r="AL1858" i="16"/>
  <c r="AL1859" i="16"/>
  <c r="AL1860" i="16"/>
  <c r="AL1861" i="16"/>
  <c r="AL1862" i="16"/>
  <c r="AL1863" i="16"/>
  <c r="AL1864" i="16"/>
  <c r="AL1865" i="16"/>
  <c r="AL1866" i="16"/>
  <c r="AL1867" i="16"/>
  <c r="AL1868" i="16"/>
  <c r="AL1869" i="16"/>
  <c r="AL1870" i="16"/>
  <c r="AL1871" i="16"/>
  <c r="AL1872" i="16"/>
  <c r="AL1873" i="16"/>
  <c r="AL1874" i="16"/>
  <c r="AL1875" i="16"/>
  <c r="AL1876" i="16"/>
  <c r="AL1877" i="16"/>
  <c r="AL1878" i="16"/>
  <c r="AL1879" i="16"/>
  <c r="AL1880" i="16"/>
  <c r="AL1881" i="16"/>
  <c r="AL1882" i="16"/>
  <c r="AL1883" i="16"/>
  <c r="AL1884" i="16"/>
  <c r="AL1885" i="16"/>
  <c r="AL1886" i="16"/>
  <c r="AL1887" i="16"/>
  <c r="AL1888" i="16"/>
  <c r="AL1889" i="16"/>
  <c r="AL1890" i="16"/>
  <c r="AL1891" i="16"/>
  <c r="AL1892" i="16"/>
  <c r="AL1893" i="16"/>
  <c r="AL1894" i="16"/>
  <c r="AL1895" i="16"/>
  <c r="AL1896" i="16"/>
  <c r="AL1897" i="16"/>
  <c r="AL1898" i="16"/>
  <c r="AL1899" i="16"/>
  <c r="AL1900" i="16"/>
  <c r="AL1901" i="16"/>
  <c r="AL1902" i="16"/>
  <c r="AL1903" i="16"/>
  <c r="AL1904" i="16"/>
  <c r="AL1905" i="16"/>
  <c r="AL1906" i="16"/>
  <c r="AL1907" i="16"/>
  <c r="AL1908" i="16"/>
  <c r="AL1909" i="16"/>
  <c r="AL1910" i="16"/>
  <c r="AL1911" i="16"/>
  <c r="AL1912" i="16"/>
  <c r="AL1913" i="16"/>
  <c r="AL1914" i="16"/>
  <c r="AL1915" i="16"/>
  <c r="AL1916" i="16"/>
  <c r="AL1917" i="16"/>
  <c r="AL1918" i="16"/>
  <c r="AL1919" i="16"/>
  <c r="AL1920" i="16"/>
  <c r="AL1921" i="16"/>
  <c r="AL1922" i="16"/>
  <c r="AL1923" i="16"/>
  <c r="AL1924" i="16"/>
  <c r="AL1925" i="16"/>
  <c r="AL1926" i="16"/>
  <c r="AL1927" i="16"/>
  <c r="AL1928" i="16"/>
  <c r="AL1929" i="16"/>
  <c r="AL1930" i="16"/>
  <c r="AL1931" i="16"/>
  <c r="AL1932" i="16"/>
  <c r="AL1933" i="16"/>
  <c r="AL1934" i="16"/>
  <c r="AL1935" i="16"/>
  <c r="AL1936" i="16"/>
  <c r="AL1937" i="16"/>
  <c r="AL1938" i="16"/>
  <c r="AL1939" i="16"/>
  <c r="AL1940" i="16"/>
  <c r="AL1941" i="16"/>
  <c r="AL1942" i="16"/>
  <c r="AL1943" i="16"/>
  <c r="AL1944" i="16"/>
  <c r="AL1945" i="16"/>
  <c r="AL1946" i="16"/>
  <c r="AL1947" i="16"/>
  <c r="AL1948" i="16"/>
  <c r="AL1949" i="16"/>
  <c r="AL1950" i="16"/>
  <c r="AL1951" i="16"/>
  <c r="AL1952" i="16"/>
  <c r="AL1953" i="16"/>
  <c r="AL1954" i="16"/>
  <c r="AL1955" i="16"/>
  <c r="AL1956" i="16"/>
  <c r="AL1957" i="16"/>
  <c r="AL1958" i="16"/>
  <c r="AL1959" i="16"/>
  <c r="AL1960" i="16"/>
  <c r="AL1961" i="16"/>
  <c r="AM1734" i="16"/>
  <c r="AM1735" i="16"/>
  <c r="AM1736" i="16"/>
  <c r="AM1737" i="16"/>
  <c r="AM1738" i="16"/>
  <c r="AM1739" i="16"/>
  <c r="AM1740" i="16"/>
  <c r="AM1741" i="16"/>
  <c r="AM1742" i="16"/>
  <c r="AM1743" i="16"/>
  <c r="AM1744" i="16"/>
  <c r="AM1745" i="16"/>
  <c r="AM1746" i="16"/>
  <c r="AM1747" i="16"/>
  <c r="AM1748" i="16"/>
  <c r="AM1749" i="16"/>
  <c r="AM1750" i="16"/>
  <c r="AM1751" i="16"/>
  <c r="AM1752" i="16"/>
  <c r="AM1753" i="16"/>
  <c r="AM1754" i="16"/>
  <c r="AM1755" i="16"/>
  <c r="AM1756" i="16"/>
  <c r="AM1757" i="16"/>
  <c r="AM1758" i="16"/>
  <c r="AM1759" i="16"/>
  <c r="AM1760" i="16"/>
  <c r="AM1761" i="16"/>
  <c r="AM1762" i="16"/>
  <c r="AM1763" i="16"/>
  <c r="AM1764" i="16"/>
  <c r="AM1765" i="16"/>
  <c r="AM1766" i="16"/>
  <c r="AM1767" i="16"/>
  <c r="AM1768" i="16"/>
  <c r="AM1769" i="16"/>
  <c r="AM1770" i="16"/>
  <c r="AM1771" i="16"/>
  <c r="AM1772" i="16"/>
  <c r="AM1773" i="16"/>
  <c r="AM1774" i="16"/>
  <c r="AM1775" i="16"/>
  <c r="AM1776" i="16"/>
  <c r="AM1777" i="16"/>
  <c r="AM1778" i="16"/>
  <c r="AM1779" i="16"/>
  <c r="AM1780" i="16"/>
  <c r="AM1781" i="16"/>
  <c r="AM1782" i="16"/>
  <c r="AM1783" i="16"/>
  <c r="AM1784" i="16"/>
  <c r="AM1785" i="16"/>
  <c r="AM1786" i="16"/>
  <c r="AM1787" i="16"/>
  <c r="AM1788" i="16"/>
  <c r="AM1789" i="16"/>
  <c r="AM1790" i="16"/>
  <c r="AM1791" i="16"/>
  <c r="AM1792" i="16"/>
  <c r="AM1793" i="16"/>
  <c r="AR1793" i="16" s="1"/>
  <c r="AM1794" i="16"/>
  <c r="AM1795" i="16"/>
  <c r="AM1796" i="16"/>
  <c r="AM1797" i="16"/>
  <c r="AM1798" i="16"/>
  <c r="AM1799" i="16"/>
  <c r="AR1799" i="16" s="1"/>
  <c r="AM1800" i="16"/>
  <c r="AM1801" i="16"/>
  <c r="AM1802" i="16"/>
  <c r="AM1803" i="16"/>
  <c r="AM1804" i="16"/>
  <c r="AM1805" i="16"/>
  <c r="AM1806" i="16"/>
  <c r="AM1807" i="16"/>
  <c r="AM1808" i="16"/>
  <c r="AM1809" i="16"/>
  <c r="AM1810" i="16"/>
  <c r="AM1811" i="16"/>
  <c r="AM1812" i="16"/>
  <c r="AM1813" i="16"/>
  <c r="AM1814" i="16"/>
  <c r="AM1815" i="16"/>
  <c r="AM1816" i="16"/>
  <c r="AM1817" i="16"/>
  <c r="AM1818" i="16"/>
  <c r="AM1819" i="16"/>
  <c r="AM1820" i="16"/>
  <c r="AM1821" i="16"/>
  <c r="AM1822" i="16"/>
  <c r="AM1823" i="16"/>
  <c r="AM1824" i="16"/>
  <c r="AM1825" i="16"/>
  <c r="AM1826" i="16"/>
  <c r="AM1827" i="16"/>
  <c r="AM1828" i="16"/>
  <c r="AM1829" i="16"/>
  <c r="AM1830" i="16"/>
  <c r="AM1831" i="16"/>
  <c r="AM1832" i="16"/>
  <c r="AM1833" i="16"/>
  <c r="AM1834" i="16"/>
  <c r="AM1835" i="16"/>
  <c r="AM1836" i="16"/>
  <c r="AM1837" i="16"/>
  <c r="AM1838" i="16"/>
  <c r="AM1839" i="16"/>
  <c r="AM1840" i="16"/>
  <c r="AM1841" i="16"/>
  <c r="AM1842" i="16"/>
  <c r="AM1843" i="16"/>
  <c r="AM1844" i="16"/>
  <c r="AM1845" i="16"/>
  <c r="AM1846" i="16"/>
  <c r="AM1847" i="16"/>
  <c r="AM1848" i="16"/>
  <c r="AM1849" i="16"/>
  <c r="AM1850" i="16"/>
  <c r="AM1851" i="16"/>
  <c r="AM1852" i="16"/>
  <c r="AM1853" i="16"/>
  <c r="AM1854" i="16"/>
  <c r="AM1855" i="16"/>
  <c r="AM1856" i="16"/>
  <c r="AM1857" i="16"/>
  <c r="AM1858" i="16"/>
  <c r="AM1859" i="16"/>
  <c r="AM1860" i="16"/>
  <c r="AM1861" i="16"/>
  <c r="AM1862" i="16"/>
  <c r="AM1863" i="16"/>
  <c r="AM1864" i="16"/>
  <c r="AM1865" i="16"/>
  <c r="AM1866" i="16"/>
  <c r="AM1867" i="16"/>
  <c r="AM1868" i="16"/>
  <c r="AM1869" i="16"/>
  <c r="AM1870" i="16"/>
  <c r="AM1871" i="16"/>
  <c r="AM1872" i="16"/>
  <c r="AM1873" i="16"/>
  <c r="AM1874" i="16"/>
  <c r="AM1875" i="16"/>
  <c r="AM1876" i="16"/>
  <c r="AM1877" i="16"/>
  <c r="AM1878" i="16"/>
  <c r="AM1879" i="16"/>
  <c r="AM1880" i="16"/>
  <c r="AM1881" i="16"/>
  <c r="AM1882" i="16"/>
  <c r="AM1883" i="16"/>
  <c r="AM1884" i="16"/>
  <c r="AM1885" i="16"/>
  <c r="AM1886" i="16"/>
  <c r="AM1887" i="16"/>
  <c r="AM1888" i="16"/>
  <c r="AM1889" i="16"/>
  <c r="AM1890" i="16"/>
  <c r="AM1891" i="16"/>
  <c r="AM1892" i="16"/>
  <c r="AM1893" i="16"/>
  <c r="AM1894" i="16"/>
  <c r="AM1895" i="16"/>
  <c r="AM1896" i="16"/>
  <c r="AR1896" i="16" s="1"/>
  <c r="AM1897" i="16"/>
  <c r="AM1898" i="16"/>
  <c r="AM1899" i="16"/>
  <c r="AM1900" i="16"/>
  <c r="AM1901" i="16"/>
  <c r="AM1902" i="16"/>
  <c r="AM1903" i="16"/>
  <c r="AM1904" i="16"/>
  <c r="AM1905" i="16"/>
  <c r="AM1906" i="16"/>
  <c r="AM1907" i="16"/>
  <c r="AM1908" i="16"/>
  <c r="AM1909" i="16"/>
  <c r="AM1910" i="16"/>
  <c r="AM1911" i="16"/>
  <c r="AM1912" i="16"/>
  <c r="AM1913" i="16"/>
  <c r="AM1914" i="16"/>
  <c r="AM1915" i="16"/>
  <c r="AR1915" i="16" s="1"/>
  <c r="AM1916" i="16"/>
  <c r="AR1916" i="16" s="1"/>
  <c r="AM1917" i="16"/>
  <c r="AR1917" i="16" s="1"/>
  <c r="AM1918" i="16"/>
  <c r="AM1919" i="16"/>
  <c r="AM1920" i="16"/>
  <c r="AM1921" i="16"/>
  <c r="AM1922" i="16"/>
  <c r="AM1923" i="16"/>
  <c r="AM1924" i="16"/>
  <c r="AM1925" i="16"/>
  <c r="AM1926" i="16"/>
  <c r="AM1927" i="16"/>
  <c r="AM1928" i="16"/>
  <c r="AM1929" i="16"/>
  <c r="AM1930" i="16"/>
  <c r="AM1931" i="16"/>
  <c r="AM1932" i="16"/>
  <c r="AM1933" i="16"/>
  <c r="AM1934" i="16"/>
  <c r="AM1935" i="16"/>
  <c r="AM1936" i="16"/>
  <c r="AM1937" i="16"/>
  <c r="AM1938" i="16"/>
  <c r="AM1939" i="16"/>
  <c r="AM1940" i="16"/>
  <c r="AM1941" i="16"/>
  <c r="AM1942" i="16"/>
  <c r="AM1943" i="16"/>
  <c r="AM1944" i="16"/>
  <c r="AM1945" i="16"/>
  <c r="AM1946" i="16"/>
  <c r="AM1947" i="16"/>
  <c r="AM1948" i="16"/>
  <c r="AM1949" i="16"/>
  <c r="AM1950" i="16"/>
  <c r="AM1951" i="16"/>
  <c r="AM1952" i="16"/>
  <c r="AM1953" i="16"/>
  <c r="AM1954" i="16"/>
  <c r="AM1955" i="16"/>
  <c r="AM1956" i="16"/>
  <c r="AM1957" i="16"/>
  <c r="AM1958" i="16"/>
  <c r="AM1959" i="16"/>
  <c r="AM1960" i="16"/>
  <c r="AM1961" i="16"/>
  <c r="AN1734" i="16"/>
  <c r="AN1735" i="16"/>
  <c r="AN1736" i="16"/>
  <c r="AN1737" i="16"/>
  <c r="AN1738" i="16"/>
  <c r="AN1739" i="16"/>
  <c r="AN1740" i="16"/>
  <c r="AN1741" i="16"/>
  <c r="AN1742" i="16"/>
  <c r="AN1743" i="16"/>
  <c r="AN1744" i="16"/>
  <c r="AN1745" i="16"/>
  <c r="AN1746" i="16"/>
  <c r="AN1747" i="16"/>
  <c r="AN1748" i="16"/>
  <c r="AN1749" i="16"/>
  <c r="AN1750" i="16"/>
  <c r="AN1751" i="16"/>
  <c r="AN1752" i="16"/>
  <c r="AN1753" i="16"/>
  <c r="AN1754" i="16"/>
  <c r="AN1755" i="16"/>
  <c r="AN1756" i="16"/>
  <c r="AN1757" i="16"/>
  <c r="AN1758" i="16"/>
  <c r="AN1759" i="16"/>
  <c r="AN1760" i="16"/>
  <c r="AN1761" i="16"/>
  <c r="AN1762" i="16"/>
  <c r="AN1763" i="16"/>
  <c r="AN1764" i="16"/>
  <c r="AN1765" i="16"/>
  <c r="AN1766" i="16"/>
  <c r="AN1767" i="16"/>
  <c r="AN1768" i="16"/>
  <c r="AN1769" i="16"/>
  <c r="AN1770" i="16"/>
  <c r="AN1771" i="16"/>
  <c r="AN1772" i="16"/>
  <c r="AN1773" i="16"/>
  <c r="AN1774" i="16"/>
  <c r="AN1775" i="16"/>
  <c r="AN1776" i="16"/>
  <c r="AN1777" i="16"/>
  <c r="AN1778" i="16"/>
  <c r="AN1779" i="16"/>
  <c r="AN1780" i="16"/>
  <c r="AN1781" i="16"/>
  <c r="AN1782" i="16"/>
  <c r="AN1783" i="16"/>
  <c r="AN1784" i="16"/>
  <c r="AN1785" i="16"/>
  <c r="AN1786" i="16"/>
  <c r="AN1787" i="16"/>
  <c r="AN1788" i="16"/>
  <c r="AN1789" i="16"/>
  <c r="AN1790" i="16"/>
  <c r="AN1791" i="16"/>
  <c r="AN1792" i="16"/>
  <c r="AN1793" i="16"/>
  <c r="AN1794" i="16"/>
  <c r="AN1795" i="16"/>
  <c r="AN1796" i="16"/>
  <c r="AN1797" i="16"/>
  <c r="AN1798" i="16"/>
  <c r="AN1799" i="16"/>
  <c r="AN1800" i="16"/>
  <c r="AN1801" i="16"/>
  <c r="AN1802" i="16"/>
  <c r="AN1803" i="16"/>
  <c r="AN1804" i="16"/>
  <c r="AN1805" i="16"/>
  <c r="AN1806" i="16"/>
  <c r="AN1807" i="16"/>
  <c r="AN1808" i="16"/>
  <c r="AN1809" i="16"/>
  <c r="AN1810" i="16"/>
  <c r="AN1811" i="16"/>
  <c r="AN1812" i="16"/>
  <c r="AN1813" i="16"/>
  <c r="AN1814" i="16"/>
  <c r="AN1815" i="16"/>
  <c r="AN1816" i="16"/>
  <c r="AN1817" i="16"/>
  <c r="AN1818" i="16"/>
  <c r="AN1819" i="16"/>
  <c r="AN1820" i="16"/>
  <c r="AN1821" i="16"/>
  <c r="AN1822" i="16"/>
  <c r="AN1823" i="16"/>
  <c r="AN1824" i="16"/>
  <c r="AN1825" i="16"/>
  <c r="AN1826" i="16"/>
  <c r="AN1827" i="16"/>
  <c r="AN1828" i="16"/>
  <c r="AN1829" i="16"/>
  <c r="AN1830" i="16"/>
  <c r="AN1831" i="16"/>
  <c r="AN1832" i="16"/>
  <c r="AN1833" i="16"/>
  <c r="AN1834" i="16"/>
  <c r="AN1835" i="16"/>
  <c r="AN1836" i="16"/>
  <c r="AN1837" i="16"/>
  <c r="AN1838" i="16"/>
  <c r="AN1839" i="16"/>
  <c r="AN1840" i="16"/>
  <c r="AN1841" i="16"/>
  <c r="AN1842" i="16"/>
  <c r="AN1843" i="16"/>
  <c r="AN1844" i="16"/>
  <c r="AN1845" i="16"/>
  <c r="AN1846" i="16"/>
  <c r="AN1847" i="16"/>
  <c r="AN1848" i="16"/>
  <c r="AN1849" i="16"/>
  <c r="AN1850" i="16"/>
  <c r="AN1851" i="16"/>
  <c r="AN1852" i="16"/>
  <c r="AN1853" i="16"/>
  <c r="AN1854" i="16"/>
  <c r="AN1855" i="16"/>
  <c r="AN1856" i="16"/>
  <c r="AN1857" i="16"/>
  <c r="AN1858" i="16"/>
  <c r="AN1859" i="16"/>
  <c r="AN1860" i="16"/>
  <c r="AN1861" i="16"/>
  <c r="AN1862" i="16"/>
  <c r="AN1863" i="16"/>
  <c r="AN1864" i="16"/>
  <c r="AN1865" i="16"/>
  <c r="AN1866" i="16"/>
  <c r="AN1867" i="16"/>
  <c r="AN1868" i="16"/>
  <c r="AN1869" i="16"/>
  <c r="AN1870" i="16"/>
  <c r="AN1871" i="16"/>
  <c r="AN1872" i="16"/>
  <c r="AN1873" i="16"/>
  <c r="AN1874" i="16"/>
  <c r="AN1875" i="16"/>
  <c r="AN1876" i="16"/>
  <c r="AN1877" i="16"/>
  <c r="AN1878" i="16"/>
  <c r="AN1879" i="16"/>
  <c r="AN1880" i="16"/>
  <c r="AN1881" i="16"/>
  <c r="AN1882" i="16"/>
  <c r="AN1883" i="16"/>
  <c r="AN1884" i="16"/>
  <c r="AN1885" i="16"/>
  <c r="AN1886" i="16"/>
  <c r="AN1887" i="16"/>
  <c r="AN1888" i="16"/>
  <c r="AN1889" i="16"/>
  <c r="AN1890" i="16"/>
  <c r="AN1891" i="16"/>
  <c r="AN1892" i="16"/>
  <c r="AN1893" i="16"/>
  <c r="AN1894" i="16"/>
  <c r="AN1895" i="16"/>
  <c r="AN1896" i="16"/>
  <c r="AN1897" i="16"/>
  <c r="AN1898" i="16"/>
  <c r="AN1899" i="16"/>
  <c r="AN1900" i="16"/>
  <c r="AN1901" i="16"/>
  <c r="AN1902" i="16"/>
  <c r="AN1903" i="16"/>
  <c r="AN1904" i="16"/>
  <c r="AN1905" i="16"/>
  <c r="AN1906" i="16"/>
  <c r="AN1907" i="16"/>
  <c r="AN1908" i="16"/>
  <c r="AN1909" i="16"/>
  <c r="AN1910" i="16"/>
  <c r="AN1911" i="16"/>
  <c r="AN1912" i="16"/>
  <c r="AN1913" i="16"/>
  <c r="AN1914" i="16"/>
  <c r="AN1915" i="16"/>
  <c r="AN1916" i="16"/>
  <c r="AN1917" i="16"/>
  <c r="AN1918" i="16"/>
  <c r="AN1919" i="16"/>
  <c r="AN1920" i="16"/>
  <c r="AN1921" i="16"/>
  <c r="AN1922" i="16"/>
  <c r="AN1923" i="16"/>
  <c r="AN1924" i="16"/>
  <c r="AN1925" i="16"/>
  <c r="AN1926" i="16"/>
  <c r="AN1927" i="16"/>
  <c r="AN1928" i="16"/>
  <c r="AN1929" i="16"/>
  <c r="AN1930" i="16"/>
  <c r="AN1931" i="16"/>
  <c r="AN1932" i="16"/>
  <c r="AN1933" i="16"/>
  <c r="AN1934" i="16"/>
  <c r="AN1935" i="16"/>
  <c r="AN1936" i="16"/>
  <c r="AN1937" i="16"/>
  <c r="AN1938" i="16"/>
  <c r="AN1939" i="16"/>
  <c r="AN1940" i="16"/>
  <c r="AN1941" i="16"/>
  <c r="AN1942" i="16"/>
  <c r="AN1943" i="16"/>
  <c r="AN1944" i="16"/>
  <c r="AN1945" i="16"/>
  <c r="AN1946" i="16"/>
  <c r="AN1947" i="16"/>
  <c r="AN1948" i="16"/>
  <c r="AN1949" i="16"/>
  <c r="AN1950" i="16"/>
  <c r="AN1951" i="16"/>
  <c r="AN1952" i="16"/>
  <c r="AN1953" i="16"/>
  <c r="AN1954" i="16"/>
  <c r="AN1955" i="16"/>
  <c r="AN1956" i="16"/>
  <c r="AN1957" i="16"/>
  <c r="AN1958" i="16"/>
  <c r="AN1959" i="16"/>
  <c r="AN1960" i="16"/>
  <c r="AN1961" i="16"/>
  <c r="AO1734" i="16"/>
  <c r="AO1735" i="16"/>
  <c r="AO1736" i="16"/>
  <c r="AO1737" i="16"/>
  <c r="AO1738" i="16"/>
  <c r="AO1739" i="16"/>
  <c r="AO1740" i="16"/>
  <c r="AO1741" i="16"/>
  <c r="AO1742" i="16"/>
  <c r="AO1743" i="16"/>
  <c r="AO1744" i="16"/>
  <c r="AO1745" i="16"/>
  <c r="AO1746" i="16"/>
  <c r="AO1747" i="16"/>
  <c r="AO1748" i="16"/>
  <c r="AO1749" i="16"/>
  <c r="AO1750" i="16"/>
  <c r="AO1751" i="16"/>
  <c r="AO1752" i="16"/>
  <c r="AO1753" i="16"/>
  <c r="AO1754" i="16"/>
  <c r="AO1755" i="16"/>
  <c r="AO1756" i="16"/>
  <c r="AO1757" i="16"/>
  <c r="AO1758" i="16"/>
  <c r="AO1759" i="16"/>
  <c r="AO1760" i="16"/>
  <c r="AO1761" i="16"/>
  <c r="AO1762" i="16"/>
  <c r="AO1763" i="16"/>
  <c r="AO1764" i="16"/>
  <c r="AO1765" i="16"/>
  <c r="AO1766" i="16"/>
  <c r="AO1767" i="16"/>
  <c r="AO1768" i="16"/>
  <c r="AO1769" i="16"/>
  <c r="AO1770" i="16"/>
  <c r="AO1771" i="16"/>
  <c r="AO1772" i="16"/>
  <c r="AO1773" i="16"/>
  <c r="AO1774" i="16"/>
  <c r="AO1775" i="16"/>
  <c r="AO1776" i="16"/>
  <c r="AO1777" i="16"/>
  <c r="AO1778" i="16"/>
  <c r="AO1779" i="16"/>
  <c r="AO1780" i="16"/>
  <c r="AO1781" i="16"/>
  <c r="AO1782" i="16"/>
  <c r="AO1783" i="16"/>
  <c r="AO1784" i="16"/>
  <c r="AO1785" i="16"/>
  <c r="AO1786" i="16"/>
  <c r="AO1787" i="16"/>
  <c r="AO1788" i="16"/>
  <c r="AO1789" i="16"/>
  <c r="AO1790" i="16"/>
  <c r="AO1791" i="16"/>
  <c r="AO1792" i="16"/>
  <c r="AO1793" i="16"/>
  <c r="AO1794" i="16"/>
  <c r="AO1795" i="16"/>
  <c r="AO1796" i="16"/>
  <c r="AO1797" i="16"/>
  <c r="AO1798" i="16"/>
  <c r="AO1799" i="16"/>
  <c r="AO1800" i="16"/>
  <c r="AO1801" i="16"/>
  <c r="AO1802" i="16"/>
  <c r="AO1803" i="16"/>
  <c r="AO1804" i="16"/>
  <c r="AO1805" i="16"/>
  <c r="AO1806" i="16"/>
  <c r="AO1807" i="16"/>
  <c r="AO1808" i="16"/>
  <c r="AO1809" i="16"/>
  <c r="AO1810" i="16"/>
  <c r="AO1811" i="16"/>
  <c r="AO1812" i="16"/>
  <c r="AO1813" i="16"/>
  <c r="AO1814" i="16"/>
  <c r="AO1815" i="16"/>
  <c r="AO1816" i="16"/>
  <c r="AO1817" i="16"/>
  <c r="AO1818" i="16"/>
  <c r="AO1819" i="16"/>
  <c r="AO1820" i="16"/>
  <c r="AO1821" i="16"/>
  <c r="AO1822" i="16"/>
  <c r="AO1823" i="16"/>
  <c r="AO1824" i="16"/>
  <c r="AO1825" i="16"/>
  <c r="AO1826" i="16"/>
  <c r="AO1827" i="16"/>
  <c r="AO1828" i="16"/>
  <c r="AO1829" i="16"/>
  <c r="AO1830" i="16"/>
  <c r="AO1831" i="16"/>
  <c r="AO1832" i="16"/>
  <c r="AO1833" i="16"/>
  <c r="AO1834" i="16"/>
  <c r="AO1835" i="16"/>
  <c r="AO1836" i="16"/>
  <c r="AO1837" i="16"/>
  <c r="AO1838" i="16"/>
  <c r="AO1839" i="16"/>
  <c r="AO1840" i="16"/>
  <c r="AO1841" i="16"/>
  <c r="AO1842" i="16"/>
  <c r="AO1843" i="16"/>
  <c r="AO1844" i="16"/>
  <c r="AO1845" i="16"/>
  <c r="AO1846" i="16"/>
  <c r="AO1847" i="16"/>
  <c r="AO1848" i="16"/>
  <c r="AO1849" i="16"/>
  <c r="AO1850" i="16"/>
  <c r="AO1851" i="16"/>
  <c r="AO1852" i="16"/>
  <c r="AO1853" i="16"/>
  <c r="AO1854" i="16"/>
  <c r="AO1855" i="16"/>
  <c r="AO1856" i="16"/>
  <c r="AO1857" i="16"/>
  <c r="AO1858" i="16"/>
  <c r="AO1859" i="16"/>
  <c r="AO1860" i="16"/>
  <c r="AO1861" i="16"/>
  <c r="AO1862" i="16"/>
  <c r="AO1863" i="16"/>
  <c r="AO1864" i="16"/>
  <c r="AO1865" i="16"/>
  <c r="AO1866" i="16"/>
  <c r="AO1867" i="16"/>
  <c r="AO1868" i="16"/>
  <c r="AO1869" i="16"/>
  <c r="AO1870" i="16"/>
  <c r="AO1871" i="16"/>
  <c r="AO1872" i="16"/>
  <c r="AO1873" i="16"/>
  <c r="AO1874" i="16"/>
  <c r="AO1875" i="16"/>
  <c r="AO1876" i="16"/>
  <c r="AO1877" i="16"/>
  <c r="AO1878" i="16"/>
  <c r="AO1879" i="16"/>
  <c r="AO1880" i="16"/>
  <c r="AO1881" i="16"/>
  <c r="AO1882" i="16"/>
  <c r="AO1883" i="16"/>
  <c r="AO1884" i="16"/>
  <c r="AO1885" i="16"/>
  <c r="AO1886" i="16"/>
  <c r="AO1887" i="16"/>
  <c r="AO1888" i="16"/>
  <c r="AO1889" i="16"/>
  <c r="AO1890" i="16"/>
  <c r="AO1891" i="16"/>
  <c r="AO1892" i="16"/>
  <c r="AO1893" i="16"/>
  <c r="AO1894" i="16"/>
  <c r="AO1895" i="16"/>
  <c r="AO1896" i="16"/>
  <c r="AO1897" i="16"/>
  <c r="AO1898" i="16"/>
  <c r="AO1899" i="16"/>
  <c r="AO1900" i="16"/>
  <c r="AO1901" i="16"/>
  <c r="AO1902" i="16"/>
  <c r="AO1903" i="16"/>
  <c r="AO1904" i="16"/>
  <c r="AO1905" i="16"/>
  <c r="AO1906" i="16"/>
  <c r="AO1907" i="16"/>
  <c r="AO1908" i="16"/>
  <c r="AO1909" i="16"/>
  <c r="AO1910" i="16"/>
  <c r="AO1911" i="16"/>
  <c r="AO1912" i="16"/>
  <c r="AO1913" i="16"/>
  <c r="AO1914" i="16"/>
  <c r="AO1915" i="16"/>
  <c r="AO1916" i="16"/>
  <c r="AO1917" i="16"/>
  <c r="AO1918" i="16"/>
  <c r="AO1919" i="16"/>
  <c r="AO1920" i="16"/>
  <c r="AO1921" i="16"/>
  <c r="AO1922" i="16"/>
  <c r="AO1923" i="16"/>
  <c r="AO1924" i="16"/>
  <c r="AO1925" i="16"/>
  <c r="AO1926" i="16"/>
  <c r="AO1927" i="16"/>
  <c r="AO1928" i="16"/>
  <c r="AO1929" i="16"/>
  <c r="AO1930" i="16"/>
  <c r="AO1931" i="16"/>
  <c r="AO1932" i="16"/>
  <c r="AO1933" i="16"/>
  <c r="AO1934" i="16"/>
  <c r="AO1935" i="16"/>
  <c r="AO1936" i="16"/>
  <c r="AO1937" i="16"/>
  <c r="AO1938" i="16"/>
  <c r="AO1939" i="16"/>
  <c r="AO1940" i="16"/>
  <c r="AO1941" i="16"/>
  <c r="AO1942" i="16"/>
  <c r="AO1943" i="16"/>
  <c r="AO1944" i="16"/>
  <c r="AO1945" i="16"/>
  <c r="AO1946" i="16"/>
  <c r="AO1947" i="16"/>
  <c r="AO1948" i="16"/>
  <c r="AO1949" i="16"/>
  <c r="AO1950" i="16"/>
  <c r="AO1951" i="16"/>
  <c r="AO1952" i="16"/>
  <c r="AO1953" i="16"/>
  <c r="AO1954" i="16"/>
  <c r="AO1955" i="16"/>
  <c r="AO1956" i="16"/>
  <c r="AO1957" i="16"/>
  <c r="AO1958" i="16"/>
  <c r="AO1959" i="16"/>
  <c r="AO1960" i="16"/>
  <c r="AO1961" i="16"/>
  <c r="AP1734" i="16"/>
  <c r="AP1735" i="16"/>
  <c r="AP1736" i="16"/>
  <c r="AP1737" i="16"/>
  <c r="AP1738" i="16"/>
  <c r="AP1739" i="16"/>
  <c r="AP1740" i="16"/>
  <c r="AP1741" i="16"/>
  <c r="AP1742" i="16"/>
  <c r="AP1743" i="16"/>
  <c r="AP1744" i="16"/>
  <c r="AP1745" i="16"/>
  <c r="AP1746" i="16"/>
  <c r="AP1747" i="16"/>
  <c r="AP1748" i="16"/>
  <c r="AP1749" i="16"/>
  <c r="AP1750" i="16"/>
  <c r="AP1751" i="16"/>
  <c r="AP1752" i="16"/>
  <c r="AP1753" i="16"/>
  <c r="AP1754" i="16"/>
  <c r="AP1755" i="16"/>
  <c r="AP1756" i="16"/>
  <c r="AP1757" i="16"/>
  <c r="AP1758" i="16"/>
  <c r="AP1759" i="16"/>
  <c r="AP1760" i="16"/>
  <c r="AP1761" i="16"/>
  <c r="AP1762" i="16"/>
  <c r="AP1763" i="16"/>
  <c r="AP1764" i="16"/>
  <c r="AP1765" i="16"/>
  <c r="AP1766" i="16"/>
  <c r="AP1767" i="16"/>
  <c r="AP1768" i="16"/>
  <c r="AP1769" i="16"/>
  <c r="AP1770" i="16"/>
  <c r="AP1771" i="16"/>
  <c r="AP1772" i="16"/>
  <c r="AP1773" i="16"/>
  <c r="AP1774" i="16"/>
  <c r="AP1775" i="16"/>
  <c r="AP1776" i="16"/>
  <c r="AP1777" i="16"/>
  <c r="AP1778" i="16"/>
  <c r="AP1779" i="16"/>
  <c r="AP1780" i="16"/>
  <c r="AP1781" i="16"/>
  <c r="AP1782" i="16"/>
  <c r="AP1783" i="16"/>
  <c r="AP1784" i="16"/>
  <c r="AP1785" i="16"/>
  <c r="AP1786" i="16"/>
  <c r="AP1787" i="16"/>
  <c r="AP1788" i="16"/>
  <c r="AP1789" i="16"/>
  <c r="AP1790" i="16"/>
  <c r="AP1791" i="16"/>
  <c r="AP1792" i="16"/>
  <c r="AP1793" i="16"/>
  <c r="AP1794" i="16"/>
  <c r="AP1795" i="16"/>
  <c r="AP1796" i="16"/>
  <c r="AP1797" i="16"/>
  <c r="AP1798" i="16"/>
  <c r="AP1799" i="16"/>
  <c r="AP1800" i="16"/>
  <c r="AP1801" i="16"/>
  <c r="AP1802" i="16"/>
  <c r="AP1803" i="16"/>
  <c r="AP1804" i="16"/>
  <c r="AP1805" i="16"/>
  <c r="AP1806" i="16"/>
  <c r="AP1807" i="16"/>
  <c r="AP1808" i="16"/>
  <c r="AP1809" i="16"/>
  <c r="AP1810" i="16"/>
  <c r="AP1811" i="16"/>
  <c r="AP1812" i="16"/>
  <c r="AP1813" i="16"/>
  <c r="AP1814" i="16"/>
  <c r="AP1815" i="16"/>
  <c r="AP1816" i="16"/>
  <c r="AP1817" i="16"/>
  <c r="AP1818" i="16"/>
  <c r="AP1819" i="16"/>
  <c r="AP1820" i="16"/>
  <c r="AP1821" i="16"/>
  <c r="AP1822" i="16"/>
  <c r="AP1823" i="16"/>
  <c r="AP1824" i="16"/>
  <c r="AP1825" i="16"/>
  <c r="AP1826" i="16"/>
  <c r="AP1827" i="16"/>
  <c r="AP1828" i="16"/>
  <c r="AP1829" i="16"/>
  <c r="AP1830" i="16"/>
  <c r="AP1831" i="16"/>
  <c r="AP1832" i="16"/>
  <c r="AP1833" i="16"/>
  <c r="AP1834" i="16"/>
  <c r="AP1835" i="16"/>
  <c r="AP1836" i="16"/>
  <c r="AP1837" i="16"/>
  <c r="AP1838" i="16"/>
  <c r="AP1839" i="16"/>
  <c r="AP1840" i="16"/>
  <c r="AP1841" i="16"/>
  <c r="AP1842" i="16"/>
  <c r="AP1843" i="16"/>
  <c r="AP1844" i="16"/>
  <c r="AP1845" i="16"/>
  <c r="AP1846" i="16"/>
  <c r="AP1847" i="16"/>
  <c r="AP1848" i="16"/>
  <c r="AP1849" i="16"/>
  <c r="AP1850" i="16"/>
  <c r="AP1851" i="16"/>
  <c r="AP1852" i="16"/>
  <c r="AP1853" i="16"/>
  <c r="AP1854" i="16"/>
  <c r="AP1855" i="16"/>
  <c r="AP1856" i="16"/>
  <c r="AP1857" i="16"/>
  <c r="AP1858" i="16"/>
  <c r="AP1859" i="16"/>
  <c r="AP1860" i="16"/>
  <c r="AP1861" i="16"/>
  <c r="AP1862" i="16"/>
  <c r="AP1863" i="16"/>
  <c r="AP1864" i="16"/>
  <c r="AP1865" i="16"/>
  <c r="AP1866" i="16"/>
  <c r="AP1867" i="16"/>
  <c r="AP1868" i="16"/>
  <c r="AP1869" i="16"/>
  <c r="AP1870" i="16"/>
  <c r="AP1871" i="16"/>
  <c r="AP1872" i="16"/>
  <c r="AP1873" i="16"/>
  <c r="AP1874" i="16"/>
  <c r="AP1875" i="16"/>
  <c r="AP1876" i="16"/>
  <c r="AP1877" i="16"/>
  <c r="AP1878" i="16"/>
  <c r="AP1879" i="16"/>
  <c r="AP1880" i="16"/>
  <c r="AP1881" i="16"/>
  <c r="AP1882" i="16"/>
  <c r="AP1883" i="16"/>
  <c r="AP1884" i="16"/>
  <c r="AP1885" i="16"/>
  <c r="AP1886" i="16"/>
  <c r="AP1887" i="16"/>
  <c r="AP1888" i="16"/>
  <c r="AP1889" i="16"/>
  <c r="AP1890" i="16"/>
  <c r="AP1891" i="16"/>
  <c r="AP1892" i="16"/>
  <c r="AP1893" i="16"/>
  <c r="AP1894" i="16"/>
  <c r="AP1895" i="16"/>
  <c r="AP1896" i="16"/>
  <c r="AP1897" i="16"/>
  <c r="AP1898" i="16"/>
  <c r="AP1899" i="16"/>
  <c r="AP1900" i="16"/>
  <c r="AP1901" i="16"/>
  <c r="AP1902" i="16"/>
  <c r="AP1903" i="16"/>
  <c r="AP1904" i="16"/>
  <c r="AP1905" i="16"/>
  <c r="AP1906" i="16"/>
  <c r="AP1907" i="16"/>
  <c r="AP1908" i="16"/>
  <c r="AP1909" i="16"/>
  <c r="AP1910" i="16"/>
  <c r="AP1911" i="16"/>
  <c r="AP1912" i="16"/>
  <c r="AP1913" i="16"/>
  <c r="AP1914" i="16"/>
  <c r="AP1915" i="16"/>
  <c r="AP1916" i="16"/>
  <c r="AP1917" i="16"/>
  <c r="AP1918" i="16"/>
  <c r="AP1919" i="16"/>
  <c r="AP1920" i="16"/>
  <c r="AP1921" i="16"/>
  <c r="AP1922" i="16"/>
  <c r="AP1923" i="16"/>
  <c r="AP1924" i="16"/>
  <c r="AP1925" i="16"/>
  <c r="AP1926" i="16"/>
  <c r="AP1927" i="16"/>
  <c r="AP1928" i="16"/>
  <c r="AP1929" i="16"/>
  <c r="AP1930" i="16"/>
  <c r="AP1931" i="16"/>
  <c r="AP1932" i="16"/>
  <c r="AP1933" i="16"/>
  <c r="AP1934" i="16"/>
  <c r="AP1935" i="16"/>
  <c r="AP1936" i="16"/>
  <c r="AP1937" i="16"/>
  <c r="AP1938" i="16"/>
  <c r="AP1939" i="16"/>
  <c r="AP1940" i="16"/>
  <c r="AP1941" i="16"/>
  <c r="AP1942" i="16"/>
  <c r="AP1943" i="16"/>
  <c r="AP1944" i="16"/>
  <c r="AP1945" i="16"/>
  <c r="AP1946" i="16"/>
  <c r="AP1947" i="16"/>
  <c r="AP1948" i="16"/>
  <c r="AP1949" i="16"/>
  <c r="AP1950" i="16"/>
  <c r="AP1951" i="16"/>
  <c r="AP1952" i="16"/>
  <c r="AP1953" i="16"/>
  <c r="AP1954" i="16"/>
  <c r="AP1955" i="16"/>
  <c r="AP1956" i="16"/>
  <c r="AP1957" i="16"/>
  <c r="AP1958" i="16"/>
  <c r="AP1959" i="16"/>
  <c r="AP1960" i="16"/>
  <c r="AP1961" i="16"/>
  <c r="AQ1734" i="16"/>
  <c r="AQ1735" i="16"/>
  <c r="AQ1736" i="16"/>
  <c r="AQ1737" i="16"/>
  <c r="AQ1738" i="16"/>
  <c r="AQ1739" i="16"/>
  <c r="AQ1740" i="16"/>
  <c r="AQ1741" i="16"/>
  <c r="AQ1742" i="16"/>
  <c r="AQ1743" i="16"/>
  <c r="AQ1744" i="16"/>
  <c r="AQ1745" i="16"/>
  <c r="AQ1746" i="16"/>
  <c r="AQ1747" i="16"/>
  <c r="AQ1748" i="16"/>
  <c r="AQ1749" i="16"/>
  <c r="AQ1750" i="16"/>
  <c r="AQ1751" i="16"/>
  <c r="AQ1752" i="16"/>
  <c r="AQ1753" i="16"/>
  <c r="AQ1754" i="16"/>
  <c r="AQ1755" i="16"/>
  <c r="AQ1756" i="16"/>
  <c r="AQ1757" i="16"/>
  <c r="AQ1758" i="16"/>
  <c r="AQ1759" i="16"/>
  <c r="AQ1760" i="16"/>
  <c r="AQ1761" i="16"/>
  <c r="AQ1762" i="16"/>
  <c r="AQ1763" i="16"/>
  <c r="AQ1764" i="16"/>
  <c r="AQ1765" i="16"/>
  <c r="AQ1766" i="16"/>
  <c r="AQ1767" i="16"/>
  <c r="AQ1768" i="16"/>
  <c r="AQ1769" i="16"/>
  <c r="AQ1770" i="16"/>
  <c r="AQ1771" i="16"/>
  <c r="AQ1772" i="16"/>
  <c r="AQ1773" i="16"/>
  <c r="AQ1774" i="16"/>
  <c r="AQ1775" i="16"/>
  <c r="AQ1776" i="16"/>
  <c r="AQ1777" i="16"/>
  <c r="AQ1778" i="16"/>
  <c r="AQ1779" i="16"/>
  <c r="AQ1780" i="16"/>
  <c r="AQ1781" i="16"/>
  <c r="AQ1782" i="16"/>
  <c r="AQ1783" i="16"/>
  <c r="AQ1784" i="16"/>
  <c r="AQ1785" i="16"/>
  <c r="AQ1786" i="16"/>
  <c r="AQ1787" i="16"/>
  <c r="AQ1788" i="16"/>
  <c r="AQ1789" i="16"/>
  <c r="AQ1790" i="16"/>
  <c r="AQ1791" i="16"/>
  <c r="AQ1792" i="16"/>
  <c r="AQ1793" i="16"/>
  <c r="AQ1794" i="16"/>
  <c r="AQ1795" i="16"/>
  <c r="AQ1796" i="16"/>
  <c r="AQ1797" i="16"/>
  <c r="AQ1798" i="16"/>
  <c r="AQ1799" i="16"/>
  <c r="AQ1800" i="16"/>
  <c r="AQ1801" i="16"/>
  <c r="AQ1802" i="16"/>
  <c r="AQ1803" i="16"/>
  <c r="AQ1804" i="16"/>
  <c r="AQ1805" i="16"/>
  <c r="AQ1806" i="16"/>
  <c r="AQ1807" i="16"/>
  <c r="AQ1808" i="16"/>
  <c r="AQ1809" i="16"/>
  <c r="AQ1810" i="16"/>
  <c r="AQ1811" i="16"/>
  <c r="AQ1812" i="16"/>
  <c r="AQ1813" i="16"/>
  <c r="AQ1814" i="16"/>
  <c r="AQ1815" i="16"/>
  <c r="AQ1816" i="16"/>
  <c r="AQ1817" i="16"/>
  <c r="AQ1818" i="16"/>
  <c r="AQ1819" i="16"/>
  <c r="AQ1820" i="16"/>
  <c r="AQ1821" i="16"/>
  <c r="AQ1822" i="16"/>
  <c r="AQ1823" i="16"/>
  <c r="AQ1824" i="16"/>
  <c r="AQ1825" i="16"/>
  <c r="AQ1826" i="16"/>
  <c r="AQ1827" i="16"/>
  <c r="AQ1828" i="16"/>
  <c r="AQ1829" i="16"/>
  <c r="AQ1830" i="16"/>
  <c r="AQ1831" i="16"/>
  <c r="AQ1832" i="16"/>
  <c r="AQ1833" i="16"/>
  <c r="AQ1834" i="16"/>
  <c r="AQ1835" i="16"/>
  <c r="AQ1836" i="16"/>
  <c r="AQ1837" i="16"/>
  <c r="AQ1838" i="16"/>
  <c r="AQ1839" i="16"/>
  <c r="AQ1840" i="16"/>
  <c r="AQ1841" i="16"/>
  <c r="AQ1842" i="16"/>
  <c r="AQ1843" i="16"/>
  <c r="AQ1844" i="16"/>
  <c r="AQ1845" i="16"/>
  <c r="AQ1846" i="16"/>
  <c r="AQ1847" i="16"/>
  <c r="AQ1848" i="16"/>
  <c r="AQ1849" i="16"/>
  <c r="AQ1850" i="16"/>
  <c r="AQ1851" i="16"/>
  <c r="AQ1852" i="16"/>
  <c r="AQ1853" i="16"/>
  <c r="AQ1854" i="16"/>
  <c r="AQ1855" i="16"/>
  <c r="AQ1856" i="16"/>
  <c r="AQ1857" i="16"/>
  <c r="AQ1858" i="16"/>
  <c r="AQ1859" i="16"/>
  <c r="AQ1860" i="16"/>
  <c r="AQ1861" i="16"/>
  <c r="AQ1862" i="16"/>
  <c r="AQ1863" i="16"/>
  <c r="AQ1864" i="16"/>
  <c r="AQ1865" i="16"/>
  <c r="AQ1866" i="16"/>
  <c r="AQ1867" i="16"/>
  <c r="AQ1868" i="16"/>
  <c r="AQ1869" i="16"/>
  <c r="AQ1870" i="16"/>
  <c r="AQ1871" i="16"/>
  <c r="AQ1872" i="16"/>
  <c r="AQ1873" i="16"/>
  <c r="AQ1874" i="16"/>
  <c r="AQ1875" i="16"/>
  <c r="AQ1876" i="16"/>
  <c r="AQ1877" i="16"/>
  <c r="AQ1878" i="16"/>
  <c r="AQ1879" i="16"/>
  <c r="AQ1880" i="16"/>
  <c r="AQ1881" i="16"/>
  <c r="AQ1882" i="16"/>
  <c r="AQ1883" i="16"/>
  <c r="AQ1884" i="16"/>
  <c r="AQ1885" i="16"/>
  <c r="AQ1886" i="16"/>
  <c r="AQ1887" i="16"/>
  <c r="AQ1888" i="16"/>
  <c r="AQ1889" i="16"/>
  <c r="AQ1890" i="16"/>
  <c r="AQ1891" i="16"/>
  <c r="AQ1892" i="16"/>
  <c r="AQ1893" i="16"/>
  <c r="AQ1894" i="16"/>
  <c r="AQ1895" i="16"/>
  <c r="AQ1896" i="16"/>
  <c r="AQ1897" i="16"/>
  <c r="AQ1898" i="16"/>
  <c r="AQ1899" i="16"/>
  <c r="AQ1900" i="16"/>
  <c r="AQ1901" i="16"/>
  <c r="AQ1902" i="16"/>
  <c r="AQ1903" i="16"/>
  <c r="AQ1904" i="16"/>
  <c r="AQ1905" i="16"/>
  <c r="AQ1906" i="16"/>
  <c r="AQ1907" i="16"/>
  <c r="AQ1908" i="16"/>
  <c r="AQ1909" i="16"/>
  <c r="AQ1910" i="16"/>
  <c r="AQ1911" i="16"/>
  <c r="AQ1912" i="16"/>
  <c r="AQ1913" i="16"/>
  <c r="AQ1914" i="16"/>
  <c r="AQ1915" i="16"/>
  <c r="AQ1916" i="16"/>
  <c r="AQ1917" i="16"/>
  <c r="AQ1918" i="16"/>
  <c r="AQ1919" i="16"/>
  <c r="AQ1920" i="16"/>
  <c r="AQ1921" i="16"/>
  <c r="AQ1922" i="16"/>
  <c r="AQ1923" i="16"/>
  <c r="AQ1924" i="16"/>
  <c r="AQ1925" i="16"/>
  <c r="AQ1926" i="16"/>
  <c r="AQ1927" i="16"/>
  <c r="AQ1928" i="16"/>
  <c r="AQ1929" i="16"/>
  <c r="AQ1930" i="16"/>
  <c r="AQ1931" i="16"/>
  <c r="AQ1932" i="16"/>
  <c r="AQ1933" i="16"/>
  <c r="AQ1934" i="16"/>
  <c r="AQ1935" i="16"/>
  <c r="AQ1936" i="16"/>
  <c r="AQ1937" i="16"/>
  <c r="AQ1938" i="16"/>
  <c r="AQ1939" i="16"/>
  <c r="AQ1940" i="16"/>
  <c r="AQ1941" i="16"/>
  <c r="AQ1942" i="16"/>
  <c r="AQ1943" i="16"/>
  <c r="AQ1944" i="16"/>
  <c r="AQ1945" i="16"/>
  <c r="AQ1946" i="16"/>
  <c r="AQ1947" i="16"/>
  <c r="AQ1948" i="16"/>
  <c r="AQ1949" i="16"/>
  <c r="AQ1950" i="16"/>
  <c r="AQ1951" i="16"/>
  <c r="AQ1952" i="16"/>
  <c r="AQ1953" i="16"/>
  <c r="AQ1954" i="16"/>
  <c r="AQ1955" i="16"/>
  <c r="AQ1956" i="16"/>
  <c r="AQ1957" i="16"/>
  <c r="AQ1958" i="16"/>
  <c r="AQ1959" i="16"/>
  <c r="AQ1960" i="16"/>
  <c r="AQ1961" i="16"/>
  <c r="AS1734" i="16"/>
  <c r="AS1735" i="16"/>
  <c r="AS1736" i="16"/>
  <c r="AS1737" i="16"/>
  <c r="AS1738" i="16"/>
  <c r="AS1739" i="16"/>
  <c r="AS1740" i="16"/>
  <c r="AS1741" i="16"/>
  <c r="AS1742" i="16"/>
  <c r="AS1743" i="16"/>
  <c r="AS1744" i="16"/>
  <c r="AS1745" i="16"/>
  <c r="AS1746" i="16"/>
  <c r="AS1747" i="16"/>
  <c r="AS1748" i="16"/>
  <c r="AS1749" i="16"/>
  <c r="AS1750" i="16"/>
  <c r="AS1751" i="16"/>
  <c r="AS1752" i="16"/>
  <c r="AS1753" i="16"/>
  <c r="AS1754" i="16"/>
  <c r="AS1755" i="16"/>
  <c r="AS1756" i="16"/>
  <c r="AS1757" i="16"/>
  <c r="AS1758" i="16"/>
  <c r="AS1759" i="16"/>
  <c r="AS1760" i="16"/>
  <c r="AS1761" i="16"/>
  <c r="AS1762" i="16"/>
  <c r="AS1763" i="16"/>
  <c r="AS1764" i="16"/>
  <c r="AS1765" i="16"/>
  <c r="AS1766" i="16"/>
  <c r="AS1767" i="16"/>
  <c r="AS1768" i="16"/>
  <c r="AS1769" i="16"/>
  <c r="AS1770" i="16"/>
  <c r="AS1771" i="16"/>
  <c r="AS1772" i="16"/>
  <c r="AS1773" i="16"/>
  <c r="AS1774" i="16"/>
  <c r="AS1775" i="16"/>
  <c r="AS1776" i="16"/>
  <c r="AS1777" i="16"/>
  <c r="AS1778" i="16"/>
  <c r="AS1779" i="16"/>
  <c r="AS1780" i="16"/>
  <c r="AS1781" i="16"/>
  <c r="AS1782" i="16"/>
  <c r="AS1783" i="16"/>
  <c r="AS1784" i="16"/>
  <c r="AS1785" i="16"/>
  <c r="AS1786" i="16"/>
  <c r="AS1787" i="16"/>
  <c r="AS1788" i="16"/>
  <c r="AS1789" i="16"/>
  <c r="AS1790" i="16"/>
  <c r="AS1791" i="16"/>
  <c r="AS1792" i="16"/>
  <c r="AS1793" i="16"/>
  <c r="AS1794" i="16"/>
  <c r="AS1795" i="16"/>
  <c r="AS1796" i="16"/>
  <c r="AS1797" i="16"/>
  <c r="AS1798" i="16"/>
  <c r="AS1799" i="16"/>
  <c r="AS1800" i="16"/>
  <c r="AS1801" i="16"/>
  <c r="AS1802" i="16"/>
  <c r="AS1803" i="16"/>
  <c r="AS1804" i="16"/>
  <c r="AS1805" i="16"/>
  <c r="AS1806" i="16"/>
  <c r="AS1807" i="16"/>
  <c r="AS1808" i="16"/>
  <c r="AS1809" i="16"/>
  <c r="AS1810" i="16"/>
  <c r="AS1811" i="16"/>
  <c r="AS1812" i="16"/>
  <c r="AS1813" i="16"/>
  <c r="AS1814" i="16"/>
  <c r="AS1815" i="16"/>
  <c r="AS1816" i="16"/>
  <c r="AS1817" i="16"/>
  <c r="AS1818" i="16"/>
  <c r="AS1819" i="16"/>
  <c r="AS1820" i="16"/>
  <c r="AS1821" i="16"/>
  <c r="AS1822" i="16"/>
  <c r="AS1823" i="16"/>
  <c r="AS1824" i="16"/>
  <c r="AS1825" i="16"/>
  <c r="AS1826" i="16"/>
  <c r="AS1827" i="16"/>
  <c r="AS1828" i="16"/>
  <c r="AS1829" i="16"/>
  <c r="AS1830" i="16"/>
  <c r="AS1831" i="16"/>
  <c r="AS1832" i="16"/>
  <c r="AS1833" i="16"/>
  <c r="AS1834" i="16"/>
  <c r="AS1835" i="16"/>
  <c r="AS1836" i="16"/>
  <c r="AS1837" i="16"/>
  <c r="AS1838" i="16"/>
  <c r="AS1839" i="16"/>
  <c r="AS1840" i="16"/>
  <c r="AS1841" i="16"/>
  <c r="AS1842" i="16"/>
  <c r="AS1843" i="16"/>
  <c r="AS1844" i="16"/>
  <c r="AS1845" i="16"/>
  <c r="AS1846" i="16"/>
  <c r="AS1847" i="16"/>
  <c r="AS1848" i="16"/>
  <c r="AS1849" i="16"/>
  <c r="AS1850" i="16"/>
  <c r="AS1851" i="16"/>
  <c r="AS1852" i="16"/>
  <c r="AS1853" i="16"/>
  <c r="AS1854" i="16"/>
  <c r="AS1855" i="16"/>
  <c r="AS1856" i="16"/>
  <c r="AS1857" i="16"/>
  <c r="AS1858" i="16"/>
  <c r="AS1859" i="16"/>
  <c r="AS1860" i="16"/>
  <c r="AS1861" i="16"/>
  <c r="AS1862" i="16"/>
  <c r="AS1863" i="16"/>
  <c r="AS1864" i="16"/>
  <c r="AS1865" i="16"/>
  <c r="AS1866" i="16"/>
  <c r="AS1867" i="16"/>
  <c r="AS1868" i="16"/>
  <c r="AS1869" i="16"/>
  <c r="AS1870" i="16"/>
  <c r="AS1871" i="16"/>
  <c r="AS1872" i="16"/>
  <c r="AS1873" i="16"/>
  <c r="AS1874" i="16"/>
  <c r="AS1875" i="16"/>
  <c r="AS1876" i="16"/>
  <c r="AS1877" i="16"/>
  <c r="AS1878" i="16"/>
  <c r="AS1879" i="16"/>
  <c r="AS1880" i="16"/>
  <c r="AS1881" i="16"/>
  <c r="AS1882" i="16"/>
  <c r="AS1883" i="16"/>
  <c r="AS1884" i="16"/>
  <c r="AS1885" i="16"/>
  <c r="AS1886" i="16"/>
  <c r="AS1887" i="16"/>
  <c r="AS1888" i="16"/>
  <c r="AS1889" i="16"/>
  <c r="AS1890" i="16"/>
  <c r="AS1891" i="16"/>
  <c r="AS1892" i="16"/>
  <c r="AS1893" i="16"/>
  <c r="AS1894" i="16"/>
  <c r="AS1895" i="16"/>
  <c r="AS1896" i="16"/>
  <c r="AS1897" i="16"/>
  <c r="AS1898" i="16"/>
  <c r="AS1899" i="16"/>
  <c r="AS1900" i="16"/>
  <c r="AS1901" i="16"/>
  <c r="AS1902" i="16"/>
  <c r="AS1903" i="16"/>
  <c r="AS1904" i="16"/>
  <c r="AS1905" i="16"/>
  <c r="AS1906" i="16"/>
  <c r="AS1907" i="16"/>
  <c r="AS1908" i="16"/>
  <c r="AS1909" i="16"/>
  <c r="AS1910" i="16"/>
  <c r="AS1911" i="16"/>
  <c r="AS1912" i="16"/>
  <c r="AS1913" i="16"/>
  <c r="AS1914" i="16"/>
  <c r="AS1915" i="16"/>
  <c r="AS1916" i="16"/>
  <c r="AS1917" i="16"/>
  <c r="AS1918" i="16"/>
  <c r="AS1919" i="16"/>
  <c r="AS1920" i="16"/>
  <c r="AS1921" i="16"/>
  <c r="AS1922" i="16"/>
  <c r="AS1923" i="16"/>
  <c r="AS1924" i="16"/>
  <c r="AS1925" i="16"/>
  <c r="AS1926" i="16"/>
  <c r="AS1927" i="16"/>
  <c r="AS1928" i="16"/>
  <c r="AS1929" i="16"/>
  <c r="AS1930" i="16"/>
  <c r="AS1931" i="16"/>
  <c r="AS1932" i="16"/>
  <c r="AS1933" i="16"/>
  <c r="AS1934" i="16"/>
  <c r="AS1935" i="16"/>
  <c r="AS1936" i="16"/>
  <c r="AS1937" i="16"/>
  <c r="AS1938" i="16"/>
  <c r="AS1939" i="16"/>
  <c r="AS1940" i="16"/>
  <c r="AS1941" i="16"/>
  <c r="AS1942" i="16"/>
  <c r="AS1943" i="16"/>
  <c r="AS1944" i="16"/>
  <c r="AS1945" i="16"/>
  <c r="AS1946" i="16"/>
  <c r="AS1947" i="16"/>
  <c r="AS1948" i="16"/>
  <c r="AS1949" i="16"/>
  <c r="AS1950" i="16"/>
  <c r="AS1951" i="16"/>
  <c r="AS1952" i="16"/>
  <c r="AS1953" i="16"/>
  <c r="AS1954" i="16"/>
  <c r="AS1955" i="16"/>
  <c r="AS1956" i="16"/>
  <c r="AS1957" i="16"/>
  <c r="AS1958" i="16"/>
  <c r="AS1959" i="16"/>
  <c r="AS1960" i="16"/>
  <c r="AS1961" i="16"/>
  <c r="AL1394" i="16"/>
  <c r="AL1395" i="16"/>
  <c r="AL1396" i="16"/>
  <c r="AL1397" i="16"/>
  <c r="AL1398" i="16"/>
  <c r="AL1399" i="16"/>
  <c r="AL1400" i="16"/>
  <c r="AL1401" i="16"/>
  <c r="AL1402" i="16"/>
  <c r="AL1403" i="16"/>
  <c r="AL1404" i="16"/>
  <c r="AL1405" i="16"/>
  <c r="AL1406" i="16"/>
  <c r="AL1407" i="16"/>
  <c r="AL1408" i="16"/>
  <c r="AL1409" i="16"/>
  <c r="AL1410" i="16"/>
  <c r="AL1411" i="16"/>
  <c r="AL1412" i="16"/>
  <c r="AL1413" i="16"/>
  <c r="AL1414" i="16"/>
  <c r="AL1415" i="16"/>
  <c r="AL1416" i="16"/>
  <c r="AL1417" i="16"/>
  <c r="AL1418" i="16"/>
  <c r="AL1419" i="16"/>
  <c r="AL1420" i="16"/>
  <c r="AL1421" i="16"/>
  <c r="AL1422" i="16"/>
  <c r="AL1423" i="16"/>
  <c r="AL1424" i="16"/>
  <c r="AL1425" i="16"/>
  <c r="AL1426" i="16"/>
  <c r="AL1427" i="16"/>
  <c r="AL1428" i="16"/>
  <c r="AL1429" i="16"/>
  <c r="AL1430" i="16"/>
  <c r="AL1431" i="16"/>
  <c r="AL1432" i="16"/>
  <c r="AL1433" i="16"/>
  <c r="AL1434" i="16"/>
  <c r="AL1435" i="16"/>
  <c r="AL1436" i="16"/>
  <c r="AL1437" i="16"/>
  <c r="AL1438" i="16"/>
  <c r="AL1439" i="16"/>
  <c r="AL1440" i="16"/>
  <c r="AL1441" i="16"/>
  <c r="AL1442" i="16"/>
  <c r="AL1443" i="16"/>
  <c r="AL1444" i="16"/>
  <c r="AL1445" i="16"/>
  <c r="AL1446" i="16"/>
  <c r="AL1447" i="16"/>
  <c r="AL1448" i="16"/>
  <c r="AL1449" i="16"/>
  <c r="AL1450" i="16"/>
  <c r="AL1451" i="16"/>
  <c r="AL1452" i="16"/>
  <c r="AL1453" i="16"/>
  <c r="AL1454" i="16"/>
  <c r="AL1455" i="16"/>
  <c r="AL1456" i="16"/>
  <c r="AL1457" i="16"/>
  <c r="AL1458" i="16"/>
  <c r="AL1459" i="16"/>
  <c r="AL1460" i="16"/>
  <c r="AL1461" i="16"/>
  <c r="AL1462" i="16"/>
  <c r="AL1463" i="16"/>
  <c r="AL1464" i="16"/>
  <c r="AL1465" i="16"/>
  <c r="AL1466" i="16"/>
  <c r="AL1467" i="16"/>
  <c r="AL1468" i="16"/>
  <c r="AL1469" i="16"/>
  <c r="AL1470" i="16"/>
  <c r="AL1471" i="16"/>
  <c r="AL1472" i="16"/>
  <c r="AL1473" i="16"/>
  <c r="AL1474" i="16"/>
  <c r="AL1475" i="16"/>
  <c r="AL1476" i="16"/>
  <c r="AL1477" i="16"/>
  <c r="AL1478" i="16"/>
  <c r="AL1479" i="16"/>
  <c r="AL1480" i="16"/>
  <c r="AL1481" i="16"/>
  <c r="AL1482" i="16"/>
  <c r="AL1483" i="16"/>
  <c r="AL1484" i="16"/>
  <c r="AL1485" i="16"/>
  <c r="AL1486" i="16"/>
  <c r="AL1487" i="16"/>
  <c r="AL1488" i="16"/>
  <c r="AL1489" i="16"/>
  <c r="AL1490" i="16"/>
  <c r="AL1491" i="16"/>
  <c r="AL1492" i="16"/>
  <c r="AL1493" i="16"/>
  <c r="AL1494" i="16"/>
  <c r="AL1495" i="16"/>
  <c r="AL1496" i="16"/>
  <c r="AL1497" i="16"/>
  <c r="AL1498" i="16"/>
  <c r="AL1499" i="16"/>
  <c r="AL1500" i="16"/>
  <c r="AL1501" i="16"/>
  <c r="AL1502" i="16"/>
  <c r="AL1503" i="16"/>
  <c r="AL1504" i="16"/>
  <c r="AL1505" i="16"/>
  <c r="AL1506" i="16"/>
  <c r="AL1507" i="16"/>
  <c r="AL1508" i="16"/>
  <c r="AL1509" i="16"/>
  <c r="AL1510" i="16"/>
  <c r="AL1511" i="16"/>
  <c r="AL1512" i="16"/>
  <c r="AL1513" i="16"/>
  <c r="AL1514" i="16"/>
  <c r="AL1515" i="16"/>
  <c r="AL1516" i="16"/>
  <c r="AL1517" i="16"/>
  <c r="AL1518" i="16"/>
  <c r="AL1519" i="16"/>
  <c r="AL1520" i="16"/>
  <c r="AL1521" i="16"/>
  <c r="AL1522" i="16"/>
  <c r="AL1523" i="16"/>
  <c r="AL1524" i="16"/>
  <c r="AL1525" i="16"/>
  <c r="AL1526" i="16"/>
  <c r="AL1527" i="16"/>
  <c r="AL1528" i="16"/>
  <c r="AL1529" i="16"/>
  <c r="AL1530" i="16"/>
  <c r="AL1531" i="16"/>
  <c r="AL1532" i="16"/>
  <c r="AL1533" i="16"/>
  <c r="AL1534" i="16"/>
  <c r="AL1535" i="16"/>
  <c r="AL1536" i="16"/>
  <c r="AL1537" i="16"/>
  <c r="AL1538" i="16"/>
  <c r="AL1539" i="16"/>
  <c r="AL1540" i="16"/>
  <c r="AL1541" i="16"/>
  <c r="AL1542" i="16"/>
  <c r="AL1543" i="16"/>
  <c r="AL1544" i="16"/>
  <c r="AL1545" i="16"/>
  <c r="AL1546" i="16"/>
  <c r="AL1547" i="16"/>
  <c r="AL1548" i="16"/>
  <c r="AL1549" i="16"/>
  <c r="AL1550" i="16"/>
  <c r="AL1551" i="16"/>
  <c r="AL1552" i="16"/>
  <c r="AL1553" i="16"/>
  <c r="AL1554" i="16"/>
  <c r="AL1555" i="16"/>
  <c r="AL1556" i="16"/>
  <c r="AL1557" i="16"/>
  <c r="AL1558" i="16"/>
  <c r="AL1559" i="16"/>
  <c r="AL1560" i="16"/>
  <c r="AL1561" i="16"/>
  <c r="AL1562" i="16"/>
  <c r="AL1563" i="16"/>
  <c r="AL1564" i="16"/>
  <c r="AL1565" i="16"/>
  <c r="AL1566" i="16"/>
  <c r="AL1567" i="16"/>
  <c r="AL1568" i="16"/>
  <c r="AL1569" i="16"/>
  <c r="AL1570" i="16"/>
  <c r="AL1571" i="16"/>
  <c r="AL1572" i="16"/>
  <c r="AL1573" i="16"/>
  <c r="AL1574" i="16"/>
  <c r="AL1575" i="16"/>
  <c r="AL1576" i="16"/>
  <c r="AL1577" i="16"/>
  <c r="AL1578" i="16"/>
  <c r="AL1579" i="16"/>
  <c r="AL1580" i="16"/>
  <c r="AL1581" i="16"/>
  <c r="AL1582" i="16"/>
  <c r="AL1583" i="16"/>
  <c r="AL1584" i="16"/>
  <c r="AL1585" i="16"/>
  <c r="AL1586" i="16"/>
  <c r="AL1587" i="16"/>
  <c r="AL1588" i="16"/>
  <c r="AL1589" i="16"/>
  <c r="AL1590" i="16"/>
  <c r="AL1591" i="16"/>
  <c r="AL1592" i="16"/>
  <c r="AL1593" i="16"/>
  <c r="AL1594" i="16"/>
  <c r="AL1595" i="16"/>
  <c r="AL1596" i="16"/>
  <c r="AL1597" i="16"/>
  <c r="AL1598" i="16"/>
  <c r="AL1599" i="16"/>
  <c r="AL1600" i="16"/>
  <c r="AL1601" i="16"/>
  <c r="AL1602" i="16"/>
  <c r="AL1603" i="16"/>
  <c r="AL1604" i="16"/>
  <c r="AL1605" i="16"/>
  <c r="AL1606" i="16"/>
  <c r="AL1607" i="16"/>
  <c r="AL1608" i="16"/>
  <c r="AL1609" i="16"/>
  <c r="AL1610" i="16"/>
  <c r="AL1611" i="16"/>
  <c r="AL1612" i="16"/>
  <c r="AL1613" i="16"/>
  <c r="AL1614" i="16"/>
  <c r="AL1615" i="16"/>
  <c r="AL1616" i="16"/>
  <c r="AL1617" i="16"/>
  <c r="AL1618" i="16"/>
  <c r="AL1619" i="16"/>
  <c r="AL1620" i="16"/>
  <c r="AL1621" i="16"/>
  <c r="AL1622" i="16"/>
  <c r="AL1623" i="16"/>
  <c r="AL1624" i="16"/>
  <c r="AL1625" i="16"/>
  <c r="AL1626" i="16"/>
  <c r="AL1627" i="16"/>
  <c r="AL1628" i="16"/>
  <c r="AL1629" i="16"/>
  <c r="AL1630" i="16"/>
  <c r="AL1631" i="16"/>
  <c r="AL1632" i="16"/>
  <c r="AL1633" i="16"/>
  <c r="AL1634" i="16"/>
  <c r="AL1635" i="16"/>
  <c r="AL1636" i="16"/>
  <c r="AL1637" i="16"/>
  <c r="AL1638" i="16"/>
  <c r="AL1639" i="16"/>
  <c r="AL1640" i="16"/>
  <c r="AL1641" i="16"/>
  <c r="AL1642" i="16"/>
  <c r="AL1643" i="16"/>
  <c r="AL1644" i="16"/>
  <c r="AL1645" i="16"/>
  <c r="AL1646" i="16"/>
  <c r="AL1647" i="16"/>
  <c r="AL1648" i="16"/>
  <c r="AL1649" i="16"/>
  <c r="AL1650" i="16"/>
  <c r="AL1651" i="16"/>
  <c r="AL1652" i="16"/>
  <c r="AL1653" i="16"/>
  <c r="AL1654" i="16"/>
  <c r="AL1655" i="16"/>
  <c r="AL1656" i="16"/>
  <c r="AL1657" i="16"/>
  <c r="AL1658" i="16"/>
  <c r="AL1659" i="16"/>
  <c r="AL1660" i="16"/>
  <c r="AL1661" i="16"/>
  <c r="AL1662" i="16"/>
  <c r="AL1663" i="16"/>
  <c r="AL1664" i="16"/>
  <c r="AL1665" i="16"/>
  <c r="AL1666" i="16"/>
  <c r="AL1667" i="16"/>
  <c r="AL1668" i="16"/>
  <c r="AL1669" i="16"/>
  <c r="AL1670" i="16"/>
  <c r="AL1671" i="16"/>
  <c r="AL1672" i="16"/>
  <c r="AL1673" i="16"/>
  <c r="AL1674" i="16"/>
  <c r="AL1675" i="16"/>
  <c r="AL1676" i="16"/>
  <c r="AL1677" i="16"/>
  <c r="AL1678" i="16"/>
  <c r="AL1679" i="16"/>
  <c r="AL1680" i="16"/>
  <c r="AL1681" i="16"/>
  <c r="AL1682" i="16"/>
  <c r="AL1683" i="16"/>
  <c r="AL1684" i="16"/>
  <c r="AL1685" i="16"/>
  <c r="AL1686" i="16"/>
  <c r="AL1687" i="16"/>
  <c r="AL1688" i="16"/>
  <c r="AL1689" i="16"/>
  <c r="AL1690" i="16"/>
  <c r="AL1691" i="16"/>
  <c r="AL1692" i="16"/>
  <c r="AL1693" i="16"/>
  <c r="AL1694" i="16"/>
  <c r="AL1695" i="16"/>
  <c r="AL1696" i="16"/>
  <c r="AL1697" i="16"/>
  <c r="AL1698" i="16"/>
  <c r="AL1699" i="16"/>
  <c r="AL1700" i="16"/>
  <c r="AL1701" i="16"/>
  <c r="AL1702" i="16"/>
  <c r="AL1703" i="16"/>
  <c r="AL1704" i="16"/>
  <c r="AL1705" i="16"/>
  <c r="AL1706" i="16"/>
  <c r="AL1707" i="16"/>
  <c r="AL1708" i="16"/>
  <c r="AL1709" i="16"/>
  <c r="AL1710" i="16"/>
  <c r="AL1711" i="16"/>
  <c r="AL1712" i="16"/>
  <c r="AL1713" i="16"/>
  <c r="AL1714" i="16"/>
  <c r="AL1715" i="16"/>
  <c r="AL1716" i="16"/>
  <c r="AL1717" i="16"/>
  <c r="AL1718" i="16"/>
  <c r="AL1719" i="16"/>
  <c r="AL1720" i="16"/>
  <c r="AL1721" i="16"/>
  <c r="AL1722" i="16"/>
  <c r="AL1723" i="16"/>
  <c r="AL1724" i="16"/>
  <c r="AL1725" i="16"/>
  <c r="AL1726" i="16"/>
  <c r="AL1727" i="16"/>
  <c r="AL1728" i="16"/>
  <c r="AL1729" i="16"/>
  <c r="AL1730" i="16"/>
  <c r="AL1731" i="16"/>
  <c r="AL1732" i="16"/>
  <c r="AL1733" i="16"/>
  <c r="AM1394" i="16"/>
  <c r="AM1395" i="16"/>
  <c r="AM1396" i="16"/>
  <c r="AM1397" i="16"/>
  <c r="AM1398" i="16"/>
  <c r="AM1399" i="16"/>
  <c r="AM1400" i="16"/>
  <c r="AM1401" i="16"/>
  <c r="AM1402" i="16"/>
  <c r="AM1403" i="16"/>
  <c r="AM1404" i="16"/>
  <c r="AM1405" i="16"/>
  <c r="AM1406" i="16"/>
  <c r="AM1407" i="16"/>
  <c r="AM1408" i="16"/>
  <c r="AM1409" i="16"/>
  <c r="AM1410" i="16"/>
  <c r="AM1411" i="16"/>
  <c r="AM1412" i="16"/>
  <c r="AM1413" i="16"/>
  <c r="AM1414" i="16"/>
  <c r="AM1415" i="16"/>
  <c r="AM1416" i="16"/>
  <c r="AM1417" i="16"/>
  <c r="AM1418" i="16"/>
  <c r="AM1419" i="16"/>
  <c r="AM1420" i="16"/>
  <c r="AM1421" i="16"/>
  <c r="AM1422" i="16"/>
  <c r="AM1423" i="16"/>
  <c r="AM1424" i="16"/>
  <c r="AM1425" i="16"/>
  <c r="AM1426" i="16"/>
  <c r="AM1427" i="16"/>
  <c r="AM1428" i="16"/>
  <c r="AM1429" i="16"/>
  <c r="AM1430" i="16"/>
  <c r="AM1431" i="16"/>
  <c r="AM1432" i="16"/>
  <c r="AM1433" i="16"/>
  <c r="AM1434" i="16"/>
  <c r="AM1435" i="16"/>
  <c r="AM1436" i="16"/>
  <c r="AM1437" i="16"/>
  <c r="AM1438" i="16"/>
  <c r="AM1439" i="16"/>
  <c r="AM1440" i="16"/>
  <c r="AM1441" i="16"/>
  <c r="AM1442" i="16"/>
  <c r="AM1443" i="16"/>
  <c r="AM1444" i="16"/>
  <c r="AM1445" i="16"/>
  <c r="AM1446" i="16"/>
  <c r="AM1447" i="16"/>
  <c r="AM1448" i="16"/>
  <c r="AM1449" i="16"/>
  <c r="AM1450" i="16"/>
  <c r="AM1451" i="16"/>
  <c r="AM1452" i="16"/>
  <c r="AM1453" i="16"/>
  <c r="AM1454" i="16"/>
  <c r="AM1455" i="16"/>
  <c r="AM1456" i="16"/>
  <c r="AM1457" i="16"/>
  <c r="AM1458" i="16"/>
  <c r="AM1459" i="16"/>
  <c r="AM1460" i="16"/>
  <c r="AM1461" i="16"/>
  <c r="AM1462" i="16"/>
  <c r="AM1463" i="16"/>
  <c r="AR1463" i="16" s="1"/>
  <c r="AM1464" i="16"/>
  <c r="AM1465" i="16"/>
  <c r="AM1466" i="16"/>
  <c r="AR1466" i="16" s="1"/>
  <c r="AM1467" i="16"/>
  <c r="AM1468" i="16"/>
  <c r="AM1469" i="16"/>
  <c r="AM1470" i="16"/>
  <c r="AM1471" i="16"/>
  <c r="AM1472" i="16"/>
  <c r="AM1473" i="16"/>
  <c r="AM1474" i="16"/>
  <c r="AM1475" i="16"/>
  <c r="AM1476" i="16"/>
  <c r="AM1477" i="16"/>
  <c r="AM1478" i="16"/>
  <c r="AM1479" i="16"/>
  <c r="AM1480" i="16"/>
  <c r="AM1481" i="16"/>
  <c r="AM1482" i="16"/>
  <c r="AM1483" i="16"/>
  <c r="AM1484" i="16"/>
  <c r="AM1485" i="16"/>
  <c r="AM1486" i="16"/>
  <c r="AR1486" i="16" s="1"/>
  <c r="AM1487" i="16"/>
  <c r="AM1488" i="16"/>
  <c r="AM1489" i="16"/>
  <c r="AM1490" i="16"/>
  <c r="AM1491" i="16"/>
  <c r="AM1492" i="16"/>
  <c r="AM1493" i="16"/>
  <c r="AM1494" i="16"/>
  <c r="AM1495" i="16"/>
  <c r="AM1496" i="16"/>
  <c r="AM1497" i="16"/>
  <c r="AM1498" i="16"/>
  <c r="AM1499" i="16"/>
  <c r="AM1500" i="16"/>
  <c r="AM1501" i="16"/>
  <c r="AM1502" i="16"/>
  <c r="AM1503" i="16"/>
  <c r="AM1504" i="16"/>
  <c r="AM1505" i="16"/>
  <c r="AM1506" i="16"/>
  <c r="AM1507" i="16"/>
  <c r="AM1508" i="16"/>
  <c r="AM1509" i="16"/>
  <c r="AM1510" i="16"/>
  <c r="AM1511" i="16"/>
  <c r="AM1512" i="16"/>
  <c r="AM1513" i="16"/>
  <c r="AM1514" i="16"/>
  <c r="AM1515" i="16"/>
  <c r="AM1516" i="16"/>
  <c r="AM1517" i="16"/>
  <c r="AM1518" i="16"/>
  <c r="AM1519" i="16"/>
  <c r="AM1520" i="16"/>
  <c r="AM1521" i="16"/>
  <c r="AM1522" i="16"/>
  <c r="AM1523" i="16"/>
  <c r="AM1524" i="16"/>
  <c r="AR1524" i="16" s="1"/>
  <c r="AM1525" i="16"/>
  <c r="AM1526" i="16"/>
  <c r="AM1527" i="16"/>
  <c r="AM1528" i="16"/>
  <c r="AM1529" i="16"/>
  <c r="AM1530" i="16"/>
  <c r="AM1531" i="16"/>
  <c r="AM1532" i="16"/>
  <c r="AM1533" i="16"/>
  <c r="AM1534" i="16"/>
  <c r="AM1535" i="16"/>
  <c r="AM1536" i="16"/>
  <c r="AM1537" i="16"/>
  <c r="AM1538" i="16"/>
  <c r="AM1539" i="16"/>
  <c r="AM1540" i="16"/>
  <c r="AM1541" i="16"/>
  <c r="AM1542" i="16"/>
  <c r="AM1543" i="16"/>
  <c r="AM1544" i="16"/>
  <c r="AM1545" i="16"/>
  <c r="AM1546" i="16"/>
  <c r="AM1547" i="16"/>
  <c r="AM1548" i="16"/>
  <c r="AM1549" i="16"/>
  <c r="AM1550" i="16"/>
  <c r="AM1551" i="16"/>
  <c r="AM1552" i="16"/>
  <c r="AM1553" i="16"/>
  <c r="AM1554" i="16"/>
  <c r="AM1555" i="16"/>
  <c r="AM1556" i="16"/>
  <c r="AM1557" i="16"/>
  <c r="AM1558" i="16"/>
  <c r="AM1559" i="16"/>
  <c r="AM1560" i="16"/>
  <c r="AM1561" i="16"/>
  <c r="AM1562" i="16"/>
  <c r="AM1563" i="16"/>
  <c r="AM1564" i="16"/>
  <c r="AM1565" i="16"/>
  <c r="AM1566" i="16"/>
  <c r="AM1567" i="16"/>
  <c r="AM1568" i="16"/>
  <c r="AM1569" i="16"/>
  <c r="AR1569" i="16" s="1"/>
  <c r="AM1570" i="16"/>
  <c r="AM1571" i="16"/>
  <c r="AM1572" i="16"/>
  <c r="AM1573" i="16"/>
  <c r="AM1574" i="16"/>
  <c r="AM1575" i="16"/>
  <c r="AM1576" i="16"/>
  <c r="AM1577" i="16"/>
  <c r="AM1578" i="16"/>
  <c r="AM1579" i="16"/>
  <c r="AM1580" i="16"/>
  <c r="AM1581" i="16"/>
  <c r="AM1582" i="16"/>
  <c r="AM1583" i="16"/>
  <c r="AM1584" i="16"/>
  <c r="AR1584" i="16" s="1"/>
  <c r="AM1585" i="16"/>
  <c r="AM1586" i="16"/>
  <c r="AM1587" i="16"/>
  <c r="AM1588" i="16"/>
  <c r="AM1589" i="16"/>
  <c r="AM1590" i="16"/>
  <c r="AM1591" i="16"/>
  <c r="AM1592" i="16"/>
  <c r="AM1593" i="16"/>
  <c r="AM1594" i="16"/>
  <c r="AM1595" i="16"/>
  <c r="AM1596" i="16"/>
  <c r="AM1597" i="16"/>
  <c r="AM1598" i="16"/>
  <c r="AM1599" i="16"/>
  <c r="AM1600" i="16"/>
  <c r="AM1601" i="16"/>
  <c r="AM1602" i="16"/>
  <c r="AM1603" i="16"/>
  <c r="AM1604" i="16"/>
  <c r="AM1605" i="16"/>
  <c r="AM1606" i="16"/>
  <c r="AM1607" i="16"/>
  <c r="AM1608" i="16"/>
  <c r="AM1609" i="16"/>
  <c r="AM1610" i="16"/>
  <c r="AM1611" i="16"/>
  <c r="AM1612" i="16"/>
  <c r="AM1613" i="16"/>
  <c r="AM1614" i="16"/>
  <c r="AM1615" i="16"/>
  <c r="AM1616" i="16"/>
  <c r="AM1617" i="16"/>
  <c r="AM1618" i="16"/>
  <c r="AM1619" i="16"/>
  <c r="AM1620" i="16"/>
  <c r="AM1621" i="16"/>
  <c r="AM1622" i="16"/>
  <c r="AM1623" i="16"/>
  <c r="AM1624" i="16"/>
  <c r="AM1625" i="16"/>
  <c r="AM1626" i="16"/>
  <c r="AM1627" i="16"/>
  <c r="AM1628" i="16"/>
  <c r="AM1629" i="16"/>
  <c r="AM1630" i="16"/>
  <c r="AM1631" i="16"/>
  <c r="AM1632" i="16"/>
  <c r="AM1633" i="16"/>
  <c r="AM1634" i="16"/>
  <c r="AM1635" i="16"/>
  <c r="AM1636" i="16"/>
  <c r="AM1637" i="16"/>
  <c r="AM1638" i="16"/>
  <c r="AM1639" i="16"/>
  <c r="AM1640" i="16"/>
  <c r="AR1640" i="16" s="1"/>
  <c r="AM1641" i="16"/>
  <c r="AR1641" i="16" s="1"/>
  <c r="AM1642" i="16"/>
  <c r="AM1643" i="16"/>
  <c r="AM1644" i="16"/>
  <c r="AM1645" i="16"/>
  <c r="AM1646" i="16"/>
  <c r="AM1647" i="16"/>
  <c r="AM1648" i="16"/>
  <c r="AM1649" i="16"/>
  <c r="AM1650" i="16"/>
  <c r="AM1651" i="16"/>
  <c r="AM1652" i="16"/>
  <c r="AM1653" i="16"/>
  <c r="AM1654" i="16"/>
  <c r="AM1655" i="16"/>
  <c r="AM1656" i="16"/>
  <c r="AM1657" i="16"/>
  <c r="AM1658" i="16"/>
  <c r="AM1659" i="16"/>
  <c r="AM1660" i="16"/>
  <c r="AM1661" i="16"/>
  <c r="AM1662" i="16"/>
  <c r="AM1663" i="16"/>
  <c r="AM1664" i="16"/>
  <c r="AM1665" i="16"/>
  <c r="AM1666" i="16"/>
  <c r="AM1667" i="16"/>
  <c r="AM1668" i="16"/>
  <c r="AM1669" i="16"/>
  <c r="AM1670" i="16"/>
  <c r="AM1671" i="16"/>
  <c r="AM1672" i="16"/>
  <c r="AM1673" i="16"/>
  <c r="AM1674" i="16"/>
  <c r="AM1675" i="16"/>
  <c r="AM1676" i="16"/>
  <c r="AM1677" i="16"/>
  <c r="AM1678" i="16"/>
  <c r="AR1678" i="16" s="1"/>
  <c r="AM1679" i="16"/>
  <c r="AM1680" i="16"/>
  <c r="AM1681" i="16"/>
  <c r="AM1682" i="16"/>
  <c r="AM1683" i="16"/>
  <c r="AM1684" i="16"/>
  <c r="AM1685" i="16"/>
  <c r="AM1686" i="16"/>
  <c r="AM1687" i="16"/>
  <c r="AM1688" i="16"/>
  <c r="AM1689" i="16"/>
  <c r="AM1690" i="16"/>
  <c r="AM1691" i="16"/>
  <c r="AM1692" i="16"/>
  <c r="AM1693" i="16"/>
  <c r="AM1694" i="16"/>
  <c r="AM1695" i="16"/>
  <c r="AM1696" i="16"/>
  <c r="AM1697" i="16"/>
  <c r="AM1698" i="16"/>
  <c r="AM1699" i="16"/>
  <c r="AM1700" i="16"/>
  <c r="AM1701" i="16"/>
  <c r="AM1702" i="16"/>
  <c r="AM1703" i="16"/>
  <c r="AM1704" i="16"/>
  <c r="AM1705" i="16"/>
  <c r="AM1706" i="16"/>
  <c r="AM1707" i="16"/>
  <c r="AM1708" i="16"/>
  <c r="AM1709" i="16"/>
  <c r="AM1710" i="16"/>
  <c r="AM1711" i="16"/>
  <c r="AM1712" i="16"/>
  <c r="AM1713" i="16"/>
  <c r="AM1714" i="16"/>
  <c r="AM1715" i="16"/>
  <c r="AM1716" i="16"/>
  <c r="AR1716" i="16" s="1"/>
  <c r="AM1717" i="16"/>
  <c r="AR1717" i="16" s="1"/>
  <c r="AM1718" i="16"/>
  <c r="AM1719" i="16"/>
  <c r="AM1720" i="16"/>
  <c r="AM1721" i="16"/>
  <c r="AM1722" i="16"/>
  <c r="AM1723" i="16"/>
  <c r="AM1724" i="16"/>
  <c r="AM1725" i="16"/>
  <c r="AM1726" i="16"/>
  <c r="AM1727" i="16"/>
  <c r="AM1728" i="16"/>
  <c r="AM1729" i="16"/>
  <c r="AM1730" i="16"/>
  <c r="AM1731" i="16"/>
  <c r="AM1732" i="16"/>
  <c r="AM1733" i="16"/>
  <c r="AN1394" i="16"/>
  <c r="AN1395" i="16"/>
  <c r="AN1396" i="16"/>
  <c r="AN1397" i="16"/>
  <c r="AN1398" i="16"/>
  <c r="AN1399" i="16"/>
  <c r="AN1400" i="16"/>
  <c r="AN1401" i="16"/>
  <c r="AN1402" i="16"/>
  <c r="AN1403" i="16"/>
  <c r="AN1404" i="16"/>
  <c r="AN1405" i="16"/>
  <c r="AN1406" i="16"/>
  <c r="AN1407" i="16"/>
  <c r="AN1408" i="16"/>
  <c r="AN1409" i="16"/>
  <c r="AN1410" i="16"/>
  <c r="AN1411" i="16"/>
  <c r="AN1412" i="16"/>
  <c r="AN1413" i="16"/>
  <c r="AN1414" i="16"/>
  <c r="AN1415" i="16"/>
  <c r="AN1416" i="16"/>
  <c r="AN1417" i="16"/>
  <c r="AN1418" i="16"/>
  <c r="AN1419" i="16"/>
  <c r="AN1420" i="16"/>
  <c r="AN1421" i="16"/>
  <c r="AN1422" i="16"/>
  <c r="AN1423" i="16"/>
  <c r="AN1424" i="16"/>
  <c r="AN1425" i="16"/>
  <c r="AN1426" i="16"/>
  <c r="AN1427" i="16"/>
  <c r="AN1428" i="16"/>
  <c r="AN1429" i="16"/>
  <c r="AN1430" i="16"/>
  <c r="AN1431" i="16"/>
  <c r="AN1432" i="16"/>
  <c r="AN1433" i="16"/>
  <c r="AN1434" i="16"/>
  <c r="AN1435" i="16"/>
  <c r="AN1436" i="16"/>
  <c r="AN1437" i="16"/>
  <c r="AN1438" i="16"/>
  <c r="AN1439" i="16"/>
  <c r="AN1440" i="16"/>
  <c r="AN1441" i="16"/>
  <c r="AN1442" i="16"/>
  <c r="AN1443" i="16"/>
  <c r="AN1444" i="16"/>
  <c r="AN1445" i="16"/>
  <c r="AN1446" i="16"/>
  <c r="AN1447" i="16"/>
  <c r="AN1448" i="16"/>
  <c r="AN1449" i="16"/>
  <c r="AN1450" i="16"/>
  <c r="AN1451" i="16"/>
  <c r="AN1452" i="16"/>
  <c r="AN1453" i="16"/>
  <c r="AN1454" i="16"/>
  <c r="AN1455" i="16"/>
  <c r="AN1456" i="16"/>
  <c r="AN1457" i="16"/>
  <c r="AN1458" i="16"/>
  <c r="AN1459" i="16"/>
  <c r="AN1460" i="16"/>
  <c r="AN1461" i="16"/>
  <c r="AN1462" i="16"/>
  <c r="AN1463" i="16"/>
  <c r="AN1464" i="16"/>
  <c r="AN1465" i="16"/>
  <c r="AN1466" i="16"/>
  <c r="AN1467" i="16"/>
  <c r="AN1468" i="16"/>
  <c r="AN1469" i="16"/>
  <c r="AN1470" i="16"/>
  <c r="AN1471" i="16"/>
  <c r="AN1472" i="16"/>
  <c r="AN1473" i="16"/>
  <c r="AN1474" i="16"/>
  <c r="AN1475" i="16"/>
  <c r="AN1476" i="16"/>
  <c r="AN1477" i="16"/>
  <c r="AN1478" i="16"/>
  <c r="AN1479" i="16"/>
  <c r="AN1480" i="16"/>
  <c r="AN1481" i="16"/>
  <c r="AN1482" i="16"/>
  <c r="AN1483" i="16"/>
  <c r="AN1484" i="16"/>
  <c r="AN1485" i="16"/>
  <c r="AN1486" i="16"/>
  <c r="AN1487" i="16"/>
  <c r="AN1488" i="16"/>
  <c r="AN1489" i="16"/>
  <c r="AN1490" i="16"/>
  <c r="AN1491" i="16"/>
  <c r="AN1492" i="16"/>
  <c r="AN1493" i="16"/>
  <c r="AN1494" i="16"/>
  <c r="AN1495" i="16"/>
  <c r="AN1496" i="16"/>
  <c r="AN1497" i="16"/>
  <c r="AN1498" i="16"/>
  <c r="AN1499" i="16"/>
  <c r="AN1500" i="16"/>
  <c r="AN1501" i="16"/>
  <c r="AN1502" i="16"/>
  <c r="AN1503" i="16"/>
  <c r="AN1504" i="16"/>
  <c r="AN1505" i="16"/>
  <c r="AN1506" i="16"/>
  <c r="AN1507" i="16"/>
  <c r="AN1508" i="16"/>
  <c r="AN1509" i="16"/>
  <c r="AN1510" i="16"/>
  <c r="AN1511" i="16"/>
  <c r="AN1512" i="16"/>
  <c r="AN1513" i="16"/>
  <c r="AN1514" i="16"/>
  <c r="AN1515" i="16"/>
  <c r="AN1516" i="16"/>
  <c r="AN1517" i="16"/>
  <c r="AN1518" i="16"/>
  <c r="AN1519" i="16"/>
  <c r="AN1520" i="16"/>
  <c r="AN1521" i="16"/>
  <c r="AN1522" i="16"/>
  <c r="AN1523" i="16"/>
  <c r="AN1524" i="16"/>
  <c r="AN1525" i="16"/>
  <c r="AN1526" i="16"/>
  <c r="AN1527" i="16"/>
  <c r="AN1528" i="16"/>
  <c r="AN1529" i="16"/>
  <c r="AN1530" i="16"/>
  <c r="AN1531" i="16"/>
  <c r="AN1532" i="16"/>
  <c r="AN1533" i="16"/>
  <c r="AN1534" i="16"/>
  <c r="AN1535" i="16"/>
  <c r="AN1536" i="16"/>
  <c r="AN1537" i="16"/>
  <c r="AN1538" i="16"/>
  <c r="AN1539" i="16"/>
  <c r="AN1540" i="16"/>
  <c r="AN1541" i="16"/>
  <c r="AN1542" i="16"/>
  <c r="AN1543" i="16"/>
  <c r="AN1544" i="16"/>
  <c r="AN1545" i="16"/>
  <c r="AN1546" i="16"/>
  <c r="AN1547" i="16"/>
  <c r="AN1548" i="16"/>
  <c r="AN1549" i="16"/>
  <c r="AN1550" i="16"/>
  <c r="AN1551" i="16"/>
  <c r="AN1552" i="16"/>
  <c r="AN1553" i="16"/>
  <c r="AN1554" i="16"/>
  <c r="AN1555" i="16"/>
  <c r="AN1556" i="16"/>
  <c r="AN1557" i="16"/>
  <c r="AN1558" i="16"/>
  <c r="AN1559" i="16"/>
  <c r="AN1560" i="16"/>
  <c r="AN1561" i="16"/>
  <c r="AN1562" i="16"/>
  <c r="AN1563" i="16"/>
  <c r="AN1564" i="16"/>
  <c r="AN1565" i="16"/>
  <c r="AN1566" i="16"/>
  <c r="AN1567" i="16"/>
  <c r="AN1568" i="16"/>
  <c r="AN1569" i="16"/>
  <c r="AN1570" i="16"/>
  <c r="AN1571" i="16"/>
  <c r="AN1572" i="16"/>
  <c r="AN1573" i="16"/>
  <c r="AN1574" i="16"/>
  <c r="AN1575" i="16"/>
  <c r="AN1576" i="16"/>
  <c r="AN1577" i="16"/>
  <c r="AN1578" i="16"/>
  <c r="AN1579" i="16"/>
  <c r="AN1580" i="16"/>
  <c r="AN1581" i="16"/>
  <c r="AN1582" i="16"/>
  <c r="AN1583" i="16"/>
  <c r="AN1584" i="16"/>
  <c r="AN1585" i="16"/>
  <c r="AN1586" i="16"/>
  <c r="AN1587" i="16"/>
  <c r="AN1588" i="16"/>
  <c r="AN1589" i="16"/>
  <c r="AN1590" i="16"/>
  <c r="AN1591" i="16"/>
  <c r="AN1592" i="16"/>
  <c r="AN1593" i="16"/>
  <c r="AN1594" i="16"/>
  <c r="AN1595" i="16"/>
  <c r="AN1596" i="16"/>
  <c r="AN1597" i="16"/>
  <c r="AN1598" i="16"/>
  <c r="AN1599" i="16"/>
  <c r="AN1600" i="16"/>
  <c r="AN1601" i="16"/>
  <c r="AN1602" i="16"/>
  <c r="AN1603" i="16"/>
  <c r="AN1604" i="16"/>
  <c r="AN1605" i="16"/>
  <c r="AN1606" i="16"/>
  <c r="AN1607" i="16"/>
  <c r="AN1608" i="16"/>
  <c r="AN1609" i="16"/>
  <c r="AN1610" i="16"/>
  <c r="AN1611" i="16"/>
  <c r="AN1612" i="16"/>
  <c r="AN1613" i="16"/>
  <c r="AN1614" i="16"/>
  <c r="AN1615" i="16"/>
  <c r="AN1616" i="16"/>
  <c r="AN1617" i="16"/>
  <c r="AN1618" i="16"/>
  <c r="AN1619" i="16"/>
  <c r="AN1620" i="16"/>
  <c r="AN1621" i="16"/>
  <c r="AN1622" i="16"/>
  <c r="AN1623" i="16"/>
  <c r="AN1624" i="16"/>
  <c r="AN1625" i="16"/>
  <c r="AN1626" i="16"/>
  <c r="AN1627" i="16"/>
  <c r="AN1628" i="16"/>
  <c r="AN1629" i="16"/>
  <c r="AN1630" i="16"/>
  <c r="AN1631" i="16"/>
  <c r="AN1632" i="16"/>
  <c r="AN1633" i="16"/>
  <c r="AN1634" i="16"/>
  <c r="AN1635" i="16"/>
  <c r="AN1636" i="16"/>
  <c r="AN1637" i="16"/>
  <c r="AN1638" i="16"/>
  <c r="AN1639" i="16"/>
  <c r="AN1640" i="16"/>
  <c r="AN1641" i="16"/>
  <c r="AN1642" i="16"/>
  <c r="AN1643" i="16"/>
  <c r="AN1644" i="16"/>
  <c r="AN1645" i="16"/>
  <c r="AN1646" i="16"/>
  <c r="AN1647" i="16"/>
  <c r="AN1648" i="16"/>
  <c r="AN1649" i="16"/>
  <c r="AN1650" i="16"/>
  <c r="AN1651" i="16"/>
  <c r="AN1652" i="16"/>
  <c r="AN1653" i="16"/>
  <c r="AN1654" i="16"/>
  <c r="AN1655" i="16"/>
  <c r="AN1656" i="16"/>
  <c r="AN1657" i="16"/>
  <c r="AN1658" i="16"/>
  <c r="AN1659" i="16"/>
  <c r="AN1660" i="16"/>
  <c r="AN1661" i="16"/>
  <c r="AN1662" i="16"/>
  <c r="AN1663" i="16"/>
  <c r="AN1664" i="16"/>
  <c r="AN1665" i="16"/>
  <c r="AN1666" i="16"/>
  <c r="AN1667" i="16"/>
  <c r="AN1668" i="16"/>
  <c r="AN1669" i="16"/>
  <c r="AN1670" i="16"/>
  <c r="AN1671" i="16"/>
  <c r="AN1672" i="16"/>
  <c r="AN1673" i="16"/>
  <c r="AN1674" i="16"/>
  <c r="AN1675" i="16"/>
  <c r="AN1676" i="16"/>
  <c r="AN1677" i="16"/>
  <c r="AN1678" i="16"/>
  <c r="AN1679" i="16"/>
  <c r="AN1680" i="16"/>
  <c r="AN1681" i="16"/>
  <c r="AN1682" i="16"/>
  <c r="AN1683" i="16"/>
  <c r="AN1684" i="16"/>
  <c r="AN1685" i="16"/>
  <c r="AN1686" i="16"/>
  <c r="AN1687" i="16"/>
  <c r="AN1688" i="16"/>
  <c r="AN1689" i="16"/>
  <c r="AN1690" i="16"/>
  <c r="AN1691" i="16"/>
  <c r="AN1692" i="16"/>
  <c r="AN1693" i="16"/>
  <c r="AN1694" i="16"/>
  <c r="AN1695" i="16"/>
  <c r="AN1696" i="16"/>
  <c r="AN1697" i="16"/>
  <c r="AN1698" i="16"/>
  <c r="AN1699" i="16"/>
  <c r="AN1700" i="16"/>
  <c r="AN1701" i="16"/>
  <c r="AN1702" i="16"/>
  <c r="AN1703" i="16"/>
  <c r="AN1704" i="16"/>
  <c r="AN1705" i="16"/>
  <c r="AN1706" i="16"/>
  <c r="AN1707" i="16"/>
  <c r="AN1708" i="16"/>
  <c r="AN1709" i="16"/>
  <c r="AN1710" i="16"/>
  <c r="AN1711" i="16"/>
  <c r="AN1712" i="16"/>
  <c r="AN1713" i="16"/>
  <c r="AN1714" i="16"/>
  <c r="AN1715" i="16"/>
  <c r="AN1716" i="16"/>
  <c r="AN1717" i="16"/>
  <c r="AN1718" i="16"/>
  <c r="AN1719" i="16"/>
  <c r="AN1720" i="16"/>
  <c r="AN1721" i="16"/>
  <c r="AN1722" i="16"/>
  <c r="AN1723" i="16"/>
  <c r="AN1724" i="16"/>
  <c r="AN1725" i="16"/>
  <c r="AN1726" i="16"/>
  <c r="AN1727" i="16"/>
  <c r="AN1728" i="16"/>
  <c r="AN1729" i="16"/>
  <c r="AN1730" i="16"/>
  <c r="AN1731" i="16"/>
  <c r="AN1732" i="16"/>
  <c r="AN1733" i="16"/>
  <c r="AO1394" i="16"/>
  <c r="AO1395" i="16"/>
  <c r="AO1396" i="16"/>
  <c r="AO1397" i="16"/>
  <c r="AO1398" i="16"/>
  <c r="AO1399" i="16"/>
  <c r="AO1400" i="16"/>
  <c r="AO1401" i="16"/>
  <c r="AO1402" i="16"/>
  <c r="AO1403" i="16"/>
  <c r="AO1404" i="16"/>
  <c r="AO1405" i="16"/>
  <c r="AO1406" i="16"/>
  <c r="AO1407" i="16"/>
  <c r="AO1408" i="16"/>
  <c r="AO1409" i="16"/>
  <c r="AO1410" i="16"/>
  <c r="AO1411" i="16"/>
  <c r="AO1412" i="16"/>
  <c r="AO1413" i="16"/>
  <c r="AO1414" i="16"/>
  <c r="AO1415" i="16"/>
  <c r="AO1416" i="16"/>
  <c r="AO1417" i="16"/>
  <c r="AO1418" i="16"/>
  <c r="AO1419" i="16"/>
  <c r="AO1420" i="16"/>
  <c r="AO1421" i="16"/>
  <c r="AO1422" i="16"/>
  <c r="AO1423" i="16"/>
  <c r="AO1424" i="16"/>
  <c r="AO1425" i="16"/>
  <c r="AO1426" i="16"/>
  <c r="AO1427" i="16"/>
  <c r="AO1428" i="16"/>
  <c r="AO1429" i="16"/>
  <c r="AO1430" i="16"/>
  <c r="AO1431" i="16"/>
  <c r="AO1432" i="16"/>
  <c r="AO1433" i="16"/>
  <c r="AO1434" i="16"/>
  <c r="AO1435" i="16"/>
  <c r="AO1436" i="16"/>
  <c r="AO1437" i="16"/>
  <c r="AO1438" i="16"/>
  <c r="AO1439" i="16"/>
  <c r="AO1440" i="16"/>
  <c r="AO1441" i="16"/>
  <c r="AO1442" i="16"/>
  <c r="AO1443" i="16"/>
  <c r="AO1444" i="16"/>
  <c r="AO1445" i="16"/>
  <c r="AO1446" i="16"/>
  <c r="AO1447" i="16"/>
  <c r="AO1448" i="16"/>
  <c r="AO1449" i="16"/>
  <c r="AO1450" i="16"/>
  <c r="AO1451" i="16"/>
  <c r="AO1452" i="16"/>
  <c r="AO1453" i="16"/>
  <c r="AO1454" i="16"/>
  <c r="AO1455" i="16"/>
  <c r="AO1456" i="16"/>
  <c r="AO1457" i="16"/>
  <c r="AO1458" i="16"/>
  <c r="AO1459" i="16"/>
  <c r="AO1460" i="16"/>
  <c r="AO1461" i="16"/>
  <c r="AO1462" i="16"/>
  <c r="AO1463" i="16"/>
  <c r="AO1464" i="16"/>
  <c r="AO1465" i="16"/>
  <c r="AO1466" i="16"/>
  <c r="AO1467" i="16"/>
  <c r="AO1468" i="16"/>
  <c r="AO1469" i="16"/>
  <c r="AO1470" i="16"/>
  <c r="AO1471" i="16"/>
  <c r="AO1472" i="16"/>
  <c r="AO1473" i="16"/>
  <c r="AO1474" i="16"/>
  <c r="AO1475" i="16"/>
  <c r="AO1476" i="16"/>
  <c r="AO1477" i="16"/>
  <c r="AO1478" i="16"/>
  <c r="AO1479" i="16"/>
  <c r="AO1480" i="16"/>
  <c r="AO1481" i="16"/>
  <c r="AO1482" i="16"/>
  <c r="AO1483" i="16"/>
  <c r="AO1484" i="16"/>
  <c r="AO1485" i="16"/>
  <c r="AO1486" i="16"/>
  <c r="AO1487" i="16"/>
  <c r="AO1488" i="16"/>
  <c r="AO1489" i="16"/>
  <c r="AO1490" i="16"/>
  <c r="AO1491" i="16"/>
  <c r="AO1492" i="16"/>
  <c r="AO1493" i="16"/>
  <c r="AO1494" i="16"/>
  <c r="AO1495" i="16"/>
  <c r="AO1496" i="16"/>
  <c r="AO1497" i="16"/>
  <c r="AO1498" i="16"/>
  <c r="AO1499" i="16"/>
  <c r="AO1500" i="16"/>
  <c r="AO1501" i="16"/>
  <c r="AO1502" i="16"/>
  <c r="AO1503" i="16"/>
  <c r="AO1504" i="16"/>
  <c r="AO1505" i="16"/>
  <c r="AO1506" i="16"/>
  <c r="AO1507" i="16"/>
  <c r="AO1508" i="16"/>
  <c r="AO1509" i="16"/>
  <c r="AO1510" i="16"/>
  <c r="AO1511" i="16"/>
  <c r="AO1512" i="16"/>
  <c r="AO1513" i="16"/>
  <c r="AO1514" i="16"/>
  <c r="AO1515" i="16"/>
  <c r="AO1516" i="16"/>
  <c r="AO1517" i="16"/>
  <c r="AO1518" i="16"/>
  <c r="AO1519" i="16"/>
  <c r="AO1520" i="16"/>
  <c r="AO1521" i="16"/>
  <c r="AO1522" i="16"/>
  <c r="AO1523" i="16"/>
  <c r="AO1524" i="16"/>
  <c r="AO1525" i="16"/>
  <c r="AO1526" i="16"/>
  <c r="AO1527" i="16"/>
  <c r="AO1528" i="16"/>
  <c r="AO1529" i="16"/>
  <c r="AO1530" i="16"/>
  <c r="AO1531" i="16"/>
  <c r="AO1532" i="16"/>
  <c r="AO1533" i="16"/>
  <c r="AO1534" i="16"/>
  <c r="AO1535" i="16"/>
  <c r="AO1536" i="16"/>
  <c r="AO1537" i="16"/>
  <c r="AO1538" i="16"/>
  <c r="AO1539" i="16"/>
  <c r="AO1540" i="16"/>
  <c r="AO1541" i="16"/>
  <c r="AO1542" i="16"/>
  <c r="AO1543" i="16"/>
  <c r="AO1544" i="16"/>
  <c r="AO1545" i="16"/>
  <c r="AO1546" i="16"/>
  <c r="AO1547" i="16"/>
  <c r="AO1548" i="16"/>
  <c r="AO1549" i="16"/>
  <c r="AO1550" i="16"/>
  <c r="AO1551" i="16"/>
  <c r="AO1552" i="16"/>
  <c r="AO1553" i="16"/>
  <c r="AO1554" i="16"/>
  <c r="AO1555" i="16"/>
  <c r="AO1556" i="16"/>
  <c r="AO1557" i="16"/>
  <c r="AO1558" i="16"/>
  <c r="AO1559" i="16"/>
  <c r="AO1560" i="16"/>
  <c r="AO1561" i="16"/>
  <c r="AO1562" i="16"/>
  <c r="AO1563" i="16"/>
  <c r="AO1564" i="16"/>
  <c r="AO1565" i="16"/>
  <c r="AO1566" i="16"/>
  <c r="AO1567" i="16"/>
  <c r="AO1568" i="16"/>
  <c r="AO1569" i="16"/>
  <c r="AO1570" i="16"/>
  <c r="AO1571" i="16"/>
  <c r="AO1572" i="16"/>
  <c r="AO1573" i="16"/>
  <c r="AO1574" i="16"/>
  <c r="AO1575" i="16"/>
  <c r="AO1576" i="16"/>
  <c r="AO1577" i="16"/>
  <c r="AO1578" i="16"/>
  <c r="AO1579" i="16"/>
  <c r="AO1580" i="16"/>
  <c r="AO1581" i="16"/>
  <c r="AO1582" i="16"/>
  <c r="AO1583" i="16"/>
  <c r="AO1584" i="16"/>
  <c r="AO1585" i="16"/>
  <c r="AO1586" i="16"/>
  <c r="AO1587" i="16"/>
  <c r="AO1588" i="16"/>
  <c r="AO1589" i="16"/>
  <c r="AO1590" i="16"/>
  <c r="AO1591" i="16"/>
  <c r="AO1592" i="16"/>
  <c r="AO1593" i="16"/>
  <c r="AO1594" i="16"/>
  <c r="AO1595" i="16"/>
  <c r="AO1596" i="16"/>
  <c r="AO1597" i="16"/>
  <c r="AO1598" i="16"/>
  <c r="AO1599" i="16"/>
  <c r="AO1600" i="16"/>
  <c r="AO1601" i="16"/>
  <c r="AO1602" i="16"/>
  <c r="AO1603" i="16"/>
  <c r="AO1604" i="16"/>
  <c r="AO1605" i="16"/>
  <c r="AO1606" i="16"/>
  <c r="AO1607" i="16"/>
  <c r="AO1608" i="16"/>
  <c r="AO1609" i="16"/>
  <c r="AO1610" i="16"/>
  <c r="AO1611" i="16"/>
  <c r="AO1612" i="16"/>
  <c r="AO1613" i="16"/>
  <c r="AO1614" i="16"/>
  <c r="AO1615" i="16"/>
  <c r="AO1616" i="16"/>
  <c r="AO1617" i="16"/>
  <c r="AO1618" i="16"/>
  <c r="AO1619" i="16"/>
  <c r="AO1620" i="16"/>
  <c r="AO1621" i="16"/>
  <c r="AO1622" i="16"/>
  <c r="AO1623" i="16"/>
  <c r="AO1624" i="16"/>
  <c r="AO1625" i="16"/>
  <c r="AO1626" i="16"/>
  <c r="AO1627" i="16"/>
  <c r="AO1628" i="16"/>
  <c r="AO1629" i="16"/>
  <c r="AO1630" i="16"/>
  <c r="AO1631" i="16"/>
  <c r="AO1632" i="16"/>
  <c r="AO1633" i="16"/>
  <c r="AO1634" i="16"/>
  <c r="AO1635" i="16"/>
  <c r="AO1636" i="16"/>
  <c r="AO1637" i="16"/>
  <c r="AO1638" i="16"/>
  <c r="AO1639" i="16"/>
  <c r="AO1640" i="16"/>
  <c r="AO1641" i="16"/>
  <c r="AO1642" i="16"/>
  <c r="AO1643" i="16"/>
  <c r="AO1644" i="16"/>
  <c r="AO1645" i="16"/>
  <c r="AO1646" i="16"/>
  <c r="AO1647" i="16"/>
  <c r="AO1648" i="16"/>
  <c r="AO1649" i="16"/>
  <c r="AO1650" i="16"/>
  <c r="AO1651" i="16"/>
  <c r="AO1652" i="16"/>
  <c r="AO1653" i="16"/>
  <c r="AO1654" i="16"/>
  <c r="AO1655" i="16"/>
  <c r="AO1656" i="16"/>
  <c r="AO1657" i="16"/>
  <c r="AO1658" i="16"/>
  <c r="AO1659" i="16"/>
  <c r="AO1660" i="16"/>
  <c r="AO1661" i="16"/>
  <c r="AO1662" i="16"/>
  <c r="AO1663" i="16"/>
  <c r="AO1664" i="16"/>
  <c r="AO1665" i="16"/>
  <c r="AO1666" i="16"/>
  <c r="AO1667" i="16"/>
  <c r="AO1668" i="16"/>
  <c r="AO1669" i="16"/>
  <c r="AO1670" i="16"/>
  <c r="AO1671" i="16"/>
  <c r="AO1672" i="16"/>
  <c r="AO1673" i="16"/>
  <c r="AO1674" i="16"/>
  <c r="AO1675" i="16"/>
  <c r="AO1676" i="16"/>
  <c r="AO1677" i="16"/>
  <c r="AO1678" i="16"/>
  <c r="AO1679" i="16"/>
  <c r="AO1680" i="16"/>
  <c r="AO1681" i="16"/>
  <c r="AO1682" i="16"/>
  <c r="AO1683" i="16"/>
  <c r="AO1684" i="16"/>
  <c r="AO1685" i="16"/>
  <c r="AO1686" i="16"/>
  <c r="AO1687" i="16"/>
  <c r="AO1688" i="16"/>
  <c r="AO1689" i="16"/>
  <c r="AO1690" i="16"/>
  <c r="AO1691" i="16"/>
  <c r="AO1692" i="16"/>
  <c r="AO1693" i="16"/>
  <c r="AO1694" i="16"/>
  <c r="AO1695" i="16"/>
  <c r="AO1696" i="16"/>
  <c r="AO1697" i="16"/>
  <c r="AO1698" i="16"/>
  <c r="AO1699" i="16"/>
  <c r="AO1700" i="16"/>
  <c r="AO1701" i="16"/>
  <c r="AO1702" i="16"/>
  <c r="AO1703" i="16"/>
  <c r="AO1704" i="16"/>
  <c r="AO1705" i="16"/>
  <c r="AO1706" i="16"/>
  <c r="AO1707" i="16"/>
  <c r="AO1708" i="16"/>
  <c r="AO1709" i="16"/>
  <c r="AO1710" i="16"/>
  <c r="AO1711" i="16"/>
  <c r="AO1712" i="16"/>
  <c r="AO1713" i="16"/>
  <c r="AO1714" i="16"/>
  <c r="AO1715" i="16"/>
  <c r="AO1716" i="16"/>
  <c r="AO1717" i="16"/>
  <c r="AO1718" i="16"/>
  <c r="AO1719" i="16"/>
  <c r="AO1720" i="16"/>
  <c r="AO1721" i="16"/>
  <c r="AO1722" i="16"/>
  <c r="AO1723" i="16"/>
  <c r="AO1724" i="16"/>
  <c r="AO1725" i="16"/>
  <c r="AO1726" i="16"/>
  <c r="AO1727" i="16"/>
  <c r="AO1728" i="16"/>
  <c r="AO1729" i="16"/>
  <c r="AO1730" i="16"/>
  <c r="AO1731" i="16"/>
  <c r="AO1732" i="16"/>
  <c r="AO1733" i="16"/>
  <c r="AP1394" i="16"/>
  <c r="AP1395" i="16"/>
  <c r="AP1396" i="16"/>
  <c r="AP1397" i="16"/>
  <c r="AP1398" i="16"/>
  <c r="AP1399" i="16"/>
  <c r="AP1400" i="16"/>
  <c r="AP1401" i="16"/>
  <c r="AP1402" i="16"/>
  <c r="AP1403" i="16"/>
  <c r="AP1404" i="16"/>
  <c r="AP1405" i="16"/>
  <c r="AP1406" i="16"/>
  <c r="AP1407" i="16"/>
  <c r="AP1408" i="16"/>
  <c r="AP1409" i="16"/>
  <c r="AP1410" i="16"/>
  <c r="AP1411" i="16"/>
  <c r="AP1412" i="16"/>
  <c r="AP1413" i="16"/>
  <c r="AP1414" i="16"/>
  <c r="AP1415" i="16"/>
  <c r="AP1416" i="16"/>
  <c r="AP1417" i="16"/>
  <c r="AP1418" i="16"/>
  <c r="AP1419" i="16"/>
  <c r="AP1420" i="16"/>
  <c r="AP1421" i="16"/>
  <c r="AP1422" i="16"/>
  <c r="AP1423" i="16"/>
  <c r="AP1424" i="16"/>
  <c r="AP1425" i="16"/>
  <c r="AP1426" i="16"/>
  <c r="AP1427" i="16"/>
  <c r="AP1428" i="16"/>
  <c r="AP1429" i="16"/>
  <c r="AP1430" i="16"/>
  <c r="AP1431" i="16"/>
  <c r="AP1432" i="16"/>
  <c r="AP1433" i="16"/>
  <c r="AP1434" i="16"/>
  <c r="AP1435" i="16"/>
  <c r="AP1436" i="16"/>
  <c r="AP1437" i="16"/>
  <c r="AP1438" i="16"/>
  <c r="AP1439" i="16"/>
  <c r="AP1440" i="16"/>
  <c r="AP1441" i="16"/>
  <c r="AP1442" i="16"/>
  <c r="AP1443" i="16"/>
  <c r="AP1444" i="16"/>
  <c r="AP1445" i="16"/>
  <c r="AP1446" i="16"/>
  <c r="AP1447" i="16"/>
  <c r="AP1448" i="16"/>
  <c r="AP1449" i="16"/>
  <c r="AP1450" i="16"/>
  <c r="AP1451" i="16"/>
  <c r="AP1452" i="16"/>
  <c r="AP1453" i="16"/>
  <c r="AP1454" i="16"/>
  <c r="AP1455" i="16"/>
  <c r="AP1456" i="16"/>
  <c r="AP1457" i="16"/>
  <c r="AP1458" i="16"/>
  <c r="AP1459" i="16"/>
  <c r="AP1460" i="16"/>
  <c r="AP1461" i="16"/>
  <c r="AP1462" i="16"/>
  <c r="AP1463" i="16"/>
  <c r="AP1464" i="16"/>
  <c r="AP1465" i="16"/>
  <c r="AP1466" i="16"/>
  <c r="AP1467" i="16"/>
  <c r="AP1468" i="16"/>
  <c r="AP1469" i="16"/>
  <c r="AP1470" i="16"/>
  <c r="AP1471" i="16"/>
  <c r="AP1472" i="16"/>
  <c r="AP1473" i="16"/>
  <c r="AP1474" i="16"/>
  <c r="AP1475" i="16"/>
  <c r="AP1476" i="16"/>
  <c r="AP1477" i="16"/>
  <c r="AP1478" i="16"/>
  <c r="AP1479" i="16"/>
  <c r="AP1480" i="16"/>
  <c r="AP1481" i="16"/>
  <c r="AP1482" i="16"/>
  <c r="AP1483" i="16"/>
  <c r="AP1484" i="16"/>
  <c r="AP1485" i="16"/>
  <c r="AP1486" i="16"/>
  <c r="AP1487" i="16"/>
  <c r="AP1488" i="16"/>
  <c r="AP1489" i="16"/>
  <c r="AP1490" i="16"/>
  <c r="AP1491" i="16"/>
  <c r="AP1492" i="16"/>
  <c r="AP1493" i="16"/>
  <c r="AP1494" i="16"/>
  <c r="AP1495" i="16"/>
  <c r="AP1496" i="16"/>
  <c r="AP1497" i="16"/>
  <c r="AP1498" i="16"/>
  <c r="AP1499" i="16"/>
  <c r="AP1500" i="16"/>
  <c r="AP1501" i="16"/>
  <c r="AP1502" i="16"/>
  <c r="AP1503" i="16"/>
  <c r="AP1504" i="16"/>
  <c r="AP1505" i="16"/>
  <c r="AP1506" i="16"/>
  <c r="AP1507" i="16"/>
  <c r="AP1508" i="16"/>
  <c r="AP1509" i="16"/>
  <c r="AP1510" i="16"/>
  <c r="AP1511" i="16"/>
  <c r="AP1512" i="16"/>
  <c r="AP1513" i="16"/>
  <c r="AP1514" i="16"/>
  <c r="AP1515" i="16"/>
  <c r="AP1516" i="16"/>
  <c r="AP1517" i="16"/>
  <c r="AP1518" i="16"/>
  <c r="AP1519" i="16"/>
  <c r="AP1520" i="16"/>
  <c r="AP1521" i="16"/>
  <c r="AP1522" i="16"/>
  <c r="AP1523" i="16"/>
  <c r="AP1524" i="16"/>
  <c r="AP1525" i="16"/>
  <c r="AP1526" i="16"/>
  <c r="AP1527" i="16"/>
  <c r="AP1528" i="16"/>
  <c r="AP1529" i="16"/>
  <c r="AP1530" i="16"/>
  <c r="AP1531" i="16"/>
  <c r="AP1532" i="16"/>
  <c r="AP1533" i="16"/>
  <c r="AP1534" i="16"/>
  <c r="AP1535" i="16"/>
  <c r="AP1536" i="16"/>
  <c r="AP1537" i="16"/>
  <c r="AP1538" i="16"/>
  <c r="AP1539" i="16"/>
  <c r="AP1540" i="16"/>
  <c r="AP1541" i="16"/>
  <c r="AP1542" i="16"/>
  <c r="AP1543" i="16"/>
  <c r="AP1544" i="16"/>
  <c r="AP1545" i="16"/>
  <c r="AP1546" i="16"/>
  <c r="AP1547" i="16"/>
  <c r="AP1548" i="16"/>
  <c r="AP1549" i="16"/>
  <c r="AP1550" i="16"/>
  <c r="AP1551" i="16"/>
  <c r="AP1552" i="16"/>
  <c r="AP1553" i="16"/>
  <c r="AP1554" i="16"/>
  <c r="AP1555" i="16"/>
  <c r="AP1556" i="16"/>
  <c r="AP1557" i="16"/>
  <c r="AP1558" i="16"/>
  <c r="AP1559" i="16"/>
  <c r="AP1560" i="16"/>
  <c r="AP1561" i="16"/>
  <c r="AP1562" i="16"/>
  <c r="AP1563" i="16"/>
  <c r="AP1564" i="16"/>
  <c r="AP1565" i="16"/>
  <c r="AP1566" i="16"/>
  <c r="AP1567" i="16"/>
  <c r="AP1568" i="16"/>
  <c r="AP1569" i="16"/>
  <c r="AP1570" i="16"/>
  <c r="AP1571" i="16"/>
  <c r="AP1572" i="16"/>
  <c r="AP1573" i="16"/>
  <c r="AP1574" i="16"/>
  <c r="AP1575" i="16"/>
  <c r="AP1576" i="16"/>
  <c r="AP1577" i="16"/>
  <c r="AP1578" i="16"/>
  <c r="AP1579" i="16"/>
  <c r="AP1580" i="16"/>
  <c r="AP1581" i="16"/>
  <c r="AP1582" i="16"/>
  <c r="AP1583" i="16"/>
  <c r="AP1584" i="16"/>
  <c r="AP1585" i="16"/>
  <c r="AP1586" i="16"/>
  <c r="AP1587" i="16"/>
  <c r="AP1588" i="16"/>
  <c r="AP1589" i="16"/>
  <c r="AP1590" i="16"/>
  <c r="AP1591" i="16"/>
  <c r="AP1592" i="16"/>
  <c r="AP1593" i="16"/>
  <c r="AP1594" i="16"/>
  <c r="AP1595" i="16"/>
  <c r="AP1596" i="16"/>
  <c r="AP1597" i="16"/>
  <c r="AP1598" i="16"/>
  <c r="AP1599" i="16"/>
  <c r="AP1600" i="16"/>
  <c r="AP1601" i="16"/>
  <c r="AP1602" i="16"/>
  <c r="AP1603" i="16"/>
  <c r="AP1604" i="16"/>
  <c r="AP1605" i="16"/>
  <c r="AP1606" i="16"/>
  <c r="AP1607" i="16"/>
  <c r="AP1608" i="16"/>
  <c r="AP1609" i="16"/>
  <c r="AP1610" i="16"/>
  <c r="AP1611" i="16"/>
  <c r="AP1612" i="16"/>
  <c r="AP1613" i="16"/>
  <c r="AP1614" i="16"/>
  <c r="AP1615" i="16"/>
  <c r="AP1616" i="16"/>
  <c r="AP1617" i="16"/>
  <c r="AP1618" i="16"/>
  <c r="AP1619" i="16"/>
  <c r="AP1620" i="16"/>
  <c r="AP1621" i="16"/>
  <c r="AP1622" i="16"/>
  <c r="AP1623" i="16"/>
  <c r="AP1624" i="16"/>
  <c r="AP1625" i="16"/>
  <c r="AP1626" i="16"/>
  <c r="AP1627" i="16"/>
  <c r="AP1628" i="16"/>
  <c r="AP1629" i="16"/>
  <c r="AP1630" i="16"/>
  <c r="AP1631" i="16"/>
  <c r="AP1632" i="16"/>
  <c r="AP1633" i="16"/>
  <c r="AP1634" i="16"/>
  <c r="AP1635" i="16"/>
  <c r="AP1636" i="16"/>
  <c r="AP1637" i="16"/>
  <c r="AP1638" i="16"/>
  <c r="AP1639" i="16"/>
  <c r="AP1640" i="16"/>
  <c r="AP1641" i="16"/>
  <c r="AP1642" i="16"/>
  <c r="AP1643" i="16"/>
  <c r="AP1644" i="16"/>
  <c r="AP1645" i="16"/>
  <c r="AP1646" i="16"/>
  <c r="AP1647" i="16"/>
  <c r="AP1648" i="16"/>
  <c r="AP1649" i="16"/>
  <c r="AP1650" i="16"/>
  <c r="AP1651" i="16"/>
  <c r="AP1652" i="16"/>
  <c r="AP1653" i="16"/>
  <c r="AP1654" i="16"/>
  <c r="AP1655" i="16"/>
  <c r="AP1656" i="16"/>
  <c r="AP1657" i="16"/>
  <c r="AP1658" i="16"/>
  <c r="AP1659" i="16"/>
  <c r="AP1660" i="16"/>
  <c r="AP1661" i="16"/>
  <c r="AP1662" i="16"/>
  <c r="AP1663" i="16"/>
  <c r="AP1664" i="16"/>
  <c r="AP1665" i="16"/>
  <c r="AP1666" i="16"/>
  <c r="AP1667" i="16"/>
  <c r="AP1668" i="16"/>
  <c r="AP1669" i="16"/>
  <c r="AP1670" i="16"/>
  <c r="AP1671" i="16"/>
  <c r="AP1672" i="16"/>
  <c r="AP1673" i="16"/>
  <c r="AP1674" i="16"/>
  <c r="AP1675" i="16"/>
  <c r="AP1676" i="16"/>
  <c r="AP1677" i="16"/>
  <c r="AP1678" i="16"/>
  <c r="AP1679" i="16"/>
  <c r="AP1680" i="16"/>
  <c r="AP1681" i="16"/>
  <c r="AP1682" i="16"/>
  <c r="AP1683" i="16"/>
  <c r="AP1684" i="16"/>
  <c r="AP1685" i="16"/>
  <c r="AP1686" i="16"/>
  <c r="AP1687" i="16"/>
  <c r="AP1688" i="16"/>
  <c r="AP1689" i="16"/>
  <c r="AP1690" i="16"/>
  <c r="AP1691" i="16"/>
  <c r="AP1692" i="16"/>
  <c r="AP1693" i="16"/>
  <c r="AP1694" i="16"/>
  <c r="AP1695" i="16"/>
  <c r="AP1696" i="16"/>
  <c r="AP1697" i="16"/>
  <c r="AP1698" i="16"/>
  <c r="AP1699" i="16"/>
  <c r="AP1700" i="16"/>
  <c r="AP1701" i="16"/>
  <c r="AP1702" i="16"/>
  <c r="AP1703" i="16"/>
  <c r="AP1704" i="16"/>
  <c r="AP1705" i="16"/>
  <c r="AP1706" i="16"/>
  <c r="AP1707" i="16"/>
  <c r="AP1708" i="16"/>
  <c r="AP1709" i="16"/>
  <c r="AP1710" i="16"/>
  <c r="AP1711" i="16"/>
  <c r="AP1712" i="16"/>
  <c r="AP1713" i="16"/>
  <c r="AP1714" i="16"/>
  <c r="AP1715" i="16"/>
  <c r="AP1716" i="16"/>
  <c r="AP1717" i="16"/>
  <c r="AP1718" i="16"/>
  <c r="AP1719" i="16"/>
  <c r="AP1720" i="16"/>
  <c r="AP1721" i="16"/>
  <c r="AP1722" i="16"/>
  <c r="AP1723" i="16"/>
  <c r="AP1724" i="16"/>
  <c r="AP1725" i="16"/>
  <c r="AP1726" i="16"/>
  <c r="AP1727" i="16"/>
  <c r="AP1728" i="16"/>
  <c r="AP1729" i="16"/>
  <c r="AP1730" i="16"/>
  <c r="AP1731" i="16"/>
  <c r="AP1732" i="16"/>
  <c r="AP1733" i="16"/>
  <c r="AQ1394" i="16"/>
  <c r="AQ1395" i="16"/>
  <c r="AQ1396" i="16"/>
  <c r="AQ1397" i="16"/>
  <c r="AQ1398" i="16"/>
  <c r="AQ1399" i="16"/>
  <c r="AQ1400" i="16"/>
  <c r="AQ1401" i="16"/>
  <c r="AQ1402" i="16"/>
  <c r="AQ1403" i="16"/>
  <c r="AQ1404" i="16"/>
  <c r="AQ1405" i="16"/>
  <c r="AQ1406" i="16"/>
  <c r="AQ1407" i="16"/>
  <c r="AQ1408" i="16"/>
  <c r="AQ1409" i="16"/>
  <c r="AQ1410" i="16"/>
  <c r="AQ1411" i="16"/>
  <c r="AQ1412" i="16"/>
  <c r="AQ1413" i="16"/>
  <c r="AQ1414" i="16"/>
  <c r="AQ1415" i="16"/>
  <c r="AQ1416" i="16"/>
  <c r="AQ1417" i="16"/>
  <c r="AQ1418" i="16"/>
  <c r="AQ1419" i="16"/>
  <c r="AQ1420" i="16"/>
  <c r="AQ1421" i="16"/>
  <c r="AQ1422" i="16"/>
  <c r="AQ1423" i="16"/>
  <c r="AQ1424" i="16"/>
  <c r="AQ1425" i="16"/>
  <c r="AQ1426" i="16"/>
  <c r="AQ1427" i="16"/>
  <c r="AQ1428" i="16"/>
  <c r="AQ1429" i="16"/>
  <c r="AQ1430" i="16"/>
  <c r="AQ1431" i="16"/>
  <c r="AQ1432" i="16"/>
  <c r="AQ1433" i="16"/>
  <c r="AQ1434" i="16"/>
  <c r="AQ1435" i="16"/>
  <c r="AQ1436" i="16"/>
  <c r="AQ1437" i="16"/>
  <c r="AQ1438" i="16"/>
  <c r="AQ1439" i="16"/>
  <c r="AQ1440" i="16"/>
  <c r="AQ1441" i="16"/>
  <c r="AQ1442" i="16"/>
  <c r="AQ1443" i="16"/>
  <c r="AQ1444" i="16"/>
  <c r="AQ1445" i="16"/>
  <c r="AQ1446" i="16"/>
  <c r="AQ1447" i="16"/>
  <c r="AQ1448" i="16"/>
  <c r="AQ1449" i="16"/>
  <c r="AQ1450" i="16"/>
  <c r="AQ1451" i="16"/>
  <c r="AQ1452" i="16"/>
  <c r="AQ1453" i="16"/>
  <c r="AQ1454" i="16"/>
  <c r="AQ1455" i="16"/>
  <c r="AQ1456" i="16"/>
  <c r="AQ1457" i="16"/>
  <c r="AQ1458" i="16"/>
  <c r="AQ1459" i="16"/>
  <c r="AQ1460" i="16"/>
  <c r="AQ1461" i="16"/>
  <c r="AQ1462" i="16"/>
  <c r="AQ1463" i="16"/>
  <c r="AQ1464" i="16"/>
  <c r="AQ1465" i="16"/>
  <c r="AQ1466" i="16"/>
  <c r="AQ1467" i="16"/>
  <c r="AQ1468" i="16"/>
  <c r="AQ1469" i="16"/>
  <c r="AQ1470" i="16"/>
  <c r="AQ1471" i="16"/>
  <c r="AQ1472" i="16"/>
  <c r="AQ1473" i="16"/>
  <c r="AQ1474" i="16"/>
  <c r="AQ1475" i="16"/>
  <c r="AQ1476" i="16"/>
  <c r="AQ1477" i="16"/>
  <c r="AQ1478" i="16"/>
  <c r="AQ1479" i="16"/>
  <c r="AQ1480" i="16"/>
  <c r="AQ1481" i="16"/>
  <c r="AQ1482" i="16"/>
  <c r="AQ1483" i="16"/>
  <c r="AQ1484" i="16"/>
  <c r="AQ1485" i="16"/>
  <c r="AQ1486" i="16"/>
  <c r="AQ1487" i="16"/>
  <c r="AQ1488" i="16"/>
  <c r="AQ1489" i="16"/>
  <c r="AQ1490" i="16"/>
  <c r="AQ1491" i="16"/>
  <c r="AQ1492" i="16"/>
  <c r="AQ1493" i="16"/>
  <c r="AQ1494" i="16"/>
  <c r="AQ1495" i="16"/>
  <c r="AQ1496" i="16"/>
  <c r="AQ1497" i="16"/>
  <c r="AQ1498" i="16"/>
  <c r="AQ1499" i="16"/>
  <c r="AQ1500" i="16"/>
  <c r="AQ1501" i="16"/>
  <c r="AQ1502" i="16"/>
  <c r="AQ1503" i="16"/>
  <c r="AQ1504" i="16"/>
  <c r="AQ1505" i="16"/>
  <c r="AQ1506" i="16"/>
  <c r="AQ1507" i="16"/>
  <c r="AQ1508" i="16"/>
  <c r="AQ1509" i="16"/>
  <c r="AQ1510" i="16"/>
  <c r="AQ1511" i="16"/>
  <c r="AQ1512" i="16"/>
  <c r="AQ1513" i="16"/>
  <c r="AQ1514" i="16"/>
  <c r="AQ1515" i="16"/>
  <c r="AQ1516" i="16"/>
  <c r="AQ1517" i="16"/>
  <c r="AQ1518" i="16"/>
  <c r="AQ1519" i="16"/>
  <c r="AQ1520" i="16"/>
  <c r="AQ1521" i="16"/>
  <c r="AQ1522" i="16"/>
  <c r="AQ1523" i="16"/>
  <c r="AQ1524" i="16"/>
  <c r="AQ1525" i="16"/>
  <c r="AQ1526" i="16"/>
  <c r="AQ1527" i="16"/>
  <c r="AQ1528" i="16"/>
  <c r="AQ1529" i="16"/>
  <c r="AQ1530" i="16"/>
  <c r="AQ1531" i="16"/>
  <c r="AQ1532" i="16"/>
  <c r="AQ1533" i="16"/>
  <c r="AQ1534" i="16"/>
  <c r="AQ1535" i="16"/>
  <c r="AQ1536" i="16"/>
  <c r="AQ1537" i="16"/>
  <c r="AQ1538" i="16"/>
  <c r="AQ1539" i="16"/>
  <c r="AQ1540" i="16"/>
  <c r="AQ1541" i="16"/>
  <c r="AQ1542" i="16"/>
  <c r="AQ1543" i="16"/>
  <c r="AQ1544" i="16"/>
  <c r="AQ1545" i="16"/>
  <c r="AQ1546" i="16"/>
  <c r="AQ1547" i="16"/>
  <c r="AQ1548" i="16"/>
  <c r="AQ1549" i="16"/>
  <c r="AQ1550" i="16"/>
  <c r="AQ1551" i="16"/>
  <c r="AQ1552" i="16"/>
  <c r="AQ1553" i="16"/>
  <c r="AQ1554" i="16"/>
  <c r="AQ1555" i="16"/>
  <c r="AQ1556" i="16"/>
  <c r="AQ1557" i="16"/>
  <c r="AQ1558" i="16"/>
  <c r="AQ1559" i="16"/>
  <c r="AQ1560" i="16"/>
  <c r="AQ1561" i="16"/>
  <c r="AQ1562" i="16"/>
  <c r="AQ1563" i="16"/>
  <c r="AQ1564" i="16"/>
  <c r="AQ1565" i="16"/>
  <c r="AQ1566" i="16"/>
  <c r="AQ1567" i="16"/>
  <c r="AQ1568" i="16"/>
  <c r="AQ1569" i="16"/>
  <c r="AQ1570" i="16"/>
  <c r="AQ1571" i="16"/>
  <c r="AQ1572" i="16"/>
  <c r="AQ1573" i="16"/>
  <c r="AQ1574" i="16"/>
  <c r="AQ1575" i="16"/>
  <c r="AQ1576" i="16"/>
  <c r="AQ1577" i="16"/>
  <c r="AQ1578" i="16"/>
  <c r="AQ1579" i="16"/>
  <c r="AQ1580" i="16"/>
  <c r="AQ1581" i="16"/>
  <c r="AQ1582" i="16"/>
  <c r="AQ1583" i="16"/>
  <c r="AQ1584" i="16"/>
  <c r="AQ1585" i="16"/>
  <c r="AQ1586" i="16"/>
  <c r="AQ1587" i="16"/>
  <c r="AQ1588" i="16"/>
  <c r="AQ1589" i="16"/>
  <c r="AQ1590" i="16"/>
  <c r="AQ1591" i="16"/>
  <c r="AQ1592" i="16"/>
  <c r="AQ1593" i="16"/>
  <c r="AQ1594" i="16"/>
  <c r="AQ1595" i="16"/>
  <c r="AQ1596" i="16"/>
  <c r="AQ1597" i="16"/>
  <c r="AQ1598" i="16"/>
  <c r="AQ1599" i="16"/>
  <c r="AQ1600" i="16"/>
  <c r="AQ1601" i="16"/>
  <c r="AQ1602" i="16"/>
  <c r="AQ1603" i="16"/>
  <c r="AQ1604" i="16"/>
  <c r="AQ1605" i="16"/>
  <c r="AQ1606" i="16"/>
  <c r="AQ1607" i="16"/>
  <c r="AQ1608" i="16"/>
  <c r="AQ1609" i="16"/>
  <c r="AQ1610" i="16"/>
  <c r="AQ1611" i="16"/>
  <c r="AQ1612" i="16"/>
  <c r="AQ1613" i="16"/>
  <c r="AQ1614" i="16"/>
  <c r="AQ1615" i="16"/>
  <c r="AQ1616" i="16"/>
  <c r="AQ1617" i="16"/>
  <c r="AQ1618" i="16"/>
  <c r="AQ1619" i="16"/>
  <c r="AQ1620" i="16"/>
  <c r="AQ1621" i="16"/>
  <c r="AQ1622" i="16"/>
  <c r="AQ1623" i="16"/>
  <c r="AQ1624" i="16"/>
  <c r="AQ1625" i="16"/>
  <c r="AQ1626" i="16"/>
  <c r="AQ1627" i="16"/>
  <c r="AQ1628" i="16"/>
  <c r="AQ1629" i="16"/>
  <c r="AQ1630" i="16"/>
  <c r="AQ1631" i="16"/>
  <c r="AQ1632" i="16"/>
  <c r="AQ1633" i="16"/>
  <c r="AQ1634" i="16"/>
  <c r="AQ1635" i="16"/>
  <c r="AQ1636" i="16"/>
  <c r="AQ1637" i="16"/>
  <c r="AQ1638" i="16"/>
  <c r="AQ1639" i="16"/>
  <c r="AQ1640" i="16"/>
  <c r="AQ1641" i="16"/>
  <c r="AQ1642" i="16"/>
  <c r="AQ1643" i="16"/>
  <c r="AQ1644" i="16"/>
  <c r="AQ1645" i="16"/>
  <c r="AQ1646" i="16"/>
  <c r="AQ1647" i="16"/>
  <c r="AQ1648" i="16"/>
  <c r="AQ1649" i="16"/>
  <c r="AQ1650" i="16"/>
  <c r="AQ1651" i="16"/>
  <c r="AQ1652" i="16"/>
  <c r="AQ1653" i="16"/>
  <c r="AQ1654" i="16"/>
  <c r="AQ1655" i="16"/>
  <c r="AQ1656" i="16"/>
  <c r="AQ1657" i="16"/>
  <c r="AQ1658" i="16"/>
  <c r="AQ1659" i="16"/>
  <c r="AQ1660" i="16"/>
  <c r="AQ1661" i="16"/>
  <c r="AQ1662" i="16"/>
  <c r="AQ1663" i="16"/>
  <c r="AQ1664" i="16"/>
  <c r="AQ1665" i="16"/>
  <c r="AQ1666" i="16"/>
  <c r="AQ1667" i="16"/>
  <c r="AQ1668" i="16"/>
  <c r="AQ1669" i="16"/>
  <c r="AQ1670" i="16"/>
  <c r="AQ1671" i="16"/>
  <c r="AQ1672" i="16"/>
  <c r="AQ1673" i="16"/>
  <c r="AQ1674" i="16"/>
  <c r="AQ1675" i="16"/>
  <c r="AQ1676" i="16"/>
  <c r="AQ1677" i="16"/>
  <c r="AQ1678" i="16"/>
  <c r="AQ1679" i="16"/>
  <c r="AQ1680" i="16"/>
  <c r="AQ1681" i="16"/>
  <c r="AQ1682" i="16"/>
  <c r="AQ1683" i="16"/>
  <c r="AQ1684" i="16"/>
  <c r="AQ1685" i="16"/>
  <c r="AQ1686" i="16"/>
  <c r="AQ1687" i="16"/>
  <c r="AQ1688" i="16"/>
  <c r="AQ1689" i="16"/>
  <c r="AQ1690" i="16"/>
  <c r="AQ1691" i="16"/>
  <c r="AQ1692" i="16"/>
  <c r="AQ1693" i="16"/>
  <c r="AQ1694" i="16"/>
  <c r="AQ1695" i="16"/>
  <c r="AQ1696" i="16"/>
  <c r="AQ1697" i="16"/>
  <c r="AQ1698" i="16"/>
  <c r="AQ1699" i="16"/>
  <c r="AQ1700" i="16"/>
  <c r="AQ1701" i="16"/>
  <c r="AQ1702" i="16"/>
  <c r="AQ1703" i="16"/>
  <c r="AQ1704" i="16"/>
  <c r="AQ1705" i="16"/>
  <c r="AQ1706" i="16"/>
  <c r="AQ1707" i="16"/>
  <c r="AQ1708" i="16"/>
  <c r="AQ1709" i="16"/>
  <c r="AQ1710" i="16"/>
  <c r="AQ1711" i="16"/>
  <c r="AQ1712" i="16"/>
  <c r="AQ1713" i="16"/>
  <c r="AQ1714" i="16"/>
  <c r="AQ1715" i="16"/>
  <c r="AQ1716" i="16"/>
  <c r="AQ1717" i="16"/>
  <c r="AQ1718" i="16"/>
  <c r="AQ1719" i="16"/>
  <c r="AQ1720" i="16"/>
  <c r="AQ1721" i="16"/>
  <c r="AQ1722" i="16"/>
  <c r="AQ1723" i="16"/>
  <c r="AQ1724" i="16"/>
  <c r="AQ1725" i="16"/>
  <c r="AQ1726" i="16"/>
  <c r="AQ1727" i="16"/>
  <c r="AQ1728" i="16"/>
  <c r="AQ1729" i="16"/>
  <c r="AQ1730" i="16"/>
  <c r="AQ1731" i="16"/>
  <c r="AQ1732" i="16"/>
  <c r="AQ1733" i="16"/>
  <c r="AS1394" i="16"/>
  <c r="AS1395" i="16"/>
  <c r="AS1396" i="16"/>
  <c r="AS1397" i="16"/>
  <c r="AS1398" i="16"/>
  <c r="AS1399" i="16"/>
  <c r="AS1400" i="16"/>
  <c r="AS1401" i="16"/>
  <c r="AS1402" i="16"/>
  <c r="AS1403" i="16"/>
  <c r="AS1404" i="16"/>
  <c r="AS1405" i="16"/>
  <c r="AS1406" i="16"/>
  <c r="AS1407" i="16"/>
  <c r="AS1408" i="16"/>
  <c r="AS1409" i="16"/>
  <c r="AS1410" i="16"/>
  <c r="AS1411" i="16"/>
  <c r="AS1412" i="16"/>
  <c r="AS1413" i="16"/>
  <c r="AS1414" i="16"/>
  <c r="AS1415" i="16"/>
  <c r="AS1416" i="16"/>
  <c r="AS1417" i="16"/>
  <c r="AS1418" i="16"/>
  <c r="AS1419" i="16"/>
  <c r="AS1420" i="16"/>
  <c r="AS1421" i="16"/>
  <c r="AS1422" i="16"/>
  <c r="AS1423" i="16"/>
  <c r="AS1424" i="16"/>
  <c r="AS1425" i="16"/>
  <c r="AS1426" i="16"/>
  <c r="AS1427" i="16"/>
  <c r="AS1428" i="16"/>
  <c r="AS1429" i="16"/>
  <c r="AS1430" i="16"/>
  <c r="AS1431" i="16"/>
  <c r="AS1432" i="16"/>
  <c r="AS1433" i="16"/>
  <c r="AS1434" i="16"/>
  <c r="AS1435" i="16"/>
  <c r="AS1436" i="16"/>
  <c r="AS1437" i="16"/>
  <c r="AS1438" i="16"/>
  <c r="AS1439" i="16"/>
  <c r="AS1440" i="16"/>
  <c r="AS1441" i="16"/>
  <c r="AS1442" i="16"/>
  <c r="AS1443" i="16"/>
  <c r="AS1444" i="16"/>
  <c r="AS1445" i="16"/>
  <c r="AS1446" i="16"/>
  <c r="AS1447" i="16"/>
  <c r="AS1448" i="16"/>
  <c r="AS1449" i="16"/>
  <c r="AS1450" i="16"/>
  <c r="AS1451" i="16"/>
  <c r="AS1452" i="16"/>
  <c r="AS1453" i="16"/>
  <c r="AS1454" i="16"/>
  <c r="AS1455" i="16"/>
  <c r="AS1456" i="16"/>
  <c r="AS1457" i="16"/>
  <c r="AS1458" i="16"/>
  <c r="AS1459" i="16"/>
  <c r="AS1460" i="16"/>
  <c r="AS1461" i="16"/>
  <c r="AS1462" i="16"/>
  <c r="AS1463" i="16"/>
  <c r="AS1464" i="16"/>
  <c r="AS1465" i="16"/>
  <c r="AS1466" i="16"/>
  <c r="AS1467" i="16"/>
  <c r="AS1468" i="16"/>
  <c r="AS1469" i="16"/>
  <c r="AS1470" i="16"/>
  <c r="AS1471" i="16"/>
  <c r="AS1472" i="16"/>
  <c r="AS1473" i="16"/>
  <c r="AS1474" i="16"/>
  <c r="AS1475" i="16"/>
  <c r="AS1476" i="16"/>
  <c r="AS1477" i="16"/>
  <c r="AS1478" i="16"/>
  <c r="AS1479" i="16"/>
  <c r="AS1480" i="16"/>
  <c r="AS1481" i="16"/>
  <c r="AS1482" i="16"/>
  <c r="AS1483" i="16"/>
  <c r="AS1484" i="16"/>
  <c r="AS1485" i="16"/>
  <c r="AS1486" i="16"/>
  <c r="AS1487" i="16"/>
  <c r="AS1488" i="16"/>
  <c r="AS1489" i="16"/>
  <c r="AS1490" i="16"/>
  <c r="AS1491" i="16"/>
  <c r="AS1492" i="16"/>
  <c r="AS1493" i="16"/>
  <c r="AS1494" i="16"/>
  <c r="AS1495" i="16"/>
  <c r="AS1496" i="16"/>
  <c r="AS1497" i="16"/>
  <c r="AS1498" i="16"/>
  <c r="AS1499" i="16"/>
  <c r="AS1500" i="16"/>
  <c r="AS1501" i="16"/>
  <c r="AS1502" i="16"/>
  <c r="AS1503" i="16"/>
  <c r="AS1504" i="16"/>
  <c r="AS1505" i="16"/>
  <c r="AS1506" i="16"/>
  <c r="AS1507" i="16"/>
  <c r="AS1508" i="16"/>
  <c r="AS1509" i="16"/>
  <c r="AS1510" i="16"/>
  <c r="AS1511" i="16"/>
  <c r="AS1512" i="16"/>
  <c r="AS1513" i="16"/>
  <c r="AS1514" i="16"/>
  <c r="AS1515" i="16"/>
  <c r="AS1516" i="16"/>
  <c r="AS1517" i="16"/>
  <c r="AS1518" i="16"/>
  <c r="AS1519" i="16"/>
  <c r="AS1520" i="16"/>
  <c r="AS1521" i="16"/>
  <c r="AS1522" i="16"/>
  <c r="AS1523" i="16"/>
  <c r="AS1524" i="16"/>
  <c r="AS1525" i="16"/>
  <c r="AS1526" i="16"/>
  <c r="AS1527" i="16"/>
  <c r="AS1528" i="16"/>
  <c r="AS1529" i="16"/>
  <c r="AS1530" i="16"/>
  <c r="AS1531" i="16"/>
  <c r="AS1532" i="16"/>
  <c r="AS1533" i="16"/>
  <c r="AS1534" i="16"/>
  <c r="AS1535" i="16"/>
  <c r="AS1536" i="16"/>
  <c r="AS1537" i="16"/>
  <c r="AS1538" i="16"/>
  <c r="AS1539" i="16"/>
  <c r="AS1540" i="16"/>
  <c r="AS1541" i="16"/>
  <c r="AS1542" i="16"/>
  <c r="AS1543" i="16"/>
  <c r="AS1544" i="16"/>
  <c r="AS1545" i="16"/>
  <c r="AS1546" i="16"/>
  <c r="AS1547" i="16"/>
  <c r="AS1548" i="16"/>
  <c r="AS1549" i="16"/>
  <c r="AS1550" i="16"/>
  <c r="AS1551" i="16"/>
  <c r="AS1552" i="16"/>
  <c r="AS1553" i="16"/>
  <c r="AS1554" i="16"/>
  <c r="AS1555" i="16"/>
  <c r="AS1556" i="16"/>
  <c r="AS1557" i="16"/>
  <c r="AS1558" i="16"/>
  <c r="AS1559" i="16"/>
  <c r="AS1560" i="16"/>
  <c r="AS1561" i="16"/>
  <c r="AS1562" i="16"/>
  <c r="AS1563" i="16"/>
  <c r="AS1564" i="16"/>
  <c r="AS1565" i="16"/>
  <c r="AS1566" i="16"/>
  <c r="AS1567" i="16"/>
  <c r="AS1568" i="16"/>
  <c r="AS1569" i="16"/>
  <c r="AS1570" i="16"/>
  <c r="AS1571" i="16"/>
  <c r="AS1572" i="16"/>
  <c r="AS1573" i="16"/>
  <c r="AS1574" i="16"/>
  <c r="AS1575" i="16"/>
  <c r="AS1576" i="16"/>
  <c r="AS1577" i="16"/>
  <c r="AS1578" i="16"/>
  <c r="AS1579" i="16"/>
  <c r="AS1580" i="16"/>
  <c r="AS1581" i="16"/>
  <c r="AS1582" i="16"/>
  <c r="AS1583" i="16"/>
  <c r="AS1584" i="16"/>
  <c r="AS1585" i="16"/>
  <c r="AS1586" i="16"/>
  <c r="AS1587" i="16"/>
  <c r="AS1588" i="16"/>
  <c r="AS1589" i="16"/>
  <c r="AS1590" i="16"/>
  <c r="AS1591" i="16"/>
  <c r="AS1592" i="16"/>
  <c r="AS1593" i="16"/>
  <c r="AS1594" i="16"/>
  <c r="AS1595" i="16"/>
  <c r="AS1596" i="16"/>
  <c r="AS1597" i="16"/>
  <c r="AS1598" i="16"/>
  <c r="AS1599" i="16"/>
  <c r="AS1600" i="16"/>
  <c r="AS1601" i="16"/>
  <c r="AS1602" i="16"/>
  <c r="AS1603" i="16"/>
  <c r="AS1604" i="16"/>
  <c r="AS1605" i="16"/>
  <c r="AS1606" i="16"/>
  <c r="AS1607" i="16"/>
  <c r="AS1608" i="16"/>
  <c r="AS1609" i="16"/>
  <c r="AS1610" i="16"/>
  <c r="AS1611" i="16"/>
  <c r="AS1612" i="16"/>
  <c r="AS1613" i="16"/>
  <c r="AS1614" i="16"/>
  <c r="AS1615" i="16"/>
  <c r="AS1616" i="16"/>
  <c r="AS1617" i="16"/>
  <c r="AS1618" i="16"/>
  <c r="AS1619" i="16"/>
  <c r="AS1620" i="16"/>
  <c r="AS1621" i="16"/>
  <c r="AS1622" i="16"/>
  <c r="AS1623" i="16"/>
  <c r="AS1624" i="16"/>
  <c r="AS1625" i="16"/>
  <c r="AS1626" i="16"/>
  <c r="AS1627" i="16"/>
  <c r="AS1628" i="16"/>
  <c r="AS1629" i="16"/>
  <c r="AS1630" i="16"/>
  <c r="AS1631" i="16"/>
  <c r="AS1632" i="16"/>
  <c r="AS1633" i="16"/>
  <c r="AS1634" i="16"/>
  <c r="AS1635" i="16"/>
  <c r="AS1636" i="16"/>
  <c r="AS1637" i="16"/>
  <c r="AS1638" i="16"/>
  <c r="AS1639" i="16"/>
  <c r="AS1640" i="16"/>
  <c r="AS1641" i="16"/>
  <c r="AS1642" i="16"/>
  <c r="AS1643" i="16"/>
  <c r="AS1644" i="16"/>
  <c r="AS1645" i="16"/>
  <c r="AS1646" i="16"/>
  <c r="AS1647" i="16"/>
  <c r="AS1648" i="16"/>
  <c r="AS1649" i="16"/>
  <c r="AS1650" i="16"/>
  <c r="AS1651" i="16"/>
  <c r="AS1652" i="16"/>
  <c r="AS1653" i="16"/>
  <c r="AS1654" i="16"/>
  <c r="AS1655" i="16"/>
  <c r="AS1656" i="16"/>
  <c r="AS1657" i="16"/>
  <c r="AS1658" i="16"/>
  <c r="AS1659" i="16"/>
  <c r="AS1660" i="16"/>
  <c r="AS1661" i="16"/>
  <c r="AS1662" i="16"/>
  <c r="AS1663" i="16"/>
  <c r="AS1664" i="16"/>
  <c r="AS1665" i="16"/>
  <c r="AS1666" i="16"/>
  <c r="AS1667" i="16"/>
  <c r="AS1668" i="16"/>
  <c r="AS1669" i="16"/>
  <c r="AS1670" i="16"/>
  <c r="AS1671" i="16"/>
  <c r="AS1672" i="16"/>
  <c r="AS1673" i="16"/>
  <c r="AS1674" i="16"/>
  <c r="AS1675" i="16"/>
  <c r="AS1676" i="16"/>
  <c r="AS1677" i="16"/>
  <c r="AS1678" i="16"/>
  <c r="AS1679" i="16"/>
  <c r="AS1680" i="16"/>
  <c r="AS1681" i="16"/>
  <c r="AS1682" i="16"/>
  <c r="AS1683" i="16"/>
  <c r="AS1684" i="16"/>
  <c r="AS1685" i="16"/>
  <c r="AS1686" i="16"/>
  <c r="AS1687" i="16"/>
  <c r="AS1688" i="16"/>
  <c r="AS1689" i="16"/>
  <c r="AS1690" i="16"/>
  <c r="AS1691" i="16"/>
  <c r="AS1692" i="16"/>
  <c r="AS1693" i="16"/>
  <c r="AS1694" i="16"/>
  <c r="AS1695" i="16"/>
  <c r="AS1696" i="16"/>
  <c r="AS1697" i="16"/>
  <c r="AS1698" i="16"/>
  <c r="AS1699" i="16"/>
  <c r="AS1700" i="16"/>
  <c r="AS1701" i="16"/>
  <c r="AS1702" i="16"/>
  <c r="AS1703" i="16"/>
  <c r="AS1704" i="16"/>
  <c r="AS1705" i="16"/>
  <c r="AS1706" i="16"/>
  <c r="AS1707" i="16"/>
  <c r="AS1708" i="16"/>
  <c r="AS1709" i="16"/>
  <c r="AS1710" i="16"/>
  <c r="AS1711" i="16"/>
  <c r="AS1712" i="16"/>
  <c r="AS1713" i="16"/>
  <c r="AS1714" i="16"/>
  <c r="AS1715" i="16"/>
  <c r="AS1716" i="16"/>
  <c r="AS1717" i="16"/>
  <c r="AS1718" i="16"/>
  <c r="AS1719" i="16"/>
  <c r="AS1720" i="16"/>
  <c r="AS1721" i="16"/>
  <c r="AS1722" i="16"/>
  <c r="AS1723" i="16"/>
  <c r="AS1724" i="16"/>
  <c r="AS1725" i="16"/>
  <c r="AS1726" i="16"/>
  <c r="AS1727" i="16"/>
  <c r="AS1728" i="16"/>
  <c r="AS1729" i="16"/>
  <c r="AS1730" i="16"/>
  <c r="AS1731" i="16"/>
  <c r="AS1732" i="16"/>
  <c r="AS1733" i="16"/>
  <c r="AL628" i="16"/>
  <c r="AL629" i="16"/>
  <c r="AL630" i="16"/>
  <c r="AL631" i="16"/>
  <c r="AL632" i="16"/>
  <c r="AL633" i="16"/>
  <c r="AL634" i="16"/>
  <c r="AL635" i="16"/>
  <c r="AL636" i="16"/>
  <c r="AL637" i="16"/>
  <c r="AL638" i="16"/>
  <c r="AL639" i="16"/>
  <c r="AL640" i="16"/>
  <c r="AL641" i="16"/>
  <c r="AL642" i="16"/>
  <c r="AL643" i="16"/>
  <c r="AL644" i="16"/>
  <c r="AL645" i="16"/>
  <c r="AL646" i="16"/>
  <c r="AL647" i="16"/>
  <c r="AL648" i="16"/>
  <c r="AL649" i="16"/>
  <c r="AL650" i="16"/>
  <c r="AL651" i="16"/>
  <c r="AL652" i="16"/>
  <c r="AL653" i="16"/>
  <c r="AL654" i="16"/>
  <c r="AL655" i="16"/>
  <c r="AL656" i="16"/>
  <c r="AL657" i="16"/>
  <c r="AL658" i="16"/>
  <c r="AL659" i="16"/>
  <c r="AL660" i="16"/>
  <c r="AL661" i="16"/>
  <c r="AL662" i="16"/>
  <c r="AL663" i="16"/>
  <c r="AL664" i="16"/>
  <c r="AL665" i="16"/>
  <c r="AL666" i="16"/>
  <c r="AL667" i="16"/>
  <c r="AL668" i="16"/>
  <c r="AL669" i="16"/>
  <c r="AL670" i="16"/>
  <c r="AL671" i="16"/>
  <c r="AL672" i="16"/>
  <c r="AL673" i="16"/>
  <c r="AL674" i="16"/>
  <c r="AL675" i="16"/>
  <c r="AL676" i="16"/>
  <c r="AL677" i="16"/>
  <c r="AL678" i="16"/>
  <c r="AL679" i="16"/>
  <c r="AL680" i="16"/>
  <c r="AL681" i="16"/>
  <c r="AL682" i="16"/>
  <c r="AL683" i="16"/>
  <c r="AL684" i="16"/>
  <c r="AL685" i="16"/>
  <c r="AL686" i="16"/>
  <c r="AL687" i="16"/>
  <c r="AL688" i="16"/>
  <c r="AL689" i="16"/>
  <c r="AL690" i="16"/>
  <c r="AL691" i="16"/>
  <c r="AL692" i="16"/>
  <c r="AL693" i="16"/>
  <c r="AL694" i="16"/>
  <c r="AL695" i="16"/>
  <c r="AL696" i="16"/>
  <c r="AL697" i="16"/>
  <c r="AL698" i="16"/>
  <c r="AL699" i="16"/>
  <c r="AL700" i="16"/>
  <c r="AL701" i="16"/>
  <c r="AL702" i="16"/>
  <c r="AL703" i="16"/>
  <c r="AL704" i="16"/>
  <c r="AL705" i="16"/>
  <c r="AL706" i="16"/>
  <c r="AL707" i="16"/>
  <c r="AL708" i="16"/>
  <c r="AL709" i="16"/>
  <c r="AL710" i="16"/>
  <c r="AL711" i="16"/>
  <c r="AL712" i="16"/>
  <c r="AL713" i="16"/>
  <c r="AL714" i="16"/>
  <c r="AL715" i="16"/>
  <c r="AL716" i="16"/>
  <c r="AL717" i="16"/>
  <c r="AL718" i="16"/>
  <c r="AL719" i="16"/>
  <c r="AL720" i="16"/>
  <c r="AL721" i="16"/>
  <c r="AL722" i="16"/>
  <c r="AL723" i="16"/>
  <c r="AL724" i="16"/>
  <c r="AL725" i="16"/>
  <c r="AL726" i="16"/>
  <c r="AL727" i="16"/>
  <c r="AL728" i="16"/>
  <c r="AL729" i="16"/>
  <c r="AL730" i="16"/>
  <c r="AL731" i="16"/>
  <c r="AL732" i="16"/>
  <c r="AL733" i="16"/>
  <c r="AL734" i="16"/>
  <c r="AL735" i="16"/>
  <c r="AL736" i="16"/>
  <c r="AL737" i="16"/>
  <c r="AL738" i="16"/>
  <c r="AL739" i="16"/>
  <c r="AL740" i="16"/>
  <c r="AL741" i="16"/>
  <c r="AL742" i="16"/>
  <c r="AL743" i="16"/>
  <c r="AL744" i="16"/>
  <c r="AL745" i="16"/>
  <c r="AL746" i="16"/>
  <c r="AL747" i="16"/>
  <c r="AL748" i="16"/>
  <c r="AL749" i="16"/>
  <c r="AL750" i="16"/>
  <c r="AL751" i="16"/>
  <c r="AL752" i="16"/>
  <c r="AL753" i="16"/>
  <c r="AL754" i="16"/>
  <c r="AL755" i="16"/>
  <c r="AL756" i="16"/>
  <c r="AL757" i="16"/>
  <c r="AL758" i="16"/>
  <c r="AL759" i="16"/>
  <c r="AL760" i="16"/>
  <c r="AL761" i="16"/>
  <c r="AL762" i="16"/>
  <c r="AL763" i="16"/>
  <c r="AL764" i="16"/>
  <c r="AL765" i="16"/>
  <c r="AL766" i="16"/>
  <c r="AL767" i="16"/>
  <c r="AL768" i="16"/>
  <c r="AL769" i="16"/>
  <c r="AL770" i="16"/>
  <c r="AL771" i="16"/>
  <c r="AL772" i="16"/>
  <c r="AL773" i="16"/>
  <c r="AL774" i="16"/>
  <c r="AL775" i="16"/>
  <c r="AL776" i="16"/>
  <c r="AL777" i="16"/>
  <c r="AL778" i="16"/>
  <c r="AL779" i="16"/>
  <c r="AL780" i="16"/>
  <c r="AL781" i="16"/>
  <c r="AL782" i="16"/>
  <c r="AL783" i="16"/>
  <c r="AL784" i="16"/>
  <c r="AL785" i="16"/>
  <c r="AL786" i="16"/>
  <c r="AL787" i="16"/>
  <c r="AL788" i="16"/>
  <c r="AL789" i="16"/>
  <c r="AL790" i="16"/>
  <c r="AL791" i="16"/>
  <c r="AL792" i="16"/>
  <c r="AL793" i="16"/>
  <c r="AL794" i="16"/>
  <c r="AL795" i="16"/>
  <c r="AL796" i="16"/>
  <c r="AL797" i="16"/>
  <c r="AL798" i="16"/>
  <c r="AL799" i="16"/>
  <c r="AL800" i="16"/>
  <c r="AL801" i="16"/>
  <c r="AL802" i="16"/>
  <c r="AL803" i="16"/>
  <c r="AL804" i="16"/>
  <c r="AL805" i="16"/>
  <c r="AL806" i="16"/>
  <c r="AL807" i="16"/>
  <c r="AL808" i="16"/>
  <c r="AL809" i="16"/>
  <c r="AL810" i="16"/>
  <c r="AL811" i="16"/>
  <c r="AL812" i="16"/>
  <c r="AL813" i="16"/>
  <c r="AL814" i="16"/>
  <c r="AL815" i="16"/>
  <c r="AL816" i="16"/>
  <c r="AL817" i="16"/>
  <c r="AL818" i="16"/>
  <c r="AL819" i="16"/>
  <c r="AL820" i="16"/>
  <c r="AL821" i="16"/>
  <c r="AL822" i="16"/>
  <c r="AL823" i="16"/>
  <c r="AL824" i="16"/>
  <c r="AL825" i="16"/>
  <c r="AL826" i="16"/>
  <c r="AL827" i="16"/>
  <c r="AL828" i="16"/>
  <c r="AL829" i="16"/>
  <c r="AL830" i="16"/>
  <c r="AL831" i="16"/>
  <c r="AL832" i="16"/>
  <c r="AL833" i="16"/>
  <c r="AL834" i="16"/>
  <c r="AL835" i="16"/>
  <c r="AL836" i="16"/>
  <c r="AL837" i="16"/>
  <c r="AL838" i="16"/>
  <c r="AL839" i="16"/>
  <c r="AL840" i="16"/>
  <c r="AL841" i="16"/>
  <c r="AL842" i="16"/>
  <c r="AL843" i="16"/>
  <c r="AL844" i="16"/>
  <c r="AL845" i="16"/>
  <c r="AL846" i="16"/>
  <c r="AL847" i="16"/>
  <c r="AL848" i="16"/>
  <c r="AL849" i="16"/>
  <c r="AL850" i="16"/>
  <c r="AL851" i="16"/>
  <c r="AL852" i="16"/>
  <c r="AL853" i="16"/>
  <c r="AL854" i="16"/>
  <c r="AL855" i="16"/>
  <c r="AL856" i="16"/>
  <c r="AL857" i="16"/>
  <c r="AL858" i="16"/>
  <c r="AL859" i="16"/>
  <c r="AL860" i="16"/>
  <c r="AL861" i="16"/>
  <c r="AL862" i="16"/>
  <c r="AL863" i="16"/>
  <c r="AL864" i="16"/>
  <c r="AL865" i="16"/>
  <c r="AL866" i="16"/>
  <c r="AL867" i="16"/>
  <c r="AL868" i="16"/>
  <c r="AL869" i="16"/>
  <c r="AL870" i="16"/>
  <c r="AL871" i="16"/>
  <c r="AL872" i="16"/>
  <c r="AL873" i="16"/>
  <c r="AL874" i="16"/>
  <c r="AL875" i="16"/>
  <c r="AL876" i="16"/>
  <c r="AL877" i="16"/>
  <c r="AL878" i="16"/>
  <c r="AL879" i="16"/>
  <c r="AL880" i="16"/>
  <c r="AL881" i="16"/>
  <c r="AL882" i="16"/>
  <c r="AL883" i="16"/>
  <c r="AL884" i="16"/>
  <c r="AL885" i="16"/>
  <c r="AL886" i="16"/>
  <c r="AL887" i="16"/>
  <c r="AL888" i="16"/>
  <c r="AL889" i="16"/>
  <c r="AL890" i="16"/>
  <c r="AL891" i="16"/>
  <c r="AL892" i="16"/>
  <c r="AL893" i="16"/>
  <c r="AL894" i="16"/>
  <c r="AL895" i="16"/>
  <c r="AL896" i="16"/>
  <c r="AL897" i="16"/>
  <c r="AL898" i="16"/>
  <c r="AL899" i="16"/>
  <c r="AL900" i="16"/>
  <c r="AL901" i="16"/>
  <c r="AL902" i="16"/>
  <c r="AL903" i="16"/>
  <c r="AL904" i="16"/>
  <c r="AL905" i="16"/>
  <c r="AL906" i="16"/>
  <c r="AL907" i="16"/>
  <c r="AL908" i="16"/>
  <c r="AL909" i="16"/>
  <c r="AL910" i="16"/>
  <c r="AL911" i="16"/>
  <c r="AL912" i="16"/>
  <c r="AL913" i="16"/>
  <c r="AL914" i="16"/>
  <c r="AL915" i="16"/>
  <c r="AL916" i="16"/>
  <c r="AL917" i="16"/>
  <c r="AL918" i="16"/>
  <c r="AL919" i="16"/>
  <c r="AL920" i="16"/>
  <c r="AL921" i="16"/>
  <c r="AL922" i="16"/>
  <c r="AL923" i="16"/>
  <c r="AL924" i="16"/>
  <c r="AL925" i="16"/>
  <c r="AL926" i="16"/>
  <c r="AL927" i="16"/>
  <c r="AL928" i="16"/>
  <c r="AL929" i="16"/>
  <c r="AL930" i="16"/>
  <c r="AL931" i="16"/>
  <c r="AL932" i="16"/>
  <c r="AL933" i="16"/>
  <c r="AL934" i="16"/>
  <c r="AL935" i="16"/>
  <c r="AL936" i="16"/>
  <c r="AL937" i="16"/>
  <c r="AL938" i="16"/>
  <c r="AL939" i="16"/>
  <c r="AL940" i="16"/>
  <c r="AL941" i="16"/>
  <c r="AL942" i="16"/>
  <c r="AL943" i="16"/>
  <c r="AL944" i="16"/>
  <c r="AL945" i="16"/>
  <c r="AL946" i="16"/>
  <c r="AL947" i="16"/>
  <c r="AL948" i="16"/>
  <c r="AL949" i="16"/>
  <c r="AL950" i="16"/>
  <c r="AL951" i="16"/>
  <c r="AL952" i="16"/>
  <c r="AL953" i="16"/>
  <c r="AL954" i="16"/>
  <c r="AL955" i="16"/>
  <c r="AL956" i="16"/>
  <c r="AL957" i="16"/>
  <c r="AL958" i="16"/>
  <c r="AL959" i="16"/>
  <c r="AL960" i="16"/>
  <c r="AL961" i="16"/>
  <c r="AL962" i="16"/>
  <c r="AL963" i="16"/>
  <c r="AL964" i="16"/>
  <c r="AL965" i="16"/>
  <c r="AL966" i="16"/>
  <c r="AL967" i="16"/>
  <c r="AL968" i="16"/>
  <c r="AL969" i="16"/>
  <c r="AL970" i="16"/>
  <c r="AL971" i="16"/>
  <c r="AL972" i="16"/>
  <c r="AL973" i="16"/>
  <c r="AL974" i="16"/>
  <c r="AL975" i="16"/>
  <c r="AL976" i="16"/>
  <c r="AL977" i="16"/>
  <c r="AL978" i="16"/>
  <c r="AL979" i="16"/>
  <c r="AL980" i="16"/>
  <c r="AL981" i="16"/>
  <c r="AL982" i="16"/>
  <c r="AL983" i="16"/>
  <c r="AL984" i="16"/>
  <c r="AL985" i="16"/>
  <c r="AL986" i="16"/>
  <c r="AL987" i="16"/>
  <c r="AL988" i="16"/>
  <c r="AL989" i="16"/>
  <c r="AL990" i="16"/>
  <c r="AL991" i="16"/>
  <c r="AL992" i="16"/>
  <c r="AL993" i="16"/>
  <c r="AL994" i="16"/>
  <c r="AL995" i="16"/>
  <c r="AL996" i="16"/>
  <c r="AL997" i="16"/>
  <c r="AL998" i="16"/>
  <c r="AL999" i="16"/>
  <c r="AL1000" i="16"/>
  <c r="AL1001" i="16"/>
  <c r="AL1002" i="16"/>
  <c r="AL1003" i="16"/>
  <c r="AL1004" i="16"/>
  <c r="AL1005" i="16"/>
  <c r="AL1006" i="16"/>
  <c r="AL1007" i="16"/>
  <c r="AL1008" i="16"/>
  <c r="AL1009" i="16"/>
  <c r="AL1010" i="16"/>
  <c r="AL1011" i="16"/>
  <c r="AL1012" i="16"/>
  <c r="AL1013" i="16"/>
  <c r="AL1014" i="16"/>
  <c r="AL1015" i="16"/>
  <c r="AL1016" i="16"/>
  <c r="AL1017" i="16"/>
  <c r="AL1018" i="16"/>
  <c r="AL1019" i="16"/>
  <c r="AL1020" i="16"/>
  <c r="AL1021" i="16"/>
  <c r="AL1022" i="16"/>
  <c r="AL1023" i="16"/>
  <c r="AL1024" i="16"/>
  <c r="AL1025" i="16"/>
  <c r="AL1026" i="16"/>
  <c r="AL1027" i="16"/>
  <c r="AL1028" i="16"/>
  <c r="AL1029" i="16"/>
  <c r="AL1030" i="16"/>
  <c r="AL1031" i="16"/>
  <c r="AL1032" i="16"/>
  <c r="AL1033" i="16"/>
  <c r="AL1034" i="16"/>
  <c r="AL1035" i="16"/>
  <c r="AL1036" i="16"/>
  <c r="AL1037" i="16"/>
  <c r="AL1038" i="16"/>
  <c r="AL1039" i="16"/>
  <c r="AL1040" i="16"/>
  <c r="AL1041" i="16"/>
  <c r="AL1042" i="16"/>
  <c r="AL1043" i="16"/>
  <c r="AL1044" i="16"/>
  <c r="AL1045" i="16"/>
  <c r="AL1046" i="16"/>
  <c r="AL1047" i="16"/>
  <c r="AL1048" i="16"/>
  <c r="AL1049" i="16"/>
  <c r="AL1050" i="16"/>
  <c r="AL1051" i="16"/>
  <c r="AL1052" i="16"/>
  <c r="AL1053" i="16"/>
  <c r="AL1054" i="16"/>
  <c r="AL1055" i="16"/>
  <c r="AL1056" i="16"/>
  <c r="AL1057" i="16"/>
  <c r="AL1058" i="16"/>
  <c r="AL1059" i="16"/>
  <c r="AL1060" i="16"/>
  <c r="AL1061" i="16"/>
  <c r="AL1062" i="16"/>
  <c r="AL1063" i="16"/>
  <c r="AL1064" i="16"/>
  <c r="AL1065" i="16"/>
  <c r="AL1066" i="16"/>
  <c r="AL1067" i="16"/>
  <c r="AL1068" i="16"/>
  <c r="AL1069" i="16"/>
  <c r="AL1070" i="16"/>
  <c r="AL1071" i="16"/>
  <c r="AL1072" i="16"/>
  <c r="AL1073" i="16"/>
  <c r="AL1074" i="16"/>
  <c r="AL1075" i="16"/>
  <c r="AL1076" i="16"/>
  <c r="AL1077" i="16"/>
  <c r="AL1078" i="16"/>
  <c r="AL1079" i="16"/>
  <c r="AL1080" i="16"/>
  <c r="AL1081" i="16"/>
  <c r="AL1082" i="16"/>
  <c r="AL1083" i="16"/>
  <c r="AL1084" i="16"/>
  <c r="AL1085" i="16"/>
  <c r="AL1086" i="16"/>
  <c r="AL1087" i="16"/>
  <c r="AL1088" i="16"/>
  <c r="AL1089" i="16"/>
  <c r="AL1090" i="16"/>
  <c r="AL1091" i="16"/>
  <c r="AL1092" i="16"/>
  <c r="AL1093" i="16"/>
  <c r="AL1094" i="16"/>
  <c r="AL1095" i="16"/>
  <c r="AL1096" i="16"/>
  <c r="AL1097" i="16"/>
  <c r="AL1098" i="16"/>
  <c r="AL1099" i="16"/>
  <c r="AL1100" i="16"/>
  <c r="AL1101" i="16"/>
  <c r="AL1102" i="16"/>
  <c r="AL1103" i="16"/>
  <c r="AL1104" i="16"/>
  <c r="AL1105" i="16"/>
  <c r="AL1106" i="16"/>
  <c r="AL1107" i="16"/>
  <c r="AL1108" i="16"/>
  <c r="AL1109" i="16"/>
  <c r="AL1110" i="16"/>
  <c r="AL1111" i="16"/>
  <c r="AL1112" i="16"/>
  <c r="AL1113" i="16"/>
  <c r="AL1114" i="16"/>
  <c r="AL1115" i="16"/>
  <c r="AL1116" i="16"/>
  <c r="AL1117" i="16"/>
  <c r="AL1118" i="16"/>
  <c r="AL1119" i="16"/>
  <c r="AL1120" i="16"/>
  <c r="AL1121" i="16"/>
  <c r="AL1122" i="16"/>
  <c r="AL1123" i="16"/>
  <c r="AL1124" i="16"/>
  <c r="AL1125" i="16"/>
  <c r="AL1126" i="16"/>
  <c r="AL1127" i="16"/>
  <c r="AL1128" i="16"/>
  <c r="AL1129" i="16"/>
  <c r="AL1130" i="16"/>
  <c r="AL1131" i="16"/>
  <c r="AL1132" i="16"/>
  <c r="AL1133" i="16"/>
  <c r="AL1134" i="16"/>
  <c r="AL1135" i="16"/>
  <c r="AL1136" i="16"/>
  <c r="AL1137" i="16"/>
  <c r="AL1138" i="16"/>
  <c r="AL1139" i="16"/>
  <c r="AL1140" i="16"/>
  <c r="AL1141" i="16"/>
  <c r="AL1142" i="16"/>
  <c r="AL1143" i="16"/>
  <c r="AL1144" i="16"/>
  <c r="AL1145" i="16"/>
  <c r="AL1146" i="16"/>
  <c r="AL1147" i="16"/>
  <c r="AL1148" i="16"/>
  <c r="AL1149" i="16"/>
  <c r="AL1150" i="16"/>
  <c r="AL1151" i="16"/>
  <c r="AL1152" i="16"/>
  <c r="AL1153" i="16"/>
  <c r="AL1154" i="16"/>
  <c r="AL1155" i="16"/>
  <c r="AL1156" i="16"/>
  <c r="AL1157" i="16"/>
  <c r="AL1158" i="16"/>
  <c r="AL1159" i="16"/>
  <c r="AL1160" i="16"/>
  <c r="AL1161" i="16"/>
  <c r="AL1162" i="16"/>
  <c r="AL1163" i="16"/>
  <c r="AL1164" i="16"/>
  <c r="AL1165" i="16"/>
  <c r="AL1166" i="16"/>
  <c r="AL1167" i="16"/>
  <c r="AL1168" i="16"/>
  <c r="AL1169" i="16"/>
  <c r="AL1170" i="16"/>
  <c r="AL1171" i="16"/>
  <c r="AL1172" i="16"/>
  <c r="AL1173" i="16"/>
  <c r="AL1174" i="16"/>
  <c r="AL1175" i="16"/>
  <c r="AL1176" i="16"/>
  <c r="AL1177" i="16"/>
  <c r="AL1178" i="16"/>
  <c r="AL1179" i="16"/>
  <c r="AL1180" i="16"/>
  <c r="AL1181" i="16"/>
  <c r="AL1182" i="16"/>
  <c r="AL1183" i="16"/>
  <c r="AL1184" i="16"/>
  <c r="AL1185" i="16"/>
  <c r="AL1186" i="16"/>
  <c r="AL1187" i="16"/>
  <c r="AL1188" i="16"/>
  <c r="AL1189" i="16"/>
  <c r="AL1190" i="16"/>
  <c r="AL1191" i="16"/>
  <c r="AL1192" i="16"/>
  <c r="AL1193" i="16"/>
  <c r="AL1194" i="16"/>
  <c r="AL1195" i="16"/>
  <c r="AL1196" i="16"/>
  <c r="AL1197" i="16"/>
  <c r="AL1198" i="16"/>
  <c r="AL1199" i="16"/>
  <c r="AL1200" i="16"/>
  <c r="AL1201" i="16"/>
  <c r="AL1202" i="16"/>
  <c r="AL1203" i="16"/>
  <c r="AL1204" i="16"/>
  <c r="AL1205" i="16"/>
  <c r="AL1206" i="16"/>
  <c r="AL1207" i="16"/>
  <c r="AL1208" i="16"/>
  <c r="AL1209" i="16"/>
  <c r="AL1210" i="16"/>
  <c r="AL1211" i="16"/>
  <c r="AL1212" i="16"/>
  <c r="AL1213" i="16"/>
  <c r="AL1214" i="16"/>
  <c r="AL1215" i="16"/>
  <c r="AL1216" i="16"/>
  <c r="AL1217" i="16"/>
  <c r="AL1218" i="16"/>
  <c r="AL1219" i="16"/>
  <c r="AL1220" i="16"/>
  <c r="AL1221" i="16"/>
  <c r="AL1222" i="16"/>
  <c r="AL1223" i="16"/>
  <c r="AL1224" i="16"/>
  <c r="AL1225" i="16"/>
  <c r="AL1226" i="16"/>
  <c r="AL1227" i="16"/>
  <c r="AL1228" i="16"/>
  <c r="AL1229" i="16"/>
  <c r="AL1230" i="16"/>
  <c r="AL1231" i="16"/>
  <c r="AL1232" i="16"/>
  <c r="AL1233" i="16"/>
  <c r="AL1234" i="16"/>
  <c r="AL1235" i="16"/>
  <c r="AL1236" i="16"/>
  <c r="AL1237" i="16"/>
  <c r="AL1238" i="16"/>
  <c r="AL1239" i="16"/>
  <c r="AL1240" i="16"/>
  <c r="AL1241" i="16"/>
  <c r="AL1242" i="16"/>
  <c r="AL1243" i="16"/>
  <c r="AL1244" i="16"/>
  <c r="AL1245" i="16"/>
  <c r="AL1246" i="16"/>
  <c r="AL1247" i="16"/>
  <c r="AL1248" i="16"/>
  <c r="AL1249" i="16"/>
  <c r="AL1250" i="16"/>
  <c r="AL1251" i="16"/>
  <c r="AL1252" i="16"/>
  <c r="AL1253" i="16"/>
  <c r="AL1254" i="16"/>
  <c r="AL1255" i="16"/>
  <c r="AL1256" i="16"/>
  <c r="AL1257" i="16"/>
  <c r="AL1258" i="16"/>
  <c r="AL1259" i="16"/>
  <c r="AL1260" i="16"/>
  <c r="AL1261" i="16"/>
  <c r="AL1262" i="16"/>
  <c r="AL1263" i="16"/>
  <c r="AL1264" i="16"/>
  <c r="AL1265" i="16"/>
  <c r="AL1266" i="16"/>
  <c r="AL1267" i="16"/>
  <c r="AL1268" i="16"/>
  <c r="AL1269" i="16"/>
  <c r="AL1270" i="16"/>
  <c r="AL1271" i="16"/>
  <c r="AL1272" i="16"/>
  <c r="AL1273" i="16"/>
  <c r="AL1274" i="16"/>
  <c r="AL1275" i="16"/>
  <c r="AL1276" i="16"/>
  <c r="AL1277" i="16"/>
  <c r="AL1278" i="16"/>
  <c r="AL1279" i="16"/>
  <c r="AL1280" i="16"/>
  <c r="AL1281" i="16"/>
  <c r="AL1282" i="16"/>
  <c r="AL1283" i="16"/>
  <c r="AL1284" i="16"/>
  <c r="AL1285" i="16"/>
  <c r="AL1286" i="16"/>
  <c r="AL1287" i="16"/>
  <c r="AL1288" i="16"/>
  <c r="AL1289" i="16"/>
  <c r="AL1290" i="16"/>
  <c r="AL1291" i="16"/>
  <c r="AL1292" i="16"/>
  <c r="AL1293" i="16"/>
  <c r="AL1294" i="16"/>
  <c r="AL1295" i="16"/>
  <c r="AL1296" i="16"/>
  <c r="AL1297" i="16"/>
  <c r="AL1298" i="16"/>
  <c r="AL1299" i="16"/>
  <c r="AL1300" i="16"/>
  <c r="AL1301" i="16"/>
  <c r="AL1302" i="16"/>
  <c r="AL1303" i="16"/>
  <c r="AL1304" i="16"/>
  <c r="AL1305" i="16"/>
  <c r="AL1306" i="16"/>
  <c r="AL1307" i="16"/>
  <c r="AL1308" i="16"/>
  <c r="AL1309" i="16"/>
  <c r="AL1310" i="16"/>
  <c r="AL1311" i="16"/>
  <c r="AL1312" i="16"/>
  <c r="AL1313" i="16"/>
  <c r="AL1314" i="16"/>
  <c r="AL1315" i="16"/>
  <c r="AL1316" i="16"/>
  <c r="AL1317" i="16"/>
  <c r="AL1318" i="16"/>
  <c r="AL1319" i="16"/>
  <c r="AL1320" i="16"/>
  <c r="AL1321" i="16"/>
  <c r="AL1322" i="16"/>
  <c r="AL1323" i="16"/>
  <c r="AL1324" i="16"/>
  <c r="AL1325" i="16"/>
  <c r="AL1326" i="16"/>
  <c r="AL1327" i="16"/>
  <c r="AL1328" i="16"/>
  <c r="AL1329" i="16"/>
  <c r="AL1330" i="16"/>
  <c r="AL1331" i="16"/>
  <c r="AL1332" i="16"/>
  <c r="AL1333" i="16"/>
  <c r="AL1334" i="16"/>
  <c r="AL1335" i="16"/>
  <c r="AL1336" i="16"/>
  <c r="AL1337" i="16"/>
  <c r="AL1338" i="16"/>
  <c r="AL1339" i="16"/>
  <c r="AL1340" i="16"/>
  <c r="AL1341" i="16"/>
  <c r="AL1342" i="16"/>
  <c r="AL1343" i="16"/>
  <c r="AL1344" i="16"/>
  <c r="AL1345" i="16"/>
  <c r="AL1346" i="16"/>
  <c r="AL1347" i="16"/>
  <c r="AL1348" i="16"/>
  <c r="AL1349" i="16"/>
  <c r="AL1350" i="16"/>
  <c r="AL1351" i="16"/>
  <c r="AL1352" i="16"/>
  <c r="AL1353" i="16"/>
  <c r="AL1354" i="16"/>
  <c r="AL1355" i="16"/>
  <c r="AL1356" i="16"/>
  <c r="AL1357" i="16"/>
  <c r="AL1358" i="16"/>
  <c r="AL1359" i="16"/>
  <c r="AL1360" i="16"/>
  <c r="AL1361" i="16"/>
  <c r="AL1362" i="16"/>
  <c r="AL1363" i="16"/>
  <c r="AL1364" i="16"/>
  <c r="AL1365" i="16"/>
  <c r="AL1366" i="16"/>
  <c r="AL1367" i="16"/>
  <c r="AL1368" i="16"/>
  <c r="AL1369" i="16"/>
  <c r="AL1370" i="16"/>
  <c r="AL1371" i="16"/>
  <c r="AL1372" i="16"/>
  <c r="AL1373" i="16"/>
  <c r="AL1374" i="16"/>
  <c r="AL1375" i="16"/>
  <c r="AL1376" i="16"/>
  <c r="AL1377" i="16"/>
  <c r="AL1378" i="16"/>
  <c r="AL1379" i="16"/>
  <c r="AL1380" i="16"/>
  <c r="AL1381" i="16"/>
  <c r="AL1382" i="16"/>
  <c r="AL1383" i="16"/>
  <c r="AL1384" i="16"/>
  <c r="AL1385" i="16"/>
  <c r="AL1386" i="16"/>
  <c r="AL1387" i="16"/>
  <c r="AL1388" i="16"/>
  <c r="AL1389" i="16"/>
  <c r="AL1390" i="16"/>
  <c r="AL1391" i="16"/>
  <c r="AL1392" i="16"/>
  <c r="AL1393" i="16"/>
  <c r="AM628" i="16"/>
  <c r="AM629" i="16"/>
  <c r="AM630" i="16"/>
  <c r="AM631" i="16"/>
  <c r="AM632" i="16"/>
  <c r="AM633" i="16"/>
  <c r="AM634" i="16"/>
  <c r="AM635" i="16"/>
  <c r="AM636" i="16"/>
  <c r="AM637" i="16"/>
  <c r="AM638" i="16"/>
  <c r="AM639" i="16"/>
  <c r="AM640" i="16"/>
  <c r="AM641" i="16"/>
  <c r="AM642" i="16"/>
  <c r="AM643" i="16"/>
  <c r="AM644" i="16"/>
  <c r="AM645" i="16"/>
  <c r="AM646" i="16"/>
  <c r="AM647" i="16"/>
  <c r="AM648" i="16"/>
  <c r="AM649" i="16"/>
  <c r="AM650" i="16"/>
  <c r="AM651" i="16"/>
  <c r="AM652" i="16"/>
  <c r="AM653" i="16"/>
  <c r="AM654" i="16"/>
  <c r="AM655" i="16"/>
  <c r="AM656" i="16"/>
  <c r="AM657" i="16"/>
  <c r="AM658" i="16"/>
  <c r="AM659" i="16"/>
  <c r="AM660" i="16"/>
  <c r="AM661" i="16"/>
  <c r="AM662" i="16"/>
  <c r="AM663" i="16"/>
  <c r="AM664" i="16"/>
  <c r="AM665" i="16"/>
  <c r="AM666" i="16"/>
  <c r="AM667" i="16"/>
  <c r="AM668" i="16"/>
  <c r="AM669" i="16"/>
  <c r="AM670" i="16"/>
  <c r="AM671" i="16"/>
  <c r="AM672" i="16"/>
  <c r="AM673" i="16"/>
  <c r="AM674" i="16"/>
  <c r="AM675" i="16"/>
  <c r="AM676" i="16"/>
  <c r="AM677" i="16"/>
  <c r="AM678" i="16"/>
  <c r="AM679" i="16"/>
  <c r="AM680" i="16"/>
  <c r="AM681" i="16"/>
  <c r="AM682" i="16"/>
  <c r="AM683" i="16"/>
  <c r="AM684" i="16"/>
  <c r="AM685" i="16"/>
  <c r="AM686" i="16"/>
  <c r="AM687" i="16"/>
  <c r="AM688" i="16"/>
  <c r="AM689" i="16"/>
  <c r="AM690" i="16"/>
  <c r="AM691" i="16"/>
  <c r="AM692" i="16"/>
  <c r="AM693" i="16"/>
  <c r="AM694" i="16"/>
  <c r="AM695" i="16"/>
  <c r="AM696" i="16"/>
  <c r="AM697" i="16"/>
  <c r="AM698" i="16"/>
  <c r="AM699" i="16"/>
  <c r="AM700" i="16"/>
  <c r="AM701" i="16"/>
  <c r="AM702" i="16"/>
  <c r="AM703" i="16"/>
  <c r="AM704" i="16"/>
  <c r="AM705" i="16"/>
  <c r="AM706" i="16"/>
  <c r="AM707" i="16"/>
  <c r="AM708" i="16"/>
  <c r="AM709" i="16"/>
  <c r="AM710" i="16"/>
  <c r="AM711" i="16"/>
  <c r="AM712" i="16"/>
  <c r="AM713" i="16"/>
  <c r="AM714" i="16"/>
  <c r="AM715" i="16"/>
  <c r="AM716" i="16"/>
  <c r="AM717" i="16"/>
  <c r="AM718" i="16"/>
  <c r="AM719" i="16"/>
  <c r="AM720" i="16"/>
  <c r="AM721" i="16"/>
  <c r="AM722" i="16"/>
  <c r="AM723" i="16"/>
  <c r="AM724" i="16"/>
  <c r="AM725" i="16"/>
  <c r="AM726" i="16"/>
  <c r="AM727" i="16"/>
  <c r="AM728" i="16"/>
  <c r="AM729" i="16"/>
  <c r="AM730" i="16"/>
  <c r="AM731" i="16"/>
  <c r="AM732" i="16"/>
  <c r="AM733" i="16"/>
  <c r="AM734" i="16"/>
  <c r="AM735" i="16"/>
  <c r="AM736" i="16"/>
  <c r="AM737" i="16"/>
  <c r="AM738" i="16"/>
  <c r="AM739" i="16"/>
  <c r="AM740" i="16"/>
  <c r="AM741" i="16"/>
  <c r="AM742" i="16"/>
  <c r="AM743" i="16"/>
  <c r="AM744" i="16"/>
  <c r="AM745" i="16"/>
  <c r="AM746" i="16"/>
  <c r="AM747" i="16"/>
  <c r="AM748" i="16"/>
  <c r="AM749" i="16"/>
  <c r="AM750" i="16"/>
  <c r="AM751" i="16"/>
  <c r="AM752" i="16"/>
  <c r="AM753" i="16"/>
  <c r="AM754" i="16"/>
  <c r="AM755" i="16"/>
  <c r="AM756" i="16"/>
  <c r="AM757" i="16"/>
  <c r="AM758" i="16"/>
  <c r="AM759" i="16"/>
  <c r="AM760" i="16"/>
  <c r="AM761" i="16"/>
  <c r="AM762" i="16"/>
  <c r="AM763" i="16"/>
  <c r="AM764" i="16"/>
  <c r="AM765" i="16"/>
  <c r="AM766" i="16"/>
  <c r="AR766" i="16" s="1"/>
  <c r="AM767" i="16"/>
  <c r="AR767" i="16" s="1"/>
  <c r="AM768" i="16"/>
  <c r="AM769" i="16"/>
  <c r="AM770" i="16"/>
  <c r="AM771" i="16"/>
  <c r="AM772" i="16"/>
  <c r="AM773" i="16"/>
  <c r="AM774" i="16"/>
  <c r="AM775" i="16"/>
  <c r="AM776" i="16"/>
  <c r="AM777" i="16"/>
  <c r="AM778" i="16"/>
  <c r="AM779" i="16"/>
  <c r="AM780" i="16"/>
  <c r="AM781" i="16"/>
  <c r="AM782" i="16"/>
  <c r="AM783" i="16"/>
  <c r="AM784" i="16"/>
  <c r="AM785" i="16"/>
  <c r="AM786" i="16"/>
  <c r="AM787" i="16"/>
  <c r="AM788" i="16"/>
  <c r="AM789" i="16"/>
  <c r="AM790" i="16"/>
  <c r="AM791" i="16"/>
  <c r="AM792" i="16"/>
  <c r="AM793" i="16"/>
  <c r="AM794" i="16"/>
  <c r="AM795" i="16"/>
  <c r="AM796" i="16"/>
  <c r="AM797" i="16"/>
  <c r="AM798" i="16"/>
  <c r="AM799" i="16"/>
  <c r="AM800" i="16"/>
  <c r="AM801" i="16"/>
  <c r="AM802" i="16"/>
  <c r="AM803" i="16"/>
  <c r="AM804" i="16"/>
  <c r="AM805" i="16"/>
  <c r="AM806" i="16"/>
  <c r="AM807" i="16"/>
  <c r="AM808" i="16"/>
  <c r="AM809" i="16"/>
  <c r="AM810" i="16"/>
  <c r="AM811" i="16"/>
  <c r="AM812" i="16"/>
  <c r="AM813" i="16"/>
  <c r="AM814" i="16"/>
  <c r="AM815" i="16"/>
  <c r="AM816" i="16"/>
  <c r="AM817" i="16"/>
  <c r="AM818" i="16"/>
  <c r="AM819" i="16"/>
  <c r="AM820" i="16"/>
  <c r="AM821" i="16"/>
  <c r="AM822" i="16"/>
  <c r="AM823" i="16"/>
  <c r="AM824" i="16"/>
  <c r="AM825" i="16"/>
  <c r="AM826" i="16"/>
  <c r="AM827" i="16"/>
  <c r="AM828" i="16"/>
  <c r="AM829" i="16"/>
  <c r="AM830" i="16"/>
  <c r="AM831" i="16"/>
  <c r="AM832" i="16"/>
  <c r="AM833" i="16"/>
  <c r="AM834" i="16"/>
  <c r="AM835" i="16"/>
  <c r="AM836" i="16"/>
  <c r="AR836" i="16" s="1"/>
  <c r="AM837" i="16"/>
  <c r="AM838" i="16"/>
  <c r="AM839" i="16"/>
  <c r="AM840" i="16"/>
  <c r="AM841" i="16"/>
  <c r="AM842" i="16"/>
  <c r="AM843" i="16"/>
  <c r="AM844" i="16"/>
  <c r="AM845" i="16"/>
  <c r="AM846" i="16"/>
  <c r="AM847" i="16"/>
  <c r="AM848" i="16"/>
  <c r="AM849" i="16"/>
  <c r="AM850" i="16"/>
  <c r="AM851" i="16"/>
  <c r="AM852" i="16"/>
  <c r="AM853" i="16"/>
  <c r="AM854" i="16"/>
  <c r="AM855" i="16"/>
  <c r="AM856" i="16"/>
  <c r="AM857" i="16"/>
  <c r="AM858" i="16"/>
  <c r="AM859" i="16"/>
  <c r="AM860" i="16"/>
  <c r="AM861" i="16"/>
  <c r="AM862" i="16"/>
  <c r="AM863" i="16"/>
  <c r="AM864" i="16"/>
  <c r="AM865" i="16"/>
  <c r="AM866" i="16"/>
  <c r="AM867" i="16"/>
  <c r="AM868" i="16"/>
  <c r="AM869" i="16"/>
  <c r="AM870" i="16"/>
  <c r="AM871" i="16"/>
  <c r="AM872" i="16"/>
  <c r="AM873" i="16"/>
  <c r="AM874" i="16"/>
  <c r="AM875" i="16"/>
  <c r="AM876" i="16"/>
  <c r="AM877" i="16"/>
  <c r="AM878" i="16"/>
  <c r="AM879" i="16"/>
  <c r="AM880" i="16"/>
  <c r="AM881" i="16"/>
  <c r="AM882" i="16"/>
  <c r="AM883" i="16"/>
  <c r="AM884" i="16"/>
  <c r="AM885" i="16"/>
  <c r="AM886" i="16"/>
  <c r="AR886" i="16" s="1"/>
  <c r="AM887" i="16"/>
  <c r="AM888" i="16"/>
  <c r="AM889" i="16"/>
  <c r="AM890" i="16"/>
  <c r="AM891" i="16"/>
  <c r="AM892" i="16"/>
  <c r="AM893" i="16"/>
  <c r="AM894" i="16"/>
  <c r="AM895" i="16"/>
  <c r="AM896" i="16"/>
  <c r="AM897" i="16"/>
  <c r="AM898" i="16"/>
  <c r="AM899" i="16"/>
  <c r="AM900" i="16"/>
  <c r="AM901" i="16"/>
  <c r="AM902" i="16"/>
  <c r="AM903" i="16"/>
  <c r="AM904" i="16"/>
  <c r="AM905" i="16"/>
  <c r="AM906" i="16"/>
  <c r="AM907" i="16"/>
  <c r="AM908" i="16"/>
  <c r="AM909" i="16"/>
  <c r="AM910" i="16"/>
  <c r="AM911" i="16"/>
  <c r="AM912" i="16"/>
  <c r="AM913" i="16"/>
  <c r="AM914" i="16"/>
  <c r="AM915" i="16"/>
  <c r="AM916" i="16"/>
  <c r="AM917" i="16"/>
  <c r="AM918" i="16"/>
  <c r="AM919" i="16"/>
  <c r="AM920" i="16"/>
  <c r="AM921" i="16"/>
  <c r="AM922" i="16"/>
  <c r="AM923" i="16"/>
  <c r="AM924" i="16"/>
  <c r="AM925" i="16"/>
  <c r="AM926" i="16"/>
  <c r="AR926" i="16" s="1"/>
  <c r="AM927" i="16"/>
  <c r="AM928" i="16"/>
  <c r="AM929" i="16"/>
  <c r="AM930" i="16"/>
  <c r="AM931" i="16"/>
  <c r="AM932" i="16"/>
  <c r="AM933" i="16"/>
  <c r="AM934" i="16"/>
  <c r="AM935" i="16"/>
  <c r="AM936" i="16"/>
  <c r="AM937" i="16"/>
  <c r="AM938" i="16"/>
  <c r="AM939" i="16"/>
  <c r="AM940" i="16"/>
  <c r="AM941" i="16"/>
  <c r="AM942" i="16"/>
  <c r="AM943" i="16"/>
  <c r="AM944" i="16"/>
  <c r="AM945" i="16"/>
  <c r="AM946" i="16"/>
  <c r="AM947" i="16"/>
  <c r="AM948" i="16"/>
  <c r="AM949" i="16"/>
  <c r="AM950" i="16"/>
  <c r="AM951" i="16"/>
  <c r="AR951" i="16" s="1"/>
  <c r="AM952" i="16"/>
  <c r="AM953" i="16"/>
  <c r="AM954" i="16"/>
  <c r="AM955" i="16"/>
  <c r="AM956" i="16"/>
  <c r="AM957" i="16"/>
  <c r="AM958" i="16"/>
  <c r="AM959" i="16"/>
  <c r="AM960" i="16"/>
  <c r="AM961" i="16"/>
  <c r="AM962" i="16"/>
  <c r="AM963" i="16"/>
  <c r="AM964" i="16"/>
  <c r="AM965" i="16"/>
  <c r="AM966" i="16"/>
  <c r="AM967" i="16"/>
  <c r="AM968" i="16"/>
  <c r="AM969" i="16"/>
  <c r="AM970" i="16"/>
  <c r="AM971" i="16"/>
  <c r="AM972" i="16"/>
  <c r="AM973" i="16"/>
  <c r="AM974" i="16"/>
  <c r="AM975" i="16"/>
  <c r="AM976" i="16"/>
  <c r="AM977" i="16"/>
  <c r="AM978" i="16"/>
  <c r="AM979" i="16"/>
  <c r="AM980" i="16"/>
  <c r="AR980" i="16" s="1"/>
  <c r="AM981" i="16"/>
  <c r="AM982" i="16"/>
  <c r="AM983" i="16"/>
  <c r="AM984" i="16"/>
  <c r="AM985" i="16"/>
  <c r="AM986" i="16"/>
  <c r="AM987" i="16"/>
  <c r="AM988" i="16"/>
  <c r="AM989" i="16"/>
  <c r="AM990" i="16"/>
  <c r="AM991" i="16"/>
  <c r="AM992" i="16"/>
  <c r="AM993" i="16"/>
  <c r="AM994" i="16"/>
  <c r="AM995" i="16"/>
  <c r="AM996" i="16"/>
  <c r="AM997" i="16"/>
  <c r="AM998" i="16"/>
  <c r="AM999" i="16"/>
  <c r="AM1000" i="16"/>
  <c r="AM1001" i="16"/>
  <c r="AM1002" i="16"/>
  <c r="AM1003" i="16"/>
  <c r="AM1004" i="16"/>
  <c r="AR1004" i="16" s="1"/>
  <c r="AM1005" i="16"/>
  <c r="AM1006" i="16"/>
  <c r="AM1007" i="16"/>
  <c r="AM1008" i="16"/>
  <c r="AM1009" i="16"/>
  <c r="AM1010" i="16"/>
  <c r="AM1011" i="16"/>
  <c r="AM1012" i="16"/>
  <c r="AM1013" i="16"/>
  <c r="AM1014" i="16"/>
  <c r="AM1015" i="16"/>
  <c r="AM1016" i="16"/>
  <c r="AM1017" i="16"/>
  <c r="AM1018" i="16"/>
  <c r="AM1019" i="16"/>
  <c r="AM1020" i="16"/>
  <c r="AM1021" i="16"/>
  <c r="AM1022" i="16"/>
  <c r="AM1023" i="16"/>
  <c r="AM1024" i="16"/>
  <c r="AM1025" i="16"/>
  <c r="AM1026" i="16"/>
  <c r="AM1027" i="16"/>
  <c r="AM1028" i="16"/>
  <c r="AM1029" i="16"/>
  <c r="AM1030" i="16"/>
  <c r="AM1031" i="16"/>
  <c r="AM1032" i="16"/>
  <c r="AM1033" i="16"/>
  <c r="AM1034" i="16"/>
  <c r="AM1035" i="16"/>
  <c r="AM1036" i="16"/>
  <c r="AM1037" i="16"/>
  <c r="AM1038" i="16"/>
  <c r="AM1039" i="16"/>
  <c r="AM1040" i="16"/>
  <c r="AM1041" i="16"/>
  <c r="AM1042" i="16"/>
  <c r="AM1043" i="16"/>
  <c r="AM1044" i="16"/>
  <c r="AM1045" i="16"/>
  <c r="AM1046" i="16"/>
  <c r="AM1047" i="16"/>
  <c r="AM1048" i="16"/>
  <c r="AM1049" i="16"/>
  <c r="AM1050" i="16"/>
  <c r="AM1051" i="16"/>
  <c r="AM1052" i="16"/>
  <c r="AM1053" i="16"/>
  <c r="AM1054" i="16"/>
  <c r="AM1055" i="16"/>
  <c r="AM1056" i="16"/>
  <c r="AM1057" i="16"/>
  <c r="AM1058" i="16"/>
  <c r="AM1059" i="16"/>
  <c r="AM1060" i="16"/>
  <c r="AM1061" i="16"/>
  <c r="AM1062" i="16"/>
  <c r="AM1063" i="16"/>
  <c r="AM1064" i="16"/>
  <c r="AR1064" i="16" s="1"/>
  <c r="AM1065" i="16"/>
  <c r="AM1066" i="16"/>
  <c r="AM1067" i="16"/>
  <c r="AM1068" i="16"/>
  <c r="AM1069" i="16"/>
  <c r="AM1070" i="16"/>
  <c r="AM1071" i="16"/>
  <c r="AM1072" i="16"/>
  <c r="AM1073" i="16"/>
  <c r="AM1074" i="16"/>
  <c r="AM1075" i="16"/>
  <c r="AM1076" i="16"/>
  <c r="AM1077" i="16"/>
  <c r="AM1078" i="16"/>
  <c r="AM1079" i="16"/>
  <c r="AM1080" i="16"/>
  <c r="AM1081" i="16"/>
  <c r="AM1082" i="16"/>
  <c r="AM1083" i="16"/>
  <c r="AM1084" i="16"/>
  <c r="AM1085" i="16"/>
  <c r="AM1086" i="16"/>
  <c r="AM1087" i="16"/>
  <c r="AM1088" i="16"/>
  <c r="AM1089" i="16"/>
  <c r="AM1090" i="16"/>
  <c r="AM1091" i="16"/>
  <c r="AM1092" i="16"/>
  <c r="AM1093" i="16"/>
  <c r="AM1094" i="16"/>
  <c r="AM1095" i="16"/>
  <c r="AM1096" i="16"/>
  <c r="AM1097" i="16"/>
  <c r="AM1098" i="16"/>
  <c r="AM1099" i="16"/>
  <c r="AM1100" i="16"/>
  <c r="AM1101" i="16"/>
  <c r="AM1102" i="16"/>
  <c r="AM1103" i="16"/>
  <c r="AM1104" i="16"/>
  <c r="AM1105" i="16"/>
  <c r="AM1106" i="16"/>
  <c r="AM1107" i="16"/>
  <c r="AM1108" i="16"/>
  <c r="AM1109" i="16"/>
  <c r="AM1110" i="16"/>
  <c r="AM1111" i="16"/>
  <c r="AM1112" i="16"/>
  <c r="AM1113" i="16"/>
  <c r="AM1114" i="16"/>
  <c r="AM1115" i="16"/>
  <c r="AM1116" i="16"/>
  <c r="AM1117" i="16"/>
  <c r="AM1118" i="16"/>
  <c r="AM1119" i="16"/>
  <c r="AM1120" i="16"/>
  <c r="AM1121" i="16"/>
  <c r="AM1122" i="16"/>
  <c r="AM1123" i="16"/>
  <c r="AM1124" i="16"/>
  <c r="AM1125" i="16"/>
  <c r="AM1126" i="16"/>
  <c r="AM1127" i="16"/>
  <c r="AR1127" i="16" s="1"/>
  <c r="AM1128" i="16"/>
  <c r="AM1129" i="16"/>
  <c r="AM1130" i="16"/>
  <c r="AM1131" i="16"/>
  <c r="AM1132" i="16"/>
  <c r="AM1133" i="16"/>
  <c r="AM1134" i="16"/>
  <c r="AM1135" i="16"/>
  <c r="AM1136" i="16"/>
  <c r="AM1137" i="16"/>
  <c r="AM1138" i="16"/>
  <c r="AM1139" i="16"/>
  <c r="AM1140" i="16"/>
  <c r="AM1141" i="16"/>
  <c r="AM1142" i="16"/>
  <c r="AM1143" i="16"/>
  <c r="AM1144" i="16"/>
  <c r="AM1145" i="16"/>
  <c r="AM1146" i="16"/>
  <c r="AM1147" i="16"/>
  <c r="AM1148" i="16"/>
  <c r="AM1149" i="16"/>
  <c r="AM1150" i="16"/>
  <c r="AM1151" i="16"/>
  <c r="AM1152" i="16"/>
  <c r="AM1153" i="16"/>
  <c r="AM1154" i="16"/>
  <c r="AM1155" i="16"/>
  <c r="AM1156" i="16"/>
  <c r="AM1157" i="16"/>
  <c r="AM1158" i="16"/>
  <c r="AM1159" i="16"/>
  <c r="AM1160" i="16"/>
  <c r="AM1161" i="16"/>
  <c r="AM1162" i="16"/>
  <c r="AM1163" i="16"/>
  <c r="AM1164" i="16"/>
  <c r="AM1165" i="16"/>
  <c r="AM1166" i="16"/>
  <c r="AM1167" i="16"/>
  <c r="AM1168" i="16"/>
  <c r="AM1169" i="16"/>
  <c r="AM1170" i="16"/>
  <c r="AM1171" i="16"/>
  <c r="AM1172" i="16"/>
  <c r="AM1173" i="16"/>
  <c r="AM1174" i="16"/>
  <c r="AM1175" i="16"/>
  <c r="AM1176" i="16"/>
  <c r="AM1177" i="16"/>
  <c r="AM1178" i="16"/>
  <c r="AM1179" i="16"/>
  <c r="AM1180" i="16"/>
  <c r="AM1181" i="16"/>
  <c r="AM1182" i="16"/>
  <c r="AM1183" i="16"/>
  <c r="AM1184" i="16"/>
  <c r="AM1185" i="16"/>
  <c r="AM1186" i="16"/>
  <c r="AM1187" i="16"/>
  <c r="AM1188" i="16"/>
  <c r="AM1189" i="16"/>
  <c r="AM1190" i="16"/>
  <c r="AM1191" i="16"/>
  <c r="AM1192" i="16"/>
  <c r="AM1193" i="16"/>
  <c r="AM1194" i="16"/>
  <c r="AM1195" i="16"/>
  <c r="AM1196" i="16"/>
  <c r="AM1197" i="16"/>
  <c r="AM1198" i="16"/>
  <c r="AM1199" i="16"/>
  <c r="AM1200" i="16"/>
  <c r="AM1201" i="16"/>
  <c r="AM1202" i="16"/>
  <c r="AM1203" i="16"/>
  <c r="AM1204" i="16"/>
  <c r="AM1205" i="16"/>
  <c r="AM1206" i="16"/>
  <c r="AM1207" i="16"/>
  <c r="AM1208" i="16"/>
  <c r="AR1208" i="16" s="1"/>
  <c r="AM1209" i="16"/>
  <c r="AR1209" i="16" s="1"/>
  <c r="AM1210" i="16"/>
  <c r="AM1211" i="16"/>
  <c r="AM1212" i="16"/>
  <c r="AM1213" i="16"/>
  <c r="AM1214" i="16"/>
  <c r="AM1215" i="16"/>
  <c r="AM1216" i="16"/>
  <c r="AM1217" i="16"/>
  <c r="AM1218" i="16"/>
  <c r="AM1219" i="16"/>
  <c r="AM1220" i="16"/>
  <c r="AM1221" i="16"/>
  <c r="AM1222" i="16"/>
  <c r="AM1223" i="16"/>
  <c r="AM1224" i="16"/>
  <c r="AM1225" i="16"/>
  <c r="AM1226" i="16"/>
  <c r="AM1227" i="16"/>
  <c r="AM1228" i="16"/>
  <c r="AM1229" i="16"/>
  <c r="AM1230" i="16"/>
  <c r="AM1231" i="16"/>
  <c r="AM1232" i="16"/>
  <c r="AM1233" i="16"/>
  <c r="AM1234" i="16"/>
  <c r="AM1235" i="16"/>
  <c r="AM1236" i="16"/>
  <c r="AM1237" i="16"/>
  <c r="AM1238" i="16"/>
  <c r="AM1239" i="16"/>
  <c r="AM1240" i="16"/>
  <c r="AM1241" i="16"/>
  <c r="AM1242" i="16"/>
  <c r="AM1243" i="16"/>
  <c r="AM1244" i="16"/>
  <c r="AM1245" i="16"/>
  <c r="AM1246" i="16"/>
  <c r="AM1247" i="16"/>
  <c r="AM1248" i="16"/>
  <c r="AM1249" i="16"/>
  <c r="AM1250" i="16"/>
  <c r="AM1251" i="16"/>
  <c r="AM1252" i="16"/>
  <c r="AM1253" i="16"/>
  <c r="AM1254" i="16"/>
  <c r="AM1255" i="16"/>
  <c r="AM1256" i="16"/>
  <c r="AM1257" i="16"/>
  <c r="AM1258" i="16"/>
  <c r="AM1259" i="16"/>
  <c r="AM1260" i="16"/>
  <c r="AM1261" i="16"/>
  <c r="AM1262" i="16"/>
  <c r="AM1263" i="16"/>
  <c r="AM1264" i="16"/>
  <c r="AM1265" i="16"/>
  <c r="AM1266" i="16"/>
  <c r="AM1267" i="16"/>
  <c r="AM1268" i="16"/>
  <c r="AM1269" i="16"/>
  <c r="AM1270" i="16"/>
  <c r="AM1271" i="16"/>
  <c r="AM1272" i="16"/>
  <c r="AM1273" i="16"/>
  <c r="AM1274" i="16"/>
  <c r="AM1275" i="16"/>
  <c r="AM1276" i="16"/>
  <c r="AM1277" i="16"/>
  <c r="AM1278" i="16"/>
  <c r="AM1279" i="16"/>
  <c r="AM1280" i="16"/>
  <c r="AM1281" i="16"/>
  <c r="AM1282" i="16"/>
  <c r="AM1283" i="16"/>
  <c r="AM1284" i="16"/>
  <c r="AM1285" i="16"/>
  <c r="AM1286" i="16"/>
  <c r="AM1287" i="16"/>
  <c r="AM1288" i="16"/>
  <c r="AM1289" i="16"/>
  <c r="AM1290" i="16"/>
  <c r="AM1291" i="16"/>
  <c r="AM1292" i="16"/>
  <c r="AM1293" i="16"/>
  <c r="AM1294" i="16"/>
  <c r="AM1295" i="16"/>
  <c r="AM1296" i="16"/>
  <c r="AM1297" i="16"/>
  <c r="AM1298" i="16"/>
  <c r="AM1299" i="16"/>
  <c r="AM1300" i="16"/>
  <c r="AM1301" i="16"/>
  <c r="AM1302" i="16"/>
  <c r="AM1303" i="16"/>
  <c r="AM1304" i="16"/>
  <c r="AM1305" i="16"/>
  <c r="AM1306" i="16"/>
  <c r="AM1307" i="16"/>
  <c r="AM1308" i="16"/>
  <c r="AM1309" i="16"/>
  <c r="AM1310" i="16"/>
  <c r="AM1311" i="16"/>
  <c r="AM1312" i="16"/>
  <c r="AM1313" i="16"/>
  <c r="AM1314" i="16"/>
  <c r="AM1315" i="16"/>
  <c r="AM1316" i="16"/>
  <c r="AM1317" i="16"/>
  <c r="AM1318" i="16"/>
  <c r="AM1319" i="16"/>
  <c r="AM1320" i="16"/>
  <c r="AM1321" i="16"/>
  <c r="AM1322" i="16"/>
  <c r="AM1323" i="16"/>
  <c r="AM1324" i="16"/>
  <c r="AM1325" i="16"/>
  <c r="AM1326" i="16"/>
  <c r="AM1327" i="16"/>
  <c r="AM1328" i="16"/>
  <c r="AM1329" i="16"/>
  <c r="AM1330" i="16"/>
  <c r="AM1331" i="16"/>
  <c r="AM1332" i="16"/>
  <c r="AM1333" i="16"/>
  <c r="AM1334" i="16"/>
  <c r="AM1335" i="16"/>
  <c r="AM1336" i="16"/>
  <c r="AM1337" i="16"/>
  <c r="AM1338" i="16"/>
  <c r="AM1339" i="16"/>
  <c r="AM1340" i="16"/>
  <c r="AM1341" i="16"/>
  <c r="AM1342" i="16"/>
  <c r="AM1343" i="16"/>
  <c r="AM1344" i="16"/>
  <c r="AR1344" i="16" s="1"/>
  <c r="AM1345" i="16"/>
  <c r="AM1346" i="16"/>
  <c r="AM1347" i="16"/>
  <c r="AM1348" i="16"/>
  <c r="AM1349" i="16"/>
  <c r="AM1350" i="16"/>
  <c r="AM1351" i="16"/>
  <c r="AM1352" i="16"/>
  <c r="AM1353" i="16"/>
  <c r="AM1354" i="16"/>
  <c r="AM1355" i="16"/>
  <c r="AM1356" i="16"/>
  <c r="AM1357" i="16"/>
  <c r="AM1358" i="16"/>
  <c r="AM1359" i="16"/>
  <c r="AM1360" i="16"/>
  <c r="AM1361" i="16"/>
  <c r="AM1362" i="16"/>
  <c r="AM1363" i="16"/>
  <c r="AM1364" i="16"/>
  <c r="AM1365" i="16"/>
  <c r="AM1366" i="16"/>
  <c r="AM1367" i="16"/>
  <c r="AM1368" i="16"/>
  <c r="AM1369" i="16"/>
  <c r="AM1370" i="16"/>
  <c r="AM1371" i="16"/>
  <c r="AM1372" i="16"/>
  <c r="AM1373" i="16"/>
  <c r="AM1374" i="16"/>
  <c r="AM1375" i="16"/>
  <c r="AM1376" i="16"/>
  <c r="AM1377" i="16"/>
  <c r="AM1378" i="16"/>
  <c r="AM1379" i="16"/>
  <c r="AM1380" i="16"/>
  <c r="AM1381" i="16"/>
  <c r="AM1382" i="16"/>
  <c r="AM1383" i="16"/>
  <c r="AM1384" i="16"/>
  <c r="AM1385" i="16"/>
  <c r="AM1386" i="16"/>
  <c r="AM1387" i="16"/>
  <c r="AM1388" i="16"/>
  <c r="AM1389" i="16"/>
  <c r="AM1390" i="16"/>
  <c r="AM1391" i="16"/>
  <c r="AM1392" i="16"/>
  <c r="AM1393" i="16"/>
  <c r="AN628" i="16"/>
  <c r="AN629" i="16"/>
  <c r="AN630" i="16"/>
  <c r="AN631" i="16"/>
  <c r="AN632" i="16"/>
  <c r="AN633" i="16"/>
  <c r="AN634" i="16"/>
  <c r="AN635" i="16"/>
  <c r="AN636" i="16"/>
  <c r="AN637" i="16"/>
  <c r="AN638" i="16"/>
  <c r="AN639" i="16"/>
  <c r="AN640" i="16"/>
  <c r="AN641" i="16"/>
  <c r="AN642" i="16"/>
  <c r="AN643" i="16"/>
  <c r="AN644" i="16"/>
  <c r="AN645" i="16"/>
  <c r="AN646" i="16"/>
  <c r="AN647" i="16"/>
  <c r="AN648" i="16"/>
  <c r="AN649" i="16"/>
  <c r="AN650" i="16"/>
  <c r="AN651" i="16"/>
  <c r="AN652" i="16"/>
  <c r="AN653" i="16"/>
  <c r="AN654" i="16"/>
  <c r="AN655" i="16"/>
  <c r="AN656" i="16"/>
  <c r="AN657" i="16"/>
  <c r="AN658" i="16"/>
  <c r="AN659" i="16"/>
  <c r="AN660" i="16"/>
  <c r="AN661" i="16"/>
  <c r="AN662" i="16"/>
  <c r="AN663" i="16"/>
  <c r="AN664" i="16"/>
  <c r="AN665" i="16"/>
  <c r="AN666" i="16"/>
  <c r="AN667" i="16"/>
  <c r="AN668" i="16"/>
  <c r="AN669" i="16"/>
  <c r="AN670" i="16"/>
  <c r="AN671" i="16"/>
  <c r="AN672" i="16"/>
  <c r="AN673" i="16"/>
  <c r="AN674" i="16"/>
  <c r="AN675" i="16"/>
  <c r="AN676" i="16"/>
  <c r="AN677" i="16"/>
  <c r="AN678" i="16"/>
  <c r="AN679" i="16"/>
  <c r="AN680" i="16"/>
  <c r="AN681" i="16"/>
  <c r="AN682" i="16"/>
  <c r="AN683" i="16"/>
  <c r="AN684" i="16"/>
  <c r="AN685" i="16"/>
  <c r="AN686" i="16"/>
  <c r="AN687" i="16"/>
  <c r="AN688" i="16"/>
  <c r="AN689" i="16"/>
  <c r="AN690" i="16"/>
  <c r="AN691" i="16"/>
  <c r="AN692" i="16"/>
  <c r="AN693" i="16"/>
  <c r="AN694" i="16"/>
  <c r="AN695" i="16"/>
  <c r="AN696" i="16"/>
  <c r="AN697" i="16"/>
  <c r="AN698" i="16"/>
  <c r="AN699" i="16"/>
  <c r="AN700" i="16"/>
  <c r="AN701" i="16"/>
  <c r="AN702" i="16"/>
  <c r="AN703" i="16"/>
  <c r="AN704" i="16"/>
  <c r="AN705" i="16"/>
  <c r="AN706" i="16"/>
  <c r="AN707" i="16"/>
  <c r="AN708" i="16"/>
  <c r="AN709" i="16"/>
  <c r="AN710" i="16"/>
  <c r="AN711" i="16"/>
  <c r="AN712" i="16"/>
  <c r="AN713" i="16"/>
  <c r="AN714" i="16"/>
  <c r="AN715" i="16"/>
  <c r="AN716" i="16"/>
  <c r="AN717" i="16"/>
  <c r="AN718" i="16"/>
  <c r="AN719" i="16"/>
  <c r="AN720" i="16"/>
  <c r="AN721" i="16"/>
  <c r="AN722" i="16"/>
  <c r="AN723" i="16"/>
  <c r="AN724" i="16"/>
  <c r="AN725" i="16"/>
  <c r="AN726" i="16"/>
  <c r="AN727" i="16"/>
  <c r="AN728" i="16"/>
  <c r="AN729" i="16"/>
  <c r="AN730" i="16"/>
  <c r="AN731" i="16"/>
  <c r="AN732" i="16"/>
  <c r="AN733" i="16"/>
  <c r="AN734" i="16"/>
  <c r="AN735" i="16"/>
  <c r="AN736" i="16"/>
  <c r="AN737" i="16"/>
  <c r="AN738" i="16"/>
  <c r="AN739" i="16"/>
  <c r="AN740" i="16"/>
  <c r="AN741" i="16"/>
  <c r="AN742" i="16"/>
  <c r="AN743" i="16"/>
  <c r="AN744" i="16"/>
  <c r="AN745" i="16"/>
  <c r="AN746" i="16"/>
  <c r="AN747" i="16"/>
  <c r="AN748" i="16"/>
  <c r="AN749" i="16"/>
  <c r="AN750" i="16"/>
  <c r="AN751" i="16"/>
  <c r="AN752" i="16"/>
  <c r="AN753" i="16"/>
  <c r="AN754" i="16"/>
  <c r="AN755" i="16"/>
  <c r="AN756" i="16"/>
  <c r="AN757" i="16"/>
  <c r="AN758" i="16"/>
  <c r="AN759" i="16"/>
  <c r="AN760" i="16"/>
  <c r="AN761" i="16"/>
  <c r="AN762" i="16"/>
  <c r="AN763" i="16"/>
  <c r="AN764" i="16"/>
  <c r="AN765" i="16"/>
  <c r="AN766" i="16"/>
  <c r="AN767" i="16"/>
  <c r="AN768" i="16"/>
  <c r="AN769" i="16"/>
  <c r="AN770" i="16"/>
  <c r="AN771" i="16"/>
  <c r="AN772" i="16"/>
  <c r="AN773" i="16"/>
  <c r="AN774" i="16"/>
  <c r="AN775" i="16"/>
  <c r="AN776" i="16"/>
  <c r="AN777" i="16"/>
  <c r="AN778" i="16"/>
  <c r="AN779" i="16"/>
  <c r="AN780" i="16"/>
  <c r="AN781" i="16"/>
  <c r="AN782" i="16"/>
  <c r="AN783" i="16"/>
  <c r="AN784" i="16"/>
  <c r="AN785" i="16"/>
  <c r="AN786" i="16"/>
  <c r="AN787" i="16"/>
  <c r="AN788" i="16"/>
  <c r="AN789" i="16"/>
  <c r="AN790" i="16"/>
  <c r="AN791" i="16"/>
  <c r="AN792" i="16"/>
  <c r="AN793" i="16"/>
  <c r="AN794" i="16"/>
  <c r="AN795" i="16"/>
  <c r="AN796" i="16"/>
  <c r="AN797" i="16"/>
  <c r="AN798" i="16"/>
  <c r="AN799" i="16"/>
  <c r="AN800" i="16"/>
  <c r="AN801" i="16"/>
  <c r="AN802" i="16"/>
  <c r="AN803" i="16"/>
  <c r="AN804" i="16"/>
  <c r="AN805" i="16"/>
  <c r="AN806" i="16"/>
  <c r="AN807" i="16"/>
  <c r="AN808" i="16"/>
  <c r="AN809" i="16"/>
  <c r="AN810" i="16"/>
  <c r="AN811" i="16"/>
  <c r="AN812" i="16"/>
  <c r="AN813" i="16"/>
  <c r="AN814" i="16"/>
  <c r="AN815" i="16"/>
  <c r="AN816" i="16"/>
  <c r="AN817" i="16"/>
  <c r="AN818" i="16"/>
  <c r="AN819" i="16"/>
  <c r="AN820" i="16"/>
  <c r="AN821" i="16"/>
  <c r="AN822" i="16"/>
  <c r="AN823" i="16"/>
  <c r="AN824" i="16"/>
  <c r="AN825" i="16"/>
  <c r="AN826" i="16"/>
  <c r="AN827" i="16"/>
  <c r="AN828" i="16"/>
  <c r="AN829" i="16"/>
  <c r="AN830" i="16"/>
  <c r="AN831" i="16"/>
  <c r="AN832" i="16"/>
  <c r="AN833" i="16"/>
  <c r="AN834" i="16"/>
  <c r="AN835" i="16"/>
  <c r="AN836" i="16"/>
  <c r="AN837" i="16"/>
  <c r="AN838" i="16"/>
  <c r="AN839" i="16"/>
  <c r="AN840" i="16"/>
  <c r="AN841" i="16"/>
  <c r="AN842" i="16"/>
  <c r="AN843" i="16"/>
  <c r="AN844" i="16"/>
  <c r="AN845" i="16"/>
  <c r="AN846" i="16"/>
  <c r="AN847" i="16"/>
  <c r="AN848" i="16"/>
  <c r="AN849" i="16"/>
  <c r="AN850" i="16"/>
  <c r="AN851" i="16"/>
  <c r="AN852" i="16"/>
  <c r="AN853" i="16"/>
  <c r="AN854" i="16"/>
  <c r="AN855" i="16"/>
  <c r="AN856" i="16"/>
  <c r="AN857" i="16"/>
  <c r="AN858" i="16"/>
  <c r="AN859" i="16"/>
  <c r="AN860" i="16"/>
  <c r="AN861" i="16"/>
  <c r="AN862" i="16"/>
  <c r="AN863" i="16"/>
  <c r="AN864" i="16"/>
  <c r="AN865" i="16"/>
  <c r="AN866" i="16"/>
  <c r="AN867" i="16"/>
  <c r="AN868" i="16"/>
  <c r="AN869" i="16"/>
  <c r="AN870" i="16"/>
  <c r="AN871" i="16"/>
  <c r="AN872" i="16"/>
  <c r="AN873" i="16"/>
  <c r="AN874" i="16"/>
  <c r="AN875" i="16"/>
  <c r="AN876" i="16"/>
  <c r="AN877" i="16"/>
  <c r="AN878" i="16"/>
  <c r="AN879" i="16"/>
  <c r="AN880" i="16"/>
  <c r="AN881" i="16"/>
  <c r="AN882" i="16"/>
  <c r="AN883" i="16"/>
  <c r="AN884" i="16"/>
  <c r="AN885" i="16"/>
  <c r="AN886" i="16"/>
  <c r="AN887" i="16"/>
  <c r="AN888" i="16"/>
  <c r="AN889" i="16"/>
  <c r="AN890" i="16"/>
  <c r="AN891" i="16"/>
  <c r="AN892" i="16"/>
  <c r="AN893" i="16"/>
  <c r="AN894" i="16"/>
  <c r="AN895" i="16"/>
  <c r="AN896" i="16"/>
  <c r="AN897" i="16"/>
  <c r="AN898" i="16"/>
  <c r="AN899" i="16"/>
  <c r="AN900" i="16"/>
  <c r="AN901" i="16"/>
  <c r="AN902" i="16"/>
  <c r="AN903" i="16"/>
  <c r="AN904" i="16"/>
  <c r="AN905" i="16"/>
  <c r="AN906" i="16"/>
  <c r="AN907" i="16"/>
  <c r="AN908" i="16"/>
  <c r="AN909" i="16"/>
  <c r="AN910" i="16"/>
  <c r="AN911" i="16"/>
  <c r="AN912" i="16"/>
  <c r="AN913" i="16"/>
  <c r="AN914" i="16"/>
  <c r="AN915" i="16"/>
  <c r="AN916" i="16"/>
  <c r="AN917" i="16"/>
  <c r="AN918" i="16"/>
  <c r="AN919" i="16"/>
  <c r="AN920" i="16"/>
  <c r="AN921" i="16"/>
  <c r="AN922" i="16"/>
  <c r="AN923" i="16"/>
  <c r="AN924" i="16"/>
  <c r="AN925" i="16"/>
  <c r="AN926" i="16"/>
  <c r="AN927" i="16"/>
  <c r="AN928" i="16"/>
  <c r="AN929" i="16"/>
  <c r="AN930" i="16"/>
  <c r="AN931" i="16"/>
  <c r="AN932" i="16"/>
  <c r="AN933" i="16"/>
  <c r="AN934" i="16"/>
  <c r="AN935" i="16"/>
  <c r="AN936" i="16"/>
  <c r="AN937" i="16"/>
  <c r="AN938" i="16"/>
  <c r="AN939" i="16"/>
  <c r="AN940" i="16"/>
  <c r="AN941" i="16"/>
  <c r="AN942" i="16"/>
  <c r="AN943" i="16"/>
  <c r="AN944" i="16"/>
  <c r="AN945" i="16"/>
  <c r="AN946" i="16"/>
  <c r="AN947" i="16"/>
  <c r="AN948" i="16"/>
  <c r="AN949" i="16"/>
  <c r="AN950" i="16"/>
  <c r="AN951" i="16"/>
  <c r="AN952" i="16"/>
  <c r="AN953" i="16"/>
  <c r="AN954" i="16"/>
  <c r="AN955" i="16"/>
  <c r="AN956" i="16"/>
  <c r="AN957" i="16"/>
  <c r="AN958" i="16"/>
  <c r="AN959" i="16"/>
  <c r="AN960" i="16"/>
  <c r="AN961" i="16"/>
  <c r="AN962" i="16"/>
  <c r="AN963" i="16"/>
  <c r="AN964" i="16"/>
  <c r="AN965" i="16"/>
  <c r="AN966" i="16"/>
  <c r="AN967" i="16"/>
  <c r="AN968" i="16"/>
  <c r="AN969" i="16"/>
  <c r="AN970" i="16"/>
  <c r="AN971" i="16"/>
  <c r="AN972" i="16"/>
  <c r="AN973" i="16"/>
  <c r="AN974" i="16"/>
  <c r="AN975" i="16"/>
  <c r="AN976" i="16"/>
  <c r="AN977" i="16"/>
  <c r="AN978" i="16"/>
  <c r="AN979" i="16"/>
  <c r="AN980" i="16"/>
  <c r="AN981" i="16"/>
  <c r="AN982" i="16"/>
  <c r="AN983" i="16"/>
  <c r="AN984" i="16"/>
  <c r="AN985" i="16"/>
  <c r="AN986" i="16"/>
  <c r="AN987" i="16"/>
  <c r="AN988" i="16"/>
  <c r="AN989" i="16"/>
  <c r="AN990" i="16"/>
  <c r="AN991" i="16"/>
  <c r="AN992" i="16"/>
  <c r="AN993" i="16"/>
  <c r="AN994" i="16"/>
  <c r="AN995" i="16"/>
  <c r="AN996" i="16"/>
  <c r="AN997" i="16"/>
  <c r="AN998" i="16"/>
  <c r="AN999" i="16"/>
  <c r="AN1000" i="16"/>
  <c r="AN1001" i="16"/>
  <c r="AN1002" i="16"/>
  <c r="AN1003" i="16"/>
  <c r="AN1004" i="16"/>
  <c r="AN1005" i="16"/>
  <c r="AN1006" i="16"/>
  <c r="AN1007" i="16"/>
  <c r="AN1008" i="16"/>
  <c r="AN1009" i="16"/>
  <c r="AN1010" i="16"/>
  <c r="AN1011" i="16"/>
  <c r="AN1012" i="16"/>
  <c r="AN1013" i="16"/>
  <c r="AN1014" i="16"/>
  <c r="AN1015" i="16"/>
  <c r="AN1016" i="16"/>
  <c r="AN1017" i="16"/>
  <c r="AN1018" i="16"/>
  <c r="AN1019" i="16"/>
  <c r="AN1020" i="16"/>
  <c r="AN1021" i="16"/>
  <c r="AN1022" i="16"/>
  <c r="AN1023" i="16"/>
  <c r="AN1024" i="16"/>
  <c r="AN1025" i="16"/>
  <c r="AN1026" i="16"/>
  <c r="AN1027" i="16"/>
  <c r="AN1028" i="16"/>
  <c r="AN1029" i="16"/>
  <c r="AN1030" i="16"/>
  <c r="AN1031" i="16"/>
  <c r="AN1032" i="16"/>
  <c r="AN1033" i="16"/>
  <c r="AN1034" i="16"/>
  <c r="AN1035" i="16"/>
  <c r="AN1036" i="16"/>
  <c r="AN1037" i="16"/>
  <c r="AN1038" i="16"/>
  <c r="AN1039" i="16"/>
  <c r="AN1040" i="16"/>
  <c r="AN1041" i="16"/>
  <c r="AN1042" i="16"/>
  <c r="AN1043" i="16"/>
  <c r="AN1044" i="16"/>
  <c r="AN1045" i="16"/>
  <c r="AN1046" i="16"/>
  <c r="AN1047" i="16"/>
  <c r="AN1048" i="16"/>
  <c r="AN1049" i="16"/>
  <c r="AN1050" i="16"/>
  <c r="AN1051" i="16"/>
  <c r="AN1052" i="16"/>
  <c r="AN1053" i="16"/>
  <c r="AN1054" i="16"/>
  <c r="AN1055" i="16"/>
  <c r="AN1056" i="16"/>
  <c r="AN1057" i="16"/>
  <c r="AN1058" i="16"/>
  <c r="AN1059" i="16"/>
  <c r="AN1060" i="16"/>
  <c r="AN1061" i="16"/>
  <c r="AN1062" i="16"/>
  <c r="AN1063" i="16"/>
  <c r="AN1064" i="16"/>
  <c r="AN1065" i="16"/>
  <c r="AN1066" i="16"/>
  <c r="AN1067" i="16"/>
  <c r="AN1068" i="16"/>
  <c r="AN1069" i="16"/>
  <c r="AN1070" i="16"/>
  <c r="AN1071" i="16"/>
  <c r="AN1072" i="16"/>
  <c r="AN1073" i="16"/>
  <c r="AN1074" i="16"/>
  <c r="AN1075" i="16"/>
  <c r="AN1076" i="16"/>
  <c r="AN1077" i="16"/>
  <c r="AN1078" i="16"/>
  <c r="AN1079" i="16"/>
  <c r="AN1080" i="16"/>
  <c r="AN1081" i="16"/>
  <c r="AN1082" i="16"/>
  <c r="AN1083" i="16"/>
  <c r="AN1084" i="16"/>
  <c r="AN1085" i="16"/>
  <c r="AN1086" i="16"/>
  <c r="AN1087" i="16"/>
  <c r="AN1088" i="16"/>
  <c r="AN1089" i="16"/>
  <c r="AN1090" i="16"/>
  <c r="AN1091" i="16"/>
  <c r="AN1092" i="16"/>
  <c r="AN1093" i="16"/>
  <c r="AN1094" i="16"/>
  <c r="AN1095" i="16"/>
  <c r="AN1096" i="16"/>
  <c r="AN1097" i="16"/>
  <c r="AN1098" i="16"/>
  <c r="AN1099" i="16"/>
  <c r="AN1100" i="16"/>
  <c r="AN1101" i="16"/>
  <c r="AN1102" i="16"/>
  <c r="AN1103" i="16"/>
  <c r="AN1104" i="16"/>
  <c r="AN1105" i="16"/>
  <c r="AN1106" i="16"/>
  <c r="AN1107" i="16"/>
  <c r="AN1108" i="16"/>
  <c r="AN1109" i="16"/>
  <c r="AN1110" i="16"/>
  <c r="AN1111" i="16"/>
  <c r="AN1112" i="16"/>
  <c r="AN1113" i="16"/>
  <c r="AN1114" i="16"/>
  <c r="AN1115" i="16"/>
  <c r="AN1116" i="16"/>
  <c r="AN1117" i="16"/>
  <c r="AN1118" i="16"/>
  <c r="AN1119" i="16"/>
  <c r="AN1120" i="16"/>
  <c r="AN1121" i="16"/>
  <c r="AN1122" i="16"/>
  <c r="AN1123" i="16"/>
  <c r="AN1124" i="16"/>
  <c r="AN1125" i="16"/>
  <c r="AN1126" i="16"/>
  <c r="AN1127" i="16"/>
  <c r="AN1128" i="16"/>
  <c r="AN1129" i="16"/>
  <c r="AN1130" i="16"/>
  <c r="AN1131" i="16"/>
  <c r="AN1132" i="16"/>
  <c r="AN1133" i="16"/>
  <c r="AN1134" i="16"/>
  <c r="AN1135" i="16"/>
  <c r="AN1136" i="16"/>
  <c r="AN1137" i="16"/>
  <c r="AN1138" i="16"/>
  <c r="AN1139" i="16"/>
  <c r="AN1140" i="16"/>
  <c r="AN1141" i="16"/>
  <c r="AN1142" i="16"/>
  <c r="AN1143" i="16"/>
  <c r="AN1144" i="16"/>
  <c r="AN1145" i="16"/>
  <c r="AN1146" i="16"/>
  <c r="AN1147" i="16"/>
  <c r="AN1148" i="16"/>
  <c r="AN1149" i="16"/>
  <c r="AN1150" i="16"/>
  <c r="AN1151" i="16"/>
  <c r="AN1152" i="16"/>
  <c r="AN1153" i="16"/>
  <c r="AN1154" i="16"/>
  <c r="AN1155" i="16"/>
  <c r="AN1156" i="16"/>
  <c r="AN1157" i="16"/>
  <c r="AN1158" i="16"/>
  <c r="AN1159" i="16"/>
  <c r="AN1160" i="16"/>
  <c r="AN1161" i="16"/>
  <c r="AN1162" i="16"/>
  <c r="AN1163" i="16"/>
  <c r="AN1164" i="16"/>
  <c r="AN1165" i="16"/>
  <c r="AN1166" i="16"/>
  <c r="AN1167" i="16"/>
  <c r="AN1168" i="16"/>
  <c r="AN1169" i="16"/>
  <c r="AN1170" i="16"/>
  <c r="AN1171" i="16"/>
  <c r="AN1172" i="16"/>
  <c r="AN1173" i="16"/>
  <c r="AN1174" i="16"/>
  <c r="AN1175" i="16"/>
  <c r="AN1176" i="16"/>
  <c r="AN1177" i="16"/>
  <c r="AN1178" i="16"/>
  <c r="AN1179" i="16"/>
  <c r="AN1180" i="16"/>
  <c r="AN1181" i="16"/>
  <c r="AN1182" i="16"/>
  <c r="AN1183" i="16"/>
  <c r="AN1184" i="16"/>
  <c r="AN1185" i="16"/>
  <c r="AN1186" i="16"/>
  <c r="AN1187" i="16"/>
  <c r="AN1188" i="16"/>
  <c r="AN1189" i="16"/>
  <c r="AN1190" i="16"/>
  <c r="AN1191" i="16"/>
  <c r="AN1192" i="16"/>
  <c r="AN1193" i="16"/>
  <c r="AN1194" i="16"/>
  <c r="AN1195" i="16"/>
  <c r="AN1196" i="16"/>
  <c r="AN1197" i="16"/>
  <c r="AN1198" i="16"/>
  <c r="AN1199" i="16"/>
  <c r="AN1200" i="16"/>
  <c r="AN1201" i="16"/>
  <c r="AN1202" i="16"/>
  <c r="AN1203" i="16"/>
  <c r="AN1204" i="16"/>
  <c r="AN1205" i="16"/>
  <c r="AN1206" i="16"/>
  <c r="AN1207" i="16"/>
  <c r="AN1208" i="16"/>
  <c r="AN1209" i="16"/>
  <c r="AN1210" i="16"/>
  <c r="AN1211" i="16"/>
  <c r="AN1212" i="16"/>
  <c r="AN1213" i="16"/>
  <c r="AN1214" i="16"/>
  <c r="AN1215" i="16"/>
  <c r="AN1216" i="16"/>
  <c r="AN1217" i="16"/>
  <c r="AN1218" i="16"/>
  <c r="AN1219" i="16"/>
  <c r="AN1220" i="16"/>
  <c r="AN1221" i="16"/>
  <c r="AN1222" i="16"/>
  <c r="AN1223" i="16"/>
  <c r="AN1224" i="16"/>
  <c r="AN1225" i="16"/>
  <c r="AN1226" i="16"/>
  <c r="AN1227" i="16"/>
  <c r="AN1228" i="16"/>
  <c r="AN1229" i="16"/>
  <c r="AN1230" i="16"/>
  <c r="AN1231" i="16"/>
  <c r="AN1232" i="16"/>
  <c r="AN1233" i="16"/>
  <c r="AN1234" i="16"/>
  <c r="AN1235" i="16"/>
  <c r="AN1236" i="16"/>
  <c r="AN1237" i="16"/>
  <c r="AN1238" i="16"/>
  <c r="AN1239" i="16"/>
  <c r="AN1240" i="16"/>
  <c r="AN1241" i="16"/>
  <c r="AN1242" i="16"/>
  <c r="AN1243" i="16"/>
  <c r="AN1244" i="16"/>
  <c r="AN1245" i="16"/>
  <c r="AN1246" i="16"/>
  <c r="AN1247" i="16"/>
  <c r="AN1248" i="16"/>
  <c r="AN1249" i="16"/>
  <c r="AN1250" i="16"/>
  <c r="AN1251" i="16"/>
  <c r="AN1252" i="16"/>
  <c r="AN1253" i="16"/>
  <c r="AN1254" i="16"/>
  <c r="AN1255" i="16"/>
  <c r="AN1256" i="16"/>
  <c r="AN1257" i="16"/>
  <c r="AN1258" i="16"/>
  <c r="AN1259" i="16"/>
  <c r="AN1260" i="16"/>
  <c r="AN1261" i="16"/>
  <c r="AN1262" i="16"/>
  <c r="AN1263" i="16"/>
  <c r="AN1264" i="16"/>
  <c r="AN1265" i="16"/>
  <c r="AN1266" i="16"/>
  <c r="AN1267" i="16"/>
  <c r="AN1268" i="16"/>
  <c r="AN1269" i="16"/>
  <c r="AN1270" i="16"/>
  <c r="AN1271" i="16"/>
  <c r="AN1272" i="16"/>
  <c r="AN1273" i="16"/>
  <c r="AN1274" i="16"/>
  <c r="AN1275" i="16"/>
  <c r="AN1276" i="16"/>
  <c r="AN1277" i="16"/>
  <c r="AN1278" i="16"/>
  <c r="AN1279" i="16"/>
  <c r="AN1280" i="16"/>
  <c r="AN1281" i="16"/>
  <c r="AN1282" i="16"/>
  <c r="AN1283" i="16"/>
  <c r="AN1284" i="16"/>
  <c r="AN1285" i="16"/>
  <c r="AN1286" i="16"/>
  <c r="AN1287" i="16"/>
  <c r="AN1288" i="16"/>
  <c r="AN1289" i="16"/>
  <c r="AN1290" i="16"/>
  <c r="AN1291" i="16"/>
  <c r="AN1292" i="16"/>
  <c r="AN1293" i="16"/>
  <c r="AN1294" i="16"/>
  <c r="AN1295" i="16"/>
  <c r="AN1296" i="16"/>
  <c r="AN1297" i="16"/>
  <c r="AN1298" i="16"/>
  <c r="AN1299" i="16"/>
  <c r="AN1300" i="16"/>
  <c r="AN1301" i="16"/>
  <c r="AN1302" i="16"/>
  <c r="AN1303" i="16"/>
  <c r="AN1304" i="16"/>
  <c r="AN1305" i="16"/>
  <c r="AN1306" i="16"/>
  <c r="AN1307" i="16"/>
  <c r="AN1308" i="16"/>
  <c r="AN1309" i="16"/>
  <c r="AN1310" i="16"/>
  <c r="AN1311" i="16"/>
  <c r="AN1312" i="16"/>
  <c r="AN1313" i="16"/>
  <c r="AN1314" i="16"/>
  <c r="AN1315" i="16"/>
  <c r="AN1316" i="16"/>
  <c r="AN1317" i="16"/>
  <c r="AN1318" i="16"/>
  <c r="AN1319" i="16"/>
  <c r="AN1320" i="16"/>
  <c r="AN1321" i="16"/>
  <c r="AN1322" i="16"/>
  <c r="AN1323" i="16"/>
  <c r="AN1324" i="16"/>
  <c r="AN1325" i="16"/>
  <c r="AN1326" i="16"/>
  <c r="AN1327" i="16"/>
  <c r="AN1328" i="16"/>
  <c r="AN1329" i="16"/>
  <c r="AN1330" i="16"/>
  <c r="AN1331" i="16"/>
  <c r="AN1332" i="16"/>
  <c r="AN1333" i="16"/>
  <c r="AN1334" i="16"/>
  <c r="AN1335" i="16"/>
  <c r="AN1336" i="16"/>
  <c r="AN1337" i="16"/>
  <c r="AN1338" i="16"/>
  <c r="AN1339" i="16"/>
  <c r="AN1340" i="16"/>
  <c r="AN1341" i="16"/>
  <c r="AN1342" i="16"/>
  <c r="AN1343" i="16"/>
  <c r="AN1344" i="16"/>
  <c r="AN1345" i="16"/>
  <c r="AN1346" i="16"/>
  <c r="AN1347" i="16"/>
  <c r="AN1348" i="16"/>
  <c r="AN1349" i="16"/>
  <c r="AN1350" i="16"/>
  <c r="AN1351" i="16"/>
  <c r="AN1352" i="16"/>
  <c r="AN1353" i="16"/>
  <c r="AN1354" i="16"/>
  <c r="AN1355" i="16"/>
  <c r="AN1356" i="16"/>
  <c r="AN1357" i="16"/>
  <c r="AN1358" i="16"/>
  <c r="AN1359" i="16"/>
  <c r="AN1360" i="16"/>
  <c r="AN1361" i="16"/>
  <c r="AN1362" i="16"/>
  <c r="AN1363" i="16"/>
  <c r="AN1364" i="16"/>
  <c r="AN1365" i="16"/>
  <c r="AN1366" i="16"/>
  <c r="AN1367" i="16"/>
  <c r="AN1368" i="16"/>
  <c r="AN1369" i="16"/>
  <c r="AN1370" i="16"/>
  <c r="AN1371" i="16"/>
  <c r="AN1372" i="16"/>
  <c r="AN1373" i="16"/>
  <c r="AN1374" i="16"/>
  <c r="AN1375" i="16"/>
  <c r="AN1376" i="16"/>
  <c r="AN1377" i="16"/>
  <c r="AN1378" i="16"/>
  <c r="AN1379" i="16"/>
  <c r="AN1380" i="16"/>
  <c r="AN1381" i="16"/>
  <c r="AN1382" i="16"/>
  <c r="AN1383" i="16"/>
  <c r="AN1384" i="16"/>
  <c r="AN1385" i="16"/>
  <c r="AN1386" i="16"/>
  <c r="AN1387" i="16"/>
  <c r="AN1388" i="16"/>
  <c r="AN1389" i="16"/>
  <c r="AN1390" i="16"/>
  <c r="AN1391" i="16"/>
  <c r="AN1392" i="16"/>
  <c r="AN1393" i="16"/>
  <c r="AO628" i="16"/>
  <c r="AO629" i="16"/>
  <c r="AO630" i="16"/>
  <c r="AO631" i="16"/>
  <c r="AO632" i="16"/>
  <c r="AO633" i="16"/>
  <c r="AO634" i="16"/>
  <c r="AO635" i="16"/>
  <c r="AO636" i="16"/>
  <c r="AO637" i="16"/>
  <c r="AO638" i="16"/>
  <c r="AO639" i="16"/>
  <c r="AO640" i="16"/>
  <c r="AO641" i="16"/>
  <c r="AO642" i="16"/>
  <c r="AO643" i="16"/>
  <c r="AO644" i="16"/>
  <c r="AO645" i="16"/>
  <c r="AO646" i="16"/>
  <c r="AO647" i="16"/>
  <c r="AO648" i="16"/>
  <c r="AO649" i="16"/>
  <c r="AO650" i="16"/>
  <c r="AO651" i="16"/>
  <c r="AO652" i="16"/>
  <c r="AO653" i="16"/>
  <c r="AO654" i="16"/>
  <c r="AO655" i="16"/>
  <c r="AO656" i="16"/>
  <c r="AO657" i="16"/>
  <c r="AO658" i="16"/>
  <c r="AO659" i="16"/>
  <c r="AO660" i="16"/>
  <c r="AO661" i="16"/>
  <c r="AO662" i="16"/>
  <c r="AO663" i="16"/>
  <c r="AO664" i="16"/>
  <c r="AO665" i="16"/>
  <c r="AO666" i="16"/>
  <c r="AO667" i="16"/>
  <c r="AO668" i="16"/>
  <c r="AO669" i="16"/>
  <c r="AO670" i="16"/>
  <c r="AO671" i="16"/>
  <c r="AO672" i="16"/>
  <c r="AO673" i="16"/>
  <c r="AO674" i="16"/>
  <c r="AO675" i="16"/>
  <c r="AO676" i="16"/>
  <c r="AO677" i="16"/>
  <c r="AO678" i="16"/>
  <c r="AO679" i="16"/>
  <c r="AO680" i="16"/>
  <c r="AO681" i="16"/>
  <c r="AO682" i="16"/>
  <c r="AO683" i="16"/>
  <c r="AO684" i="16"/>
  <c r="AO685" i="16"/>
  <c r="AO686" i="16"/>
  <c r="AO687" i="16"/>
  <c r="AO688" i="16"/>
  <c r="AO689" i="16"/>
  <c r="AO690" i="16"/>
  <c r="AO691" i="16"/>
  <c r="AO692" i="16"/>
  <c r="AO693" i="16"/>
  <c r="AO694" i="16"/>
  <c r="AO695" i="16"/>
  <c r="AO696" i="16"/>
  <c r="AO697" i="16"/>
  <c r="AO698" i="16"/>
  <c r="AO699" i="16"/>
  <c r="AO700" i="16"/>
  <c r="AO701" i="16"/>
  <c r="AO702" i="16"/>
  <c r="AO703" i="16"/>
  <c r="AO704" i="16"/>
  <c r="AO705" i="16"/>
  <c r="AO706" i="16"/>
  <c r="AO707" i="16"/>
  <c r="AO708" i="16"/>
  <c r="AO709" i="16"/>
  <c r="AO710" i="16"/>
  <c r="AO711" i="16"/>
  <c r="AO712" i="16"/>
  <c r="AO713" i="16"/>
  <c r="AO714" i="16"/>
  <c r="AO715" i="16"/>
  <c r="AO716" i="16"/>
  <c r="AO717" i="16"/>
  <c r="AO718" i="16"/>
  <c r="AO719" i="16"/>
  <c r="AO720" i="16"/>
  <c r="AO721" i="16"/>
  <c r="AO722" i="16"/>
  <c r="AO723" i="16"/>
  <c r="AO724" i="16"/>
  <c r="AO725" i="16"/>
  <c r="AO726" i="16"/>
  <c r="AO727" i="16"/>
  <c r="AO728" i="16"/>
  <c r="AO729" i="16"/>
  <c r="AO730" i="16"/>
  <c r="AO731" i="16"/>
  <c r="AO732" i="16"/>
  <c r="AO733" i="16"/>
  <c r="AO734" i="16"/>
  <c r="AO735" i="16"/>
  <c r="AO736" i="16"/>
  <c r="AO737" i="16"/>
  <c r="AO738" i="16"/>
  <c r="AO739" i="16"/>
  <c r="AO740" i="16"/>
  <c r="AO741" i="16"/>
  <c r="AO742" i="16"/>
  <c r="AO743" i="16"/>
  <c r="AO744" i="16"/>
  <c r="AO745" i="16"/>
  <c r="AO746" i="16"/>
  <c r="AO747" i="16"/>
  <c r="AO748" i="16"/>
  <c r="AO749" i="16"/>
  <c r="AO750" i="16"/>
  <c r="AO751" i="16"/>
  <c r="AO752" i="16"/>
  <c r="AO753" i="16"/>
  <c r="AO754" i="16"/>
  <c r="AO755" i="16"/>
  <c r="AO756" i="16"/>
  <c r="AO757" i="16"/>
  <c r="AO758" i="16"/>
  <c r="AO759" i="16"/>
  <c r="AO760" i="16"/>
  <c r="AO761" i="16"/>
  <c r="AO762" i="16"/>
  <c r="AO763" i="16"/>
  <c r="AO764" i="16"/>
  <c r="AO765" i="16"/>
  <c r="AO766" i="16"/>
  <c r="AO767" i="16"/>
  <c r="AO768" i="16"/>
  <c r="AO769" i="16"/>
  <c r="AO770" i="16"/>
  <c r="AO771" i="16"/>
  <c r="AO772" i="16"/>
  <c r="AO773" i="16"/>
  <c r="AO774" i="16"/>
  <c r="AO775" i="16"/>
  <c r="AO776" i="16"/>
  <c r="AO777" i="16"/>
  <c r="AO778" i="16"/>
  <c r="AO779" i="16"/>
  <c r="AO780" i="16"/>
  <c r="AO781" i="16"/>
  <c r="AO782" i="16"/>
  <c r="AO783" i="16"/>
  <c r="AO784" i="16"/>
  <c r="AO785" i="16"/>
  <c r="AO786" i="16"/>
  <c r="AO787" i="16"/>
  <c r="AO788" i="16"/>
  <c r="AO789" i="16"/>
  <c r="AO790" i="16"/>
  <c r="AO791" i="16"/>
  <c r="AO792" i="16"/>
  <c r="AO793" i="16"/>
  <c r="AO794" i="16"/>
  <c r="AO795" i="16"/>
  <c r="AO796" i="16"/>
  <c r="AO797" i="16"/>
  <c r="AO798" i="16"/>
  <c r="AO799" i="16"/>
  <c r="AO800" i="16"/>
  <c r="AO801" i="16"/>
  <c r="AO802" i="16"/>
  <c r="AO803" i="16"/>
  <c r="AO804" i="16"/>
  <c r="AO805" i="16"/>
  <c r="AO806" i="16"/>
  <c r="AO807" i="16"/>
  <c r="AO808" i="16"/>
  <c r="AO809" i="16"/>
  <c r="AO810" i="16"/>
  <c r="AO811" i="16"/>
  <c r="AO812" i="16"/>
  <c r="AO813" i="16"/>
  <c r="AO814" i="16"/>
  <c r="AO815" i="16"/>
  <c r="AO816" i="16"/>
  <c r="AO817" i="16"/>
  <c r="AO818" i="16"/>
  <c r="AO819" i="16"/>
  <c r="AO820" i="16"/>
  <c r="AO821" i="16"/>
  <c r="AO822" i="16"/>
  <c r="AO823" i="16"/>
  <c r="AO824" i="16"/>
  <c r="AO825" i="16"/>
  <c r="AO826" i="16"/>
  <c r="AO827" i="16"/>
  <c r="AO828" i="16"/>
  <c r="AO829" i="16"/>
  <c r="AO830" i="16"/>
  <c r="AO831" i="16"/>
  <c r="AO832" i="16"/>
  <c r="AO833" i="16"/>
  <c r="AO834" i="16"/>
  <c r="AO835" i="16"/>
  <c r="AO836" i="16"/>
  <c r="AO837" i="16"/>
  <c r="AO838" i="16"/>
  <c r="AO839" i="16"/>
  <c r="AO840" i="16"/>
  <c r="AO841" i="16"/>
  <c r="AO842" i="16"/>
  <c r="AO843" i="16"/>
  <c r="AO844" i="16"/>
  <c r="AO845" i="16"/>
  <c r="AO846" i="16"/>
  <c r="AO847" i="16"/>
  <c r="AO848" i="16"/>
  <c r="AO849" i="16"/>
  <c r="AO850" i="16"/>
  <c r="AO851" i="16"/>
  <c r="AO852" i="16"/>
  <c r="AO853" i="16"/>
  <c r="AO854" i="16"/>
  <c r="AO855" i="16"/>
  <c r="AO856" i="16"/>
  <c r="AO857" i="16"/>
  <c r="AO858" i="16"/>
  <c r="AO859" i="16"/>
  <c r="AO860" i="16"/>
  <c r="AO861" i="16"/>
  <c r="AO862" i="16"/>
  <c r="AO863" i="16"/>
  <c r="AO864" i="16"/>
  <c r="AO865" i="16"/>
  <c r="AO866" i="16"/>
  <c r="AO867" i="16"/>
  <c r="AO868" i="16"/>
  <c r="AO869" i="16"/>
  <c r="AO870" i="16"/>
  <c r="AO871" i="16"/>
  <c r="AO872" i="16"/>
  <c r="AO873" i="16"/>
  <c r="AO874" i="16"/>
  <c r="AO875" i="16"/>
  <c r="AO876" i="16"/>
  <c r="AO877" i="16"/>
  <c r="AO878" i="16"/>
  <c r="AO879" i="16"/>
  <c r="AO880" i="16"/>
  <c r="AO881" i="16"/>
  <c r="AO882" i="16"/>
  <c r="AO883" i="16"/>
  <c r="AO884" i="16"/>
  <c r="AO885" i="16"/>
  <c r="AO886" i="16"/>
  <c r="AO887" i="16"/>
  <c r="AO888" i="16"/>
  <c r="AO889" i="16"/>
  <c r="AO890" i="16"/>
  <c r="AO891" i="16"/>
  <c r="AO892" i="16"/>
  <c r="AO893" i="16"/>
  <c r="AO894" i="16"/>
  <c r="AO895" i="16"/>
  <c r="AO896" i="16"/>
  <c r="AO897" i="16"/>
  <c r="AO898" i="16"/>
  <c r="AO899" i="16"/>
  <c r="AO900" i="16"/>
  <c r="AO901" i="16"/>
  <c r="AO902" i="16"/>
  <c r="AO903" i="16"/>
  <c r="AO904" i="16"/>
  <c r="AO905" i="16"/>
  <c r="AO906" i="16"/>
  <c r="AO907" i="16"/>
  <c r="AO908" i="16"/>
  <c r="AO909" i="16"/>
  <c r="AO910" i="16"/>
  <c r="AO911" i="16"/>
  <c r="AO912" i="16"/>
  <c r="AO913" i="16"/>
  <c r="AO914" i="16"/>
  <c r="AO915" i="16"/>
  <c r="AO916" i="16"/>
  <c r="AO917" i="16"/>
  <c r="AO918" i="16"/>
  <c r="AO919" i="16"/>
  <c r="AO920" i="16"/>
  <c r="AO921" i="16"/>
  <c r="AO922" i="16"/>
  <c r="AO923" i="16"/>
  <c r="AO924" i="16"/>
  <c r="AO925" i="16"/>
  <c r="AO926" i="16"/>
  <c r="AO927" i="16"/>
  <c r="AO928" i="16"/>
  <c r="AO929" i="16"/>
  <c r="AO930" i="16"/>
  <c r="AO931" i="16"/>
  <c r="AO932" i="16"/>
  <c r="AO933" i="16"/>
  <c r="AO934" i="16"/>
  <c r="AO935" i="16"/>
  <c r="AO936" i="16"/>
  <c r="AO937" i="16"/>
  <c r="AO938" i="16"/>
  <c r="AO939" i="16"/>
  <c r="AO940" i="16"/>
  <c r="AO941" i="16"/>
  <c r="AO942" i="16"/>
  <c r="AO943" i="16"/>
  <c r="AO944" i="16"/>
  <c r="AO945" i="16"/>
  <c r="AO946" i="16"/>
  <c r="AO947" i="16"/>
  <c r="AO948" i="16"/>
  <c r="AO949" i="16"/>
  <c r="AO950" i="16"/>
  <c r="AO951" i="16"/>
  <c r="AO952" i="16"/>
  <c r="AO953" i="16"/>
  <c r="AO954" i="16"/>
  <c r="AO955" i="16"/>
  <c r="AO956" i="16"/>
  <c r="AO957" i="16"/>
  <c r="AO958" i="16"/>
  <c r="AO959" i="16"/>
  <c r="AO960" i="16"/>
  <c r="AO961" i="16"/>
  <c r="AO962" i="16"/>
  <c r="AO963" i="16"/>
  <c r="AO964" i="16"/>
  <c r="AO965" i="16"/>
  <c r="AO966" i="16"/>
  <c r="AO967" i="16"/>
  <c r="AO968" i="16"/>
  <c r="AO969" i="16"/>
  <c r="AO970" i="16"/>
  <c r="AO971" i="16"/>
  <c r="AO972" i="16"/>
  <c r="AO973" i="16"/>
  <c r="AO974" i="16"/>
  <c r="AO975" i="16"/>
  <c r="AO976" i="16"/>
  <c r="AO977" i="16"/>
  <c r="AO978" i="16"/>
  <c r="AO979" i="16"/>
  <c r="AO980" i="16"/>
  <c r="AO981" i="16"/>
  <c r="AO982" i="16"/>
  <c r="AO983" i="16"/>
  <c r="AO984" i="16"/>
  <c r="AO985" i="16"/>
  <c r="AO986" i="16"/>
  <c r="AO987" i="16"/>
  <c r="AO988" i="16"/>
  <c r="AO989" i="16"/>
  <c r="AO990" i="16"/>
  <c r="AO991" i="16"/>
  <c r="AO992" i="16"/>
  <c r="AO993" i="16"/>
  <c r="AO994" i="16"/>
  <c r="AO995" i="16"/>
  <c r="AO996" i="16"/>
  <c r="AO997" i="16"/>
  <c r="AO998" i="16"/>
  <c r="AO999" i="16"/>
  <c r="AO1000" i="16"/>
  <c r="AO1001" i="16"/>
  <c r="AO1002" i="16"/>
  <c r="AO1003" i="16"/>
  <c r="AO1004" i="16"/>
  <c r="AO1005" i="16"/>
  <c r="AO1006" i="16"/>
  <c r="AO1007" i="16"/>
  <c r="AO1008" i="16"/>
  <c r="AO1009" i="16"/>
  <c r="AO1010" i="16"/>
  <c r="AO1011" i="16"/>
  <c r="AO1012" i="16"/>
  <c r="AO1013" i="16"/>
  <c r="AO1014" i="16"/>
  <c r="AO1015" i="16"/>
  <c r="AO1016" i="16"/>
  <c r="AO1017" i="16"/>
  <c r="AO1018" i="16"/>
  <c r="AO1019" i="16"/>
  <c r="AO1020" i="16"/>
  <c r="AO1021" i="16"/>
  <c r="AO1022" i="16"/>
  <c r="AO1023" i="16"/>
  <c r="AO1024" i="16"/>
  <c r="AO1025" i="16"/>
  <c r="AO1026" i="16"/>
  <c r="AO1027" i="16"/>
  <c r="AO1028" i="16"/>
  <c r="AO1029" i="16"/>
  <c r="AO1030" i="16"/>
  <c r="AO1031" i="16"/>
  <c r="AO1032" i="16"/>
  <c r="AO1033" i="16"/>
  <c r="AO1034" i="16"/>
  <c r="AO1035" i="16"/>
  <c r="AO1036" i="16"/>
  <c r="AO1037" i="16"/>
  <c r="AO1038" i="16"/>
  <c r="AO1039" i="16"/>
  <c r="AO1040" i="16"/>
  <c r="AO1041" i="16"/>
  <c r="AO1042" i="16"/>
  <c r="AO1043" i="16"/>
  <c r="AO1044" i="16"/>
  <c r="AO1045" i="16"/>
  <c r="AO1046" i="16"/>
  <c r="AO1047" i="16"/>
  <c r="AO1048" i="16"/>
  <c r="AO1049" i="16"/>
  <c r="AO1050" i="16"/>
  <c r="AO1051" i="16"/>
  <c r="AO1052" i="16"/>
  <c r="AO1053" i="16"/>
  <c r="AO1054" i="16"/>
  <c r="AO1055" i="16"/>
  <c r="AO1056" i="16"/>
  <c r="AO1057" i="16"/>
  <c r="AO1058" i="16"/>
  <c r="AO1059" i="16"/>
  <c r="AO1060" i="16"/>
  <c r="AO1061" i="16"/>
  <c r="AO1062" i="16"/>
  <c r="AO1063" i="16"/>
  <c r="AO1064" i="16"/>
  <c r="AO1065" i="16"/>
  <c r="AO1066" i="16"/>
  <c r="AO1067" i="16"/>
  <c r="AO1068" i="16"/>
  <c r="AO1069" i="16"/>
  <c r="AO1070" i="16"/>
  <c r="AO1071" i="16"/>
  <c r="AO1072" i="16"/>
  <c r="AO1073" i="16"/>
  <c r="AO1074" i="16"/>
  <c r="AO1075" i="16"/>
  <c r="AO1076" i="16"/>
  <c r="AO1077" i="16"/>
  <c r="AO1078" i="16"/>
  <c r="AO1079" i="16"/>
  <c r="AO1080" i="16"/>
  <c r="AO1081" i="16"/>
  <c r="AO1082" i="16"/>
  <c r="AO1083" i="16"/>
  <c r="AO1084" i="16"/>
  <c r="AO1085" i="16"/>
  <c r="AO1086" i="16"/>
  <c r="AO1087" i="16"/>
  <c r="AO1088" i="16"/>
  <c r="AO1089" i="16"/>
  <c r="AO1090" i="16"/>
  <c r="AO1091" i="16"/>
  <c r="AO1092" i="16"/>
  <c r="AO1093" i="16"/>
  <c r="AO1094" i="16"/>
  <c r="AO1095" i="16"/>
  <c r="AO1096" i="16"/>
  <c r="AO1097" i="16"/>
  <c r="AO1098" i="16"/>
  <c r="AO1099" i="16"/>
  <c r="AO1100" i="16"/>
  <c r="AO1101" i="16"/>
  <c r="AO1102" i="16"/>
  <c r="AO1103" i="16"/>
  <c r="AO1104" i="16"/>
  <c r="AO1105" i="16"/>
  <c r="AO1106" i="16"/>
  <c r="AO1107" i="16"/>
  <c r="AO1108" i="16"/>
  <c r="AO1109" i="16"/>
  <c r="AO1110" i="16"/>
  <c r="AO1111" i="16"/>
  <c r="AO1112" i="16"/>
  <c r="AO1113" i="16"/>
  <c r="AO1114" i="16"/>
  <c r="AO1115" i="16"/>
  <c r="AO1116" i="16"/>
  <c r="AO1117" i="16"/>
  <c r="AO1118" i="16"/>
  <c r="AO1119" i="16"/>
  <c r="AO1120" i="16"/>
  <c r="AO1121" i="16"/>
  <c r="AO1122" i="16"/>
  <c r="AO1123" i="16"/>
  <c r="AO1124" i="16"/>
  <c r="AO1125" i="16"/>
  <c r="AO1126" i="16"/>
  <c r="AO1127" i="16"/>
  <c r="AO1128" i="16"/>
  <c r="AO1129" i="16"/>
  <c r="AO1130" i="16"/>
  <c r="AO1131" i="16"/>
  <c r="AO1132" i="16"/>
  <c r="AO1133" i="16"/>
  <c r="AO1134" i="16"/>
  <c r="AO1135" i="16"/>
  <c r="AO1136" i="16"/>
  <c r="AO1137" i="16"/>
  <c r="AO1138" i="16"/>
  <c r="AO1139" i="16"/>
  <c r="AO1140" i="16"/>
  <c r="AO1141" i="16"/>
  <c r="AO1142" i="16"/>
  <c r="AO1143" i="16"/>
  <c r="AO1144" i="16"/>
  <c r="AO1145" i="16"/>
  <c r="AO1146" i="16"/>
  <c r="AO1147" i="16"/>
  <c r="AO1148" i="16"/>
  <c r="AO1149" i="16"/>
  <c r="AO1150" i="16"/>
  <c r="AO1151" i="16"/>
  <c r="AO1152" i="16"/>
  <c r="AO1153" i="16"/>
  <c r="AO1154" i="16"/>
  <c r="AO1155" i="16"/>
  <c r="AO1156" i="16"/>
  <c r="AO1157" i="16"/>
  <c r="AO1158" i="16"/>
  <c r="AO1159" i="16"/>
  <c r="AO1160" i="16"/>
  <c r="AO1161" i="16"/>
  <c r="AO1162" i="16"/>
  <c r="AO1163" i="16"/>
  <c r="AO1164" i="16"/>
  <c r="AO1165" i="16"/>
  <c r="AO1166" i="16"/>
  <c r="AO1167" i="16"/>
  <c r="AO1168" i="16"/>
  <c r="AO1169" i="16"/>
  <c r="AO1170" i="16"/>
  <c r="AO1171" i="16"/>
  <c r="AO1172" i="16"/>
  <c r="AO1173" i="16"/>
  <c r="AO1174" i="16"/>
  <c r="AO1175" i="16"/>
  <c r="AO1176" i="16"/>
  <c r="AO1177" i="16"/>
  <c r="AO1178" i="16"/>
  <c r="AO1179" i="16"/>
  <c r="AO1180" i="16"/>
  <c r="AO1181" i="16"/>
  <c r="AO1182" i="16"/>
  <c r="AO1183" i="16"/>
  <c r="AO1184" i="16"/>
  <c r="AO1185" i="16"/>
  <c r="AO1186" i="16"/>
  <c r="AO1187" i="16"/>
  <c r="AO1188" i="16"/>
  <c r="AO1189" i="16"/>
  <c r="AO1190" i="16"/>
  <c r="AO1191" i="16"/>
  <c r="AO1192" i="16"/>
  <c r="AO1193" i="16"/>
  <c r="AO1194" i="16"/>
  <c r="AO1195" i="16"/>
  <c r="AO1196" i="16"/>
  <c r="AO1197" i="16"/>
  <c r="AO1198" i="16"/>
  <c r="AO1199" i="16"/>
  <c r="AO1200" i="16"/>
  <c r="AO1201" i="16"/>
  <c r="AO1202" i="16"/>
  <c r="AO1203" i="16"/>
  <c r="AO1204" i="16"/>
  <c r="AO1205" i="16"/>
  <c r="AO1206" i="16"/>
  <c r="AO1207" i="16"/>
  <c r="AO1208" i="16"/>
  <c r="AO1209" i="16"/>
  <c r="AO1210" i="16"/>
  <c r="AO1211" i="16"/>
  <c r="AO1212" i="16"/>
  <c r="AO1213" i="16"/>
  <c r="AO1214" i="16"/>
  <c r="AO1215" i="16"/>
  <c r="AO1216" i="16"/>
  <c r="AO1217" i="16"/>
  <c r="AO1218" i="16"/>
  <c r="AO1219" i="16"/>
  <c r="AO1220" i="16"/>
  <c r="AO1221" i="16"/>
  <c r="AO1222" i="16"/>
  <c r="AO1223" i="16"/>
  <c r="AO1224" i="16"/>
  <c r="AO1225" i="16"/>
  <c r="AO1226" i="16"/>
  <c r="AO1227" i="16"/>
  <c r="AO1228" i="16"/>
  <c r="AO1229" i="16"/>
  <c r="AO1230" i="16"/>
  <c r="AO1231" i="16"/>
  <c r="AO1232" i="16"/>
  <c r="AO1233" i="16"/>
  <c r="AO1234" i="16"/>
  <c r="AO1235" i="16"/>
  <c r="AO1236" i="16"/>
  <c r="AO1237" i="16"/>
  <c r="AO1238" i="16"/>
  <c r="AO1239" i="16"/>
  <c r="AO1240" i="16"/>
  <c r="AO1241" i="16"/>
  <c r="AO1242" i="16"/>
  <c r="AO1243" i="16"/>
  <c r="AO1244" i="16"/>
  <c r="AO1245" i="16"/>
  <c r="AO1246" i="16"/>
  <c r="AO1247" i="16"/>
  <c r="AO1248" i="16"/>
  <c r="AO1249" i="16"/>
  <c r="AO1250" i="16"/>
  <c r="AO1251" i="16"/>
  <c r="AO1252" i="16"/>
  <c r="AO1253" i="16"/>
  <c r="AO1254" i="16"/>
  <c r="AO1255" i="16"/>
  <c r="AO1256" i="16"/>
  <c r="AO1257" i="16"/>
  <c r="AO1258" i="16"/>
  <c r="AO1259" i="16"/>
  <c r="AO1260" i="16"/>
  <c r="AO1261" i="16"/>
  <c r="AO1262" i="16"/>
  <c r="AO1263" i="16"/>
  <c r="AO1264" i="16"/>
  <c r="AO1265" i="16"/>
  <c r="AO1266" i="16"/>
  <c r="AO1267" i="16"/>
  <c r="AO1268" i="16"/>
  <c r="AO1269" i="16"/>
  <c r="AO1270" i="16"/>
  <c r="AO1271" i="16"/>
  <c r="AO1272" i="16"/>
  <c r="AO1273" i="16"/>
  <c r="AO1274" i="16"/>
  <c r="AO1275" i="16"/>
  <c r="AO1276" i="16"/>
  <c r="AO1277" i="16"/>
  <c r="AO1278" i="16"/>
  <c r="AO1279" i="16"/>
  <c r="AO1280" i="16"/>
  <c r="AO1281" i="16"/>
  <c r="AO1282" i="16"/>
  <c r="AO1283" i="16"/>
  <c r="AO1284" i="16"/>
  <c r="AO1285" i="16"/>
  <c r="AO1286" i="16"/>
  <c r="AO1287" i="16"/>
  <c r="AO1288" i="16"/>
  <c r="AO1289" i="16"/>
  <c r="AO1290" i="16"/>
  <c r="AO1291" i="16"/>
  <c r="AO1292" i="16"/>
  <c r="AO1293" i="16"/>
  <c r="AO1294" i="16"/>
  <c r="AO1295" i="16"/>
  <c r="AO1296" i="16"/>
  <c r="AO1297" i="16"/>
  <c r="AO1298" i="16"/>
  <c r="AO1299" i="16"/>
  <c r="AO1300" i="16"/>
  <c r="AO1301" i="16"/>
  <c r="AO1302" i="16"/>
  <c r="AO1303" i="16"/>
  <c r="AO1304" i="16"/>
  <c r="AO1305" i="16"/>
  <c r="AO1306" i="16"/>
  <c r="AO1307" i="16"/>
  <c r="AO1308" i="16"/>
  <c r="AO1309" i="16"/>
  <c r="AO1310" i="16"/>
  <c r="AO1311" i="16"/>
  <c r="AO1312" i="16"/>
  <c r="AO1313" i="16"/>
  <c r="AO1314" i="16"/>
  <c r="AO1315" i="16"/>
  <c r="AO1316" i="16"/>
  <c r="AO1317" i="16"/>
  <c r="AO1318" i="16"/>
  <c r="AO1319" i="16"/>
  <c r="AO1320" i="16"/>
  <c r="AO1321" i="16"/>
  <c r="AO1322" i="16"/>
  <c r="AO1323" i="16"/>
  <c r="AO1324" i="16"/>
  <c r="AO1325" i="16"/>
  <c r="AO1326" i="16"/>
  <c r="AO1327" i="16"/>
  <c r="AO1328" i="16"/>
  <c r="AO1329" i="16"/>
  <c r="AO1330" i="16"/>
  <c r="AO1331" i="16"/>
  <c r="AO1332" i="16"/>
  <c r="AO1333" i="16"/>
  <c r="AO1334" i="16"/>
  <c r="AO1335" i="16"/>
  <c r="AO1336" i="16"/>
  <c r="AO1337" i="16"/>
  <c r="AO1338" i="16"/>
  <c r="AO1339" i="16"/>
  <c r="AO1340" i="16"/>
  <c r="AO1341" i="16"/>
  <c r="AO1342" i="16"/>
  <c r="AO1343" i="16"/>
  <c r="AO1344" i="16"/>
  <c r="AO1345" i="16"/>
  <c r="AO1346" i="16"/>
  <c r="AO1347" i="16"/>
  <c r="AO1348" i="16"/>
  <c r="AO1349" i="16"/>
  <c r="AO1350" i="16"/>
  <c r="AO1351" i="16"/>
  <c r="AO1352" i="16"/>
  <c r="AO1353" i="16"/>
  <c r="AO1354" i="16"/>
  <c r="AO1355" i="16"/>
  <c r="AO1356" i="16"/>
  <c r="AO1357" i="16"/>
  <c r="AO1358" i="16"/>
  <c r="AO1359" i="16"/>
  <c r="AO1360" i="16"/>
  <c r="AO1361" i="16"/>
  <c r="AO1362" i="16"/>
  <c r="AO1363" i="16"/>
  <c r="AO1364" i="16"/>
  <c r="AO1365" i="16"/>
  <c r="AO1366" i="16"/>
  <c r="AO1367" i="16"/>
  <c r="AO1368" i="16"/>
  <c r="AO1369" i="16"/>
  <c r="AO1370" i="16"/>
  <c r="AO1371" i="16"/>
  <c r="AO1372" i="16"/>
  <c r="AO1373" i="16"/>
  <c r="AO1374" i="16"/>
  <c r="AO1375" i="16"/>
  <c r="AO1376" i="16"/>
  <c r="AO1377" i="16"/>
  <c r="AO1378" i="16"/>
  <c r="AO1379" i="16"/>
  <c r="AO1380" i="16"/>
  <c r="AO1381" i="16"/>
  <c r="AO1382" i="16"/>
  <c r="AO1383" i="16"/>
  <c r="AO1384" i="16"/>
  <c r="AO1385" i="16"/>
  <c r="AO1386" i="16"/>
  <c r="AO1387" i="16"/>
  <c r="AO1388" i="16"/>
  <c r="AO1389" i="16"/>
  <c r="AO1390" i="16"/>
  <c r="AO1391" i="16"/>
  <c r="AO1392" i="16"/>
  <c r="AO1393" i="16"/>
  <c r="AP628" i="16"/>
  <c r="AP629" i="16"/>
  <c r="AP630" i="16"/>
  <c r="AP631" i="16"/>
  <c r="AP632" i="16"/>
  <c r="AP633" i="16"/>
  <c r="AP634" i="16"/>
  <c r="AP635" i="16"/>
  <c r="AP636" i="16"/>
  <c r="AP637" i="16"/>
  <c r="AP638" i="16"/>
  <c r="AP639" i="16"/>
  <c r="AP640" i="16"/>
  <c r="AP641" i="16"/>
  <c r="AP642" i="16"/>
  <c r="AP643" i="16"/>
  <c r="AP644" i="16"/>
  <c r="AP645" i="16"/>
  <c r="AP646" i="16"/>
  <c r="AP647" i="16"/>
  <c r="AP648" i="16"/>
  <c r="AP649" i="16"/>
  <c r="AP650" i="16"/>
  <c r="AP651" i="16"/>
  <c r="AP652" i="16"/>
  <c r="AP653" i="16"/>
  <c r="AP654" i="16"/>
  <c r="AP655" i="16"/>
  <c r="AP656" i="16"/>
  <c r="AP657" i="16"/>
  <c r="AP658" i="16"/>
  <c r="AP659" i="16"/>
  <c r="AP660" i="16"/>
  <c r="AP661" i="16"/>
  <c r="AP662" i="16"/>
  <c r="AP663" i="16"/>
  <c r="AP664" i="16"/>
  <c r="AP665" i="16"/>
  <c r="AP666" i="16"/>
  <c r="AP667" i="16"/>
  <c r="AP668" i="16"/>
  <c r="AP669" i="16"/>
  <c r="AP670" i="16"/>
  <c r="AP671" i="16"/>
  <c r="AP672" i="16"/>
  <c r="AP673" i="16"/>
  <c r="AP674" i="16"/>
  <c r="AP675" i="16"/>
  <c r="AP676" i="16"/>
  <c r="AP677" i="16"/>
  <c r="AP678" i="16"/>
  <c r="AP679" i="16"/>
  <c r="AP680" i="16"/>
  <c r="AP681" i="16"/>
  <c r="AP682" i="16"/>
  <c r="AP683" i="16"/>
  <c r="AP684" i="16"/>
  <c r="AP685" i="16"/>
  <c r="AP686" i="16"/>
  <c r="AP687" i="16"/>
  <c r="AP688" i="16"/>
  <c r="AP689" i="16"/>
  <c r="AP690" i="16"/>
  <c r="AP691" i="16"/>
  <c r="AP692" i="16"/>
  <c r="AP693" i="16"/>
  <c r="AP694" i="16"/>
  <c r="AP695" i="16"/>
  <c r="AP696" i="16"/>
  <c r="AP697" i="16"/>
  <c r="AP698" i="16"/>
  <c r="AP699" i="16"/>
  <c r="AP700" i="16"/>
  <c r="AP701" i="16"/>
  <c r="AP702" i="16"/>
  <c r="AP703" i="16"/>
  <c r="AP704" i="16"/>
  <c r="AP705" i="16"/>
  <c r="AP706" i="16"/>
  <c r="AP707" i="16"/>
  <c r="AP708" i="16"/>
  <c r="AP709" i="16"/>
  <c r="AP710" i="16"/>
  <c r="AP711" i="16"/>
  <c r="AP712" i="16"/>
  <c r="AP713" i="16"/>
  <c r="AP714" i="16"/>
  <c r="AP715" i="16"/>
  <c r="AP716" i="16"/>
  <c r="AP717" i="16"/>
  <c r="AP718" i="16"/>
  <c r="AP719" i="16"/>
  <c r="AP720" i="16"/>
  <c r="AP721" i="16"/>
  <c r="AP722" i="16"/>
  <c r="AP723" i="16"/>
  <c r="AP724" i="16"/>
  <c r="AP725" i="16"/>
  <c r="AP726" i="16"/>
  <c r="AP727" i="16"/>
  <c r="AP728" i="16"/>
  <c r="AP729" i="16"/>
  <c r="AP730" i="16"/>
  <c r="AP731" i="16"/>
  <c r="AP732" i="16"/>
  <c r="AP733" i="16"/>
  <c r="AP734" i="16"/>
  <c r="AP735" i="16"/>
  <c r="AP736" i="16"/>
  <c r="AP737" i="16"/>
  <c r="AP738" i="16"/>
  <c r="AP739" i="16"/>
  <c r="AP740" i="16"/>
  <c r="AP741" i="16"/>
  <c r="AP742" i="16"/>
  <c r="AP743" i="16"/>
  <c r="AP744" i="16"/>
  <c r="AP745" i="16"/>
  <c r="AP746" i="16"/>
  <c r="AP747" i="16"/>
  <c r="AP748" i="16"/>
  <c r="AP749" i="16"/>
  <c r="AP750" i="16"/>
  <c r="AP751" i="16"/>
  <c r="AP752" i="16"/>
  <c r="AP753" i="16"/>
  <c r="AP754" i="16"/>
  <c r="AP755" i="16"/>
  <c r="AP756" i="16"/>
  <c r="AP757" i="16"/>
  <c r="AP758" i="16"/>
  <c r="AP759" i="16"/>
  <c r="AP760" i="16"/>
  <c r="AP761" i="16"/>
  <c r="AP762" i="16"/>
  <c r="AP763" i="16"/>
  <c r="AP764" i="16"/>
  <c r="AP765" i="16"/>
  <c r="AP766" i="16"/>
  <c r="AP767" i="16"/>
  <c r="AP768" i="16"/>
  <c r="AP769" i="16"/>
  <c r="AP770" i="16"/>
  <c r="AP771" i="16"/>
  <c r="AP772" i="16"/>
  <c r="AP773" i="16"/>
  <c r="AP774" i="16"/>
  <c r="AP775" i="16"/>
  <c r="AP776" i="16"/>
  <c r="AP777" i="16"/>
  <c r="AP778" i="16"/>
  <c r="AP779" i="16"/>
  <c r="AP780" i="16"/>
  <c r="AP781" i="16"/>
  <c r="AP782" i="16"/>
  <c r="AP783" i="16"/>
  <c r="AP784" i="16"/>
  <c r="AP785" i="16"/>
  <c r="AP786" i="16"/>
  <c r="AP787" i="16"/>
  <c r="AP788" i="16"/>
  <c r="AP789" i="16"/>
  <c r="AP790" i="16"/>
  <c r="AP791" i="16"/>
  <c r="AP792" i="16"/>
  <c r="AP793" i="16"/>
  <c r="AP794" i="16"/>
  <c r="AP795" i="16"/>
  <c r="AP796" i="16"/>
  <c r="AP797" i="16"/>
  <c r="AP798" i="16"/>
  <c r="AP799" i="16"/>
  <c r="AP800" i="16"/>
  <c r="AP801" i="16"/>
  <c r="AP802" i="16"/>
  <c r="AP803" i="16"/>
  <c r="AP804" i="16"/>
  <c r="AP805" i="16"/>
  <c r="AP806" i="16"/>
  <c r="AP807" i="16"/>
  <c r="AP808" i="16"/>
  <c r="AP809" i="16"/>
  <c r="AP810" i="16"/>
  <c r="AP811" i="16"/>
  <c r="AP812" i="16"/>
  <c r="AP813" i="16"/>
  <c r="AP814" i="16"/>
  <c r="AP815" i="16"/>
  <c r="AP816" i="16"/>
  <c r="AP817" i="16"/>
  <c r="AP818" i="16"/>
  <c r="AP819" i="16"/>
  <c r="AP820" i="16"/>
  <c r="AP821" i="16"/>
  <c r="AP822" i="16"/>
  <c r="AP823" i="16"/>
  <c r="AP824" i="16"/>
  <c r="AP825" i="16"/>
  <c r="AP826" i="16"/>
  <c r="AP827" i="16"/>
  <c r="AP828" i="16"/>
  <c r="AP829" i="16"/>
  <c r="AP830" i="16"/>
  <c r="AP831" i="16"/>
  <c r="AP832" i="16"/>
  <c r="AP833" i="16"/>
  <c r="AP834" i="16"/>
  <c r="AP835" i="16"/>
  <c r="AP836" i="16"/>
  <c r="AP837" i="16"/>
  <c r="AP838" i="16"/>
  <c r="AP839" i="16"/>
  <c r="AP840" i="16"/>
  <c r="AP841" i="16"/>
  <c r="AP842" i="16"/>
  <c r="AP843" i="16"/>
  <c r="AP844" i="16"/>
  <c r="AP845" i="16"/>
  <c r="AP846" i="16"/>
  <c r="AP847" i="16"/>
  <c r="AP848" i="16"/>
  <c r="AP849" i="16"/>
  <c r="AP850" i="16"/>
  <c r="AP851" i="16"/>
  <c r="AP852" i="16"/>
  <c r="AP853" i="16"/>
  <c r="AP854" i="16"/>
  <c r="AP855" i="16"/>
  <c r="AP856" i="16"/>
  <c r="AP857" i="16"/>
  <c r="AP858" i="16"/>
  <c r="AP859" i="16"/>
  <c r="AP860" i="16"/>
  <c r="AP861" i="16"/>
  <c r="AP862" i="16"/>
  <c r="AP863" i="16"/>
  <c r="AP864" i="16"/>
  <c r="AP865" i="16"/>
  <c r="AP866" i="16"/>
  <c r="AP867" i="16"/>
  <c r="AP868" i="16"/>
  <c r="AP869" i="16"/>
  <c r="AP870" i="16"/>
  <c r="AP871" i="16"/>
  <c r="AP872" i="16"/>
  <c r="AP873" i="16"/>
  <c r="AP874" i="16"/>
  <c r="AP875" i="16"/>
  <c r="AP876" i="16"/>
  <c r="AP877" i="16"/>
  <c r="AP878" i="16"/>
  <c r="AP879" i="16"/>
  <c r="AP880" i="16"/>
  <c r="AP881" i="16"/>
  <c r="AP882" i="16"/>
  <c r="AP883" i="16"/>
  <c r="AP884" i="16"/>
  <c r="AP885" i="16"/>
  <c r="AP886" i="16"/>
  <c r="AP887" i="16"/>
  <c r="AP888" i="16"/>
  <c r="AP889" i="16"/>
  <c r="AP890" i="16"/>
  <c r="AP891" i="16"/>
  <c r="AP892" i="16"/>
  <c r="AP893" i="16"/>
  <c r="AP894" i="16"/>
  <c r="AP895" i="16"/>
  <c r="AP896" i="16"/>
  <c r="AP897" i="16"/>
  <c r="AP898" i="16"/>
  <c r="AP899" i="16"/>
  <c r="AP900" i="16"/>
  <c r="AP901" i="16"/>
  <c r="AP902" i="16"/>
  <c r="AP903" i="16"/>
  <c r="AP904" i="16"/>
  <c r="AP905" i="16"/>
  <c r="AP906" i="16"/>
  <c r="AP907" i="16"/>
  <c r="AP908" i="16"/>
  <c r="AP909" i="16"/>
  <c r="AP910" i="16"/>
  <c r="AP911" i="16"/>
  <c r="AP912" i="16"/>
  <c r="AP913" i="16"/>
  <c r="AP914" i="16"/>
  <c r="AP915" i="16"/>
  <c r="AP916" i="16"/>
  <c r="AP917" i="16"/>
  <c r="AP918" i="16"/>
  <c r="AP919" i="16"/>
  <c r="AP920" i="16"/>
  <c r="AP921" i="16"/>
  <c r="AP922" i="16"/>
  <c r="AP923" i="16"/>
  <c r="AP924" i="16"/>
  <c r="AP925" i="16"/>
  <c r="AP926" i="16"/>
  <c r="AP927" i="16"/>
  <c r="AP928" i="16"/>
  <c r="AP929" i="16"/>
  <c r="AP930" i="16"/>
  <c r="AP931" i="16"/>
  <c r="AP932" i="16"/>
  <c r="AP933" i="16"/>
  <c r="AP934" i="16"/>
  <c r="AP935" i="16"/>
  <c r="AP936" i="16"/>
  <c r="AP937" i="16"/>
  <c r="AP938" i="16"/>
  <c r="AP939" i="16"/>
  <c r="AP940" i="16"/>
  <c r="AP941" i="16"/>
  <c r="AP942" i="16"/>
  <c r="AP943" i="16"/>
  <c r="AP944" i="16"/>
  <c r="AP945" i="16"/>
  <c r="AP946" i="16"/>
  <c r="AP947" i="16"/>
  <c r="AP948" i="16"/>
  <c r="AP949" i="16"/>
  <c r="AP950" i="16"/>
  <c r="AP951" i="16"/>
  <c r="AP952" i="16"/>
  <c r="AP953" i="16"/>
  <c r="AP954" i="16"/>
  <c r="AP955" i="16"/>
  <c r="AP956" i="16"/>
  <c r="AP957" i="16"/>
  <c r="AP958" i="16"/>
  <c r="AP959" i="16"/>
  <c r="AP960" i="16"/>
  <c r="AP961" i="16"/>
  <c r="AP962" i="16"/>
  <c r="AP963" i="16"/>
  <c r="AP964" i="16"/>
  <c r="AP965" i="16"/>
  <c r="AP966" i="16"/>
  <c r="AP967" i="16"/>
  <c r="AP968" i="16"/>
  <c r="AP969" i="16"/>
  <c r="AP970" i="16"/>
  <c r="AP971" i="16"/>
  <c r="AP972" i="16"/>
  <c r="AP973" i="16"/>
  <c r="AP974" i="16"/>
  <c r="AP975" i="16"/>
  <c r="AP976" i="16"/>
  <c r="AP977" i="16"/>
  <c r="AP978" i="16"/>
  <c r="AP979" i="16"/>
  <c r="AP980" i="16"/>
  <c r="AP981" i="16"/>
  <c r="AP982" i="16"/>
  <c r="AP983" i="16"/>
  <c r="AP984" i="16"/>
  <c r="AP985" i="16"/>
  <c r="AP986" i="16"/>
  <c r="AP987" i="16"/>
  <c r="AP988" i="16"/>
  <c r="AP989" i="16"/>
  <c r="AP990" i="16"/>
  <c r="AP991" i="16"/>
  <c r="AP992" i="16"/>
  <c r="AP993" i="16"/>
  <c r="AP994" i="16"/>
  <c r="AP995" i="16"/>
  <c r="AP996" i="16"/>
  <c r="AP997" i="16"/>
  <c r="AP998" i="16"/>
  <c r="AP999" i="16"/>
  <c r="AP1000" i="16"/>
  <c r="AP1001" i="16"/>
  <c r="AP1002" i="16"/>
  <c r="AP1003" i="16"/>
  <c r="AP1004" i="16"/>
  <c r="AP1005" i="16"/>
  <c r="AP1006" i="16"/>
  <c r="AP1007" i="16"/>
  <c r="AP1008" i="16"/>
  <c r="AP1009" i="16"/>
  <c r="AP1010" i="16"/>
  <c r="AP1011" i="16"/>
  <c r="AP1012" i="16"/>
  <c r="AP1013" i="16"/>
  <c r="AP1014" i="16"/>
  <c r="AP1015" i="16"/>
  <c r="AP1016" i="16"/>
  <c r="AP1017" i="16"/>
  <c r="AP1018" i="16"/>
  <c r="AP1019" i="16"/>
  <c r="AP1020" i="16"/>
  <c r="AP1021" i="16"/>
  <c r="AP1022" i="16"/>
  <c r="AP1023" i="16"/>
  <c r="AP1024" i="16"/>
  <c r="AP1025" i="16"/>
  <c r="AP1026" i="16"/>
  <c r="AP1027" i="16"/>
  <c r="AP1028" i="16"/>
  <c r="AP1029" i="16"/>
  <c r="AP1030" i="16"/>
  <c r="AP1031" i="16"/>
  <c r="AP1032" i="16"/>
  <c r="AP1033" i="16"/>
  <c r="AP1034" i="16"/>
  <c r="AP1035" i="16"/>
  <c r="AP1036" i="16"/>
  <c r="AP1037" i="16"/>
  <c r="AP1038" i="16"/>
  <c r="AP1039" i="16"/>
  <c r="AP1040" i="16"/>
  <c r="AP1041" i="16"/>
  <c r="AP1042" i="16"/>
  <c r="AP1043" i="16"/>
  <c r="AP1044" i="16"/>
  <c r="AP1045" i="16"/>
  <c r="AP1046" i="16"/>
  <c r="AP1047" i="16"/>
  <c r="AP1048" i="16"/>
  <c r="AP1049" i="16"/>
  <c r="AP1050" i="16"/>
  <c r="AP1051" i="16"/>
  <c r="AP1052" i="16"/>
  <c r="AP1053" i="16"/>
  <c r="AP1054" i="16"/>
  <c r="AP1055" i="16"/>
  <c r="AP1056" i="16"/>
  <c r="AP1057" i="16"/>
  <c r="AP1058" i="16"/>
  <c r="AP1059" i="16"/>
  <c r="AP1060" i="16"/>
  <c r="AP1061" i="16"/>
  <c r="AP1062" i="16"/>
  <c r="AP1063" i="16"/>
  <c r="AP1064" i="16"/>
  <c r="AP1065" i="16"/>
  <c r="AP1066" i="16"/>
  <c r="AP1067" i="16"/>
  <c r="AP1068" i="16"/>
  <c r="AP1069" i="16"/>
  <c r="AP1070" i="16"/>
  <c r="AP1071" i="16"/>
  <c r="AP1072" i="16"/>
  <c r="AP1073" i="16"/>
  <c r="AP1074" i="16"/>
  <c r="AP1075" i="16"/>
  <c r="AP1076" i="16"/>
  <c r="AP1077" i="16"/>
  <c r="AP1078" i="16"/>
  <c r="AP1079" i="16"/>
  <c r="AP1080" i="16"/>
  <c r="AP1081" i="16"/>
  <c r="AP1082" i="16"/>
  <c r="AP1083" i="16"/>
  <c r="AP1084" i="16"/>
  <c r="AP1085" i="16"/>
  <c r="AP1086" i="16"/>
  <c r="AP1087" i="16"/>
  <c r="AP1088" i="16"/>
  <c r="AP1089" i="16"/>
  <c r="AP1090" i="16"/>
  <c r="AP1091" i="16"/>
  <c r="AP1092" i="16"/>
  <c r="AP1093" i="16"/>
  <c r="AP1094" i="16"/>
  <c r="AP1095" i="16"/>
  <c r="AP1096" i="16"/>
  <c r="AP1097" i="16"/>
  <c r="AP1098" i="16"/>
  <c r="AP1099" i="16"/>
  <c r="AP1100" i="16"/>
  <c r="AP1101" i="16"/>
  <c r="AP1102" i="16"/>
  <c r="AP1103" i="16"/>
  <c r="AP1104" i="16"/>
  <c r="AP1105" i="16"/>
  <c r="AP1106" i="16"/>
  <c r="AP1107" i="16"/>
  <c r="AP1108" i="16"/>
  <c r="AP1109" i="16"/>
  <c r="AP1110" i="16"/>
  <c r="AP1111" i="16"/>
  <c r="AP1112" i="16"/>
  <c r="AP1113" i="16"/>
  <c r="AP1114" i="16"/>
  <c r="AP1115" i="16"/>
  <c r="AP1116" i="16"/>
  <c r="AP1117" i="16"/>
  <c r="AP1118" i="16"/>
  <c r="AP1119" i="16"/>
  <c r="AP1120" i="16"/>
  <c r="AP1121" i="16"/>
  <c r="AP1122" i="16"/>
  <c r="AP1123" i="16"/>
  <c r="AP1124" i="16"/>
  <c r="AP1125" i="16"/>
  <c r="AP1126" i="16"/>
  <c r="AP1127" i="16"/>
  <c r="AP1128" i="16"/>
  <c r="AP1129" i="16"/>
  <c r="AP1130" i="16"/>
  <c r="AP1131" i="16"/>
  <c r="AP1132" i="16"/>
  <c r="AP1133" i="16"/>
  <c r="AP1134" i="16"/>
  <c r="AP1135" i="16"/>
  <c r="AP1136" i="16"/>
  <c r="AP1137" i="16"/>
  <c r="AP1138" i="16"/>
  <c r="AP1139" i="16"/>
  <c r="AP1140" i="16"/>
  <c r="AP1141" i="16"/>
  <c r="AP1142" i="16"/>
  <c r="AP1143" i="16"/>
  <c r="AP1144" i="16"/>
  <c r="AP1145" i="16"/>
  <c r="AP1146" i="16"/>
  <c r="AP1147" i="16"/>
  <c r="AP1148" i="16"/>
  <c r="AP1149" i="16"/>
  <c r="AP1150" i="16"/>
  <c r="AP1151" i="16"/>
  <c r="AP1152" i="16"/>
  <c r="AP1153" i="16"/>
  <c r="AP1154" i="16"/>
  <c r="AP1155" i="16"/>
  <c r="AP1156" i="16"/>
  <c r="AP1157" i="16"/>
  <c r="AP1158" i="16"/>
  <c r="AP1159" i="16"/>
  <c r="AP1160" i="16"/>
  <c r="AP1161" i="16"/>
  <c r="AP1162" i="16"/>
  <c r="AP1163" i="16"/>
  <c r="AP1164" i="16"/>
  <c r="AP1165" i="16"/>
  <c r="AP1166" i="16"/>
  <c r="AP1167" i="16"/>
  <c r="AP1168" i="16"/>
  <c r="AP1169" i="16"/>
  <c r="AP1170" i="16"/>
  <c r="AP1171" i="16"/>
  <c r="AP1172" i="16"/>
  <c r="AP1173" i="16"/>
  <c r="AP1174" i="16"/>
  <c r="AP1175" i="16"/>
  <c r="AP1176" i="16"/>
  <c r="AP1177" i="16"/>
  <c r="AP1178" i="16"/>
  <c r="AP1179" i="16"/>
  <c r="AP1180" i="16"/>
  <c r="AP1181" i="16"/>
  <c r="AP1182" i="16"/>
  <c r="AP1183" i="16"/>
  <c r="AP1184" i="16"/>
  <c r="AP1185" i="16"/>
  <c r="AP1186" i="16"/>
  <c r="AP1187" i="16"/>
  <c r="AP1188" i="16"/>
  <c r="AP1189" i="16"/>
  <c r="AP1190" i="16"/>
  <c r="AP1191" i="16"/>
  <c r="AP1192" i="16"/>
  <c r="AP1193" i="16"/>
  <c r="AP1194" i="16"/>
  <c r="AP1195" i="16"/>
  <c r="AP1196" i="16"/>
  <c r="AP1197" i="16"/>
  <c r="AP1198" i="16"/>
  <c r="AP1199" i="16"/>
  <c r="AP1200" i="16"/>
  <c r="AP1201" i="16"/>
  <c r="AP1202" i="16"/>
  <c r="AP1203" i="16"/>
  <c r="AP1204" i="16"/>
  <c r="AP1205" i="16"/>
  <c r="AP1206" i="16"/>
  <c r="AP1207" i="16"/>
  <c r="AP1208" i="16"/>
  <c r="AP1209" i="16"/>
  <c r="AP1210" i="16"/>
  <c r="AP1211" i="16"/>
  <c r="AP1212" i="16"/>
  <c r="AP1213" i="16"/>
  <c r="AP1214" i="16"/>
  <c r="AP1215" i="16"/>
  <c r="AP1216" i="16"/>
  <c r="AP1217" i="16"/>
  <c r="AP1218" i="16"/>
  <c r="AP1219" i="16"/>
  <c r="AP1220" i="16"/>
  <c r="AP1221" i="16"/>
  <c r="AP1222" i="16"/>
  <c r="AP1223" i="16"/>
  <c r="AP1224" i="16"/>
  <c r="AP1225" i="16"/>
  <c r="AP1226" i="16"/>
  <c r="AP1227" i="16"/>
  <c r="AP1228" i="16"/>
  <c r="AP1229" i="16"/>
  <c r="AP1230" i="16"/>
  <c r="AP1231" i="16"/>
  <c r="AP1232" i="16"/>
  <c r="AP1233" i="16"/>
  <c r="AP1234" i="16"/>
  <c r="AP1235" i="16"/>
  <c r="AP1236" i="16"/>
  <c r="AP1237" i="16"/>
  <c r="AP1238" i="16"/>
  <c r="AP1239" i="16"/>
  <c r="AP1240" i="16"/>
  <c r="AP1241" i="16"/>
  <c r="AP1242" i="16"/>
  <c r="AP1243" i="16"/>
  <c r="AP1244" i="16"/>
  <c r="AP1245" i="16"/>
  <c r="AP1246" i="16"/>
  <c r="AP1247" i="16"/>
  <c r="AP1248" i="16"/>
  <c r="AP1249" i="16"/>
  <c r="AP1250" i="16"/>
  <c r="AP1251" i="16"/>
  <c r="AP1252" i="16"/>
  <c r="AP1253" i="16"/>
  <c r="AP1254" i="16"/>
  <c r="AP1255" i="16"/>
  <c r="AP1256" i="16"/>
  <c r="AP1257" i="16"/>
  <c r="AP1258" i="16"/>
  <c r="AP1259" i="16"/>
  <c r="AP1260" i="16"/>
  <c r="AP1261" i="16"/>
  <c r="AP1262" i="16"/>
  <c r="AP1263" i="16"/>
  <c r="AP1264" i="16"/>
  <c r="AP1265" i="16"/>
  <c r="AP1266" i="16"/>
  <c r="AP1267" i="16"/>
  <c r="AP1268" i="16"/>
  <c r="AP1269" i="16"/>
  <c r="AP1270" i="16"/>
  <c r="AP1271" i="16"/>
  <c r="AP1272" i="16"/>
  <c r="AP1273" i="16"/>
  <c r="AP1274" i="16"/>
  <c r="AP1275" i="16"/>
  <c r="AP1276" i="16"/>
  <c r="AP1277" i="16"/>
  <c r="AP1278" i="16"/>
  <c r="AP1279" i="16"/>
  <c r="AP1280" i="16"/>
  <c r="AP1281" i="16"/>
  <c r="AP1282" i="16"/>
  <c r="AP1283" i="16"/>
  <c r="AP1284" i="16"/>
  <c r="AP1285" i="16"/>
  <c r="AP1286" i="16"/>
  <c r="AP1287" i="16"/>
  <c r="AP1288" i="16"/>
  <c r="AP1289" i="16"/>
  <c r="AP1290" i="16"/>
  <c r="AP1291" i="16"/>
  <c r="AP1292" i="16"/>
  <c r="AP1293" i="16"/>
  <c r="AP1294" i="16"/>
  <c r="AP1295" i="16"/>
  <c r="AP1296" i="16"/>
  <c r="AP1297" i="16"/>
  <c r="AP1298" i="16"/>
  <c r="AP1299" i="16"/>
  <c r="AP1300" i="16"/>
  <c r="AP1301" i="16"/>
  <c r="AP1302" i="16"/>
  <c r="AP1303" i="16"/>
  <c r="AP1304" i="16"/>
  <c r="AP1305" i="16"/>
  <c r="AP1306" i="16"/>
  <c r="AP1307" i="16"/>
  <c r="AP1308" i="16"/>
  <c r="AP1309" i="16"/>
  <c r="AP1310" i="16"/>
  <c r="AP1311" i="16"/>
  <c r="AP1312" i="16"/>
  <c r="AP1313" i="16"/>
  <c r="AP1314" i="16"/>
  <c r="AP1315" i="16"/>
  <c r="AP1316" i="16"/>
  <c r="AP1317" i="16"/>
  <c r="AP1318" i="16"/>
  <c r="AP1319" i="16"/>
  <c r="AP1320" i="16"/>
  <c r="AP1321" i="16"/>
  <c r="AP1322" i="16"/>
  <c r="AP1323" i="16"/>
  <c r="AP1324" i="16"/>
  <c r="AP1325" i="16"/>
  <c r="AP1326" i="16"/>
  <c r="AP1327" i="16"/>
  <c r="AP1328" i="16"/>
  <c r="AP1329" i="16"/>
  <c r="AP1330" i="16"/>
  <c r="AP1331" i="16"/>
  <c r="AP1332" i="16"/>
  <c r="AP1333" i="16"/>
  <c r="AP1334" i="16"/>
  <c r="AP1335" i="16"/>
  <c r="AP1336" i="16"/>
  <c r="AP1337" i="16"/>
  <c r="AP1338" i="16"/>
  <c r="AP1339" i="16"/>
  <c r="AP1340" i="16"/>
  <c r="AP1341" i="16"/>
  <c r="AP1342" i="16"/>
  <c r="AP1343" i="16"/>
  <c r="AP1344" i="16"/>
  <c r="AP1345" i="16"/>
  <c r="AP1346" i="16"/>
  <c r="AP1347" i="16"/>
  <c r="AP1348" i="16"/>
  <c r="AP1349" i="16"/>
  <c r="AP1350" i="16"/>
  <c r="AP1351" i="16"/>
  <c r="AP1352" i="16"/>
  <c r="AP1353" i="16"/>
  <c r="AP1354" i="16"/>
  <c r="AP1355" i="16"/>
  <c r="AP1356" i="16"/>
  <c r="AP1357" i="16"/>
  <c r="AP1358" i="16"/>
  <c r="AP1359" i="16"/>
  <c r="AP1360" i="16"/>
  <c r="AP1361" i="16"/>
  <c r="AP1362" i="16"/>
  <c r="AP1363" i="16"/>
  <c r="AP1364" i="16"/>
  <c r="AP1365" i="16"/>
  <c r="AP1366" i="16"/>
  <c r="AP1367" i="16"/>
  <c r="AP1368" i="16"/>
  <c r="AP1369" i="16"/>
  <c r="AP1370" i="16"/>
  <c r="AP1371" i="16"/>
  <c r="AP1372" i="16"/>
  <c r="AP1373" i="16"/>
  <c r="AP1374" i="16"/>
  <c r="AP1375" i="16"/>
  <c r="AP1376" i="16"/>
  <c r="AP1377" i="16"/>
  <c r="AP1378" i="16"/>
  <c r="AP1379" i="16"/>
  <c r="AP1380" i="16"/>
  <c r="AP1381" i="16"/>
  <c r="AP1382" i="16"/>
  <c r="AP1383" i="16"/>
  <c r="AP1384" i="16"/>
  <c r="AP1385" i="16"/>
  <c r="AP1386" i="16"/>
  <c r="AP1387" i="16"/>
  <c r="AP1388" i="16"/>
  <c r="AP1389" i="16"/>
  <c r="AP1390" i="16"/>
  <c r="AP1391" i="16"/>
  <c r="AP1392" i="16"/>
  <c r="AP1393" i="16"/>
  <c r="AQ628" i="16"/>
  <c r="AQ629" i="16"/>
  <c r="AQ630" i="16"/>
  <c r="AQ631" i="16"/>
  <c r="AQ632" i="16"/>
  <c r="AQ633" i="16"/>
  <c r="AQ634" i="16"/>
  <c r="AQ635" i="16"/>
  <c r="AQ636" i="16"/>
  <c r="AQ637" i="16"/>
  <c r="AQ638" i="16"/>
  <c r="AQ639" i="16"/>
  <c r="AQ640" i="16"/>
  <c r="AQ641" i="16"/>
  <c r="AQ642" i="16"/>
  <c r="AQ643" i="16"/>
  <c r="AQ644" i="16"/>
  <c r="AQ645" i="16"/>
  <c r="AQ646" i="16"/>
  <c r="AQ647" i="16"/>
  <c r="AQ648" i="16"/>
  <c r="AQ649" i="16"/>
  <c r="AQ650" i="16"/>
  <c r="AQ651" i="16"/>
  <c r="AQ652" i="16"/>
  <c r="AQ653" i="16"/>
  <c r="AQ654" i="16"/>
  <c r="AQ655" i="16"/>
  <c r="AQ656" i="16"/>
  <c r="AQ657" i="16"/>
  <c r="AQ658" i="16"/>
  <c r="AQ659" i="16"/>
  <c r="AQ660" i="16"/>
  <c r="AQ661" i="16"/>
  <c r="AQ662" i="16"/>
  <c r="AQ663" i="16"/>
  <c r="AQ664" i="16"/>
  <c r="AQ665" i="16"/>
  <c r="AQ666" i="16"/>
  <c r="AQ667" i="16"/>
  <c r="AQ668" i="16"/>
  <c r="AQ669" i="16"/>
  <c r="AQ670" i="16"/>
  <c r="AQ671" i="16"/>
  <c r="AQ672" i="16"/>
  <c r="AQ673" i="16"/>
  <c r="AQ674" i="16"/>
  <c r="AQ675" i="16"/>
  <c r="AQ676" i="16"/>
  <c r="AQ677" i="16"/>
  <c r="AQ678" i="16"/>
  <c r="AQ679" i="16"/>
  <c r="AQ680" i="16"/>
  <c r="AQ681" i="16"/>
  <c r="AQ682" i="16"/>
  <c r="AQ683" i="16"/>
  <c r="AQ684" i="16"/>
  <c r="AQ685" i="16"/>
  <c r="AQ686" i="16"/>
  <c r="AQ687" i="16"/>
  <c r="AQ688" i="16"/>
  <c r="AQ689" i="16"/>
  <c r="AQ690" i="16"/>
  <c r="AQ691" i="16"/>
  <c r="AQ692" i="16"/>
  <c r="AQ693" i="16"/>
  <c r="AQ694" i="16"/>
  <c r="AQ695" i="16"/>
  <c r="AQ696" i="16"/>
  <c r="AQ697" i="16"/>
  <c r="AQ698" i="16"/>
  <c r="AQ699" i="16"/>
  <c r="AQ700" i="16"/>
  <c r="AQ701" i="16"/>
  <c r="AQ702" i="16"/>
  <c r="AQ703" i="16"/>
  <c r="AQ704" i="16"/>
  <c r="AQ705" i="16"/>
  <c r="AQ706" i="16"/>
  <c r="AQ707" i="16"/>
  <c r="AQ708" i="16"/>
  <c r="AQ709" i="16"/>
  <c r="AQ710" i="16"/>
  <c r="AQ711" i="16"/>
  <c r="AQ712" i="16"/>
  <c r="AQ713" i="16"/>
  <c r="AQ714" i="16"/>
  <c r="AQ715" i="16"/>
  <c r="AQ716" i="16"/>
  <c r="AQ717" i="16"/>
  <c r="AQ718" i="16"/>
  <c r="AQ719" i="16"/>
  <c r="AQ720" i="16"/>
  <c r="AQ721" i="16"/>
  <c r="AQ722" i="16"/>
  <c r="AQ723" i="16"/>
  <c r="AQ724" i="16"/>
  <c r="AQ725" i="16"/>
  <c r="AQ726" i="16"/>
  <c r="AQ727" i="16"/>
  <c r="AQ728" i="16"/>
  <c r="AQ729" i="16"/>
  <c r="AQ730" i="16"/>
  <c r="AQ731" i="16"/>
  <c r="AQ732" i="16"/>
  <c r="AQ733" i="16"/>
  <c r="AQ734" i="16"/>
  <c r="AQ735" i="16"/>
  <c r="AQ736" i="16"/>
  <c r="AQ737" i="16"/>
  <c r="AQ738" i="16"/>
  <c r="AQ739" i="16"/>
  <c r="AQ740" i="16"/>
  <c r="AQ741" i="16"/>
  <c r="AQ742" i="16"/>
  <c r="AQ743" i="16"/>
  <c r="AQ744" i="16"/>
  <c r="AQ745" i="16"/>
  <c r="AQ746" i="16"/>
  <c r="AQ747" i="16"/>
  <c r="AQ748" i="16"/>
  <c r="AQ749" i="16"/>
  <c r="AQ750" i="16"/>
  <c r="AQ751" i="16"/>
  <c r="AQ752" i="16"/>
  <c r="AQ753" i="16"/>
  <c r="AQ754" i="16"/>
  <c r="AQ755" i="16"/>
  <c r="AQ756" i="16"/>
  <c r="AQ757" i="16"/>
  <c r="AQ758" i="16"/>
  <c r="AQ759" i="16"/>
  <c r="AQ760" i="16"/>
  <c r="AQ761" i="16"/>
  <c r="AQ762" i="16"/>
  <c r="AQ763" i="16"/>
  <c r="AQ764" i="16"/>
  <c r="AQ765" i="16"/>
  <c r="AQ766" i="16"/>
  <c r="AQ767" i="16"/>
  <c r="AQ768" i="16"/>
  <c r="AQ769" i="16"/>
  <c r="AQ770" i="16"/>
  <c r="AQ771" i="16"/>
  <c r="AQ772" i="16"/>
  <c r="AQ773" i="16"/>
  <c r="AQ774" i="16"/>
  <c r="AQ775" i="16"/>
  <c r="AQ776" i="16"/>
  <c r="AQ777" i="16"/>
  <c r="AQ778" i="16"/>
  <c r="AQ779" i="16"/>
  <c r="AQ780" i="16"/>
  <c r="AQ781" i="16"/>
  <c r="AQ782" i="16"/>
  <c r="AQ783" i="16"/>
  <c r="AQ784" i="16"/>
  <c r="AQ785" i="16"/>
  <c r="AQ786" i="16"/>
  <c r="AQ787" i="16"/>
  <c r="AQ788" i="16"/>
  <c r="AQ789" i="16"/>
  <c r="AQ790" i="16"/>
  <c r="AQ791" i="16"/>
  <c r="AQ792" i="16"/>
  <c r="AQ793" i="16"/>
  <c r="AQ794" i="16"/>
  <c r="AQ795" i="16"/>
  <c r="AQ796" i="16"/>
  <c r="AQ797" i="16"/>
  <c r="AQ798" i="16"/>
  <c r="AQ799" i="16"/>
  <c r="AQ800" i="16"/>
  <c r="AQ801" i="16"/>
  <c r="AQ802" i="16"/>
  <c r="AQ803" i="16"/>
  <c r="AQ804" i="16"/>
  <c r="AQ805" i="16"/>
  <c r="AQ806" i="16"/>
  <c r="AQ807" i="16"/>
  <c r="AQ808" i="16"/>
  <c r="AQ809" i="16"/>
  <c r="AQ810" i="16"/>
  <c r="AQ811" i="16"/>
  <c r="AQ812" i="16"/>
  <c r="AQ813" i="16"/>
  <c r="AQ814" i="16"/>
  <c r="AQ815" i="16"/>
  <c r="AQ816" i="16"/>
  <c r="AQ817" i="16"/>
  <c r="AQ818" i="16"/>
  <c r="AQ819" i="16"/>
  <c r="AQ820" i="16"/>
  <c r="AQ821" i="16"/>
  <c r="AQ822" i="16"/>
  <c r="AQ823" i="16"/>
  <c r="AQ824" i="16"/>
  <c r="AQ825" i="16"/>
  <c r="AQ826" i="16"/>
  <c r="AQ827" i="16"/>
  <c r="AQ828" i="16"/>
  <c r="AQ829" i="16"/>
  <c r="AQ830" i="16"/>
  <c r="AQ831" i="16"/>
  <c r="AQ832" i="16"/>
  <c r="AQ833" i="16"/>
  <c r="AQ834" i="16"/>
  <c r="AQ835" i="16"/>
  <c r="AQ836" i="16"/>
  <c r="AQ837" i="16"/>
  <c r="AQ838" i="16"/>
  <c r="AQ839" i="16"/>
  <c r="AQ840" i="16"/>
  <c r="AQ841" i="16"/>
  <c r="AQ842" i="16"/>
  <c r="AQ843" i="16"/>
  <c r="AQ844" i="16"/>
  <c r="AQ845" i="16"/>
  <c r="AQ846" i="16"/>
  <c r="AQ847" i="16"/>
  <c r="AQ848" i="16"/>
  <c r="AQ849" i="16"/>
  <c r="AQ850" i="16"/>
  <c r="AQ851" i="16"/>
  <c r="AQ852" i="16"/>
  <c r="AQ853" i="16"/>
  <c r="AQ854" i="16"/>
  <c r="AQ855" i="16"/>
  <c r="AQ856" i="16"/>
  <c r="AQ857" i="16"/>
  <c r="AQ858" i="16"/>
  <c r="AQ859" i="16"/>
  <c r="AQ860" i="16"/>
  <c r="AQ861" i="16"/>
  <c r="AQ862" i="16"/>
  <c r="AQ863" i="16"/>
  <c r="AQ864" i="16"/>
  <c r="AQ865" i="16"/>
  <c r="AQ866" i="16"/>
  <c r="AQ867" i="16"/>
  <c r="AQ868" i="16"/>
  <c r="AQ869" i="16"/>
  <c r="AQ870" i="16"/>
  <c r="AQ871" i="16"/>
  <c r="AQ872" i="16"/>
  <c r="AQ873" i="16"/>
  <c r="AQ874" i="16"/>
  <c r="AQ875" i="16"/>
  <c r="AQ876" i="16"/>
  <c r="AQ877" i="16"/>
  <c r="AQ878" i="16"/>
  <c r="AQ879" i="16"/>
  <c r="AQ880" i="16"/>
  <c r="AQ881" i="16"/>
  <c r="AQ882" i="16"/>
  <c r="AQ883" i="16"/>
  <c r="AQ884" i="16"/>
  <c r="AQ885" i="16"/>
  <c r="AQ886" i="16"/>
  <c r="AQ887" i="16"/>
  <c r="AQ888" i="16"/>
  <c r="AQ889" i="16"/>
  <c r="AQ890" i="16"/>
  <c r="AQ891" i="16"/>
  <c r="AQ892" i="16"/>
  <c r="AQ893" i="16"/>
  <c r="AQ894" i="16"/>
  <c r="AQ895" i="16"/>
  <c r="AQ896" i="16"/>
  <c r="AQ897" i="16"/>
  <c r="AQ898" i="16"/>
  <c r="AQ899" i="16"/>
  <c r="AQ900" i="16"/>
  <c r="AQ901" i="16"/>
  <c r="AQ902" i="16"/>
  <c r="AQ903" i="16"/>
  <c r="AQ904" i="16"/>
  <c r="AQ905" i="16"/>
  <c r="AQ906" i="16"/>
  <c r="AQ907" i="16"/>
  <c r="AQ908" i="16"/>
  <c r="AQ909" i="16"/>
  <c r="AQ910" i="16"/>
  <c r="AQ911" i="16"/>
  <c r="AQ912" i="16"/>
  <c r="AQ913" i="16"/>
  <c r="AQ914" i="16"/>
  <c r="AQ915" i="16"/>
  <c r="AQ916" i="16"/>
  <c r="AQ917" i="16"/>
  <c r="AQ918" i="16"/>
  <c r="AQ919" i="16"/>
  <c r="AQ920" i="16"/>
  <c r="AQ921" i="16"/>
  <c r="AQ922" i="16"/>
  <c r="AQ923" i="16"/>
  <c r="AQ924" i="16"/>
  <c r="AQ925" i="16"/>
  <c r="AQ926" i="16"/>
  <c r="AQ927" i="16"/>
  <c r="AQ928" i="16"/>
  <c r="AQ929" i="16"/>
  <c r="AQ930" i="16"/>
  <c r="AQ931" i="16"/>
  <c r="AQ932" i="16"/>
  <c r="AQ933" i="16"/>
  <c r="AQ934" i="16"/>
  <c r="AQ935" i="16"/>
  <c r="AQ936" i="16"/>
  <c r="AQ937" i="16"/>
  <c r="AQ938" i="16"/>
  <c r="AQ939" i="16"/>
  <c r="AQ940" i="16"/>
  <c r="AQ941" i="16"/>
  <c r="AQ942" i="16"/>
  <c r="AQ943" i="16"/>
  <c r="AQ944" i="16"/>
  <c r="AQ945" i="16"/>
  <c r="AQ946" i="16"/>
  <c r="AQ947" i="16"/>
  <c r="AQ948" i="16"/>
  <c r="AQ949" i="16"/>
  <c r="AQ950" i="16"/>
  <c r="AQ951" i="16"/>
  <c r="AQ952" i="16"/>
  <c r="AQ953" i="16"/>
  <c r="AQ954" i="16"/>
  <c r="AQ955" i="16"/>
  <c r="AQ956" i="16"/>
  <c r="AQ957" i="16"/>
  <c r="AQ958" i="16"/>
  <c r="AQ959" i="16"/>
  <c r="AQ960" i="16"/>
  <c r="AQ961" i="16"/>
  <c r="AQ962" i="16"/>
  <c r="AQ963" i="16"/>
  <c r="AQ964" i="16"/>
  <c r="AQ965" i="16"/>
  <c r="AQ966" i="16"/>
  <c r="AQ967" i="16"/>
  <c r="AQ968" i="16"/>
  <c r="AQ969" i="16"/>
  <c r="AQ970" i="16"/>
  <c r="AQ971" i="16"/>
  <c r="AQ972" i="16"/>
  <c r="AQ973" i="16"/>
  <c r="AQ974" i="16"/>
  <c r="AQ975" i="16"/>
  <c r="AQ976" i="16"/>
  <c r="AQ977" i="16"/>
  <c r="AQ978" i="16"/>
  <c r="AQ979" i="16"/>
  <c r="AQ980" i="16"/>
  <c r="AQ981" i="16"/>
  <c r="AQ982" i="16"/>
  <c r="AQ983" i="16"/>
  <c r="AQ984" i="16"/>
  <c r="AQ985" i="16"/>
  <c r="AQ986" i="16"/>
  <c r="AQ987" i="16"/>
  <c r="AQ988" i="16"/>
  <c r="AQ989" i="16"/>
  <c r="AQ990" i="16"/>
  <c r="AQ991" i="16"/>
  <c r="AQ992" i="16"/>
  <c r="AQ993" i="16"/>
  <c r="AQ994" i="16"/>
  <c r="AQ995" i="16"/>
  <c r="AQ996" i="16"/>
  <c r="AQ997" i="16"/>
  <c r="AQ998" i="16"/>
  <c r="AQ999" i="16"/>
  <c r="AQ1000" i="16"/>
  <c r="AQ1001" i="16"/>
  <c r="AQ1002" i="16"/>
  <c r="AQ1003" i="16"/>
  <c r="AQ1004" i="16"/>
  <c r="AQ1005" i="16"/>
  <c r="AQ1006" i="16"/>
  <c r="AQ1007" i="16"/>
  <c r="AQ1008" i="16"/>
  <c r="AQ1009" i="16"/>
  <c r="AQ1010" i="16"/>
  <c r="AQ1011" i="16"/>
  <c r="AQ1012" i="16"/>
  <c r="AQ1013" i="16"/>
  <c r="AQ1014" i="16"/>
  <c r="AQ1015" i="16"/>
  <c r="AQ1016" i="16"/>
  <c r="AQ1017" i="16"/>
  <c r="AQ1018" i="16"/>
  <c r="AQ1019" i="16"/>
  <c r="AQ1020" i="16"/>
  <c r="AQ1021" i="16"/>
  <c r="AQ1022" i="16"/>
  <c r="AQ1023" i="16"/>
  <c r="AQ1024" i="16"/>
  <c r="AQ1025" i="16"/>
  <c r="AQ1026" i="16"/>
  <c r="AQ1027" i="16"/>
  <c r="AQ1028" i="16"/>
  <c r="AQ1029" i="16"/>
  <c r="AQ1030" i="16"/>
  <c r="AQ1031" i="16"/>
  <c r="AQ1032" i="16"/>
  <c r="AQ1033" i="16"/>
  <c r="AQ1034" i="16"/>
  <c r="AQ1035" i="16"/>
  <c r="AQ1036" i="16"/>
  <c r="AQ1037" i="16"/>
  <c r="AQ1038" i="16"/>
  <c r="AQ1039" i="16"/>
  <c r="AQ1040" i="16"/>
  <c r="AQ1041" i="16"/>
  <c r="AQ1042" i="16"/>
  <c r="AQ1043" i="16"/>
  <c r="AQ1044" i="16"/>
  <c r="AQ1045" i="16"/>
  <c r="AQ1046" i="16"/>
  <c r="AQ1047" i="16"/>
  <c r="AQ1048" i="16"/>
  <c r="AQ1049" i="16"/>
  <c r="AQ1050" i="16"/>
  <c r="AQ1051" i="16"/>
  <c r="AQ1052" i="16"/>
  <c r="AQ1053" i="16"/>
  <c r="AQ1054" i="16"/>
  <c r="AQ1055" i="16"/>
  <c r="AQ1056" i="16"/>
  <c r="AQ1057" i="16"/>
  <c r="AQ1058" i="16"/>
  <c r="AQ1059" i="16"/>
  <c r="AQ1060" i="16"/>
  <c r="AQ1061" i="16"/>
  <c r="AQ1062" i="16"/>
  <c r="AQ1063" i="16"/>
  <c r="AQ1064" i="16"/>
  <c r="AQ1065" i="16"/>
  <c r="AQ1066" i="16"/>
  <c r="AQ1067" i="16"/>
  <c r="AQ1068" i="16"/>
  <c r="AQ1069" i="16"/>
  <c r="AQ1070" i="16"/>
  <c r="AQ1071" i="16"/>
  <c r="AQ1072" i="16"/>
  <c r="AQ1073" i="16"/>
  <c r="AQ1074" i="16"/>
  <c r="AQ1075" i="16"/>
  <c r="AQ1076" i="16"/>
  <c r="AQ1077" i="16"/>
  <c r="AQ1078" i="16"/>
  <c r="AQ1079" i="16"/>
  <c r="AQ1080" i="16"/>
  <c r="AQ1081" i="16"/>
  <c r="AQ1082" i="16"/>
  <c r="AQ1083" i="16"/>
  <c r="AQ1084" i="16"/>
  <c r="AQ1085" i="16"/>
  <c r="AQ1086" i="16"/>
  <c r="AQ1087" i="16"/>
  <c r="AQ1088" i="16"/>
  <c r="AQ1089" i="16"/>
  <c r="AQ1090" i="16"/>
  <c r="AQ1091" i="16"/>
  <c r="AQ1092" i="16"/>
  <c r="AQ1093" i="16"/>
  <c r="AQ1094" i="16"/>
  <c r="AQ1095" i="16"/>
  <c r="AQ1096" i="16"/>
  <c r="AQ1097" i="16"/>
  <c r="AQ1098" i="16"/>
  <c r="AQ1099" i="16"/>
  <c r="AQ1100" i="16"/>
  <c r="AQ1101" i="16"/>
  <c r="AQ1102" i="16"/>
  <c r="AQ1103" i="16"/>
  <c r="AQ1104" i="16"/>
  <c r="AQ1105" i="16"/>
  <c r="AQ1106" i="16"/>
  <c r="AQ1107" i="16"/>
  <c r="AQ1108" i="16"/>
  <c r="AQ1109" i="16"/>
  <c r="AQ1110" i="16"/>
  <c r="AQ1111" i="16"/>
  <c r="AQ1112" i="16"/>
  <c r="AQ1113" i="16"/>
  <c r="AQ1114" i="16"/>
  <c r="AQ1115" i="16"/>
  <c r="AQ1116" i="16"/>
  <c r="AQ1117" i="16"/>
  <c r="AQ1118" i="16"/>
  <c r="AQ1119" i="16"/>
  <c r="AQ1120" i="16"/>
  <c r="AQ1121" i="16"/>
  <c r="AQ1122" i="16"/>
  <c r="AQ1123" i="16"/>
  <c r="AQ1124" i="16"/>
  <c r="AQ1125" i="16"/>
  <c r="AQ1126" i="16"/>
  <c r="AQ1127" i="16"/>
  <c r="AQ1128" i="16"/>
  <c r="AQ1129" i="16"/>
  <c r="AQ1130" i="16"/>
  <c r="AQ1131" i="16"/>
  <c r="AQ1132" i="16"/>
  <c r="AQ1133" i="16"/>
  <c r="AQ1134" i="16"/>
  <c r="AQ1135" i="16"/>
  <c r="AQ1136" i="16"/>
  <c r="AQ1137" i="16"/>
  <c r="AQ1138" i="16"/>
  <c r="AQ1139" i="16"/>
  <c r="AQ1140" i="16"/>
  <c r="AQ1141" i="16"/>
  <c r="AQ1142" i="16"/>
  <c r="AQ1143" i="16"/>
  <c r="AQ1144" i="16"/>
  <c r="AQ1145" i="16"/>
  <c r="AQ1146" i="16"/>
  <c r="AQ1147" i="16"/>
  <c r="AQ1148" i="16"/>
  <c r="AQ1149" i="16"/>
  <c r="AQ1150" i="16"/>
  <c r="AQ1151" i="16"/>
  <c r="AQ1152" i="16"/>
  <c r="AQ1153" i="16"/>
  <c r="AQ1154" i="16"/>
  <c r="AQ1155" i="16"/>
  <c r="AQ1156" i="16"/>
  <c r="AQ1157" i="16"/>
  <c r="AQ1158" i="16"/>
  <c r="AQ1159" i="16"/>
  <c r="AQ1160" i="16"/>
  <c r="AQ1161" i="16"/>
  <c r="AQ1162" i="16"/>
  <c r="AQ1163" i="16"/>
  <c r="AQ1164" i="16"/>
  <c r="AQ1165" i="16"/>
  <c r="AQ1166" i="16"/>
  <c r="AQ1167" i="16"/>
  <c r="AQ1168" i="16"/>
  <c r="AQ1169" i="16"/>
  <c r="AQ1170" i="16"/>
  <c r="AQ1171" i="16"/>
  <c r="AQ1172" i="16"/>
  <c r="AQ1173" i="16"/>
  <c r="AQ1174" i="16"/>
  <c r="AQ1175" i="16"/>
  <c r="AQ1176" i="16"/>
  <c r="AQ1177" i="16"/>
  <c r="AQ1178" i="16"/>
  <c r="AQ1179" i="16"/>
  <c r="AQ1180" i="16"/>
  <c r="AQ1181" i="16"/>
  <c r="AQ1182" i="16"/>
  <c r="AQ1183" i="16"/>
  <c r="AQ1184" i="16"/>
  <c r="AQ1185" i="16"/>
  <c r="AQ1186" i="16"/>
  <c r="AQ1187" i="16"/>
  <c r="AQ1188" i="16"/>
  <c r="AQ1189" i="16"/>
  <c r="AQ1190" i="16"/>
  <c r="AQ1191" i="16"/>
  <c r="AQ1192" i="16"/>
  <c r="AQ1193" i="16"/>
  <c r="AQ1194" i="16"/>
  <c r="AQ1195" i="16"/>
  <c r="AQ1196" i="16"/>
  <c r="AQ1197" i="16"/>
  <c r="AQ1198" i="16"/>
  <c r="AQ1199" i="16"/>
  <c r="AQ1200" i="16"/>
  <c r="AQ1201" i="16"/>
  <c r="AQ1202" i="16"/>
  <c r="AQ1203" i="16"/>
  <c r="AQ1204" i="16"/>
  <c r="AQ1205" i="16"/>
  <c r="AQ1206" i="16"/>
  <c r="AQ1207" i="16"/>
  <c r="AQ1208" i="16"/>
  <c r="AQ1209" i="16"/>
  <c r="AQ1210" i="16"/>
  <c r="AQ1211" i="16"/>
  <c r="AQ1212" i="16"/>
  <c r="AQ1213" i="16"/>
  <c r="AQ1214" i="16"/>
  <c r="AQ1215" i="16"/>
  <c r="AQ1216" i="16"/>
  <c r="AQ1217" i="16"/>
  <c r="AQ1218" i="16"/>
  <c r="AQ1219" i="16"/>
  <c r="AQ1220" i="16"/>
  <c r="AQ1221" i="16"/>
  <c r="AQ1222" i="16"/>
  <c r="AQ1223" i="16"/>
  <c r="AQ1224" i="16"/>
  <c r="AQ1225" i="16"/>
  <c r="AQ1226" i="16"/>
  <c r="AQ1227" i="16"/>
  <c r="AQ1228" i="16"/>
  <c r="AQ1229" i="16"/>
  <c r="AQ1230" i="16"/>
  <c r="AQ1231" i="16"/>
  <c r="AQ1232" i="16"/>
  <c r="AQ1233" i="16"/>
  <c r="AQ1234" i="16"/>
  <c r="AQ1235" i="16"/>
  <c r="AQ1236" i="16"/>
  <c r="AQ1237" i="16"/>
  <c r="AQ1238" i="16"/>
  <c r="AQ1239" i="16"/>
  <c r="AQ1240" i="16"/>
  <c r="AQ1241" i="16"/>
  <c r="AQ1242" i="16"/>
  <c r="AQ1243" i="16"/>
  <c r="AQ1244" i="16"/>
  <c r="AQ1245" i="16"/>
  <c r="AQ1246" i="16"/>
  <c r="AQ1247" i="16"/>
  <c r="AQ1248" i="16"/>
  <c r="AQ1249" i="16"/>
  <c r="AQ1250" i="16"/>
  <c r="AQ1251" i="16"/>
  <c r="AQ1252" i="16"/>
  <c r="AQ1253" i="16"/>
  <c r="AQ1254" i="16"/>
  <c r="AQ1255" i="16"/>
  <c r="AQ1256" i="16"/>
  <c r="AQ1257" i="16"/>
  <c r="AQ1258" i="16"/>
  <c r="AQ1259" i="16"/>
  <c r="AQ1260" i="16"/>
  <c r="AQ1261" i="16"/>
  <c r="AQ1262" i="16"/>
  <c r="AQ1263" i="16"/>
  <c r="AQ1264" i="16"/>
  <c r="AQ1265" i="16"/>
  <c r="AQ1266" i="16"/>
  <c r="AQ1267" i="16"/>
  <c r="AQ1268" i="16"/>
  <c r="AQ1269" i="16"/>
  <c r="AQ1270" i="16"/>
  <c r="AQ1271" i="16"/>
  <c r="AQ1272" i="16"/>
  <c r="AQ1273" i="16"/>
  <c r="AQ1274" i="16"/>
  <c r="AQ1275" i="16"/>
  <c r="AQ1276" i="16"/>
  <c r="AQ1277" i="16"/>
  <c r="AQ1278" i="16"/>
  <c r="AQ1279" i="16"/>
  <c r="AQ1280" i="16"/>
  <c r="AQ1281" i="16"/>
  <c r="AQ1282" i="16"/>
  <c r="AQ1283" i="16"/>
  <c r="AQ1284" i="16"/>
  <c r="AQ1285" i="16"/>
  <c r="AQ1286" i="16"/>
  <c r="AQ1287" i="16"/>
  <c r="AQ1288" i="16"/>
  <c r="AQ1289" i="16"/>
  <c r="AQ1290" i="16"/>
  <c r="AQ1291" i="16"/>
  <c r="AQ1292" i="16"/>
  <c r="AQ1293" i="16"/>
  <c r="AQ1294" i="16"/>
  <c r="AQ1295" i="16"/>
  <c r="AQ1296" i="16"/>
  <c r="AQ1297" i="16"/>
  <c r="AQ1298" i="16"/>
  <c r="AQ1299" i="16"/>
  <c r="AQ1300" i="16"/>
  <c r="AQ1301" i="16"/>
  <c r="AQ1302" i="16"/>
  <c r="AQ1303" i="16"/>
  <c r="AQ1304" i="16"/>
  <c r="AQ1305" i="16"/>
  <c r="AQ1306" i="16"/>
  <c r="AQ1307" i="16"/>
  <c r="AQ1308" i="16"/>
  <c r="AQ1309" i="16"/>
  <c r="AQ1310" i="16"/>
  <c r="AQ1311" i="16"/>
  <c r="AQ1312" i="16"/>
  <c r="AQ1313" i="16"/>
  <c r="AQ1314" i="16"/>
  <c r="AQ1315" i="16"/>
  <c r="AQ1316" i="16"/>
  <c r="AQ1317" i="16"/>
  <c r="AQ1318" i="16"/>
  <c r="AQ1319" i="16"/>
  <c r="AQ1320" i="16"/>
  <c r="AQ1321" i="16"/>
  <c r="AQ1322" i="16"/>
  <c r="AQ1323" i="16"/>
  <c r="AQ1324" i="16"/>
  <c r="AQ1325" i="16"/>
  <c r="AQ1326" i="16"/>
  <c r="AQ1327" i="16"/>
  <c r="AQ1328" i="16"/>
  <c r="AQ1329" i="16"/>
  <c r="AQ1330" i="16"/>
  <c r="AQ1331" i="16"/>
  <c r="AQ1332" i="16"/>
  <c r="AQ1333" i="16"/>
  <c r="AQ1334" i="16"/>
  <c r="AQ1335" i="16"/>
  <c r="AQ1336" i="16"/>
  <c r="AQ1337" i="16"/>
  <c r="AQ1338" i="16"/>
  <c r="AQ1339" i="16"/>
  <c r="AQ1340" i="16"/>
  <c r="AQ1341" i="16"/>
  <c r="AQ1342" i="16"/>
  <c r="AQ1343" i="16"/>
  <c r="AQ1344" i="16"/>
  <c r="AQ1345" i="16"/>
  <c r="AQ1346" i="16"/>
  <c r="AQ1347" i="16"/>
  <c r="AQ1348" i="16"/>
  <c r="AQ1349" i="16"/>
  <c r="AQ1350" i="16"/>
  <c r="AQ1351" i="16"/>
  <c r="AQ1352" i="16"/>
  <c r="AQ1353" i="16"/>
  <c r="AQ1354" i="16"/>
  <c r="AQ1355" i="16"/>
  <c r="AQ1356" i="16"/>
  <c r="AQ1357" i="16"/>
  <c r="AQ1358" i="16"/>
  <c r="AQ1359" i="16"/>
  <c r="AQ1360" i="16"/>
  <c r="AQ1361" i="16"/>
  <c r="AQ1362" i="16"/>
  <c r="AQ1363" i="16"/>
  <c r="AQ1364" i="16"/>
  <c r="AQ1365" i="16"/>
  <c r="AQ1366" i="16"/>
  <c r="AQ1367" i="16"/>
  <c r="AQ1368" i="16"/>
  <c r="AQ1369" i="16"/>
  <c r="AQ1370" i="16"/>
  <c r="AQ1371" i="16"/>
  <c r="AQ1372" i="16"/>
  <c r="AQ1373" i="16"/>
  <c r="AQ1374" i="16"/>
  <c r="AQ1375" i="16"/>
  <c r="AQ1376" i="16"/>
  <c r="AQ1377" i="16"/>
  <c r="AQ1378" i="16"/>
  <c r="AQ1379" i="16"/>
  <c r="AQ1380" i="16"/>
  <c r="AQ1381" i="16"/>
  <c r="AQ1382" i="16"/>
  <c r="AQ1383" i="16"/>
  <c r="AQ1384" i="16"/>
  <c r="AQ1385" i="16"/>
  <c r="AQ1386" i="16"/>
  <c r="AQ1387" i="16"/>
  <c r="AQ1388" i="16"/>
  <c r="AQ1389" i="16"/>
  <c r="AQ1390" i="16"/>
  <c r="AQ1391" i="16"/>
  <c r="AQ1392" i="16"/>
  <c r="AQ1393" i="16"/>
  <c r="AS628" i="16"/>
  <c r="AS629" i="16"/>
  <c r="AS630" i="16"/>
  <c r="AS631" i="16"/>
  <c r="AS632" i="16"/>
  <c r="AS633" i="16"/>
  <c r="AS634" i="16"/>
  <c r="AS635" i="16"/>
  <c r="AS636" i="16"/>
  <c r="AS637" i="16"/>
  <c r="AS638" i="16"/>
  <c r="AS639" i="16"/>
  <c r="AS640" i="16"/>
  <c r="AS641" i="16"/>
  <c r="AS642" i="16"/>
  <c r="AS643" i="16"/>
  <c r="AS644" i="16"/>
  <c r="AS645" i="16"/>
  <c r="AS646" i="16"/>
  <c r="AS647" i="16"/>
  <c r="AS648" i="16"/>
  <c r="AS649" i="16"/>
  <c r="AS650" i="16"/>
  <c r="AS651" i="16"/>
  <c r="AS652" i="16"/>
  <c r="AS653" i="16"/>
  <c r="AS654" i="16"/>
  <c r="AS655" i="16"/>
  <c r="AS656" i="16"/>
  <c r="AS657" i="16"/>
  <c r="AS658" i="16"/>
  <c r="AS659" i="16"/>
  <c r="AS660" i="16"/>
  <c r="AS661" i="16"/>
  <c r="AS662" i="16"/>
  <c r="AS663" i="16"/>
  <c r="AS664" i="16"/>
  <c r="AS665" i="16"/>
  <c r="AS666" i="16"/>
  <c r="AS667" i="16"/>
  <c r="AS668" i="16"/>
  <c r="AS669" i="16"/>
  <c r="AS670" i="16"/>
  <c r="AS671" i="16"/>
  <c r="AS672" i="16"/>
  <c r="AS673" i="16"/>
  <c r="AS674" i="16"/>
  <c r="AS675" i="16"/>
  <c r="AS676" i="16"/>
  <c r="AS677" i="16"/>
  <c r="AS678" i="16"/>
  <c r="AS679" i="16"/>
  <c r="AS680" i="16"/>
  <c r="AS681" i="16"/>
  <c r="AS682" i="16"/>
  <c r="AS683" i="16"/>
  <c r="AS684" i="16"/>
  <c r="AS685" i="16"/>
  <c r="AS686" i="16"/>
  <c r="AS687" i="16"/>
  <c r="AS688" i="16"/>
  <c r="AS689" i="16"/>
  <c r="AS690" i="16"/>
  <c r="AS691" i="16"/>
  <c r="AS692" i="16"/>
  <c r="AS693" i="16"/>
  <c r="AS694" i="16"/>
  <c r="AS695" i="16"/>
  <c r="AS696" i="16"/>
  <c r="AS697" i="16"/>
  <c r="AS698" i="16"/>
  <c r="AS699" i="16"/>
  <c r="AS700" i="16"/>
  <c r="AS701" i="16"/>
  <c r="AS702" i="16"/>
  <c r="AS703" i="16"/>
  <c r="AS704" i="16"/>
  <c r="AS705" i="16"/>
  <c r="AS706" i="16"/>
  <c r="AS707" i="16"/>
  <c r="AS708" i="16"/>
  <c r="AS709" i="16"/>
  <c r="AS710" i="16"/>
  <c r="AS711" i="16"/>
  <c r="AS712" i="16"/>
  <c r="AS713" i="16"/>
  <c r="AS714" i="16"/>
  <c r="AS715" i="16"/>
  <c r="AS716" i="16"/>
  <c r="AS717" i="16"/>
  <c r="AS718" i="16"/>
  <c r="AS719" i="16"/>
  <c r="AS720" i="16"/>
  <c r="AS721" i="16"/>
  <c r="AS722" i="16"/>
  <c r="AS723" i="16"/>
  <c r="AS724" i="16"/>
  <c r="AS725" i="16"/>
  <c r="AS726" i="16"/>
  <c r="AS727" i="16"/>
  <c r="AS728" i="16"/>
  <c r="AS729" i="16"/>
  <c r="AS730" i="16"/>
  <c r="AS731" i="16"/>
  <c r="AS732" i="16"/>
  <c r="AS733" i="16"/>
  <c r="AS734" i="16"/>
  <c r="AS735" i="16"/>
  <c r="AS736" i="16"/>
  <c r="AS737" i="16"/>
  <c r="AS738" i="16"/>
  <c r="AS739" i="16"/>
  <c r="AS740" i="16"/>
  <c r="AS741" i="16"/>
  <c r="AS742" i="16"/>
  <c r="AS743" i="16"/>
  <c r="AS744" i="16"/>
  <c r="AS745" i="16"/>
  <c r="AS746" i="16"/>
  <c r="AS747" i="16"/>
  <c r="AS748" i="16"/>
  <c r="AS749" i="16"/>
  <c r="AS750" i="16"/>
  <c r="AS751" i="16"/>
  <c r="AS752" i="16"/>
  <c r="AS753" i="16"/>
  <c r="AS754" i="16"/>
  <c r="AS755" i="16"/>
  <c r="AS756" i="16"/>
  <c r="AS757" i="16"/>
  <c r="AS758" i="16"/>
  <c r="AS759" i="16"/>
  <c r="AS760" i="16"/>
  <c r="AS761" i="16"/>
  <c r="AS762" i="16"/>
  <c r="AS763" i="16"/>
  <c r="AS764" i="16"/>
  <c r="AS765" i="16"/>
  <c r="AS766" i="16"/>
  <c r="AS767" i="16"/>
  <c r="AS768" i="16"/>
  <c r="AS769" i="16"/>
  <c r="AS770" i="16"/>
  <c r="AS771" i="16"/>
  <c r="AS772" i="16"/>
  <c r="AS773" i="16"/>
  <c r="AS774" i="16"/>
  <c r="AS775" i="16"/>
  <c r="AS776" i="16"/>
  <c r="AS777" i="16"/>
  <c r="AS778" i="16"/>
  <c r="AS779" i="16"/>
  <c r="AS780" i="16"/>
  <c r="AS781" i="16"/>
  <c r="AS782" i="16"/>
  <c r="AS783" i="16"/>
  <c r="AS784" i="16"/>
  <c r="AS785" i="16"/>
  <c r="AS786" i="16"/>
  <c r="AS787" i="16"/>
  <c r="AS788" i="16"/>
  <c r="AS789" i="16"/>
  <c r="AS790" i="16"/>
  <c r="AS791" i="16"/>
  <c r="AS792" i="16"/>
  <c r="AS793" i="16"/>
  <c r="AS794" i="16"/>
  <c r="AS795" i="16"/>
  <c r="AS796" i="16"/>
  <c r="AS797" i="16"/>
  <c r="AS798" i="16"/>
  <c r="AS799" i="16"/>
  <c r="AS800" i="16"/>
  <c r="AS801" i="16"/>
  <c r="AS802" i="16"/>
  <c r="AS803" i="16"/>
  <c r="AS804" i="16"/>
  <c r="AS805" i="16"/>
  <c r="AS806" i="16"/>
  <c r="AS807" i="16"/>
  <c r="AS808" i="16"/>
  <c r="AS809" i="16"/>
  <c r="AS810" i="16"/>
  <c r="AS811" i="16"/>
  <c r="AS812" i="16"/>
  <c r="AS813" i="16"/>
  <c r="AS814" i="16"/>
  <c r="AS815" i="16"/>
  <c r="AS816" i="16"/>
  <c r="AS817" i="16"/>
  <c r="AS818" i="16"/>
  <c r="AS819" i="16"/>
  <c r="AS820" i="16"/>
  <c r="AS821" i="16"/>
  <c r="AS822" i="16"/>
  <c r="AS823" i="16"/>
  <c r="AS824" i="16"/>
  <c r="AS825" i="16"/>
  <c r="AS826" i="16"/>
  <c r="AS827" i="16"/>
  <c r="AS828" i="16"/>
  <c r="AS829" i="16"/>
  <c r="AS830" i="16"/>
  <c r="AS831" i="16"/>
  <c r="AS832" i="16"/>
  <c r="AS833" i="16"/>
  <c r="AS834" i="16"/>
  <c r="AS835" i="16"/>
  <c r="AS836" i="16"/>
  <c r="AS837" i="16"/>
  <c r="AS838" i="16"/>
  <c r="AS839" i="16"/>
  <c r="AS840" i="16"/>
  <c r="AS841" i="16"/>
  <c r="AS842" i="16"/>
  <c r="AS843" i="16"/>
  <c r="AS844" i="16"/>
  <c r="AS845" i="16"/>
  <c r="AS846" i="16"/>
  <c r="AS847" i="16"/>
  <c r="AS848" i="16"/>
  <c r="AS849" i="16"/>
  <c r="AS850" i="16"/>
  <c r="AS851" i="16"/>
  <c r="AS852" i="16"/>
  <c r="AS853" i="16"/>
  <c r="AS854" i="16"/>
  <c r="AS855" i="16"/>
  <c r="AS856" i="16"/>
  <c r="AS857" i="16"/>
  <c r="AS858" i="16"/>
  <c r="AS859" i="16"/>
  <c r="AS860" i="16"/>
  <c r="AS861" i="16"/>
  <c r="AS862" i="16"/>
  <c r="AS863" i="16"/>
  <c r="AS864" i="16"/>
  <c r="AS865" i="16"/>
  <c r="AS866" i="16"/>
  <c r="AS867" i="16"/>
  <c r="AS868" i="16"/>
  <c r="AS869" i="16"/>
  <c r="AS870" i="16"/>
  <c r="AS871" i="16"/>
  <c r="AS872" i="16"/>
  <c r="AS873" i="16"/>
  <c r="AS874" i="16"/>
  <c r="AS875" i="16"/>
  <c r="AS876" i="16"/>
  <c r="AS877" i="16"/>
  <c r="AS878" i="16"/>
  <c r="AS879" i="16"/>
  <c r="AS880" i="16"/>
  <c r="AS881" i="16"/>
  <c r="AS882" i="16"/>
  <c r="AS883" i="16"/>
  <c r="AS884" i="16"/>
  <c r="AS885" i="16"/>
  <c r="AS886" i="16"/>
  <c r="AS887" i="16"/>
  <c r="AS888" i="16"/>
  <c r="AS889" i="16"/>
  <c r="AS890" i="16"/>
  <c r="AS891" i="16"/>
  <c r="AS892" i="16"/>
  <c r="AS893" i="16"/>
  <c r="AS894" i="16"/>
  <c r="AS895" i="16"/>
  <c r="AS896" i="16"/>
  <c r="AS897" i="16"/>
  <c r="AS898" i="16"/>
  <c r="AS899" i="16"/>
  <c r="AS900" i="16"/>
  <c r="AS901" i="16"/>
  <c r="AS902" i="16"/>
  <c r="AS903" i="16"/>
  <c r="AS904" i="16"/>
  <c r="AS905" i="16"/>
  <c r="AS906" i="16"/>
  <c r="AS907" i="16"/>
  <c r="AS908" i="16"/>
  <c r="AS909" i="16"/>
  <c r="AS910" i="16"/>
  <c r="AS911" i="16"/>
  <c r="AS912" i="16"/>
  <c r="AS913" i="16"/>
  <c r="AS914" i="16"/>
  <c r="AS915" i="16"/>
  <c r="AS916" i="16"/>
  <c r="AS917" i="16"/>
  <c r="AS918" i="16"/>
  <c r="AS919" i="16"/>
  <c r="AS920" i="16"/>
  <c r="AS921" i="16"/>
  <c r="AS922" i="16"/>
  <c r="AS923" i="16"/>
  <c r="AS924" i="16"/>
  <c r="AS925" i="16"/>
  <c r="AS926" i="16"/>
  <c r="AS927" i="16"/>
  <c r="AS928" i="16"/>
  <c r="AS929" i="16"/>
  <c r="AS930" i="16"/>
  <c r="AS931" i="16"/>
  <c r="AS932" i="16"/>
  <c r="AS933" i="16"/>
  <c r="AS934" i="16"/>
  <c r="AS935" i="16"/>
  <c r="AS936" i="16"/>
  <c r="AS937" i="16"/>
  <c r="AS938" i="16"/>
  <c r="AS939" i="16"/>
  <c r="AS940" i="16"/>
  <c r="AS941" i="16"/>
  <c r="AS942" i="16"/>
  <c r="AS943" i="16"/>
  <c r="AS944" i="16"/>
  <c r="AS945" i="16"/>
  <c r="AS946" i="16"/>
  <c r="AS947" i="16"/>
  <c r="AS948" i="16"/>
  <c r="AS949" i="16"/>
  <c r="AS950" i="16"/>
  <c r="AS951" i="16"/>
  <c r="AS952" i="16"/>
  <c r="AS953" i="16"/>
  <c r="AS954" i="16"/>
  <c r="AS955" i="16"/>
  <c r="AS956" i="16"/>
  <c r="AS957" i="16"/>
  <c r="AS958" i="16"/>
  <c r="AS959" i="16"/>
  <c r="AS960" i="16"/>
  <c r="AS961" i="16"/>
  <c r="AS962" i="16"/>
  <c r="AS963" i="16"/>
  <c r="AS964" i="16"/>
  <c r="AS965" i="16"/>
  <c r="AS966" i="16"/>
  <c r="AS967" i="16"/>
  <c r="AS968" i="16"/>
  <c r="AS969" i="16"/>
  <c r="AS970" i="16"/>
  <c r="AS971" i="16"/>
  <c r="AS972" i="16"/>
  <c r="AS973" i="16"/>
  <c r="AS974" i="16"/>
  <c r="AS975" i="16"/>
  <c r="AS976" i="16"/>
  <c r="AS977" i="16"/>
  <c r="AS978" i="16"/>
  <c r="AS979" i="16"/>
  <c r="AS980" i="16"/>
  <c r="AS981" i="16"/>
  <c r="AS982" i="16"/>
  <c r="AS983" i="16"/>
  <c r="AS984" i="16"/>
  <c r="AS985" i="16"/>
  <c r="AS986" i="16"/>
  <c r="AS987" i="16"/>
  <c r="AS988" i="16"/>
  <c r="AS989" i="16"/>
  <c r="AS990" i="16"/>
  <c r="AS991" i="16"/>
  <c r="AS992" i="16"/>
  <c r="AS993" i="16"/>
  <c r="AS994" i="16"/>
  <c r="AS995" i="16"/>
  <c r="AS996" i="16"/>
  <c r="AS997" i="16"/>
  <c r="AS998" i="16"/>
  <c r="AS999" i="16"/>
  <c r="AS1000" i="16"/>
  <c r="AS1001" i="16"/>
  <c r="AS1002" i="16"/>
  <c r="AS1003" i="16"/>
  <c r="AS1004" i="16"/>
  <c r="AS1005" i="16"/>
  <c r="AS1006" i="16"/>
  <c r="AS1007" i="16"/>
  <c r="AS1008" i="16"/>
  <c r="AS1009" i="16"/>
  <c r="AS1010" i="16"/>
  <c r="AS1011" i="16"/>
  <c r="AS1012" i="16"/>
  <c r="AS1013" i="16"/>
  <c r="AS1014" i="16"/>
  <c r="AS1015" i="16"/>
  <c r="AS1016" i="16"/>
  <c r="AS1017" i="16"/>
  <c r="AS1018" i="16"/>
  <c r="AS1019" i="16"/>
  <c r="AS1020" i="16"/>
  <c r="AS1021" i="16"/>
  <c r="AS1022" i="16"/>
  <c r="AS1023" i="16"/>
  <c r="AS1024" i="16"/>
  <c r="AS1025" i="16"/>
  <c r="AS1026" i="16"/>
  <c r="AS1027" i="16"/>
  <c r="AS1028" i="16"/>
  <c r="AS1029" i="16"/>
  <c r="AS1030" i="16"/>
  <c r="AS1031" i="16"/>
  <c r="AS1032" i="16"/>
  <c r="AS1033" i="16"/>
  <c r="AS1034" i="16"/>
  <c r="AS1035" i="16"/>
  <c r="AS1036" i="16"/>
  <c r="AS1037" i="16"/>
  <c r="AS1038" i="16"/>
  <c r="AS1039" i="16"/>
  <c r="AS1040" i="16"/>
  <c r="AS1041" i="16"/>
  <c r="AS1042" i="16"/>
  <c r="AS1043" i="16"/>
  <c r="AS1044" i="16"/>
  <c r="AS1045" i="16"/>
  <c r="AS1046" i="16"/>
  <c r="AS1047" i="16"/>
  <c r="AS1048" i="16"/>
  <c r="AS1049" i="16"/>
  <c r="AS1050" i="16"/>
  <c r="AS1051" i="16"/>
  <c r="AS1052" i="16"/>
  <c r="AS1053" i="16"/>
  <c r="AS1054" i="16"/>
  <c r="AS1055" i="16"/>
  <c r="AS1056" i="16"/>
  <c r="AS1057" i="16"/>
  <c r="AS1058" i="16"/>
  <c r="AS1059" i="16"/>
  <c r="AS1060" i="16"/>
  <c r="AS1061" i="16"/>
  <c r="AS1062" i="16"/>
  <c r="AS1063" i="16"/>
  <c r="AS1064" i="16"/>
  <c r="AS1065" i="16"/>
  <c r="AS1066" i="16"/>
  <c r="AS1067" i="16"/>
  <c r="AS1068" i="16"/>
  <c r="AS1069" i="16"/>
  <c r="AS1070" i="16"/>
  <c r="AS1071" i="16"/>
  <c r="AS1072" i="16"/>
  <c r="AS1073" i="16"/>
  <c r="AS1074" i="16"/>
  <c r="AS1075" i="16"/>
  <c r="AS1076" i="16"/>
  <c r="AS1077" i="16"/>
  <c r="AS1078" i="16"/>
  <c r="AS1079" i="16"/>
  <c r="AS1080" i="16"/>
  <c r="AS1081" i="16"/>
  <c r="AS1082" i="16"/>
  <c r="AS1083" i="16"/>
  <c r="AS1084" i="16"/>
  <c r="AS1085" i="16"/>
  <c r="AS1086" i="16"/>
  <c r="AS1087" i="16"/>
  <c r="AS1088" i="16"/>
  <c r="AS1089" i="16"/>
  <c r="AS1090" i="16"/>
  <c r="AS1091" i="16"/>
  <c r="AS1092" i="16"/>
  <c r="AS1093" i="16"/>
  <c r="AS1094" i="16"/>
  <c r="AS1095" i="16"/>
  <c r="AS1096" i="16"/>
  <c r="AS1097" i="16"/>
  <c r="AS1098" i="16"/>
  <c r="AS1099" i="16"/>
  <c r="AS1100" i="16"/>
  <c r="AS1101" i="16"/>
  <c r="AS1102" i="16"/>
  <c r="AS1103" i="16"/>
  <c r="AS1104" i="16"/>
  <c r="AS1105" i="16"/>
  <c r="AS1106" i="16"/>
  <c r="AS1107" i="16"/>
  <c r="AS1108" i="16"/>
  <c r="AS1109" i="16"/>
  <c r="AS1110" i="16"/>
  <c r="AS1111" i="16"/>
  <c r="AS1112" i="16"/>
  <c r="AS1113" i="16"/>
  <c r="AS1114" i="16"/>
  <c r="AS1115" i="16"/>
  <c r="AS1116" i="16"/>
  <c r="AS1117" i="16"/>
  <c r="AS1118" i="16"/>
  <c r="AS1119" i="16"/>
  <c r="AS1120" i="16"/>
  <c r="AS1121" i="16"/>
  <c r="AS1122" i="16"/>
  <c r="AS1123" i="16"/>
  <c r="AS1124" i="16"/>
  <c r="AS1125" i="16"/>
  <c r="AS1126" i="16"/>
  <c r="AS1127" i="16"/>
  <c r="AS1128" i="16"/>
  <c r="AS1129" i="16"/>
  <c r="AS1130" i="16"/>
  <c r="AS1131" i="16"/>
  <c r="AS1132" i="16"/>
  <c r="AS1133" i="16"/>
  <c r="AS1134" i="16"/>
  <c r="AS1135" i="16"/>
  <c r="AS1136" i="16"/>
  <c r="AS1137" i="16"/>
  <c r="AS1138" i="16"/>
  <c r="AS1139" i="16"/>
  <c r="AS1140" i="16"/>
  <c r="AS1141" i="16"/>
  <c r="AS1142" i="16"/>
  <c r="AS1143" i="16"/>
  <c r="AS1144" i="16"/>
  <c r="AS1145" i="16"/>
  <c r="AS1146" i="16"/>
  <c r="AS1147" i="16"/>
  <c r="AS1148" i="16"/>
  <c r="AS1149" i="16"/>
  <c r="AS1150" i="16"/>
  <c r="AS1151" i="16"/>
  <c r="AS1152" i="16"/>
  <c r="AS1153" i="16"/>
  <c r="AS1154" i="16"/>
  <c r="AS1155" i="16"/>
  <c r="AS1156" i="16"/>
  <c r="AS1157" i="16"/>
  <c r="AS1158" i="16"/>
  <c r="AS1159" i="16"/>
  <c r="AS1160" i="16"/>
  <c r="AS1161" i="16"/>
  <c r="AS1162" i="16"/>
  <c r="AS1163" i="16"/>
  <c r="AS1164" i="16"/>
  <c r="AS1165" i="16"/>
  <c r="AS1166" i="16"/>
  <c r="AS1167" i="16"/>
  <c r="AS1168" i="16"/>
  <c r="AS1169" i="16"/>
  <c r="AS1170" i="16"/>
  <c r="AS1171" i="16"/>
  <c r="AS1172" i="16"/>
  <c r="AS1173" i="16"/>
  <c r="AS1174" i="16"/>
  <c r="AS1175" i="16"/>
  <c r="AS1176" i="16"/>
  <c r="AS1177" i="16"/>
  <c r="AS1178" i="16"/>
  <c r="AS1179" i="16"/>
  <c r="AS1180" i="16"/>
  <c r="AS1181" i="16"/>
  <c r="AS1182" i="16"/>
  <c r="AS1183" i="16"/>
  <c r="AS1184" i="16"/>
  <c r="AS1185" i="16"/>
  <c r="AS1186" i="16"/>
  <c r="AS1187" i="16"/>
  <c r="AS1188" i="16"/>
  <c r="AS1189" i="16"/>
  <c r="AS1190" i="16"/>
  <c r="AS1191" i="16"/>
  <c r="AS1192" i="16"/>
  <c r="AS1193" i="16"/>
  <c r="AS1194" i="16"/>
  <c r="AS1195" i="16"/>
  <c r="AS1196" i="16"/>
  <c r="AS1197" i="16"/>
  <c r="AS1198" i="16"/>
  <c r="AS1199" i="16"/>
  <c r="AS1200" i="16"/>
  <c r="AS1201" i="16"/>
  <c r="AS1202" i="16"/>
  <c r="AS1203" i="16"/>
  <c r="AS1204" i="16"/>
  <c r="AS1205" i="16"/>
  <c r="AS1206" i="16"/>
  <c r="AS1207" i="16"/>
  <c r="AS1208" i="16"/>
  <c r="AS1209" i="16"/>
  <c r="AS1210" i="16"/>
  <c r="AS1211" i="16"/>
  <c r="AS1212" i="16"/>
  <c r="AS1213" i="16"/>
  <c r="AS1214" i="16"/>
  <c r="AS1215" i="16"/>
  <c r="AS1216" i="16"/>
  <c r="AS1217" i="16"/>
  <c r="AS1218" i="16"/>
  <c r="AS1219" i="16"/>
  <c r="AS1220" i="16"/>
  <c r="AS1221" i="16"/>
  <c r="AS1222" i="16"/>
  <c r="AS1223" i="16"/>
  <c r="AS1224" i="16"/>
  <c r="AS1225" i="16"/>
  <c r="AS1226" i="16"/>
  <c r="AS1227" i="16"/>
  <c r="AS1228" i="16"/>
  <c r="AS1229" i="16"/>
  <c r="AS1230" i="16"/>
  <c r="AS1231" i="16"/>
  <c r="AS1232" i="16"/>
  <c r="AS1233" i="16"/>
  <c r="AS1234" i="16"/>
  <c r="AS1235" i="16"/>
  <c r="AS1236" i="16"/>
  <c r="AS1237" i="16"/>
  <c r="AS1238" i="16"/>
  <c r="AS1239" i="16"/>
  <c r="AS1240" i="16"/>
  <c r="AS1241" i="16"/>
  <c r="AS1242" i="16"/>
  <c r="AS1243" i="16"/>
  <c r="AS1244" i="16"/>
  <c r="AS1245" i="16"/>
  <c r="AS1246" i="16"/>
  <c r="AS1247" i="16"/>
  <c r="AS1248" i="16"/>
  <c r="AS1249" i="16"/>
  <c r="AS1250" i="16"/>
  <c r="AS1251" i="16"/>
  <c r="AS1252" i="16"/>
  <c r="AS1253" i="16"/>
  <c r="AS1254" i="16"/>
  <c r="AS1255" i="16"/>
  <c r="AS1256" i="16"/>
  <c r="AS1257" i="16"/>
  <c r="AS1258" i="16"/>
  <c r="AS1259" i="16"/>
  <c r="AS1260" i="16"/>
  <c r="AS1261" i="16"/>
  <c r="AS1262" i="16"/>
  <c r="AS1263" i="16"/>
  <c r="AS1264" i="16"/>
  <c r="AS1265" i="16"/>
  <c r="AS1266" i="16"/>
  <c r="AS1267" i="16"/>
  <c r="AS1268" i="16"/>
  <c r="AS1269" i="16"/>
  <c r="AS1270" i="16"/>
  <c r="AS1271" i="16"/>
  <c r="AS1272" i="16"/>
  <c r="AS1273" i="16"/>
  <c r="AS1274" i="16"/>
  <c r="AS1275" i="16"/>
  <c r="AS1276" i="16"/>
  <c r="AS1277" i="16"/>
  <c r="AS1278" i="16"/>
  <c r="AS1279" i="16"/>
  <c r="AS1280" i="16"/>
  <c r="AS1281" i="16"/>
  <c r="AS1282" i="16"/>
  <c r="AS1283" i="16"/>
  <c r="AS1284" i="16"/>
  <c r="AS1285" i="16"/>
  <c r="AS1286" i="16"/>
  <c r="AS1287" i="16"/>
  <c r="AS1288" i="16"/>
  <c r="AS1289" i="16"/>
  <c r="AS1290" i="16"/>
  <c r="AS1291" i="16"/>
  <c r="AS1292" i="16"/>
  <c r="AS1293" i="16"/>
  <c r="AS1294" i="16"/>
  <c r="AS1295" i="16"/>
  <c r="AS1296" i="16"/>
  <c r="AS1297" i="16"/>
  <c r="AS1298" i="16"/>
  <c r="AS1299" i="16"/>
  <c r="AS1300" i="16"/>
  <c r="AS1301" i="16"/>
  <c r="AS1302" i="16"/>
  <c r="AS1303" i="16"/>
  <c r="AS1304" i="16"/>
  <c r="AS1305" i="16"/>
  <c r="AS1306" i="16"/>
  <c r="AS1307" i="16"/>
  <c r="AS1308" i="16"/>
  <c r="AS1309" i="16"/>
  <c r="AS1310" i="16"/>
  <c r="AS1311" i="16"/>
  <c r="AS1312" i="16"/>
  <c r="AS1313" i="16"/>
  <c r="AS1314" i="16"/>
  <c r="AS1315" i="16"/>
  <c r="AS1316" i="16"/>
  <c r="AS1317" i="16"/>
  <c r="AS1318" i="16"/>
  <c r="AS1319" i="16"/>
  <c r="AS1320" i="16"/>
  <c r="AS1321" i="16"/>
  <c r="AS1322" i="16"/>
  <c r="AS1323" i="16"/>
  <c r="AS1324" i="16"/>
  <c r="AS1325" i="16"/>
  <c r="AS1326" i="16"/>
  <c r="AS1327" i="16"/>
  <c r="AS1328" i="16"/>
  <c r="AS1329" i="16"/>
  <c r="AS1330" i="16"/>
  <c r="AS1331" i="16"/>
  <c r="AS1332" i="16"/>
  <c r="AS1333" i="16"/>
  <c r="AS1334" i="16"/>
  <c r="AS1335" i="16"/>
  <c r="AS1336" i="16"/>
  <c r="AS1337" i="16"/>
  <c r="AS1338" i="16"/>
  <c r="AS1339" i="16"/>
  <c r="AS1340" i="16"/>
  <c r="AS1341" i="16"/>
  <c r="AS1342" i="16"/>
  <c r="AS1343" i="16"/>
  <c r="AS1344" i="16"/>
  <c r="AS1345" i="16"/>
  <c r="AS1346" i="16"/>
  <c r="AS1347" i="16"/>
  <c r="AS1348" i="16"/>
  <c r="AS1349" i="16"/>
  <c r="AS1350" i="16"/>
  <c r="AS1351" i="16"/>
  <c r="AS1352" i="16"/>
  <c r="AS1353" i="16"/>
  <c r="AS1354" i="16"/>
  <c r="AS1355" i="16"/>
  <c r="AS1356" i="16"/>
  <c r="AS1357" i="16"/>
  <c r="AS1358" i="16"/>
  <c r="AS1359" i="16"/>
  <c r="AS1360" i="16"/>
  <c r="AS1361" i="16"/>
  <c r="AS1362" i="16"/>
  <c r="AS1363" i="16"/>
  <c r="AS1364" i="16"/>
  <c r="AS1365" i="16"/>
  <c r="AS1366" i="16"/>
  <c r="AS1367" i="16"/>
  <c r="AS1368" i="16"/>
  <c r="AS1369" i="16"/>
  <c r="AS1370" i="16"/>
  <c r="AS1371" i="16"/>
  <c r="AS1372" i="16"/>
  <c r="AS1373" i="16"/>
  <c r="AS1374" i="16"/>
  <c r="AS1375" i="16"/>
  <c r="AS1376" i="16"/>
  <c r="AS1377" i="16"/>
  <c r="AS1378" i="16"/>
  <c r="AS1379" i="16"/>
  <c r="AS1380" i="16"/>
  <c r="AS1381" i="16"/>
  <c r="AS1382" i="16"/>
  <c r="AS1383" i="16"/>
  <c r="AS1384" i="16"/>
  <c r="AS1385" i="16"/>
  <c r="AS1386" i="16"/>
  <c r="AS1387" i="16"/>
  <c r="AS1388" i="16"/>
  <c r="AS1389" i="16"/>
  <c r="AS1390" i="16"/>
  <c r="AS1391" i="16"/>
  <c r="AS1392" i="16"/>
  <c r="AS1393" i="16"/>
  <c r="AR1873" i="16" l="1"/>
  <c r="AR1937" i="16"/>
  <c r="AR1952" i="16"/>
  <c r="AR1784" i="16"/>
  <c r="AR1734" i="16"/>
  <c r="AR1927" i="16"/>
  <c r="AR1911" i="16"/>
  <c r="AR1872" i="16"/>
  <c r="AR1848" i="16"/>
  <c r="AR1920" i="16"/>
  <c r="AR1768" i="16"/>
  <c r="AR1904" i="16"/>
  <c r="AR1832" i="16"/>
  <c r="AR1863" i="16"/>
  <c r="AR1879" i="16"/>
  <c r="AR1841" i="16"/>
  <c r="AR1961" i="16"/>
  <c r="AR1953" i="16"/>
  <c r="AR1945" i="16"/>
  <c r="AR1921" i="16"/>
  <c r="AR1889" i="16"/>
  <c r="AR1849" i="16"/>
  <c r="AR1817" i="16"/>
  <c r="AR1753" i="16"/>
  <c r="AR1846" i="16"/>
  <c r="AR1782" i="16"/>
  <c r="AR1818" i="16"/>
  <c r="AR1754" i="16"/>
  <c r="AR1798" i="16"/>
  <c r="AR1959" i="16"/>
  <c r="AR1943" i="16"/>
  <c r="AR1895" i="16"/>
  <c r="AR1839" i="16"/>
  <c r="AR1823" i="16"/>
  <c r="AR1807" i="16"/>
  <c r="AR1775" i="16"/>
  <c r="AR1759" i="16"/>
  <c r="AR1743" i="16"/>
  <c r="AR1735" i="16"/>
  <c r="AR1862" i="16"/>
  <c r="AR1929" i="16"/>
  <c r="AR1913" i="16"/>
  <c r="AR1905" i="16"/>
  <c r="AR1897" i="16"/>
  <c r="AR1881" i="16"/>
  <c r="AR1865" i="16"/>
  <c r="AR1857" i="16"/>
  <c r="AR1833" i="16"/>
  <c r="AR1825" i="16"/>
  <c r="AR1809" i="16"/>
  <c r="AR1801" i="16"/>
  <c r="AR1785" i="16"/>
  <c r="AR1777" i="16"/>
  <c r="AR1769" i="16"/>
  <c r="AR1761" i="16"/>
  <c r="AR1745" i="16"/>
  <c r="AR1737" i="16"/>
  <c r="AR1888" i="16"/>
  <c r="AR1954" i="16"/>
  <c r="AR1938" i="16"/>
  <c r="AR1922" i="16"/>
  <c r="AR1906" i="16"/>
  <c r="AR1890" i="16"/>
  <c r="AR1874" i="16"/>
  <c r="AR1834" i="16"/>
  <c r="AR1770" i="16"/>
  <c r="AR1936" i="16"/>
  <c r="AR1960" i="16"/>
  <c r="AR1944" i="16"/>
  <c r="AR1928" i="16"/>
  <c r="AR1912" i="16"/>
  <c r="AR1880" i="16"/>
  <c r="AR1864" i="16"/>
  <c r="AR1824" i="16"/>
  <c r="AR1800" i="16"/>
  <c r="AR1760" i="16"/>
  <c r="AR1736" i="16"/>
  <c r="AR1856" i="16"/>
  <c r="AR1840" i="16"/>
  <c r="AR1816" i="16"/>
  <c r="AR1808" i="16"/>
  <c r="AR1792" i="16"/>
  <c r="AR1776" i="16"/>
  <c r="AR1752" i="16"/>
  <c r="AR1744" i="16"/>
  <c r="AR1903" i="16"/>
  <c r="AR1887" i="16"/>
  <c r="AR1871" i="16"/>
  <c r="AR1831" i="16"/>
  <c r="AR1815" i="16"/>
  <c r="AR1783" i="16"/>
  <c r="AR1767" i="16"/>
  <c r="AR1751" i="16"/>
  <c r="AR1951" i="16"/>
  <c r="AR1935" i="16"/>
  <c r="AR1919" i="16"/>
  <c r="AR1855" i="16"/>
  <c r="AR1847" i="16"/>
  <c r="AR1791" i="16"/>
  <c r="AR1854" i="16"/>
  <c r="AR1838" i="16"/>
  <c r="AR1830" i="16"/>
  <c r="AR1822" i="16"/>
  <c r="AR1814" i="16"/>
  <c r="AR1806" i="16"/>
  <c r="AR1790" i="16"/>
  <c r="AR1774" i="16"/>
  <c r="AR1766" i="16"/>
  <c r="AR1758" i="16"/>
  <c r="AR1750" i="16"/>
  <c r="AR1742" i="16"/>
  <c r="AR1946" i="16"/>
  <c r="AR1930" i="16"/>
  <c r="AR1914" i="16"/>
  <c r="AR1898" i="16"/>
  <c r="AR1882" i="16"/>
  <c r="AR1866" i="16"/>
  <c r="AR1858" i="16"/>
  <c r="AR1850" i="16"/>
  <c r="AR1842" i="16"/>
  <c r="AR1826" i="16"/>
  <c r="AR1810" i="16"/>
  <c r="AR1802" i="16"/>
  <c r="AR1794" i="16"/>
  <c r="AR1786" i="16"/>
  <c r="AR1778" i="16"/>
  <c r="AR1762" i="16"/>
  <c r="AR1746" i="16"/>
  <c r="AR1738" i="16"/>
  <c r="AR1958" i="16"/>
  <c r="AR1950" i="16"/>
  <c r="AR1942" i="16"/>
  <c r="AR1934" i="16"/>
  <c r="AR1926" i="16"/>
  <c r="AR1918" i="16"/>
  <c r="AR1910" i="16"/>
  <c r="AR1902" i="16"/>
  <c r="AR1894" i="16"/>
  <c r="AR1886" i="16"/>
  <c r="AR1878" i="16"/>
  <c r="AR1870" i="16"/>
  <c r="AR1845" i="16"/>
  <c r="AR1837" i="16"/>
  <c r="AR1829" i="16"/>
  <c r="AR1821" i="16"/>
  <c r="AR1813" i="16"/>
  <c r="AR1805" i="16"/>
  <c r="AR1797" i="16"/>
  <c r="AR1789" i="16"/>
  <c r="AR1781" i="16"/>
  <c r="AR1773" i="16"/>
  <c r="AR1765" i="16"/>
  <c r="AR1757" i="16"/>
  <c r="AR1749" i="16"/>
  <c r="AR1741" i="16"/>
  <c r="AR1957" i="16"/>
  <c r="AR1949" i="16"/>
  <c r="AR1941" i="16"/>
  <c r="AR1933" i="16"/>
  <c r="AR1925" i="16"/>
  <c r="AR1909" i="16"/>
  <c r="AR1901" i="16"/>
  <c r="AR1893" i="16"/>
  <c r="AR1885" i="16"/>
  <c r="AR1877" i="16"/>
  <c r="AR1869" i="16"/>
  <c r="AR1861" i="16"/>
  <c r="AR1853" i="16"/>
  <c r="AR1956" i="16"/>
  <c r="AR1948" i="16"/>
  <c r="AR1940" i="16"/>
  <c r="AR1932" i="16"/>
  <c r="AR1924" i="16"/>
  <c r="AR1908" i="16"/>
  <c r="AR1900" i="16"/>
  <c r="AR1892" i="16"/>
  <c r="AR1884" i="16"/>
  <c r="AR1876" i="16"/>
  <c r="AR1868" i="16"/>
  <c r="AR1860" i="16"/>
  <c r="AR1852" i="16"/>
  <c r="AR1844" i="16"/>
  <c r="AR1836" i="16"/>
  <c r="AR1828" i="16"/>
  <c r="AR1820" i="16"/>
  <c r="AR1812" i="16"/>
  <c r="AR1804" i="16"/>
  <c r="AR1796" i="16"/>
  <c r="AR1788" i="16"/>
  <c r="AR1780" i="16"/>
  <c r="AR1772" i="16"/>
  <c r="AR1764" i="16"/>
  <c r="AR1756" i="16"/>
  <c r="AR1748" i="16"/>
  <c r="AR1740" i="16"/>
  <c r="AR1955" i="16"/>
  <c r="AR1947" i="16"/>
  <c r="AR1939" i="16"/>
  <c r="AR1931" i="16"/>
  <c r="AR1923" i="16"/>
  <c r="AR1907" i="16"/>
  <c r="AR1899" i="16"/>
  <c r="AR1891" i="16"/>
  <c r="AR1883" i="16"/>
  <c r="AR1875" i="16"/>
  <c r="AR1867" i="16"/>
  <c r="AR1859" i="16"/>
  <c r="AR1851" i="16"/>
  <c r="AR1843" i="16"/>
  <c r="AR1835" i="16"/>
  <c r="AR1827" i="16"/>
  <c r="AR1819" i="16"/>
  <c r="AR1811" i="16"/>
  <c r="AR1803" i="16"/>
  <c r="AR1795" i="16"/>
  <c r="AR1787" i="16"/>
  <c r="AR1779" i="16"/>
  <c r="AR1771" i="16"/>
  <c r="AR1763" i="16"/>
  <c r="AR1755" i="16"/>
  <c r="AR1747" i="16"/>
  <c r="AR1739" i="16"/>
  <c r="AR1510" i="16"/>
  <c r="AR1585" i="16"/>
  <c r="AR1713" i="16"/>
  <c r="AR1705" i="16"/>
  <c r="AR1561" i="16"/>
  <c r="AR1505" i="16"/>
  <c r="AR1457" i="16"/>
  <c r="AR1564" i="16"/>
  <c r="AR1447" i="16"/>
  <c r="AR1697" i="16"/>
  <c r="AR1681" i="16"/>
  <c r="AR1665" i="16"/>
  <c r="AR1633" i="16"/>
  <c r="AR1625" i="16"/>
  <c r="AR1593" i="16"/>
  <c r="AR1577" i="16"/>
  <c r="AR1553" i="16"/>
  <c r="AR1545" i="16"/>
  <c r="AR1529" i="16"/>
  <c r="AR1481" i="16"/>
  <c r="AR1473" i="16"/>
  <c r="AR1449" i="16"/>
  <c r="AR1425" i="16"/>
  <c r="AR1417" i="16"/>
  <c r="AR1489" i="16"/>
  <c r="AR1439" i="16"/>
  <c r="AR1420" i="16"/>
  <c r="AR1719" i="16"/>
  <c r="AR1687" i="16"/>
  <c r="AR1679" i="16"/>
  <c r="AR1655" i="16"/>
  <c r="AR1639" i="16"/>
  <c r="AR1623" i="16"/>
  <c r="AR1615" i="16"/>
  <c r="AR1607" i="16"/>
  <c r="AR1591" i="16"/>
  <c r="AR1559" i="16"/>
  <c r="AR1551" i="16"/>
  <c r="AR1527" i="16"/>
  <c r="AR1503" i="16"/>
  <c r="AR1495" i="16"/>
  <c r="AR1479" i="16"/>
  <c r="AR1471" i="16"/>
  <c r="AR1431" i="16"/>
  <c r="AR1423" i="16"/>
  <c r="AR1535" i="16"/>
  <c r="AR1650" i="16"/>
  <c r="AR1394" i="16"/>
  <c r="AR1689" i="16"/>
  <c r="AR1617" i="16"/>
  <c r="AR1465" i="16"/>
  <c r="AR1409" i="16"/>
  <c r="AR1399" i="16"/>
  <c r="AR1714" i="16"/>
  <c r="AR1021" i="16"/>
  <c r="AR989" i="16"/>
  <c r="AR669" i="16"/>
  <c r="AR1649" i="16"/>
  <c r="AR1521" i="16"/>
  <c r="AR1586" i="16"/>
  <c r="AR1522" i="16"/>
  <c r="AR1574" i="16"/>
  <c r="AR1446" i="16"/>
  <c r="AR962" i="16"/>
  <c r="AR1157" i="16"/>
  <c r="AR637" i="16"/>
  <c r="AR1727" i="16"/>
  <c r="AR1729" i="16"/>
  <c r="AR1721" i="16"/>
  <c r="AR1673" i="16"/>
  <c r="AR1609" i="16"/>
  <c r="AR1601" i="16"/>
  <c r="AR1537" i="16"/>
  <c r="AR1513" i="16"/>
  <c r="AR1497" i="16"/>
  <c r="AR1441" i="16"/>
  <c r="AR1433" i="16"/>
  <c r="AR1401" i="16"/>
  <c r="AR1657" i="16"/>
  <c r="AR1703" i="16"/>
  <c r="AR1695" i="16"/>
  <c r="AR1671" i="16"/>
  <c r="AR1663" i="16"/>
  <c r="AR1631" i="16"/>
  <c r="AR1599" i="16"/>
  <c r="AR1575" i="16"/>
  <c r="AR1567" i="16"/>
  <c r="AR1543" i="16"/>
  <c r="AR1511" i="16"/>
  <c r="AR1487" i="16"/>
  <c r="AR1415" i="16"/>
  <c r="AR1407" i="16"/>
  <c r="AR938" i="16"/>
  <c r="AR922" i="16"/>
  <c r="AR818" i="16"/>
  <c r="AR682" i="16"/>
  <c r="AR658" i="16"/>
  <c r="AR634" i="16"/>
  <c r="AR1732" i="16"/>
  <c r="AR1708" i="16"/>
  <c r="AR1684" i="16"/>
  <c r="AR1676" i="16"/>
  <c r="AR1668" i="16"/>
  <c r="AR1652" i="16"/>
  <c r="AR1644" i="16"/>
  <c r="AR1636" i="16"/>
  <c r="AR1620" i="16"/>
  <c r="AR1612" i="16"/>
  <c r="AR1604" i="16"/>
  <c r="AR1588" i="16"/>
  <c r="AR1580" i="16"/>
  <c r="AR1572" i="16"/>
  <c r="AR1556" i="16"/>
  <c r="AR1548" i="16"/>
  <c r="AR1540" i="16"/>
  <c r="AR1516" i="16"/>
  <c r="AR1508" i="16"/>
  <c r="AR1500" i="16"/>
  <c r="AR1492" i="16"/>
  <c r="AR1476" i="16"/>
  <c r="AR1460" i="16"/>
  <c r="AR1452" i="16"/>
  <c r="AR1444" i="16"/>
  <c r="AR1436" i="16"/>
  <c r="AR1428" i="16"/>
  <c r="AR1412" i="16"/>
  <c r="AR1404" i="16"/>
  <c r="AR1396" i="16"/>
  <c r="AR1692" i="16"/>
  <c r="AR1628" i="16"/>
  <c r="AR1484" i="16"/>
  <c r="AR855" i="16"/>
  <c r="AR823" i="16"/>
  <c r="AR727" i="16"/>
  <c r="AR1301" i="16"/>
  <c r="AR765" i="16"/>
  <c r="AR1702" i="16"/>
  <c r="AR1638" i="16"/>
  <c r="AR1458" i="16"/>
  <c r="AR1338" i="16"/>
  <c r="AR1106" i="16"/>
  <c r="AR1010" i="16"/>
  <c r="AR1328" i="16"/>
  <c r="AR1256" i="16"/>
  <c r="AR1200" i="16"/>
  <c r="AR1192" i="16"/>
  <c r="AR1096" i="16"/>
  <c r="AR1040" i="16"/>
  <c r="AR1008" i="16"/>
  <c r="AR992" i="16"/>
  <c r="AR984" i="16"/>
  <c r="AR936" i="16"/>
  <c r="AR920" i="16"/>
  <c r="AR912" i="16"/>
  <c r="AR864" i="16"/>
  <c r="AR856" i="16"/>
  <c r="AR816" i="16"/>
  <c r="AR792" i="16"/>
  <c r="AR776" i="16"/>
  <c r="AR768" i="16"/>
  <c r="AR760" i="16"/>
  <c r="AR744" i="16"/>
  <c r="AR720" i="16"/>
  <c r="AR696" i="16"/>
  <c r="AR688" i="16"/>
  <c r="AR680" i="16"/>
  <c r="AR672" i="16"/>
  <c r="AR648" i="16"/>
  <c r="AR1387" i="16"/>
  <c r="AR1379" i="16"/>
  <c r="AR1371" i="16"/>
  <c r="AR1363" i="16"/>
  <c r="AR1355" i="16"/>
  <c r="AR1347" i="16"/>
  <c r="AR1339" i="16"/>
  <c r="AR1331" i="16"/>
  <c r="AR1323" i="16"/>
  <c r="AR1315" i="16"/>
  <c r="AR1307" i="16"/>
  <c r="AR1299" i="16"/>
  <c r="AR1291" i="16"/>
  <c r="AR1283" i="16"/>
  <c r="AR1275" i="16"/>
  <c r="AR1267" i="16"/>
  <c r="AR1069" i="16"/>
  <c r="AR693" i="16"/>
  <c r="AR1259" i="16"/>
  <c r="AR1251" i="16"/>
  <c r="AR1243" i="16"/>
  <c r="AR1235" i="16"/>
  <c r="AR1227" i="16"/>
  <c r="AR1219" i="16"/>
  <c r="AR1211" i="16"/>
  <c r="AR1203" i="16"/>
  <c r="AR1195" i="16"/>
  <c r="AR1187" i="16"/>
  <c r="AR1179" i="16"/>
  <c r="AR1171" i="16"/>
  <c r="AR1163" i="16"/>
  <c r="AR1155" i="16"/>
  <c r="AR1147" i="16"/>
  <c r="AR1139" i="16"/>
  <c r="AR1131" i="16"/>
  <c r="AR1123" i="16"/>
  <c r="AR1115" i="16"/>
  <c r="AR1107" i="16"/>
  <c r="AR1099" i="16"/>
  <c r="AR1091" i="16"/>
  <c r="AR1083" i="16"/>
  <c r="AR1075" i="16"/>
  <c r="AR1067" i="16"/>
  <c r="AR1059" i="16"/>
  <c r="AR1051" i="16"/>
  <c r="AR1043" i="16"/>
  <c r="AR1035" i="16"/>
  <c r="AR1027" i="16"/>
  <c r="AR1019" i="16"/>
  <c r="AR1011" i="16"/>
  <c r="AR1003" i="16"/>
  <c r="AR995" i="16"/>
  <c r="AR987" i="16"/>
  <c r="AR979" i="16"/>
  <c r="AR971" i="16"/>
  <c r="AR963" i="16"/>
  <c r="AR955" i="16"/>
  <c r="AR947" i="16"/>
  <c r="AR939" i="16"/>
  <c r="AR931" i="16"/>
  <c r="AR923" i="16"/>
  <c r="AR915" i="16"/>
  <c r="AR907" i="16"/>
  <c r="AR899" i="16"/>
  <c r="AR891" i="16"/>
  <c r="AR883" i="16"/>
  <c r="AR875" i="16"/>
  <c r="AR867" i="16"/>
  <c r="AR859" i="16"/>
  <c r="AR851" i="16"/>
  <c r="AR843" i="16"/>
  <c r="AR835" i="16"/>
  <c r="AR827" i="16"/>
  <c r="AR819" i="16"/>
  <c r="AR811" i="16"/>
  <c r="AR803" i="16"/>
  <c r="AR795" i="16"/>
  <c r="AR787" i="16"/>
  <c r="AR779" i="16"/>
  <c r="AR771" i="16"/>
  <c r="AR763" i="16"/>
  <c r="AR755" i="16"/>
  <c r="AR747" i="16"/>
  <c r="AR739" i="16"/>
  <c r="AR731" i="16"/>
  <c r="AR723" i="16"/>
  <c r="AR715" i="16"/>
  <c r="AR707" i="16"/>
  <c r="AR699" i="16"/>
  <c r="AR691" i="16"/>
  <c r="AR683" i="16"/>
  <c r="AR675" i="16"/>
  <c r="AR667" i="16"/>
  <c r="AR659" i="16"/>
  <c r="AR651" i="16"/>
  <c r="AR643" i="16"/>
  <c r="AR635" i="16"/>
  <c r="AR1724" i="16"/>
  <c r="AR1700" i="16"/>
  <c r="AR1660" i="16"/>
  <c r="AR1596" i="16"/>
  <c r="AR1532" i="16"/>
  <c r="AR1468" i="16"/>
  <c r="AR1711" i="16"/>
  <c r="AR1647" i="16"/>
  <c r="AR1583" i="16"/>
  <c r="AR1519" i="16"/>
  <c r="AR1455" i="16"/>
  <c r="AR1730" i="16"/>
  <c r="AR1722" i="16"/>
  <c r="AR1706" i="16"/>
  <c r="AR1698" i="16"/>
  <c r="AR1690" i="16"/>
  <c r="AR1682" i="16"/>
  <c r="AR1674" i="16"/>
  <c r="AR1666" i="16"/>
  <c r="AR1658" i="16"/>
  <c r="AR1642" i="16"/>
  <c r="AR1634" i="16"/>
  <c r="AR1626" i="16"/>
  <c r="AR1618" i="16"/>
  <c r="AR1610" i="16"/>
  <c r="AR1602" i="16"/>
  <c r="AR1594" i="16"/>
  <c r="AR1578" i="16"/>
  <c r="AR1570" i="16"/>
  <c r="AR1562" i="16"/>
  <c r="AR1554" i="16"/>
  <c r="AR1546" i="16"/>
  <c r="AR1538" i="16"/>
  <c r="AR1530" i="16"/>
  <c r="AR1514" i="16"/>
  <c r="AR1506" i="16"/>
  <c r="AR1498" i="16"/>
  <c r="AR1490" i="16"/>
  <c r="AR1482" i="16"/>
  <c r="AR1474" i="16"/>
  <c r="AR1450" i="16"/>
  <c r="AR1442" i="16"/>
  <c r="AR1434" i="16"/>
  <c r="AR1426" i="16"/>
  <c r="AR1418" i="16"/>
  <c r="AR1410" i="16"/>
  <c r="AR1402" i="16"/>
  <c r="AR1726" i="16"/>
  <c r="AR1718" i="16"/>
  <c r="AR1710" i="16"/>
  <c r="AR1694" i="16"/>
  <c r="AR1686" i="16"/>
  <c r="AR1670" i="16"/>
  <c r="AR1662" i="16"/>
  <c r="AR1654" i="16"/>
  <c r="AR1646" i="16"/>
  <c r="AR1630" i="16"/>
  <c r="AR1622" i="16"/>
  <c r="AR1614" i="16"/>
  <c r="AR1606" i="16"/>
  <c r="AR1598" i="16"/>
  <c r="AR1590" i="16"/>
  <c r="AR1582" i="16"/>
  <c r="AR1566" i="16"/>
  <c r="AR1558" i="16"/>
  <c r="AR1550" i="16"/>
  <c r="AR1542" i="16"/>
  <c r="AR1534" i="16"/>
  <c r="AR1526" i="16"/>
  <c r="AR1518" i="16"/>
  <c r="AR1502" i="16"/>
  <c r="AR1494" i="16"/>
  <c r="AR1478" i="16"/>
  <c r="AR1470" i="16"/>
  <c r="AR1462" i="16"/>
  <c r="AR1454" i="16"/>
  <c r="AR1438" i="16"/>
  <c r="AR1430" i="16"/>
  <c r="AR1422" i="16"/>
  <c r="AR1414" i="16"/>
  <c r="AR1406" i="16"/>
  <c r="AR1398" i="16"/>
  <c r="AR1733" i="16"/>
  <c r="AR1725" i="16"/>
  <c r="AR1709" i="16"/>
  <c r="AR1701" i="16"/>
  <c r="AR1693" i="16"/>
  <c r="AR1685" i="16"/>
  <c r="AR1677" i="16"/>
  <c r="AR1669" i="16"/>
  <c r="AR1661" i="16"/>
  <c r="AR1653" i="16"/>
  <c r="AR1645" i="16"/>
  <c r="AR1637" i="16"/>
  <c r="AR1629" i="16"/>
  <c r="AR1621" i="16"/>
  <c r="AR1613" i="16"/>
  <c r="AR1605" i="16"/>
  <c r="AR1597" i="16"/>
  <c r="AR1589" i="16"/>
  <c r="AR1581" i="16"/>
  <c r="AR1573" i="16"/>
  <c r="AR1565" i="16"/>
  <c r="AR1557" i="16"/>
  <c r="AR1549" i="16"/>
  <c r="AR1541" i="16"/>
  <c r="AR1533" i="16"/>
  <c r="AR1525" i="16"/>
  <c r="AR1517" i="16"/>
  <c r="AR1509" i="16"/>
  <c r="AR1501" i="16"/>
  <c r="AR1493" i="16"/>
  <c r="AR1485" i="16"/>
  <c r="AR1477" i="16"/>
  <c r="AR1469" i="16"/>
  <c r="AR1461" i="16"/>
  <c r="AR1453" i="16"/>
  <c r="AR1445" i="16"/>
  <c r="AR1437" i="16"/>
  <c r="AR1429" i="16"/>
  <c r="AR1421" i="16"/>
  <c r="AR1413" i="16"/>
  <c r="AR1405" i="16"/>
  <c r="AR1397" i="16"/>
  <c r="AR1731" i="16"/>
  <c r="AR1723" i="16"/>
  <c r="AR1715" i="16"/>
  <c r="AR1707" i="16"/>
  <c r="AR1699" i="16"/>
  <c r="AR1691" i="16"/>
  <c r="AR1683" i="16"/>
  <c r="AR1675" i="16"/>
  <c r="AR1667" i="16"/>
  <c r="AR1659" i="16"/>
  <c r="AR1651" i="16"/>
  <c r="AR1643" i="16"/>
  <c r="AR1635" i="16"/>
  <c r="AR1627" i="16"/>
  <c r="AR1619" i="16"/>
  <c r="AR1611" i="16"/>
  <c r="AR1603" i="16"/>
  <c r="AR1595" i="16"/>
  <c r="AR1587" i="16"/>
  <c r="AR1579" i="16"/>
  <c r="AR1571" i="16"/>
  <c r="AR1563" i="16"/>
  <c r="AR1555" i="16"/>
  <c r="AR1547" i="16"/>
  <c r="AR1539" i="16"/>
  <c r="AR1531" i="16"/>
  <c r="AR1523" i="16"/>
  <c r="AR1515" i="16"/>
  <c r="AR1507" i="16"/>
  <c r="AR1499" i="16"/>
  <c r="AR1491" i="16"/>
  <c r="AR1483" i="16"/>
  <c r="AR1475" i="16"/>
  <c r="AR1467" i="16"/>
  <c r="AR1459" i="16"/>
  <c r="AR1451" i="16"/>
  <c r="AR1443" i="16"/>
  <c r="AR1435" i="16"/>
  <c r="AR1427" i="16"/>
  <c r="AR1419" i="16"/>
  <c r="AR1411" i="16"/>
  <c r="AR1403" i="16"/>
  <c r="AR1395" i="16"/>
  <c r="AR1728" i="16"/>
  <c r="AR1720" i="16"/>
  <c r="AR1712" i="16"/>
  <c r="AR1704" i="16"/>
  <c r="AR1696" i="16"/>
  <c r="AR1688" i="16"/>
  <c r="AR1680" i="16"/>
  <c r="AR1672" i="16"/>
  <c r="AR1664" i="16"/>
  <c r="AR1656" i="16"/>
  <c r="AR1648" i="16"/>
  <c r="AR1632" i="16"/>
  <c r="AR1624" i="16"/>
  <c r="AR1616" i="16"/>
  <c r="AR1608" i="16"/>
  <c r="AR1600" i="16"/>
  <c r="AR1592" i="16"/>
  <c r="AR1576" i="16"/>
  <c r="AR1568" i="16"/>
  <c r="AR1560" i="16"/>
  <c r="AR1552" i="16"/>
  <c r="AR1544" i="16"/>
  <c r="AR1536" i="16"/>
  <c r="AR1528" i="16"/>
  <c r="AR1520" i="16"/>
  <c r="AR1512" i="16"/>
  <c r="AR1504" i="16"/>
  <c r="AR1496" i="16"/>
  <c r="AR1488" i="16"/>
  <c r="AR1480" i="16"/>
  <c r="AR1472" i="16"/>
  <c r="AR1464" i="16"/>
  <c r="AR1456" i="16"/>
  <c r="AR1448" i="16"/>
  <c r="AR1440" i="16"/>
  <c r="AR1432" i="16"/>
  <c r="AR1424" i="16"/>
  <c r="AR1416" i="16"/>
  <c r="AR1408" i="16"/>
  <c r="AR1400" i="16"/>
  <c r="AR1087" i="16"/>
  <c r="AR1386" i="16"/>
  <c r="AR1066" i="16"/>
  <c r="AR1042" i="16"/>
  <c r="AR1026" i="16"/>
  <c r="AR1018" i="16"/>
  <c r="AR1002" i="16"/>
  <c r="AR970" i="16"/>
  <c r="AR954" i="16"/>
  <c r="AR946" i="16"/>
  <c r="AR930" i="16"/>
  <c r="AR906" i="16"/>
  <c r="AR882" i="16"/>
  <c r="AR850" i="16"/>
  <c r="AR834" i="16"/>
  <c r="AR794" i="16"/>
  <c r="AR786" i="16"/>
  <c r="AR778" i="16"/>
  <c r="AR770" i="16"/>
  <c r="AR762" i="16"/>
  <c r="AR754" i="16"/>
  <c r="AR746" i="16"/>
  <c r="AR738" i="16"/>
  <c r="AR730" i="16"/>
  <c r="AR722" i="16"/>
  <c r="AR714" i="16"/>
  <c r="AR698" i="16"/>
  <c r="AR666" i="16"/>
  <c r="AR650" i="16"/>
  <c r="AR642" i="16"/>
  <c r="AR1384" i="16"/>
  <c r="AR1288" i="16"/>
  <c r="AR1280" i="16"/>
  <c r="AR1272" i="16"/>
  <c r="AR1264" i="16"/>
  <c r="AR1248" i="16"/>
  <c r="AR1240" i="16"/>
  <c r="AR1232" i="16"/>
  <c r="AR1224" i="16"/>
  <c r="AR1216" i="16"/>
  <c r="AR1184" i="16"/>
  <c r="AR1176" i="16"/>
  <c r="AR1168" i="16"/>
  <c r="AR1160" i="16"/>
  <c r="AR1152" i="16"/>
  <c r="AR1144" i="16"/>
  <c r="AR1136" i="16"/>
  <c r="AR1128" i="16"/>
  <c r="AR1120" i="16"/>
  <c r="AR1112" i="16"/>
  <c r="AR1104" i="16"/>
  <c r="AR1088" i="16"/>
  <c r="AR1080" i="16"/>
  <c r="AR1072" i="16"/>
  <c r="AR1056" i="16"/>
  <c r="AR1048" i="16"/>
  <c r="AR1032" i="16"/>
  <c r="AR1024" i="16"/>
  <c r="AR1016" i="16"/>
  <c r="AR1000" i="16"/>
  <c r="AR976" i="16"/>
  <c r="AR968" i="16"/>
  <c r="AR960" i="16"/>
  <c r="AR952" i="16"/>
  <c r="AR944" i="16"/>
  <c r="AR928" i="16"/>
  <c r="AR904" i="16"/>
  <c r="AR896" i="16"/>
  <c r="AR888" i="16"/>
  <c r="AR880" i="16"/>
  <c r="AR872" i="16"/>
  <c r="AR848" i="16"/>
  <c r="AR840" i="16"/>
  <c r="AR832" i="16"/>
  <c r="AR824" i="16"/>
  <c r="AR808" i="16"/>
  <c r="AR800" i="16"/>
  <c r="AR784" i="16"/>
  <c r="AR752" i="16"/>
  <c r="AR736" i="16"/>
  <c r="AR728" i="16"/>
  <c r="AR712" i="16"/>
  <c r="AR704" i="16"/>
  <c r="AR664" i="16"/>
  <c r="AR656" i="16"/>
  <c r="AR640" i="16"/>
  <c r="AR632" i="16"/>
  <c r="AR1071" i="16"/>
  <c r="AR895" i="16"/>
  <c r="AR879" i="16"/>
  <c r="AR839" i="16"/>
  <c r="AR831" i="16"/>
  <c r="AR807" i="16"/>
  <c r="AR751" i="16"/>
  <c r="AR703" i="16"/>
  <c r="AR687" i="16"/>
  <c r="AR663" i="16"/>
  <c r="AR655" i="16"/>
  <c r="AR631" i="16"/>
  <c r="AR1349" i="16"/>
  <c r="AR1341" i="16"/>
  <c r="AR1333" i="16"/>
  <c r="AR1325" i="16"/>
  <c r="AR1285" i="16"/>
  <c r="AR1277" i="16"/>
  <c r="AR1269" i="16"/>
  <c r="AR1261" i="16"/>
  <c r="AR1237" i="16"/>
  <c r="AR1221" i="16"/>
  <c r="AR1205" i="16"/>
  <c r="AR1189" i="16"/>
  <c r="AR1181" i="16"/>
  <c r="AR1173" i="16"/>
  <c r="AR1149" i="16"/>
  <c r="AR1141" i="16"/>
  <c r="AR1133" i="16"/>
  <c r="AR1125" i="16"/>
  <c r="AR1117" i="16"/>
  <c r="AR1109" i="16"/>
  <c r="AR1101" i="16"/>
  <c r="AR1093" i="16"/>
  <c r="AR1085" i="16"/>
  <c r="AR1077" i="16"/>
  <c r="AR1061" i="16"/>
  <c r="AR1053" i="16"/>
  <c r="AR1045" i="16"/>
  <c r="AR1037" i="16"/>
  <c r="AR1029" i="16"/>
  <c r="AR1013" i="16"/>
  <c r="AR1005" i="16"/>
  <c r="AR997" i="16"/>
  <c r="AR981" i="16"/>
  <c r="AR973" i="16"/>
  <c r="AR965" i="16"/>
  <c r="AR957" i="16"/>
  <c r="AR949" i="16"/>
  <c r="AR941" i="16"/>
  <c r="AR933" i="16"/>
  <c r="AR925" i="16"/>
  <c r="AR917" i="16"/>
  <c r="AR909" i="16"/>
  <c r="AR901" i="16"/>
  <c r="AR893" i="16"/>
  <c r="AR885" i="16"/>
  <c r="AR877" i="16"/>
  <c r="AR869" i="16"/>
  <c r="AR861" i="16"/>
  <c r="AR853" i="16"/>
  <c r="AR845" i="16"/>
  <c r="AR837" i="16"/>
  <c r="AR829" i="16"/>
  <c r="AR821" i="16"/>
  <c r="AR813" i="16"/>
  <c r="AR805" i="16"/>
  <c r="AR797" i="16"/>
  <c r="AR789" i="16"/>
  <c r="AR781" i="16"/>
  <c r="AR773" i="16"/>
  <c r="AR757" i="16"/>
  <c r="AR749" i="16"/>
  <c r="AR741" i="16"/>
  <c r="AR733" i="16"/>
  <c r="AR725" i="16"/>
  <c r="AR717" i="16"/>
  <c r="AR709" i="16"/>
  <c r="AR701" i="16"/>
  <c r="AR685" i="16"/>
  <c r="AR677" i="16"/>
  <c r="AR661" i="16"/>
  <c r="AR653" i="16"/>
  <c r="AR645" i="16"/>
  <c r="AR629" i="16"/>
  <c r="AR1336" i="16"/>
  <c r="AR1320" i="16"/>
  <c r="AR1312" i="16"/>
  <c r="AR1304" i="16"/>
  <c r="AR1296" i="16"/>
  <c r="AR1356" i="16"/>
  <c r="AR1321" i="16"/>
  <c r="AR1281" i="16"/>
  <c r="AR1257" i="16"/>
  <c r="AR1217" i="16"/>
  <c r="AR1193" i="16"/>
  <c r="AR1153" i="16"/>
  <c r="AR1129" i="16"/>
  <c r="AR1089" i="16"/>
  <c r="AR1065" i="16"/>
  <c r="AR1049" i="16"/>
  <c r="AR1025" i="16"/>
  <c r="AR993" i="16"/>
  <c r="AR969" i="16"/>
  <c r="AR945" i="16"/>
  <c r="AR921" i="16"/>
  <c r="AR905" i="16"/>
  <c r="AR881" i="16"/>
  <c r="AR857" i="16"/>
  <c r="AR841" i="16"/>
  <c r="AR833" i="16"/>
  <c r="AR809" i="16"/>
  <c r="AR785" i="16"/>
  <c r="AR769" i="16"/>
  <c r="AR745" i="16"/>
  <c r="AR721" i="16"/>
  <c r="AR1007" i="16"/>
  <c r="AR999" i="16"/>
  <c r="AR991" i="16"/>
  <c r="AR967" i="16"/>
  <c r="AR959" i="16"/>
  <c r="AR943" i="16"/>
  <c r="AR927" i="16"/>
  <c r="AR919" i="16"/>
  <c r="AR903" i="16"/>
  <c r="AR887" i="16"/>
  <c r="AR863" i="16"/>
  <c r="AR815" i="16"/>
  <c r="AR791" i="16"/>
  <c r="AR783" i="16"/>
  <c r="AR759" i="16"/>
  <c r="AR743" i="16"/>
  <c r="AR719" i="16"/>
  <c r="AR695" i="16"/>
  <c r="AR679" i="16"/>
  <c r="AR639" i="16"/>
  <c r="AR1309" i="16"/>
  <c r="AR1245" i="16"/>
  <c r="AR1213" i="16"/>
  <c r="AR1197" i="16"/>
  <c r="AR1392" i="16"/>
  <c r="AR1376" i="16"/>
  <c r="AR1368" i="16"/>
  <c r="AR1360" i="16"/>
  <c r="AR1352" i="16"/>
  <c r="AR1370" i="16"/>
  <c r="AR1346" i="16"/>
  <c r="AR1226" i="16"/>
  <c r="AR1186" i="16"/>
  <c r="AR1154" i="16"/>
  <c r="AR1122" i="16"/>
  <c r="AR1090" i="16"/>
  <c r="AR1082" i="16"/>
  <c r="AR986" i="16"/>
  <c r="AR978" i="16"/>
  <c r="AR858" i="16"/>
  <c r="AR842" i="16"/>
  <c r="AR802" i="16"/>
  <c r="AR706" i="16"/>
  <c r="AR690" i="16"/>
  <c r="AR674" i="16"/>
  <c r="AR1390" i="16"/>
  <c r="AR1382" i="16"/>
  <c r="AR1374" i="16"/>
  <c r="AR1366" i="16"/>
  <c r="AR1358" i="16"/>
  <c r="AR1350" i="16"/>
  <c r="AR1342" i="16"/>
  <c r="AR1334" i="16"/>
  <c r="AR1389" i="16"/>
  <c r="AR1381" i="16"/>
  <c r="AR1373" i="16"/>
  <c r="AR1365" i="16"/>
  <c r="AR1357" i="16"/>
  <c r="AR1326" i="16"/>
  <c r="AR1318" i="16"/>
  <c r="AR1310" i="16"/>
  <c r="AR1302" i="16"/>
  <c r="AR1294" i="16"/>
  <c r="AR1286" i="16"/>
  <c r="AR1278" i="16"/>
  <c r="AR1270" i="16"/>
  <c r="AR1262" i="16"/>
  <c r="AR1254" i="16"/>
  <c r="AR1246" i="16"/>
  <c r="AR1238" i="16"/>
  <c r="AR1230" i="16"/>
  <c r="AR1222" i="16"/>
  <c r="AR1214" i="16"/>
  <c r="AR1206" i="16"/>
  <c r="AR1198" i="16"/>
  <c r="AR1190" i="16"/>
  <c r="AR1182" i="16"/>
  <c r="AR1174" i="16"/>
  <c r="AR1166" i="16"/>
  <c r="AR1158" i="16"/>
  <c r="AR1150" i="16"/>
  <c r="AR1142" i="16"/>
  <c r="AR1134" i="16"/>
  <c r="AR1126" i="16"/>
  <c r="AR1118" i="16"/>
  <c r="AR1110" i="16"/>
  <c r="AR1102" i="16"/>
  <c r="AR1094" i="16"/>
  <c r="AR1086" i="16"/>
  <c r="AR1078" i="16"/>
  <c r="AR1070" i="16"/>
  <c r="AR1062" i="16"/>
  <c r="AR1054" i="16"/>
  <c r="AR1046" i="16"/>
  <c r="AR1038" i="16"/>
  <c r="AR1030" i="16"/>
  <c r="AR1022" i="16"/>
  <c r="AR1014" i="16"/>
  <c r="AR1006" i="16"/>
  <c r="AR998" i="16"/>
  <c r="AR990" i="16"/>
  <c r="AR982" i="16"/>
  <c r="AR974" i="16"/>
  <c r="AR966" i="16"/>
  <c r="AR958" i="16"/>
  <c r="AR950" i="16"/>
  <c r="AR942" i="16"/>
  <c r="AR934" i="16"/>
  <c r="AR918" i="16"/>
  <c r="AR910" i="16"/>
  <c r="AR902" i="16"/>
  <c r="AR894" i="16"/>
  <c r="AR878" i="16"/>
  <c r="AR870" i="16"/>
  <c r="AR862" i="16"/>
  <c r="AR854" i="16"/>
  <c r="AR846" i="16"/>
  <c r="AR838" i="16"/>
  <c r="AR830" i="16"/>
  <c r="AR822" i="16"/>
  <c r="AR814" i="16"/>
  <c r="AR806" i="16"/>
  <c r="AR798" i="16"/>
  <c r="AR790" i="16"/>
  <c r="AR782" i="16"/>
  <c r="AR774" i="16"/>
  <c r="AR758" i="16"/>
  <c r="AR750" i="16"/>
  <c r="AR742" i="16"/>
  <c r="AR734" i="16"/>
  <c r="AR726" i="16"/>
  <c r="AR718" i="16"/>
  <c r="AR710" i="16"/>
  <c r="AR702" i="16"/>
  <c r="AR694" i="16"/>
  <c r="AR686" i="16"/>
  <c r="AR678" i="16"/>
  <c r="AR670" i="16"/>
  <c r="AR662" i="16"/>
  <c r="AR654" i="16"/>
  <c r="AR646" i="16"/>
  <c r="AR638" i="16"/>
  <c r="AR630" i="16"/>
  <c r="AR994" i="16"/>
  <c r="AR874" i="16"/>
  <c r="AR826" i="16"/>
  <c r="AR810" i="16"/>
  <c r="AR705" i="16"/>
  <c r="AR681" i="16"/>
  <c r="AR657" i="16"/>
  <c r="AR641" i="16"/>
  <c r="AR1391" i="16"/>
  <c r="AR1383" i="16"/>
  <c r="AR1375" i="16"/>
  <c r="AR1367" i="16"/>
  <c r="AR1359" i="16"/>
  <c r="AR1351" i="16"/>
  <c r="AR1343" i="16"/>
  <c r="AR1335" i="16"/>
  <c r="AR1327" i="16"/>
  <c r="AR1319" i="16"/>
  <c r="AR1303" i="16"/>
  <c r="AR1287" i="16"/>
  <c r="AR1279" i="16"/>
  <c r="AR1263" i="16"/>
  <c r="AR1255" i="16"/>
  <c r="AR1239" i="16"/>
  <c r="AR1223" i="16"/>
  <c r="AR1215" i="16"/>
  <c r="AR1199" i="16"/>
  <c r="AR1191" i="16"/>
  <c r="AR1175" i="16"/>
  <c r="AR1159" i="16"/>
  <c r="AR1151" i="16"/>
  <c r="AR1135" i="16"/>
  <c r="AR1111" i="16"/>
  <c r="AR1095" i="16"/>
  <c r="AR1063" i="16"/>
  <c r="AR1047" i="16"/>
  <c r="AR1031" i="16"/>
  <c r="AR1023" i="16"/>
  <c r="AR1388" i="16"/>
  <c r="AR1380" i="16"/>
  <c r="AR1372" i="16"/>
  <c r="AR1364" i="16"/>
  <c r="AR1348" i="16"/>
  <c r="AR1340" i="16"/>
  <c r="AR1332" i="16"/>
  <c r="AR1324" i="16"/>
  <c r="AR1316" i="16"/>
  <c r="AR1308" i="16"/>
  <c r="AR1300" i="16"/>
  <c r="AR1292" i="16"/>
  <c r="AR1284" i="16"/>
  <c r="AR1276" i="16"/>
  <c r="AR1268" i="16"/>
  <c r="AR1260" i="16"/>
  <c r="AR1252" i="16"/>
  <c r="AR1244" i="16"/>
  <c r="AR1236" i="16"/>
  <c r="AR1228" i="16"/>
  <c r="AR1220" i="16"/>
  <c r="AR1212" i="16"/>
  <c r="AR1204" i="16"/>
  <c r="AR1196" i="16"/>
  <c r="AR1188" i="16"/>
  <c r="AR1180" i="16"/>
  <c r="AR1172" i="16"/>
  <c r="AR1164" i="16"/>
  <c r="AR1156" i="16"/>
  <c r="AR1148" i="16"/>
  <c r="AR1140" i="16"/>
  <c r="AR1132" i="16"/>
  <c r="AR1124" i="16"/>
  <c r="AR1116" i="16"/>
  <c r="AR1108" i="16"/>
  <c r="AR1100" i="16"/>
  <c r="AR1092" i="16"/>
  <c r="AR1084" i="16"/>
  <c r="AR1076" i="16"/>
  <c r="AR1068" i="16"/>
  <c r="AR1060" i="16"/>
  <c r="AR1052" i="16"/>
  <c r="AR1044" i="16"/>
  <c r="AR1036" i="16"/>
  <c r="AR1028" i="16"/>
  <c r="AR1020" i="16"/>
  <c r="AR1012" i="16"/>
  <c r="AR1378" i="16"/>
  <c r="AR1362" i="16"/>
  <c r="AR1354" i="16"/>
  <c r="AR1330" i="16"/>
  <c r="AR1322" i="16"/>
  <c r="AR1314" i="16"/>
  <c r="AR1306" i="16"/>
  <c r="AR1290" i="16"/>
  <c r="AR1282" i="16"/>
  <c r="AR1266" i="16"/>
  <c r="AR1258" i="16"/>
  <c r="AR1250" i="16"/>
  <c r="AR1242" i="16"/>
  <c r="AR1218" i="16"/>
  <c r="AR1202" i="16"/>
  <c r="AR1194" i="16"/>
  <c r="AR1178" i="16"/>
  <c r="AR1170" i="16"/>
  <c r="AR1162" i="16"/>
  <c r="AR1138" i="16"/>
  <c r="AR1130" i="16"/>
  <c r="AR1114" i="16"/>
  <c r="AR1098" i="16"/>
  <c r="AR1074" i="16"/>
  <c r="AR1058" i="16"/>
  <c r="AR1050" i="16"/>
  <c r="AR1034" i="16"/>
  <c r="AR914" i="16"/>
  <c r="AR898" i="16"/>
  <c r="AR890" i="16"/>
  <c r="AR866" i="16"/>
  <c r="AR1393" i="16"/>
  <c r="AR1385" i="16"/>
  <c r="AR1377" i="16"/>
  <c r="AR1369" i="16"/>
  <c r="AR1361" i="16"/>
  <c r="AR1353" i="16"/>
  <c r="AR1345" i="16"/>
  <c r="AR1337" i="16"/>
  <c r="AR1329" i="16"/>
  <c r="AR1313" i="16"/>
  <c r="AR1305" i="16"/>
  <c r="AR1297" i="16"/>
  <c r="AR1289" i="16"/>
  <c r="AR1234" i="16"/>
  <c r="AR1210" i="16"/>
  <c r="AR1146" i="16"/>
  <c r="AR1273" i="16"/>
  <c r="AR1265" i="16"/>
  <c r="AR1249" i="16"/>
  <c r="AR1241" i="16"/>
  <c r="AR1233" i="16"/>
  <c r="AR1225" i="16"/>
  <c r="AR1201" i="16"/>
  <c r="AR1185" i="16"/>
  <c r="AR1177" i="16"/>
  <c r="AR1169" i="16"/>
  <c r="AR1161" i="16"/>
  <c r="AR1145" i="16"/>
  <c r="AR1137" i="16"/>
  <c r="AR1121" i="16"/>
  <c r="AR1113" i="16"/>
  <c r="AR1105" i="16"/>
  <c r="AR1097" i="16"/>
  <c r="AR1081" i="16"/>
  <c r="AR1073" i="16"/>
  <c r="AR1057" i="16"/>
  <c r="AR1041" i="16"/>
  <c r="AR1033" i="16"/>
  <c r="AR1017" i="16"/>
  <c r="AR1009" i="16"/>
  <c r="AR1001" i="16"/>
  <c r="AR985" i="16"/>
  <c r="AR977" i="16"/>
  <c r="AR961" i="16"/>
  <c r="AR953" i="16"/>
  <c r="AR937" i="16"/>
  <c r="AR929" i="16"/>
  <c r="AR913" i="16"/>
  <c r="AR897" i="16"/>
  <c r="AR889" i="16"/>
  <c r="AR873" i="16"/>
  <c r="AR865" i="16"/>
  <c r="AR849" i="16"/>
  <c r="AR825" i="16"/>
  <c r="AR817" i="16"/>
  <c r="AR801" i="16"/>
  <c r="AR793" i="16"/>
  <c r="AR777" i="16"/>
  <c r="AR761" i="16"/>
  <c r="AR753" i="16"/>
  <c r="AR737" i="16"/>
  <c r="AR729" i="16"/>
  <c r="AR713" i="16"/>
  <c r="AR697" i="16"/>
  <c r="AR689" i="16"/>
  <c r="AR673" i="16"/>
  <c r="AR665" i="16"/>
  <c r="AR649" i="16"/>
  <c r="AR633" i="16"/>
  <c r="AR1311" i="16"/>
  <c r="AR1295" i="16"/>
  <c r="AR1271" i="16"/>
  <c r="AR1247" i="16"/>
  <c r="AR1231" i="16"/>
  <c r="AR1207" i="16"/>
  <c r="AR1183" i="16"/>
  <c r="AR1167" i="16"/>
  <c r="AR1143" i="16"/>
  <c r="AR1119" i="16"/>
  <c r="AR1103" i="16"/>
  <c r="AR1079" i="16"/>
  <c r="AR1055" i="16"/>
  <c r="AR1039" i="16"/>
  <c r="AR1015" i="16"/>
  <c r="AR983" i="16"/>
  <c r="AR975" i="16"/>
  <c r="AR935" i="16"/>
  <c r="AR911" i="16"/>
  <c r="AR871" i="16"/>
  <c r="AR847" i="16"/>
  <c r="AR799" i="16"/>
  <c r="AR775" i="16"/>
  <c r="AR735" i="16"/>
  <c r="AR711" i="16"/>
  <c r="AR671" i="16"/>
  <c r="AR647" i="16"/>
  <c r="AR1317" i="16"/>
  <c r="AR1293" i="16"/>
  <c r="AR1253" i="16"/>
  <c r="AR1229" i="16"/>
  <c r="AR1165" i="16"/>
  <c r="AR1298" i="16"/>
  <c r="AR1274" i="16"/>
  <c r="AR996" i="16"/>
  <c r="AR988" i="16"/>
  <c r="AR972" i="16"/>
  <c r="AR964" i="16"/>
  <c r="AR956" i="16"/>
  <c r="AR948" i="16"/>
  <c r="AR940" i="16"/>
  <c r="AR932" i="16"/>
  <c r="AR924" i="16"/>
  <c r="AR916" i="16"/>
  <c r="AR908" i="16"/>
  <c r="AR900" i="16"/>
  <c r="AR892" i="16"/>
  <c r="AR884" i="16"/>
  <c r="AR876" i="16"/>
  <c r="AR868" i="16"/>
  <c r="AR860" i="16"/>
  <c r="AR852" i="16"/>
  <c r="AR844" i="16"/>
  <c r="AR828" i="16"/>
  <c r="AR820" i="16"/>
  <c r="AR812" i="16"/>
  <c r="AR804" i="16"/>
  <c r="AR796" i="16"/>
  <c r="AR788" i="16"/>
  <c r="AR780" i="16"/>
  <c r="AR772" i="16"/>
  <c r="AR764" i="16"/>
  <c r="AR756" i="16"/>
  <c r="AR748" i="16"/>
  <c r="AR740" i="16"/>
  <c r="AR732" i="16"/>
  <c r="AR724" i="16"/>
  <c r="AR716" i="16"/>
  <c r="AR708" i="16"/>
  <c r="AR700" i="16"/>
  <c r="AR692" i="16"/>
  <c r="AR684" i="16"/>
  <c r="AR676" i="16"/>
  <c r="AR668" i="16"/>
  <c r="AR660" i="16"/>
  <c r="AR652" i="16"/>
  <c r="AR644" i="16"/>
  <c r="AR636" i="16"/>
  <c r="AR628" i="16"/>
  <c r="D23" i="18" l="1"/>
  <c r="C23" i="18"/>
  <c r="B23" i="18"/>
  <c r="D22" i="18"/>
  <c r="C22" i="18"/>
  <c r="B22" i="18"/>
  <c r="D21" i="18"/>
  <c r="C21" i="18"/>
  <c r="B21" i="18"/>
  <c r="D19" i="18"/>
  <c r="D12" i="18"/>
  <c r="D11" i="18"/>
  <c r="D10" i="18"/>
  <c r="C12" i="18"/>
  <c r="C11" i="18"/>
  <c r="C10" i="18"/>
  <c r="B12" i="18"/>
  <c r="B11" i="18"/>
  <c r="B10" i="18"/>
  <c r="E84" i="18"/>
  <c r="E83" i="18"/>
  <c r="E82" i="18"/>
  <c r="E73" i="18"/>
  <c r="E72" i="18"/>
  <c r="E71" i="18"/>
  <c r="E60" i="18"/>
  <c r="E59" i="18"/>
  <c r="E58" i="18"/>
  <c r="E47" i="18"/>
  <c r="C79" i="18"/>
  <c r="D79" i="18"/>
  <c r="E79" i="18"/>
  <c r="B80" i="18"/>
  <c r="C80" i="18"/>
  <c r="D80" i="18"/>
  <c r="E80" i="18"/>
  <c r="B81" i="18"/>
  <c r="C81" i="18"/>
  <c r="D81" i="18"/>
  <c r="E81" i="18"/>
  <c r="B82" i="18"/>
  <c r="C82" i="18"/>
  <c r="D82" i="18"/>
  <c r="B83" i="18"/>
  <c r="C83" i="18"/>
  <c r="D83" i="18"/>
  <c r="B84" i="18"/>
  <c r="C84" i="18"/>
  <c r="D84" i="18"/>
  <c r="B85" i="18"/>
  <c r="C85" i="18"/>
  <c r="D85" i="18"/>
  <c r="E85" i="18"/>
  <c r="B86" i="18"/>
  <c r="C86" i="18"/>
  <c r="D86" i="18"/>
  <c r="E86" i="18"/>
  <c r="B87" i="18"/>
  <c r="C87" i="18"/>
  <c r="D87" i="18"/>
  <c r="E87" i="18"/>
  <c r="B79" i="18"/>
  <c r="C67" i="18"/>
  <c r="D67" i="18"/>
  <c r="E67" i="18"/>
  <c r="B68" i="18"/>
  <c r="C68" i="18"/>
  <c r="D68" i="18"/>
  <c r="E68" i="18"/>
  <c r="B69" i="18"/>
  <c r="C69" i="18"/>
  <c r="D69" i="18"/>
  <c r="E69" i="18"/>
  <c r="B70" i="18"/>
  <c r="C70" i="18"/>
  <c r="D70" i="18"/>
  <c r="E70" i="18"/>
  <c r="B71" i="18"/>
  <c r="C71" i="18"/>
  <c r="D71" i="18"/>
  <c r="B72" i="18"/>
  <c r="C72" i="18"/>
  <c r="D72" i="18"/>
  <c r="B73" i="18"/>
  <c r="C73" i="18"/>
  <c r="D73" i="18"/>
  <c r="B74" i="18"/>
  <c r="C74" i="18"/>
  <c r="D74" i="18"/>
  <c r="E74" i="18"/>
  <c r="B75" i="18"/>
  <c r="C75" i="18"/>
  <c r="D75" i="18"/>
  <c r="E75" i="18"/>
  <c r="B67" i="18"/>
  <c r="C55" i="18"/>
  <c r="D55" i="18"/>
  <c r="E55" i="18"/>
  <c r="B56" i="18"/>
  <c r="C56" i="18"/>
  <c r="D56" i="18"/>
  <c r="E56" i="18"/>
  <c r="B57" i="18"/>
  <c r="C57" i="18"/>
  <c r="D57" i="18"/>
  <c r="E57" i="18"/>
  <c r="B58" i="18"/>
  <c r="C58" i="18"/>
  <c r="D58" i="18"/>
  <c r="B59" i="18"/>
  <c r="C59" i="18"/>
  <c r="D59" i="18"/>
  <c r="B60" i="18"/>
  <c r="C60" i="18"/>
  <c r="D60" i="18"/>
  <c r="B61" i="18"/>
  <c r="C61" i="18"/>
  <c r="D61" i="18"/>
  <c r="E61" i="18"/>
  <c r="B62" i="18"/>
  <c r="C62" i="18"/>
  <c r="D62" i="18"/>
  <c r="E62" i="18"/>
  <c r="B63" i="18"/>
  <c r="C63" i="18"/>
  <c r="D63" i="18"/>
  <c r="E63" i="18"/>
  <c r="B55" i="18"/>
  <c r="E44" i="18"/>
  <c r="E50" i="18"/>
  <c r="D50" i="18"/>
  <c r="D47" i="18"/>
  <c r="D44" i="18"/>
  <c r="C47" i="18"/>
  <c r="C50" i="18"/>
  <c r="B50" i="18"/>
  <c r="B47" i="18"/>
  <c r="AS627" i="16"/>
  <c r="AS626" i="16"/>
  <c r="AS625" i="16"/>
  <c r="AS624" i="16"/>
  <c r="AS623" i="16"/>
  <c r="AS622" i="16"/>
  <c r="AS621" i="16"/>
  <c r="AS620" i="16"/>
  <c r="AS619" i="16"/>
  <c r="AS618" i="16"/>
  <c r="AS617" i="16"/>
  <c r="AS616" i="16"/>
  <c r="AS615" i="16"/>
  <c r="AS614" i="16"/>
  <c r="AS613" i="16"/>
  <c r="AS612" i="16"/>
  <c r="AS611" i="16"/>
  <c r="AS610" i="16"/>
  <c r="AS609" i="16"/>
  <c r="AS608" i="16"/>
  <c r="AS607" i="16"/>
  <c r="AS606" i="16"/>
  <c r="AS605" i="16"/>
  <c r="AS604" i="16"/>
  <c r="AS603" i="16"/>
  <c r="AS602" i="16"/>
  <c r="AS601" i="16"/>
  <c r="AS600" i="16"/>
  <c r="AS599" i="16"/>
  <c r="AS598" i="16"/>
  <c r="AS597" i="16"/>
  <c r="AS596" i="16"/>
  <c r="AS595" i="16"/>
  <c r="AS594" i="16"/>
  <c r="AS593" i="16"/>
  <c r="AS592" i="16"/>
  <c r="AS591" i="16"/>
  <c r="AS590" i="16"/>
  <c r="AS589" i="16"/>
  <c r="AS588" i="16"/>
  <c r="AS587" i="16"/>
  <c r="AS586" i="16"/>
  <c r="AS585" i="16"/>
  <c r="AS584" i="16"/>
  <c r="AS583" i="16"/>
  <c r="AS582" i="16"/>
  <c r="AS581" i="16"/>
  <c r="AS580" i="16"/>
  <c r="AS579" i="16"/>
  <c r="AS578" i="16"/>
  <c r="AS577" i="16"/>
  <c r="AS576" i="16"/>
  <c r="AS575" i="16"/>
  <c r="AS574" i="16"/>
  <c r="AS573" i="16"/>
  <c r="AS572" i="16"/>
  <c r="AS571" i="16"/>
  <c r="AS570" i="16"/>
  <c r="AS569" i="16"/>
  <c r="AS568" i="16"/>
  <c r="AS567" i="16"/>
  <c r="AS566" i="16"/>
  <c r="AS565" i="16"/>
  <c r="AS564" i="16"/>
  <c r="AS563" i="16"/>
  <c r="AS562" i="16"/>
  <c r="AS561" i="16"/>
  <c r="AS560" i="16"/>
  <c r="AS559" i="16"/>
  <c r="AS558" i="16"/>
  <c r="AS557" i="16"/>
  <c r="AS556" i="16"/>
  <c r="AS555" i="16"/>
  <c r="AS554" i="16"/>
  <c r="AS553" i="16"/>
  <c r="AS552" i="16"/>
  <c r="AS551" i="16"/>
  <c r="AS550" i="16"/>
  <c r="AS549" i="16"/>
  <c r="AS548" i="16"/>
  <c r="AS547" i="16"/>
  <c r="AS546" i="16"/>
  <c r="AS545" i="16"/>
  <c r="AS544" i="16"/>
  <c r="AS543" i="16"/>
  <c r="AS542" i="16"/>
  <c r="AS541" i="16"/>
  <c r="AS540" i="16"/>
  <c r="AS539" i="16"/>
  <c r="AS538" i="16"/>
  <c r="AS537" i="16"/>
  <c r="AS536" i="16"/>
  <c r="AS535" i="16"/>
  <c r="AS534" i="16"/>
  <c r="AS533" i="16"/>
  <c r="AS532" i="16"/>
  <c r="AS531" i="16"/>
  <c r="AS530" i="16"/>
  <c r="AS529" i="16"/>
  <c r="AS528" i="16"/>
  <c r="AS527" i="16"/>
  <c r="AS526" i="16"/>
  <c r="AS525" i="16"/>
  <c r="AS524" i="16"/>
  <c r="AS523" i="16"/>
  <c r="AS522" i="16"/>
  <c r="AS521" i="16"/>
  <c r="AS520" i="16"/>
  <c r="AS519" i="16"/>
  <c r="AS518" i="16"/>
  <c r="AS517" i="16"/>
  <c r="AS516" i="16"/>
  <c r="AS515" i="16"/>
  <c r="AS514" i="16"/>
  <c r="AS513" i="16"/>
  <c r="AS512" i="16"/>
  <c r="AS511" i="16"/>
  <c r="AS510" i="16"/>
  <c r="AS509" i="16"/>
  <c r="AS508" i="16"/>
  <c r="AS507" i="16"/>
  <c r="AS506" i="16"/>
  <c r="AS505" i="16"/>
  <c r="AS504" i="16"/>
  <c r="AS503" i="16"/>
  <c r="AS502" i="16"/>
  <c r="AS501" i="16"/>
  <c r="AS500" i="16"/>
  <c r="AS499" i="16"/>
  <c r="AS498" i="16"/>
  <c r="AS497" i="16"/>
  <c r="AS496" i="16"/>
  <c r="AS495" i="16"/>
  <c r="AS494" i="16"/>
  <c r="AS493" i="16"/>
  <c r="AS492" i="16"/>
  <c r="AS491" i="16"/>
  <c r="AS490" i="16"/>
  <c r="AS489" i="16"/>
  <c r="AS488" i="16"/>
  <c r="AS487" i="16"/>
  <c r="AS486" i="16"/>
  <c r="AS485" i="16"/>
  <c r="AS484" i="16"/>
  <c r="AS483" i="16"/>
  <c r="AS482" i="16"/>
  <c r="AS481" i="16"/>
  <c r="AS480" i="16"/>
  <c r="AS479" i="16"/>
  <c r="AS478" i="16"/>
  <c r="AS477" i="16"/>
  <c r="AS476" i="16"/>
  <c r="AS475" i="16"/>
  <c r="AS474" i="16"/>
  <c r="AS473" i="16"/>
  <c r="AS472" i="16"/>
  <c r="AS471" i="16"/>
  <c r="AS470" i="16"/>
  <c r="AS469" i="16"/>
  <c r="AS468" i="16"/>
  <c r="AS467" i="16"/>
  <c r="AS466" i="16"/>
  <c r="AS465" i="16"/>
  <c r="AS464" i="16"/>
  <c r="AS463" i="16"/>
  <c r="AS462" i="16"/>
  <c r="AS461" i="16"/>
  <c r="AS460" i="16"/>
  <c r="AS459" i="16"/>
  <c r="AS458" i="16"/>
  <c r="AS457" i="16"/>
  <c r="AS456" i="16"/>
  <c r="AS455" i="16"/>
  <c r="AS454" i="16"/>
  <c r="AS453" i="16"/>
  <c r="AS452" i="16"/>
  <c r="AS451" i="16"/>
  <c r="AS450" i="16"/>
  <c r="AS449" i="16"/>
  <c r="AS448" i="16"/>
  <c r="AS447" i="16"/>
  <c r="AS446" i="16"/>
  <c r="AS445" i="16"/>
  <c r="AS444" i="16"/>
  <c r="AS443" i="16"/>
  <c r="AS442" i="16"/>
  <c r="AS441" i="16"/>
  <c r="AS440" i="16"/>
  <c r="AS439" i="16"/>
  <c r="AS438" i="16"/>
  <c r="AS437" i="16"/>
  <c r="AS436" i="16"/>
  <c r="AS435" i="16"/>
  <c r="AS434" i="16"/>
  <c r="AS433" i="16"/>
  <c r="AS432" i="16"/>
  <c r="AS431" i="16"/>
  <c r="AS430" i="16"/>
  <c r="AS429" i="16"/>
  <c r="AS428" i="16"/>
  <c r="AS427" i="16"/>
  <c r="AS426" i="16"/>
  <c r="AS425" i="16"/>
  <c r="AS424" i="16"/>
  <c r="AS423" i="16"/>
  <c r="AS422" i="16"/>
  <c r="AS421" i="16"/>
  <c r="AS420" i="16"/>
  <c r="AS419" i="16"/>
  <c r="AS418" i="16"/>
  <c r="AS417" i="16"/>
  <c r="AS416" i="16"/>
  <c r="AS415" i="16"/>
  <c r="AS414" i="16"/>
  <c r="AS413" i="16"/>
  <c r="AS412" i="16"/>
  <c r="AS411" i="16"/>
  <c r="AS410" i="16"/>
  <c r="AS409" i="16"/>
  <c r="AS408" i="16"/>
  <c r="AS407" i="16"/>
  <c r="AS406" i="16"/>
  <c r="AS405" i="16"/>
  <c r="AS404" i="16"/>
  <c r="AS403" i="16"/>
  <c r="AS402" i="16"/>
  <c r="AS401" i="16"/>
  <c r="AS400" i="16"/>
  <c r="AS399" i="16"/>
  <c r="AS398" i="16"/>
  <c r="AS397" i="16"/>
  <c r="AS396" i="16"/>
  <c r="AS395" i="16"/>
  <c r="AS394" i="16"/>
  <c r="AS393" i="16"/>
  <c r="AS392" i="16"/>
  <c r="AS391" i="16"/>
  <c r="AS390" i="16"/>
  <c r="AS389" i="16"/>
  <c r="AS388" i="16"/>
  <c r="AS387" i="16"/>
  <c r="AS386" i="16"/>
  <c r="AS385" i="16"/>
  <c r="AS384" i="16"/>
  <c r="AS383" i="16"/>
  <c r="AS382" i="16"/>
  <c r="AS381" i="16"/>
  <c r="AS380" i="16"/>
  <c r="AS379" i="16"/>
  <c r="AS378" i="16"/>
  <c r="AS377" i="16"/>
  <c r="AS376" i="16"/>
  <c r="AS375" i="16"/>
  <c r="AS374" i="16"/>
  <c r="AS373" i="16"/>
  <c r="AS372" i="16"/>
  <c r="AS371" i="16"/>
  <c r="AS370" i="16"/>
  <c r="AS369" i="16"/>
  <c r="AS368" i="16"/>
  <c r="AS367" i="16"/>
  <c r="AS366" i="16"/>
  <c r="AS365" i="16"/>
  <c r="AS364" i="16"/>
  <c r="AS363" i="16"/>
  <c r="AS362" i="16"/>
  <c r="AS361" i="16"/>
  <c r="AS360" i="16"/>
  <c r="AS359" i="16"/>
  <c r="AS358" i="16"/>
  <c r="AS357" i="16"/>
  <c r="AS356" i="16"/>
  <c r="AS355" i="16"/>
  <c r="AS354" i="16"/>
  <c r="AS353" i="16"/>
  <c r="AS352" i="16"/>
  <c r="AS351" i="16"/>
  <c r="AS350" i="16"/>
  <c r="AS349" i="16"/>
  <c r="AS348" i="16"/>
  <c r="AS347" i="16"/>
  <c r="AS346" i="16"/>
  <c r="AS345" i="16"/>
  <c r="AS344" i="16"/>
  <c r="AS343" i="16"/>
  <c r="AS342" i="16"/>
  <c r="AS341" i="16"/>
  <c r="AS340" i="16"/>
  <c r="AS339" i="16"/>
  <c r="AS338" i="16"/>
  <c r="AS337" i="16"/>
  <c r="AS336" i="16"/>
  <c r="AS335" i="16"/>
  <c r="AS334" i="16"/>
  <c r="AS333" i="16"/>
  <c r="AS332" i="16"/>
  <c r="AS331" i="16"/>
  <c r="AS330" i="16"/>
  <c r="AS329" i="16"/>
  <c r="AS328" i="16"/>
  <c r="AS327" i="16"/>
  <c r="AS326" i="16"/>
  <c r="AS325" i="16"/>
  <c r="AS324" i="16"/>
  <c r="AS323" i="16"/>
  <c r="AS322" i="16"/>
  <c r="AS321" i="16"/>
  <c r="AS320" i="16"/>
  <c r="AS319" i="16"/>
  <c r="AS318" i="16"/>
  <c r="AS317" i="16"/>
  <c r="AS316" i="16"/>
  <c r="AS315" i="16"/>
  <c r="AS314" i="16"/>
  <c r="AS313" i="16"/>
  <c r="AS312" i="16"/>
  <c r="AS311" i="16"/>
  <c r="AS310" i="16"/>
  <c r="AS309" i="16"/>
  <c r="AS308" i="16"/>
  <c r="AS307" i="16"/>
  <c r="AS306" i="16"/>
  <c r="AS305" i="16"/>
  <c r="AS304" i="16"/>
  <c r="AS303" i="16"/>
  <c r="AS302" i="16"/>
  <c r="AS301" i="16"/>
  <c r="AS300" i="16"/>
  <c r="AS299" i="16"/>
  <c r="AS298" i="16"/>
  <c r="AS297" i="16"/>
  <c r="AS296" i="16"/>
  <c r="AS295" i="16"/>
  <c r="AS294" i="16"/>
  <c r="AS293" i="16"/>
  <c r="AS292" i="16"/>
  <c r="AS291" i="16"/>
  <c r="AS290" i="16"/>
  <c r="AS289" i="16"/>
  <c r="AS288" i="16"/>
  <c r="AS287" i="16"/>
  <c r="AS286" i="16"/>
  <c r="AS285" i="16"/>
  <c r="AS284" i="16"/>
  <c r="AS283" i="16"/>
  <c r="AS282" i="16"/>
  <c r="AS281" i="16"/>
  <c r="AS280" i="16"/>
  <c r="AS279" i="16"/>
  <c r="AS278" i="16"/>
  <c r="AS277" i="16"/>
  <c r="AS276" i="16"/>
  <c r="AS275" i="16"/>
  <c r="AS274" i="16"/>
  <c r="AS273" i="16"/>
  <c r="AS272" i="16"/>
  <c r="AS271" i="16"/>
  <c r="AS270" i="16"/>
  <c r="AS269" i="16"/>
  <c r="AS268" i="16"/>
  <c r="AS267" i="16"/>
  <c r="AS266" i="16"/>
  <c r="AS265" i="16"/>
  <c r="AS264" i="16"/>
  <c r="AS263" i="16"/>
  <c r="AS262" i="16"/>
  <c r="AS261" i="16"/>
  <c r="AS260" i="16"/>
  <c r="AS259" i="16"/>
  <c r="AS258" i="16"/>
  <c r="AS257" i="16"/>
  <c r="AS256" i="16"/>
  <c r="AS255" i="16"/>
  <c r="AS254" i="16"/>
  <c r="AS253" i="16"/>
  <c r="AS252" i="16"/>
  <c r="AS251" i="16"/>
  <c r="AS250" i="16"/>
  <c r="AS249" i="16"/>
  <c r="AS248" i="16"/>
  <c r="AS247" i="16"/>
  <c r="AS246" i="16"/>
  <c r="AS245" i="16"/>
  <c r="AS244" i="16"/>
  <c r="AS243" i="16"/>
  <c r="AS242" i="16"/>
  <c r="AS241" i="16"/>
  <c r="AS240" i="16"/>
  <c r="AS239" i="16"/>
  <c r="AS238" i="16"/>
  <c r="AS237" i="16"/>
  <c r="AS236" i="16"/>
  <c r="AS235" i="16"/>
  <c r="AS234" i="16"/>
  <c r="AS233" i="16"/>
  <c r="AS232" i="16"/>
  <c r="AS231" i="16"/>
  <c r="AS230" i="16"/>
  <c r="AS229" i="16"/>
  <c r="AS228" i="16"/>
  <c r="AS227" i="16"/>
  <c r="AS226" i="16"/>
  <c r="AS225" i="16"/>
  <c r="AS224" i="16"/>
  <c r="AS223" i="16"/>
  <c r="AS222" i="16"/>
  <c r="AS221" i="16"/>
  <c r="AS220" i="16"/>
  <c r="AS219" i="16"/>
  <c r="AS218" i="16"/>
  <c r="AS217" i="16"/>
  <c r="AS216" i="16"/>
  <c r="AS215" i="16"/>
  <c r="AS214" i="16"/>
  <c r="AS213" i="16"/>
  <c r="AS212" i="16"/>
  <c r="AS211" i="16"/>
  <c r="AS210" i="16"/>
  <c r="AS209" i="16"/>
  <c r="AS208" i="16"/>
  <c r="AS207" i="16"/>
  <c r="AS206" i="16"/>
  <c r="AS205" i="16"/>
  <c r="AS204" i="16"/>
  <c r="AS203" i="16"/>
  <c r="AS202" i="16"/>
  <c r="AS201" i="16"/>
  <c r="AS200" i="16"/>
  <c r="AS199" i="16"/>
  <c r="AS198" i="16"/>
  <c r="AS197" i="16"/>
  <c r="AS196" i="16"/>
  <c r="AS195" i="16"/>
  <c r="AS194" i="16"/>
  <c r="AS193" i="16"/>
  <c r="AS192" i="16"/>
  <c r="AS191" i="16"/>
  <c r="AS190" i="16"/>
  <c r="AS189" i="16"/>
  <c r="AS188" i="16"/>
  <c r="AS187" i="16"/>
  <c r="AS186" i="16"/>
  <c r="AS185" i="16"/>
  <c r="AS184" i="16"/>
  <c r="AS183" i="16"/>
  <c r="AS182" i="16"/>
  <c r="AS181" i="16"/>
  <c r="AS180" i="16"/>
  <c r="AS179" i="16"/>
  <c r="AS178" i="16"/>
  <c r="AS177" i="16"/>
  <c r="AS176" i="16"/>
  <c r="AS175" i="16"/>
  <c r="AS174" i="16"/>
  <c r="AS173" i="16"/>
  <c r="AS172" i="16"/>
  <c r="AS171" i="16"/>
  <c r="AS170" i="16"/>
  <c r="AS169" i="16"/>
  <c r="AS168" i="16"/>
  <c r="AS167" i="16"/>
  <c r="AS166" i="16"/>
  <c r="AS165" i="16"/>
  <c r="AS164" i="16"/>
  <c r="AS163" i="16"/>
  <c r="AS162" i="16"/>
  <c r="AS161" i="16"/>
  <c r="AS160" i="16"/>
  <c r="AS159" i="16"/>
  <c r="AS158" i="16"/>
  <c r="AS157" i="16"/>
  <c r="AS156" i="16"/>
  <c r="AS155" i="16"/>
  <c r="AS154" i="16"/>
  <c r="AS153" i="16"/>
  <c r="AS152" i="16"/>
  <c r="AS151" i="16"/>
  <c r="AS150" i="16"/>
  <c r="AS149" i="16"/>
  <c r="AS148" i="16"/>
  <c r="AS147" i="16"/>
  <c r="AS146" i="16"/>
  <c r="AS145" i="16"/>
  <c r="AS144" i="16"/>
  <c r="AS143" i="16"/>
  <c r="AS142" i="16"/>
  <c r="AS141" i="16"/>
  <c r="AS140" i="16"/>
  <c r="AS139" i="16"/>
  <c r="AS138" i="16"/>
  <c r="AS137" i="16"/>
  <c r="AS136" i="16"/>
  <c r="AS135" i="16"/>
  <c r="AS134" i="16"/>
  <c r="AS133" i="16"/>
  <c r="AS132" i="16"/>
  <c r="AS131" i="16"/>
  <c r="AS130" i="16"/>
  <c r="AS129" i="16"/>
  <c r="AS128" i="16"/>
  <c r="AS127" i="16"/>
  <c r="AS126" i="16"/>
  <c r="AS125" i="16"/>
  <c r="AS124" i="16"/>
  <c r="AS123" i="16"/>
  <c r="AS122" i="16"/>
  <c r="AS121" i="16"/>
  <c r="AS120" i="16"/>
  <c r="AS119" i="16"/>
  <c r="AS118" i="16"/>
  <c r="AS117" i="16"/>
  <c r="AS116" i="16"/>
  <c r="AS115" i="16"/>
  <c r="AS114" i="16"/>
  <c r="AS113" i="16"/>
  <c r="AS112" i="16"/>
  <c r="AS111" i="16"/>
  <c r="AS110" i="16"/>
  <c r="AS109" i="16"/>
  <c r="AS108" i="16"/>
  <c r="AS107" i="16"/>
  <c r="AS106" i="16"/>
  <c r="AS105" i="16"/>
  <c r="AS104" i="16"/>
  <c r="AS103" i="16"/>
  <c r="AS102" i="16"/>
  <c r="AS101" i="16"/>
  <c r="AS100" i="16"/>
  <c r="AS99" i="16"/>
  <c r="AS98" i="16"/>
  <c r="AS97" i="16"/>
  <c r="AS96" i="16"/>
  <c r="AS95" i="16"/>
  <c r="AS94" i="16"/>
  <c r="AS93" i="16"/>
  <c r="AS92" i="16"/>
  <c r="AS91" i="16"/>
  <c r="AS90" i="16"/>
  <c r="AS89" i="16"/>
  <c r="AS88" i="16"/>
  <c r="AS87" i="16"/>
  <c r="AS86" i="16"/>
  <c r="AS85" i="16"/>
  <c r="AS84" i="16"/>
  <c r="AS83" i="16"/>
  <c r="AS82" i="16"/>
  <c r="AS81" i="16"/>
  <c r="AS80" i="16"/>
  <c r="AS79" i="16"/>
  <c r="AS78" i="16"/>
  <c r="AS77" i="16"/>
  <c r="AS76" i="16"/>
  <c r="AS75" i="16"/>
  <c r="AS74" i="16"/>
  <c r="AS73" i="16"/>
  <c r="AS72" i="16"/>
  <c r="AS71" i="16"/>
  <c r="AS70" i="16"/>
  <c r="AS69" i="16"/>
  <c r="AS68" i="16"/>
  <c r="AS67" i="16"/>
  <c r="AS66" i="16"/>
  <c r="AS65" i="16"/>
  <c r="AS64" i="16"/>
  <c r="AS63" i="16"/>
  <c r="AS62" i="16"/>
  <c r="AS61" i="16"/>
  <c r="AS60" i="16"/>
  <c r="AS59" i="16"/>
  <c r="AS58" i="16"/>
  <c r="AS57" i="16"/>
  <c r="AS56" i="16"/>
  <c r="AS55" i="16"/>
  <c r="AS54" i="16"/>
  <c r="AS53" i="16"/>
  <c r="AS52" i="16"/>
  <c r="AS51" i="16"/>
  <c r="AS50" i="16"/>
  <c r="AS49" i="16"/>
  <c r="AS48" i="16"/>
  <c r="AS47" i="16"/>
  <c r="AS46" i="16"/>
  <c r="AS45" i="16"/>
  <c r="AS44" i="16"/>
  <c r="AS43" i="16"/>
  <c r="AS42" i="16"/>
  <c r="AS41" i="16"/>
  <c r="AS40" i="16"/>
  <c r="AS39" i="16"/>
  <c r="AS38" i="16"/>
  <c r="AS37" i="16"/>
  <c r="AS36" i="16"/>
  <c r="AS35" i="16"/>
  <c r="AS34" i="16"/>
  <c r="AS33" i="16"/>
  <c r="AS32" i="16"/>
  <c r="AS31" i="16"/>
  <c r="AS30" i="16"/>
  <c r="AS29" i="16"/>
  <c r="AS28" i="16"/>
  <c r="AS27" i="16"/>
  <c r="AS26" i="16"/>
  <c r="AS25" i="16"/>
  <c r="AS24" i="16"/>
  <c r="AS23" i="16"/>
  <c r="AS22" i="16"/>
  <c r="AS21" i="16"/>
  <c r="AS20" i="16"/>
  <c r="AS19" i="16"/>
  <c r="AS18" i="16"/>
  <c r="AS17" i="16"/>
  <c r="AS16" i="16"/>
  <c r="AS15" i="16"/>
  <c r="AS14" i="16"/>
  <c r="AS13" i="16"/>
  <c r="AS12" i="16"/>
  <c r="AS11" i="16"/>
  <c r="AS10" i="16"/>
  <c r="AS9" i="16"/>
  <c r="AS8" i="16"/>
  <c r="B35" i="18" s="1"/>
  <c r="AS7" i="16"/>
  <c r="AS6" i="16"/>
  <c r="AS5" i="16"/>
  <c r="AS4" i="16"/>
  <c r="C44" i="18"/>
  <c r="B44" i="18"/>
  <c r="D32" i="18"/>
  <c r="AL24" i="16"/>
  <c r="AL25" i="16"/>
  <c r="AL26" i="16"/>
  <c r="AL27" i="16"/>
  <c r="AL28" i="16"/>
  <c r="AL29" i="16"/>
  <c r="AL30" i="16"/>
  <c r="AL31" i="16"/>
  <c r="AL32" i="16"/>
  <c r="AL33" i="16"/>
  <c r="AL34" i="16"/>
  <c r="AL35" i="16"/>
  <c r="AL36" i="16"/>
  <c r="AL37" i="16"/>
  <c r="AL38" i="16"/>
  <c r="AL39" i="16"/>
  <c r="AL40" i="16"/>
  <c r="AL41" i="16"/>
  <c r="AL42" i="16"/>
  <c r="AL43" i="16"/>
  <c r="AL44" i="16"/>
  <c r="AL45" i="16"/>
  <c r="AL46" i="16"/>
  <c r="AL47" i="16"/>
  <c r="AL48" i="16"/>
  <c r="AL49" i="16"/>
  <c r="AL50" i="16"/>
  <c r="AL51" i="16"/>
  <c r="AL52" i="16"/>
  <c r="AL53" i="16"/>
  <c r="AL54" i="16"/>
  <c r="AL55" i="16"/>
  <c r="AL56" i="16"/>
  <c r="AL57" i="16"/>
  <c r="AL58" i="16"/>
  <c r="AL59" i="16"/>
  <c r="AL60" i="16"/>
  <c r="AL61" i="16"/>
  <c r="AL62" i="16"/>
  <c r="AL63" i="16"/>
  <c r="AL64" i="16"/>
  <c r="AL65" i="16"/>
  <c r="AL66" i="16"/>
  <c r="AL67" i="16"/>
  <c r="AL68" i="16"/>
  <c r="AL69" i="16"/>
  <c r="AL70" i="16"/>
  <c r="AL71" i="16"/>
  <c r="AL72" i="16"/>
  <c r="AL73" i="16"/>
  <c r="AL74" i="16"/>
  <c r="AL75" i="16"/>
  <c r="AL76" i="16"/>
  <c r="AL77" i="16"/>
  <c r="AL78" i="16"/>
  <c r="AL79" i="16"/>
  <c r="AL80" i="16"/>
  <c r="AL81" i="16"/>
  <c r="AL82" i="16"/>
  <c r="AL83" i="16"/>
  <c r="AL84" i="16"/>
  <c r="AL85" i="16"/>
  <c r="AL86" i="16"/>
  <c r="AL87" i="16"/>
  <c r="AL88" i="16"/>
  <c r="AL89" i="16"/>
  <c r="AL90" i="16"/>
  <c r="AL91" i="16"/>
  <c r="AL92" i="16"/>
  <c r="AL93" i="16"/>
  <c r="AL94" i="16"/>
  <c r="AL95" i="16"/>
  <c r="AL96" i="16"/>
  <c r="AL97" i="16"/>
  <c r="AL98" i="16"/>
  <c r="AL99" i="16"/>
  <c r="AL100" i="16"/>
  <c r="AL101" i="16"/>
  <c r="AL102" i="16"/>
  <c r="AL103" i="16"/>
  <c r="AL104" i="16"/>
  <c r="AL105" i="16"/>
  <c r="AL106" i="16"/>
  <c r="AL107" i="16"/>
  <c r="AL108" i="16"/>
  <c r="AL109" i="16"/>
  <c r="AL110" i="16"/>
  <c r="AL111" i="16"/>
  <c r="AL112" i="16"/>
  <c r="AL113" i="16"/>
  <c r="AL114" i="16"/>
  <c r="AL115" i="16"/>
  <c r="AL116" i="16"/>
  <c r="AL117" i="16"/>
  <c r="AL118" i="16"/>
  <c r="AL119" i="16"/>
  <c r="AL120" i="16"/>
  <c r="AL121" i="16"/>
  <c r="AL122" i="16"/>
  <c r="AL123" i="16"/>
  <c r="AL124" i="16"/>
  <c r="AL125" i="16"/>
  <c r="AL126" i="16"/>
  <c r="AL127" i="16"/>
  <c r="AL128" i="16"/>
  <c r="AL129" i="16"/>
  <c r="AL130" i="16"/>
  <c r="AL131" i="16"/>
  <c r="AL132" i="16"/>
  <c r="AL133" i="16"/>
  <c r="AL134" i="16"/>
  <c r="AL135" i="16"/>
  <c r="AL136" i="16"/>
  <c r="AL137" i="16"/>
  <c r="AL138" i="16"/>
  <c r="AL139" i="16"/>
  <c r="AL140" i="16"/>
  <c r="AL141" i="16"/>
  <c r="AL142" i="16"/>
  <c r="AL143" i="16"/>
  <c r="AL144" i="16"/>
  <c r="AL145" i="16"/>
  <c r="AL146" i="16"/>
  <c r="AL147" i="16"/>
  <c r="AL148" i="16"/>
  <c r="AL149" i="16"/>
  <c r="AL150" i="16"/>
  <c r="AL151" i="16"/>
  <c r="AL152" i="16"/>
  <c r="AL153" i="16"/>
  <c r="AL154" i="16"/>
  <c r="AL155" i="16"/>
  <c r="AL156" i="16"/>
  <c r="AL157" i="16"/>
  <c r="AL158" i="16"/>
  <c r="AL159" i="16"/>
  <c r="AL160" i="16"/>
  <c r="AL161" i="16"/>
  <c r="AL162" i="16"/>
  <c r="AL163" i="16"/>
  <c r="AL164" i="16"/>
  <c r="AL165" i="16"/>
  <c r="AL166" i="16"/>
  <c r="AL167" i="16"/>
  <c r="AL168" i="16"/>
  <c r="AL169" i="16"/>
  <c r="AL170" i="16"/>
  <c r="AL171" i="16"/>
  <c r="AL172" i="16"/>
  <c r="AL173" i="16"/>
  <c r="AL174" i="16"/>
  <c r="AL175" i="16"/>
  <c r="AL176" i="16"/>
  <c r="AL177" i="16"/>
  <c r="AL178" i="16"/>
  <c r="AL179" i="16"/>
  <c r="AL180" i="16"/>
  <c r="AL181" i="16"/>
  <c r="AL182" i="16"/>
  <c r="AL183" i="16"/>
  <c r="AL184" i="16"/>
  <c r="AL185" i="16"/>
  <c r="AL186" i="16"/>
  <c r="AL187" i="16"/>
  <c r="AL188" i="16"/>
  <c r="AL189" i="16"/>
  <c r="AL190" i="16"/>
  <c r="AL191" i="16"/>
  <c r="AL192" i="16"/>
  <c r="AL193" i="16"/>
  <c r="AL194" i="16"/>
  <c r="AL195" i="16"/>
  <c r="AL196" i="16"/>
  <c r="AL197" i="16"/>
  <c r="AL198" i="16"/>
  <c r="AL199" i="16"/>
  <c r="AL200" i="16"/>
  <c r="AL201" i="16"/>
  <c r="AL202" i="16"/>
  <c r="AL203" i="16"/>
  <c r="AL204" i="16"/>
  <c r="AL205" i="16"/>
  <c r="AL206" i="16"/>
  <c r="AL207" i="16"/>
  <c r="AL208" i="16"/>
  <c r="AL209" i="16"/>
  <c r="AL210" i="16"/>
  <c r="AL211" i="16"/>
  <c r="AL212" i="16"/>
  <c r="AL213" i="16"/>
  <c r="AL214" i="16"/>
  <c r="AL215" i="16"/>
  <c r="AL216" i="16"/>
  <c r="AL217" i="16"/>
  <c r="AL218" i="16"/>
  <c r="AL219" i="16"/>
  <c r="AL220" i="16"/>
  <c r="AL221" i="16"/>
  <c r="AL222" i="16"/>
  <c r="AL223" i="16"/>
  <c r="AL224" i="16"/>
  <c r="AL225" i="16"/>
  <c r="AL226" i="16"/>
  <c r="AL227" i="16"/>
  <c r="AL228" i="16"/>
  <c r="AL229" i="16"/>
  <c r="AL230" i="16"/>
  <c r="AL231" i="16"/>
  <c r="AL232" i="16"/>
  <c r="AL233" i="16"/>
  <c r="AL234" i="16"/>
  <c r="AL235" i="16"/>
  <c r="AL236" i="16"/>
  <c r="AL237" i="16"/>
  <c r="AL238" i="16"/>
  <c r="AL239" i="16"/>
  <c r="AL240" i="16"/>
  <c r="AL241" i="16"/>
  <c r="AL242" i="16"/>
  <c r="AL243" i="16"/>
  <c r="AL244" i="16"/>
  <c r="AL245" i="16"/>
  <c r="AL246" i="16"/>
  <c r="AL247" i="16"/>
  <c r="AL248" i="16"/>
  <c r="AL249" i="16"/>
  <c r="AL250" i="16"/>
  <c r="AL251" i="16"/>
  <c r="AL252" i="16"/>
  <c r="AL253" i="16"/>
  <c r="AL254" i="16"/>
  <c r="AL255" i="16"/>
  <c r="AL256" i="16"/>
  <c r="AL257" i="16"/>
  <c r="AL258" i="16"/>
  <c r="AL259" i="16"/>
  <c r="AL260" i="16"/>
  <c r="AL261" i="16"/>
  <c r="AL262" i="16"/>
  <c r="AL263" i="16"/>
  <c r="AL264" i="16"/>
  <c r="AL265" i="16"/>
  <c r="AL266" i="16"/>
  <c r="AL267" i="16"/>
  <c r="AL268" i="16"/>
  <c r="AL269" i="16"/>
  <c r="AL270" i="16"/>
  <c r="AL271" i="16"/>
  <c r="AL272" i="16"/>
  <c r="AL273" i="16"/>
  <c r="AL274" i="16"/>
  <c r="AL275" i="16"/>
  <c r="AL276" i="16"/>
  <c r="AL277" i="16"/>
  <c r="AL278" i="16"/>
  <c r="AL279" i="16"/>
  <c r="AL280" i="16"/>
  <c r="AL281" i="16"/>
  <c r="AL282" i="16"/>
  <c r="AL283" i="16"/>
  <c r="AL284" i="16"/>
  <c r="AL285" i="16"/>
  <c r="AL286" i="16"/>
  <c r="AL287" i="16"/>
  <c r="AL288" i="16"/>
  <c r="AL289" i="16"/>
  <c r="AL290" i="16"/>
  <c r="AL291" i="16"/>
  <c r="AL292" i="16"/>
  <c r="AL293" i="16"/>
  <c r="AL294" i="16"/>
  <c r="AL295" i="16"/>
  <c r="AL296" i="16"/>
  <c r="AL297" i="16"/>
  <c r="AL298" i="16"/>
  <c r="AL299" i="16"/>
  <c r="AL300" i="16"/>
  <c r="AL301" i="16"/>
  <c r="AL302" i="16"/>
  <c r="AL303" i="16"/>
  <c r="AL304" i="16"/>
  <c r="AL305" i="16"/>
  <c r="AL306" i="16"/>
  <c r="AL307" i="16"/>
  <c r="AL308" i="16"/>
  <c r="AL309" i="16"/>
  <c r="AL310" i="16"/>
  <c r="AL311" i="16"/>
  <c r="AL312" i="16"/>
  <c r="AL313" i="16"/>
  <c r="AL314" i="16"/>
  <c r="AL315" i="16"/>
  <c r="AL316" i="16"/>
  <c r="AL317" i="16"/>
  <c r="AL318" i="16"/>
  <c r="AL319" i="16"/>
  <c r="AL320" i="16"/>
  <c r="AL321" i="16"/>
  <c r="AL322" i="16"/>
  <c r="AL323" i="16"/>
  <c r="AL324" i="16"/>
  <c r="AL325" i="16"/>
  <c r="AL326" i="16"/>
  <c r="AL327" i="16"/>
  <c r="AL328" i="16"/>
  <c r="AL329" i="16"/>
  <c r="AL330" i="16"/>
  <c r="AL331" i="16"/>
  <c r="AL332" i="16"/>
  <c r="AL333" i="16"/>
  <c r="AL334" i="16"/>
  <c r="AL335" i="16"/>
  <c r="AL336" i="16"/>
  <c r="AL337" i="16"/>
  <c r="AL338" i="16"/>
  <c r="AL339" i="16"/>
  <c r="AL340" i="16"/>
  <c r="AL341" i="16"/>
  <c r="AL342" i="16"/>
  <c r="AL343" i="16"/>
  <c r="AL344" i="16"/>
  <c r="AL345" i="16"/>
  <c r="AL346" i="16"/>
  <c r="AL347" i="16"/>
  <c r="AL348" i="16"/>
  <c r="AL349" i="16"/>
  <c r="AL350" i="16"/>
  <c r="AL351" i="16"/>
  <c r="AL352" i="16"/>
  <c r="AL353" i="16"/>
  <c r="AL354" i="16"/>
  <c r="AL355" i="16"/>
  <c r="AL356" i="16"/>
  <c r="AL357" i="16"/>
  <c r="AL358" i="16"/>
  <c r="AL359" i="16"/>
  <c r="AL360" i="16"/>
  <c r="AL361" i="16"/>
  <c r="AL362" i="16"/>
  <c r="AL363" i="16"/>
  <c r="AL364" i="16"/>
  <c r="AL365" i="16"/>
  <c r="AL366" i="16"/>
  <c r="AL367" i="16"/>
  <c r="AL368" i="16"/>
  <c r="AL369" i="16"/>
  <c r="AL370" i="16"/>
  <c r="AL371" i="16"/>
  <c r="AL372" i="16"/>
  <c r="AL373" i="16"/>
  <c r="AL374" i="16"/>
  <c r="AL375" i="16"/>
  <c r="AL376" i="16"/>
  <c r="AL377" i="16"/>
  <c r="AL378" i="16"/>
  <c r="AL379" i="16"/>
  <c r="AL380" i="16"/>
  <c r="AL381" i="16"/>
  <c r="AL382" i="16"/>
  <c r="AL383" i="16"/>
  <c r="AL384" i="16"/>
  <c r="AL385" i="16"/>
  <c r="AL386" i="16"/>
  <c r="AL387" i="16"/>
  <c r="AL388" i="16"/>
  <c r="AL389" i="16"/>
  <c r="AL390" i="16"/>
  <c r="AL391" i="16"/>
  <c r="AL392" i="16"/>
  <c r="AL393" i="16"/>
  <c r="AL394" i="16"/>
  <c r="AL395" i="16"/>
  <c r="AL396" i="16"/>
  <c r="AL397" i="16"/>
  <c r="AL398" i="16"/>
  <c r="AL399" i="16"/>
  <c r="AL400" i="16"/>
  <c r="AL401" i="16"/>
  <c r="AL402" i="16"/>
  <c r="AL403" i="16"/>
  <c r="AL404" i="16"/>
  <c r="AL405" i="16"/>
  <c r="AL406" i="16"/>
  <c r="AL407" i="16"/>
  <c r="AL408" i="16"/>
  <c r="AL409" i="16"/>
  <c r="AL410" i="16"/>
  <c r="AL411" i="16"/>
  <c r="AL412" i="16"/>
  <c r="AL413" i="16"/>
  <c r="AL414" i="16"/>
  <c r="AL415" i="16"/>
  <c r="AL416" i="16"/>
  <c r="AL417" i="16"/>
  <c r="AL418" i="16"/>
  <c r="AL419" i="16"/>
  <c r="AL420" i="16"/>
  <c r="AL421" i="16"/>
  <c r="AL422" i="16"/>
  <c r="AL423" i="16"/>
  <c r="AL424" i="16"/>
  <c r="AL425" i="16"/>
  <c r="AL426" i="16"/>
  <c r="AL427" i="16"/>
  <c r="AL428" i="16"/>
  <c r="AL429" i="16"/>
  <c r="AL430" i="16"/>
  <c r="AL431" i="16"/>
  <c r="AL432" i="16"/>
  <c r="AL433" i="16"/>
  <c r="AL434" i="16"/>
  <c r="AL435" i="16"/>
  <c r="AL436" i="16"/>
  <c r="AL437" i="16"/>
  <c r="AL438" i="16"/>
  <c r="AL439" i="16"/>
  <c r="AL440" i="16"/>
  <c r="AL441" i="16"/>
  <c r="AL442" i="16"/>
  <c r="AL443" i="16"/>
  <c r="AL444" i="16"/>
  <c r="AL445" i="16"/>
  <c r="AL446" i="16"/>
  <c r="AL447" i="16"/>
  <c r="AL448" i="16"/>
  <c r="AL449" i="16"/>
  <c r="AL450" i="16"/>
  <c r="AL451" i="16"/>
  <c r="AL452" i="16"/>
  <c r="AL453" i="16"/>
  <c r="AL454" i="16"/>
  <c r="AL455" i="16"/>
  <c r="AL456" i="16"/>
  <c r="AL457" i="16"/>
  <c r="AL458" i="16"/>
  <c r="AL459" i="16"/>
  <c r="AL460" i="16"/>
  <c r="AL461" i="16"/>
  <c r="AL462" i="16"/>
  <c r="AL463" i="16"/>
  <c r="AL464" i="16"/>
  <c r="AL465" i="16"/>
  <c r="AL466" i="16"/>
  <c r="AL467" i="16"/>
  <c r="AL468" i="16"/>
  <c r="AL469" i="16"/>
  <c r="AL470" i="16"/>
  <c r="AL471" i="16"/>
  <c r="AL472" i="16"/>
  <c r="AL473" i="16"/>
  <c r="AL474" i="16"/>
  <c r="AL475" i="16"/>
  <c r="AL476" i="16"/>
  <c r="AL477" i="16"/>
  <c r="AL478" i="16"/>
  <c r="AL479" i="16"/>
  <c r="AL480" i="16"/>
  <c r="AL481" i="16"/>
  <c r="AL482" i="16"/>
  <c r="AL483" i="16"/>
  <c r="AL484" i="16"/>
  <c r="AL485" i="16"/>
  <c r="AL486" i="16"/>
  <c r="AL487" i="16"/>
  <c r="AL488" i="16"/>
  <c r="AL489" i="16"/>
  <c r="AL490" i="16"/>
  <c r="AL491" i="16"/>
  <c r="AL492" i="16"/>
  <c r="AL493" i="16"/>
  <c r="AL494" i="16"/>
  <c r="AL495" i="16"/>
  <c r="AL496" i="16"/>
  <c r="AL497" i="16"/>
  <c r="AL498" i="16"/>
  <c r="AL499" i="16"/>
  <c r="AL500" i="16"/>
  <c r="AL501" i="16"/>
  <c r="AL502" i="16"/>
  <c r="AL503" i="16"/>
  <c r="AL504" i="16"/>
  <c r="AL505" i="16"/>
  <c r="AL506" i="16"/>
  <c r="AL507" i="16"/>
  <c r="AL508" i="16"/>
  <c r="AL509" i="16"/>
  <c r="AL510" i="16"/>
  <c r="AL511" i="16"/>
  <c r="AL512" i="16"/>
  <c r="AL513" i="16"/>
  <c r="AL514" i="16"/>
  <c r="AL515" i="16"/>
  <c r="AL516" i="16"/>
  <c r="AL517" i="16"/>
  <c r="AL518" i="16"/>
  <c r="AL519" i="16"/>
  <c r="AL520" i="16"/>
  <c r="AL521" i="16"/>
  <c r="AL522" i="16"/>
  <c r="AL523" i="16"/>
  <c r="AL524" i="16"/>
  <c r="AL525" i="16"/>
  <c r="AL526" i="16"/>
  <c r="AL527" i="16"/>
  <c r="AL528" i="16"/>
  <c r="AL529" i="16"/>
  <c r="AL530" i="16"/>
  <c r="AL531" i="16"/>
  <c r="AL532" i="16"/>
  <c r="AL533" i="16"/>
  <c r="AL534" i="16"/>
  <c r="AL535" i="16"/>
  <c r="AL536" i="16"/>
  <c r="AL537" i="16"/>
  <c r="AL538" i="16"/>
  <c r="AL539" i="16"/>
  <c r="AL540" i="16"/>
  <c r="AL541" i="16"/>
  <c r="AL542" i="16"/>
  <c r="AL543" i="16"/>
  <c r="AL544" i="16"/>
  <c r="AL545" i="16"/>
  <c r="AL546" i="16"/>
  <c r="AL547" i="16"/>
  <c r="AL548" i="16"/>
  <c r="AL549" i="16"/>
  <c r="AL550" i="16"/>
  <c r="AL551" i="16"/>
  <c r="AL552" i="16"/>
  <c r="AL553" i="16"/>
  <c r="AL554" i="16"/>
  <c r="AL555" i="16"/>
  <c r="AL556" i="16"/>
  <c r="AL557" i="16"/>
  <c r="AL558" i="16"/>
  <c r="AL559" i="16"/>
  <c r="AL560" i="16"/>
  <c r="AL561" i="16"/>
  <c r="AL562" i="16"/>
  <c r="AL563" i="16"/>
  <c r="AL564" i="16"/>
  <c r="AL565" i="16"/>
  <c r="AL566" i="16"/>
  <c r="AL567" i="16"/>
  <c r="AL568" i="16"/>
  <c r="AL569" i="16"/>
  <c r="AL570" i="16"/>
  <c r="AL571" i="16"/>
  <c r="AL572" i="16"/>
  <c r="AL573" i="16"/>
  <c r="AL574" i="16"/>
  <c r="AL575" i="16"/>
  <c r="AL576" i="16"/>
  <c r="AL577" i="16"/>
  <c r="AL578" i="16"/>
  <c r="AL579" i="16"/>
  <c r="AL580" i="16"/>
  <c r="AL581" i="16"/>
  <c r="AL582" i="16"/>
  <c r="AL583" i="16"/>
  <c r="AL584" i="16"/>
  <c r="AL585" i="16"/>
  <c r="AL586" i="16"/>
  <c r="AL587" i="16"/>
  <c r="AL588" i="16"/>
  <c r="AL589" i="16"/>
  <c r="AL590" i="16"/>
  <c r="AL591" i="16"/>
  <c r="AL592" i="16"/>
  <c r="AL593" i="16"/>
  <c r="AL594" i="16"/>
  <c r="AL595" i="16"/>
  <c r="AL596" i="16"/>
  <c r="AL597" i="16"/>
  <c r="AL598" i="16"/>
  <c r="AL599" i="16"/>
  <c r="AL600" i="16"/>
  <c r="AL601" i="16"/>
  <c r="AL602" i="16"/>
  <c r="AL603" i="16"/>
  <c r="AL604" i="16"/>
  <c r="AL605" i="16"/>
  <c r="AL606" i="16"/>
  <c r="AL607" i="16"/>
  <c r="AL608" i="16"/>
  <c r="AL609" i="16"/>
  <c r="AL610" i="16"/>
  <c r="AL611" i="16"/>
  <c r="AL612" i="16"/>
  <c r="AL613" i="16"/>
  <c r="AL614" i="16"/>
  <c r="AL615" i="16"/>
  <c r="AL616" i="16"/>
  <c r="AL617" i="16"/>
  <c r="AL618" i="16"/>
  <c r="AL619" i="16"/>
  <c r="AL620" i="16"/>
  <c r="AL621" i="16"/>
  <c r="AL622" i="16"/>
  <c r="AL623" i="16"/>
  <c r="AL624" i="16"/>
  <c r="AL625" i="16"/>
  <c r="AL626" i="16"/>
  <c r="AL627" i="16"/>
  <c r="AM24" i="16"/>
  <c r="AM25" i="16"/>
  <c r="AM26" i="16"/>
  <c r="AM27" i="16"/>
  <c r="AM28" i="16"/>
  <c r="AM29" i="16"/>
  <c r="AM30" i="16"/>
  <c r="AM31" i="16"/>
  <c r="AM32" i="16"/>
  <c r="AM33" i="16"/>
  <c r="AM34" i="16"/>
  <c r="AM35" i="16"/>
  <c r="AM36" i="16"/>
  <c r="AM37" i="16"/>
  <c r="AM38" i="16"/>
  <c r="AM39" i="16"/>
  <c r="AM40" i="16"/>
  <c r="AM41" i="16"/>
  <c r="AM42" i="16"/>
  <c r="AM43" i="16"/>
  <c r="AM44" i="16"/>
  <c r="AM45" i="16"/>
  <c r="AM46" i="16"/>
  <c r="AM47" i="16"/>
  <c r="AM48" i="16"/>
  <c r="AM49" i="16"/>
  <c r="AM50" i="16"/>
  <c r="AM51" i="16"/>
  <c r="AM52" i="16"/>
  <c r="AM53" i="16"/>
  <c r="AM54" i="16"/>
  <c r="AM55" i="16"/>
  <c r="AM56" i="16"/>
  <c r="AM57" i="16"/>
  <c r="AM58" i="16"/>
  <c r="AM59" i="16"/>
  <c r="AM60" i="16"/>
  <c r="AM61" i="16"/>
  <c r="AM62" i="16"/>
  <c r="AM63" i="16"/>
  <c r="AM64" i="16"/>
  <c r="AM65" i="16"/>
  <c r="AM66" i="16"/>
  <c r="AM67" i="16"/>
  <c r="AM68" i="16"/>
  <c r="AM69" i="16"/>
  <c r="AM70" i="16"/>
  <c r="AM71" i="16"/>
  <c r="AM72" i="16"/>
  <c r="AM73" i="16"/>
  <c r="AM74" i="16"/>
  <c r="AM75" i="16"/>
  <c r="AM76" i="16"/>
  <c r="AM77" i="16"/>
  <c r="AM78" i="16"/>
  <c r="AM79" i="16"/>
  <c r="AM80" i="16"/>
  <c r="AM81" i="16"/>
  <c r="AM82" i="16"/>
  <c r="AM83" i="16"/>
  <c r="AM84" i="16"/>
  <c r="AM85" i="16"/>
  <c r="AM86" i="16"/>
  <c r="AM87" i="16"/>
  <c r="AM88" i="16"/>
  <c r="AM89" i="16"/>
  <c r="AM90" i="16"/>
  <c r="AM91" i="16"/>
  <c r="AM92" i="16"/>
  <c r="AM93" i="16"/>
  <c r="AM94" i="16"/>
  <c r="AM95" i="16"/>
  <c r="AM96" i="16"/>
  <c r="AM97" i="16"/>
  <c r="AM98" i="16"/>
  <c r="AM99" i="16"/>
  <c r="AM100" i="16"/>
  <c r="AM101" i="16"/>
  <c r="AM102" i="16"/>
  <c r="AM103" i="16"/>
  <c r="AM104" i="16"/>
  <c r="AM105" i="16"/>
  <c r="AM106" i="16"/>
  <c r="AM107" i="16"/>
  <c r="AM108" i="16"/>
  <c r="AM109" i="16"/>
  <c r="AM110" i="16"/>
  <c r="AM111" i="16"/>
  <c r="AM112" i="16"/>
  <c r="AM113" i="16"/>
  <c r="AM114" i="16"/>
  <c r="AM115" i="16"/>
  <c r="AM116" i="16"/>
  <c r="AM117" i="16"/>
  <c r="AR117" i="16" s="1"/>
  <c r="AM118" i="16"/>
  <c r="AM119" i="16"/>
  <c r="AM120" i="16"/>
  <c r="AM121" i="16"/>
  <c r="AM122" i="16"/>
  <c r="AM123" i="16"/>
  <c r="AM124" i="16"/>
  <c r="AM125" i="16"/>
  <c r="AM126" i="16"/>
  <c r="AM127" i="16"/>
  <c r="AM128" i="16"/>
  <c r="AM129" i="16"/>
  <c r="AM130" i="16"/>
  <c r="AM131" i="16"/>
  <c r="AM132" i="16"/>
  <c r="AM133" i="16"/>
  <c r="AM134" i="16"/>
  <c r="AM135" i="16"/>
  <c r="AM136" i="16"/>
  <c r="AM137" i="16"/>
  <c r="AM138" i="16"/>
  <c r="AM139" i="16"/>
  <c r="AM140" i="16"/>
  <c r="AM141" i="16"/>
  <c r="AM142" i="16"/>
  <c r="AM143" i="16"/>
  <c r="AM144" i="16"/>
  <c r="AM145" i="16"/>
  <c r="AM146" i="16"/>
  <c r="AM147" i="16"/>
  <c r="AM148" i="16"/>
  <c r="AM149" i="16"/>
  <c r="AM150" i="16"/>
  <c r="AM151" i="16"/>
  <c r="AM152" i="16"/>
  <c r="AM153" i="16"/>
  <c r="AM154" i="16"/>
  <c r="AM155" i="16"/>
  <c r="AM156" i="16"/>
  <c r="AM157" i="16"/>
  <c r="AM158" i="16"/>
  <c r="AM159" i="16"/>
  <c r="AM160" i="16"/>
  <c r="AM161" i="16"/>
  <c r="AM162" i="16"/>
  <c r="AM163" i="16"/>
  <c r="AM164" i="16"/>
  <c r="AM165" i="16"/>
  <c r="AM166" i="16"/>
  <c r="AM167" i="16"/>
  <c r="AM168" i="16"/>
  <c r="AM169" i="16"/>
  <c r="AM170" i="16"/>
  <c r="AM171" i="16"/>
  <c r="AM172" i="16"/>
  <c r="AM173" i="16"/>
  <c r="AM174" i="16"/>
  <c r="AM175" i="16"/>
  <c r="AM176" i="16"/>
  <c r="AM177" i="16"/>
  <c r="AM178" i="16"/>
  <c r="AM179" i="16"/>
  <c r="AM180" i="16"/>
  <c r="AM181" i="16"/>
  <c r="AM182" i="16"/>
  <c r="AM183" i="16"/>
  <c r="AM184" i="16"/>
  <c r="AM185" i="16"/>
  <c r="AM186" i="16"/>
  <c r="AM187" i="16"/>
  <c r="AM188" i="16"/>
  <c r="AM189" i="16"/>
  <c r="AM190" i="16"/>
  <c r="AM191" i="16"/>
  <c r="AM192" i="16"/>
  <c r="AM193" i="16"/>
  <c r="AM194" i="16"/>
  <c r="AM195" i="16"/>
  <c r="AM196" i="16"/>
  <c r="AM197" i="16"/>
  <c r="AM198" i="16"/>
  <c r="AM199" i="16"/>
  <c r="AM200" i="16"/>
  <c r="AM201" i="16"/>
  <c r="AR201" i="16" s="1"/>
  <c r="AM202" i="16"/>
  <c r="AR202" i="16" s="1"/>
  <c r="AM203" i="16"/>
  <c r="AM204" i="16"/>
  <c r="AM205" i="16"/>
  <c r="AM206" i="16"/>
  <c r="AM207" i="16"/>
  <c r="AM208" i="16"/>
  <c r="AM209" i="16"/>
  <c r="AM210" i="16"/>
  <c r="AM211" i="16"/>
  <c r="AM212" i="16"/>
  <c r="AM213" i="16"/>
  <c r="AM214" i="16"/>
  <c r="AM215" i="16"/>
  <c r="AM216" i="16"/>
  <c r="AM217" i="16"/>
  <c r="AM218" i="16"/>
  <c r="AM219" i="16"/>
  <c r="AM220" i="16"/>
  <c r="AM221" i="16"/>
  <c r="AM222" i="16"/>
  <c r="AM223" i="16"/>
  <c r="AM224" i="16"/>
  <c r="AM225" i="16"/>
  <c r="AM226" i="16"/>
  <c r="AR226" i="16" s="1"/>
  <c r="AM227" i="16"/>
  <c r="AM228" i="16"/>
  <c r="AM229" i="16"/>
  <c r="AM230" i="16"/>
  <c r="AM231" i="16"/>
  <c r="AM232" i="16"/>
  <c r="AM233" i="16"/>
  <c r="AM234" i="16"/>
  <c r="AM235" i="16"/>
  <c r="AM236" i="16"/>
  <c r="AM237" i="16"/>
  <c r="AM238" i="16"/>
  <c r="AM239" i="16"/>
  <c r="AM240" i="16"/>
  <c r="AM241" i="16"/>
  <c r="AM242" i="16"/>
  <c r="AM243" i="16"/>
  <c r="AM244" i="16"/>
  <c r="AM245" i="16"/>
  <c r="AM246" i="16"/>
  <c r="AM247" i="16"/>
  <c r="AM248" i="16"/>
  <c r="AM249" i="16"/>
  <c r="AM250" i="16"/>
  <c r="AM251" i="16"/>
  <c r="AM252" i="16"/>
  <c r="AM253" i="16"/>
  <c r="AM254" i="16"/>
  <c r="AM255" i="16"/>
  <c r="AM256" i="16"/>
  <c r="AM257" i="16"/>
  <c r="AM258" i="16"/>
  <c r="AM259" i="16"/>
  <c r="AM260" i="16"/>
  <c r="AM261" i="16"/>
  <c r="AM262" i="16"/>
  <c r="AM263" i="16"/>
  <c r="AM264" i="16"/>
  <c r="AM265" i="16"/>
  <c r="AM266" i="16"/>
  <c r="AM267" i="16"/>
  <c r="AM268" i="16"/>
  <c r="AM269" i="16"/>
  <c r="AM270" i="16"/>
  <c r="AM271" i="16"/>
  <c r="AM272" i="16"/>
  <c r="AM273" i="16"/>
  <c r="AM274" i="16"/>
  <c r="AM275" i="16"/>
  <c r="AM276" i="16"/>
  <c r="AM277" i="16"/>
  <c r="AM278" i="16"/>
  <c r="AM279" i="16"/>
  <c r="AM280" i="16"/>
  <c r="AM281" i="16"/>
  <c r="AM282" i="16"/>
  <c r="AM283" i="16"/>
  <c r="AM284" i="16"/>
  <c r="AM285" i="16"/>
  <c r="AM286" i="16"/>
  <c r="AM287" i="16"/>
  <c r="AM288" i="16"/>
  <c r="AM289" i="16"/>
  <c r="AM290" i="16"/>
  <c r="AM291" i="16"/>
  <c r="AM292" i="16"/>
  <c r="AM293" i="16"/>
  <c r="AM294" i="16"/>
  <c r="AM295" i="16"/>
  <c r="AM296" i="16"/>
  <c r="AM297" i="16"/>
  <c r="AM298" i="16"/>
  <c r="AM299" i="16"/>
  <c r="AM300" i="16"/>
  <c r="AM301" i="16"/>
  <c r="AM302" i="16"/>
  <c r="AM303" i="16"/>
  <c r="AM304" i="16"/>
  <c r="AM305" i="16"/>
  <c r="AM306" i="16"/>
  <c r="AM307" i="16"/>
  <c r="AM308" i="16"/>
  <c r="AM309" i="16"/>
  <c r="AM310" i="16"/>
  <c r="AM311" i="16"/>
  <c r="AM312" i="16"/>
  <c r="AM313" i="16"/>
  <c r="AM314" i="16"/>
  <c r="AM315" i="16"/>
  <c r="AM316" i="16"/>
  <c r="AM317" i="16"/>
  <c r="AM318" i="16"/>
  <c r="AM319" i="16"/>
  <c r="AM320" i="16"/>
  <c r="AM321" i="16"/>
  <c r="AM322" i="16"/>
  <c r="AM323" i="16"/>
  <c r="AM324" i="16"/>
  <c r="AM325" i="16"/>
  <c r="AM326" i="16"/>
  <c r="AM327" i="16"/>
  <c r="AM328" i="16"/>
  <c r="AM329" i="16"/>
  <c r="AM330" i="16"/>
  <c r="AM331" i="16"/>
  <c r="AM332" i="16"/>
  <c r="AM333" i="16"/>
  <c r="AM334" i="16"/>
  <c r="AM335" i="16"/>
  <c r="AM336" i="16"/>
  <c r="AM337" i="16"/>
  <c r="AM338" i="16"/>
  <c r="AM339" i="16"/>
  <c r="AM340" i="16"/>
  <c r="AM341" i="16"/>
  <c r="AM342" i="16"/>
  <c r="AM343" i="16"/>
  <c r="AM344" i="16"/>
  <c r="AM345" i="16"/>
  <c r="AM346" i="16"/>
  <c r="AM347" i="16"/>
  <c r="AM348" i="16"/>
  <c r="AM349" i="16"/>
  <c r="AM350" i="16"/>
  <c r="AM351" i="16"/>
  <c r="AM352" i="16"/>
  <c r="AM353" i="16"/>
  <c r="AM354" i="16"/>
  <c r="AM355" i="16"/>
  <c r="AM356" i="16"/>
  <c r="AM357" i="16"/>
  <c r="AM358" i="16"/>
  <c r="AM359" i="16"/>
  <c r="AM360" i="16"/>
  <c r="AM361" i="16"/>
  <c r="AM362" i="16"/>
  <c r="AM363" i="16"/>
  <c r="AM364" i="16"/>
  <c r="AM365" i="16"/>
  <c r="AM366" i="16"/>
  <c r="AM367" i="16"/>
  <c r="AM368" i="16"/>
  <c r="AM369" i="16"/>
  <c r="AM370" i="16"/>
  <c r="AM371" i="16"/>
  <c r="AM372" i="16"/>
  <c r="AM373" i="16"/>
  <c r="AM374" i="16"/>
  <c r="AM375" i="16"/>
  <c r="AM376" i="16"/>
  <c r="AM377" i="16"/>
  <c r="AM378" i="16"/>
  <c r="AM379" i="16"/>
  <c r="AM380" i="16"/>
  <c r="AM381" i="16"/>
  <c r="AM382" i="16"/>
  <c r="AM383" i="16"/>
  <c r="AM384" i="16"/>
  <c r="AM385" i="16"/>
  <c r="AM386" i="16"/>
  <c r="AM387" i="16"/>
  <c r="AM388" i="16"/>
  <c r="AM389" i="16"/>
  <c r="AM390" i="16"/>
  <c r="AM391" i="16"/>
  <c r="AM392" i="16"/>
  <c r="AM393" i="16"/>
  <c r="AM394" i="16"/>
  <c r="AM395" i="16"/>
  <c r="AM396" i="16"/>
  <c r="AM397" i="16"/>
  <c r="AM398" i="16"/>
  <c r="AM399" i="16"/>
  <c r="AM400" i="16"/>
  <c r="AM401" i="16"/>
  <c r="AM402" i="16"/>
  <c r="AM403" i="16"/>
  <c r="AM404" i="16"/>
  <c r="AM405" i="16"/>
  <c r="AM406" i="16"/>
  <c r="AM407" i="16"/>
  <c r="AM408" i="16"/>
  <c r="AM409" i="16"/>
  <c r="AM410" i="16"/>
  <c r="AM411" i="16"/>
  <c r="AM412" i="16"/>
  <c r="AM413" i="16"/>
  <c r="AM414" i="16"/>
  <c r="AM415" i="16"/>
  <c r="AM416" i="16"/>
  <c r="AM417" i="16"/>
  <c r="AM418" i="16"/>
  <c r="AM419" i="16"/>
  <c r="AM420" i="16"/>
  <c r="AM421" i="16"/>
  <c r="AM422" i="16"/>
  <c r="AM423" i="16"/>
  <c r="AM424" i="16"/>
  <c r="AM425" i="16"/>
  <c r="AM426" i="16"/>
  <c r="AM427" i="16"/>
  <c r="AM428" i="16"/>
  <c r="AM429" i="16"/>
  <c r="AM430" i="16"/>
  <c r="AM431" i="16"/>
  <c r="AM432" i="16"/>
  <c r="AM433" i="16"/>
  <c r="AM434" i="16"/>
  <c r="AM435" i="16"/>
  <c r="AM436" i="16"/>
  <c r="AM437" i="16"/>
  <c r="AM438" i="16"/>
  <c r="AM439" i="16"/>
  <c r="AM440" i="16"/>
  <c r="AM441" i="16"/>
  <c r="AM442" i="16"/>
  <c r="AM443" i="16"/>
  <c r="AM444" i="16"/>
  <c r="AM445" i="16"/>
  <c r="AM446" i="16"/>
  <c r="AM447" i="16"/>
  <c r="AM448" i="16"/>
  <c r="AM449" i="16"/>
  <c r="AM450" i="16"/>
  <c r="AM451" i="16"/>
  <c r="AM452" i="16"/>
  <c r="AM453" i="16"/>
  <c r="AM454" i="16"/>
  <c r="AM455" i="16"/>
  <c r="AM456" i="16"/>
  <c r="AM457" i="16"/>
  <c r="AM458" i="16"/>
  <c r="AM459" i="16"/>
  <c r="AM460" i="16"/>
  <c r="AM461" i="16"/>
  <c r="AM462" i="16"/>
  <c r="AM463" i="16"/>
  <c r="AM464" i="16"/>
  <c r="AM465" i="16"/>
  <c r="AM466" i="16"/>
  <c r="AM467" i="16"/>
  <c r="AM468" i="16"/>
  <c r="AM469" i="16"/>
  <c r="AM470" i="16"/>
  <c r="AM471" i="16"/>
  <c r="AM472" i="16"/>
  <c r="AM473" i="16"/>
  <c r="AR473" i="16" s="1"/>
  <c r="AM474" i="16"/>
  <c r="AM475" i="16"/>
  <c r="AM476" i="16"/>
  <c r="AM477" i="16"/>
  <c r="AM478" i="16"/>
  <c r="AM479" i="16"/>
  <c r="AM480" i="16"/>
  <c r="AM481" i="16"/>
  <c r="AM482" i="16"/>
  <c r="AM483" i="16"/>
  <c r="AM484" i="16"/>
  <c r="AM485" i="16"/>
  <c r="AM486" i="16"/>
  <c r="AM487" i="16"/>
  <c r="AM488" i="16"/>
  <c r="AM489" i="16"/>
  <c r="AM490" i="16"/>
  <c r="AM491" i="16"/>
  <c r="AM492" i="16"/>
  <c r="AM493" i="16"/>
  <c r="AM494" i="16"/>
  <c r="AM495" i="16"/>
  <c r="AM496" i="16"/>
  <c r="AM497" i="16"/>
  <c r="AM498" i="16"/>
  <c r="AM499" i="16"/>
  <c r="AM500" i="16"/>
  <c r="AM501" i="16"/>
  <c r="AM502" i="16"/>
  <c r="AM503" i="16"/>
  <c r="AM504" i="16"/>
  <c r="AM505" i="16"/>
  <c r="AM506" i="16"/>
  <c r="AM507" i="16"/>
  <c r="AM508" i="16"/>
  <c r="AM509" i="16"/>
  <c r="AM510" i="16"/>
  <c r="AM511" i="16"/>
  <c r="AM512" i="16"/>
  <c r="AM513" i="16"/>
  <c r="AM514" i="16"/>
  <c r="AM515" i="16"/>
  <c r="AM516" i="16"/>
  <c r="AM517" i="16"/>
  <c r="AM518" i="16"/>
  <c r="AM519" i="16"/>
  <c r="AM520" i="16"/>
  <c r="AM521" i="16"/>
  <c r="AM522" i="16"/>
  <c r="AM523" i="16"/>
  <c r="AM524" i="16"/>
  <c r="AM525" i="16"/>
  <c r="AM526" i="16"/>
  <c r="AM527" i="16"/>
  <c r="AM528" i="16"/>
  <c r="AM529" i="16"/>
  <c r="AM530" i="16"/>
  <c r="AM531" i="16"/>
  <c r="AM532" i="16"/>
  <c r="AM533" i="16"/>
  <c r="AM534" i="16"/>
  <c r="AR534" i="16" s="1"/>
  <c r="AM535" i="16"/>
  <c r="AM536" i="16"/>
  <c r="AM537" i="16"/>
  <c r="AM538" i="16"/>
  <c r="AM539" i="16"/>
  <c r="AM540" i="16"/>
  <c r="AM541" i="16"/>
  <c r="AM542" i="16"/>
  <c r="AM543" i="16"/>
  <c r="AM544" i="16"/>
  <c r="AM545" i="16"/>
  <c r="AM546" i="16"/>
  <c r="AM547" i="16"/>
  <c r="AM548" i="16"/>
  <c r="AM549" i="16"/>
  <c r="AM550" i="16"/>
  <c r="AM551" i="16"/>
  <c r="AM552" i="16"/>
  <c r="AM553" i="16"/>
  <c r="AM554" i="16"/>
  <c r="AM555" i="16"/>
  <c r="AM556" i="16"/>
  <c r="AM557" i="16"/>
  <c r="AM558" i="16"/>
  <c r="AM559" i="16"/>
  <c r="AM560" i="16"/>
  <c r="AM561" i="16"/>
  <c r="AM562" i="16"/>
  <c r="AM563" i="16"/>
  <c r="AM564" i="16"/>
  <c r="AM565" i="16"/>
  <c r="AM566" i="16"/>
  <c r="AM567" i="16"/>
  <c r="AM568" i="16"/>
  <c r="AM569" i="16"/>
  <c r="AR569" i="16" s="1"/>
  <c r="AM570" i="16"/>
  <c r="AR570" i="16" s="1"/>
  <c r="AM571" i="16"/>
  <c r="AM572" i="16"/>
  <c r="AM573" i="16"/>
  <c r="AM574" i="16"/>
  <c r="AM575" i="16"/>
  <c r="AM576" i="16"/>
  <c r="AM577" i="16"/>
  <c r="AM578" i="16"/>
  <c r="AM579" i="16"/>
  <c r="AM580" i="16"/>
  <c r="AM581" i="16"/>
  <c r="AM582" i="16"/>
  <c r="AM583" i="16"/>
  <c r="AM584" i="16"/>
  <c r="AM585" i="16"/>
  <c r="AM586" i="16"/>
  <c r="AR586" i="16" s="1"/>
  <c r="AM587" i="16"/>
  <c r="AR587" i="16" s="1"/>
  <c r="AM588" i="16"/>
  <c r="AR588" i="16" s="1"/>
  <c r="AM589" i="16"/>
  <c r="AM590" i="16"/>
  <c r="AM591" i="16"/>
  <c r="AM592" i="16"/>
  <c r="AM593" i="16"/>
  <c r="AM594" i="16"/>
  <c r="AM595" i="16"/>
  <c r="AM596" i="16"/>
  <c r="AM597" i="16"/>
  <c r="AM598" i="16"/>
  <c r="AM599" i="16"/>
  <c r="AM600" i="16"/>
  <c r="AM601" i="16"/>
  <c r="AM602" i="16"/>
  <c r="AM603" i="16"/>
  <c r="AM604" i="16"/>
  <c r="AM605" i="16"/>
  <c r="AM606" i="16"/>
  <c r="AM607" i="16"/>
  <c r="AM608" i="16"/>
  <c r="AM609" i="16"/>
  <c r="AM610" i="16"/>
  <c r="AM611" i="16"/>
  <c r="AM612" i="16"/>
  <c r="AM613" i="16"/>
  <c r="AM614" i="16"/>
  <c r="AM615" i="16"/>
  <c r="AM616" i="16"/>
  <c r="AM617" i="16"/>
  <c r="AM618" i="16"/>
  <c r="AM619" i="16"/>
  <c r="AM620" i="16"/>
  <c r="AM621" i="16"/>
  <c r="AM622" i="16"/>
  <c r="AM623" i="16"/>
  <c r="AM624" i="16"/>
  <c r="AM625" i="16"/>
  <c r="AM626" i="16"/>
  <c r="AM627" i="16"/>
  <c r="AN24" i="16"/>
  <c r="AN25" i="16"/>
  <c r="AN26" i="16"/>
  <c r="AN27" i="16"/>
  <c r="AN28" i="16"/>
  <c r="AN29" i="16"/>
  <c r="AN30" i="16"/>
  <c r="AN31" i="16"/>
  <c r="AN32" i="16"/>
  <c r="AN33" i="16"/>
  <c r="AN34" i="16"/>
  <c r="AN35" i="16"/>
  <c r="AN36" i="16"/>
  <c r="AN37" i="16"/>
  <c r="AN38" i="16"/>
  <c r="AN39" i="16"/>
  <c r="AN40" i="16"/>
  <c r="AN41" i="16"/>
  <c r="AN42" i="16"/>
  <c r="AN43" i="16"/>
  <c r="AN44" i="16"/>
  <c r="AN45" i="16"/>
  <c r="AN46" i="16"/>
  <c r="AN47" i="16"/>
  <c r="AN48" i="16"/>
  <c r="AN49" i="16"/>
  <c r="AN50" i="16"/>
  <c r="AN51" i="16"/>
  <c r="AN52" i="16"/>
  <c r="AN53" i="16"/>
  <c r="AN54" i="16"/>
  <c r="AN55" i="16"/>
  <c r="AN56" i="16"/>
  <c r="AN57" i="16"/>
  <c r="AN58" i="16"/>
  <c r="AN59" i="16"/>
  <c r="AN60" i="16"/>
  <c r="AN61" i="16"/>
  <c r="AN62" i="16"/>
  <c r="AN63" i="16"/>
  <c r="AN64" i="16"/>
  <c r="AN65" i="16"/>
  <c r="AN66" i="16"/>
  <c r="AN67" i="16"/>
  <c r="AN68" i="16"/>
  <c r="AN69" i="16"/>
  <c r="AN70" i="16"/>
  <c r="AN71" i="16"/>
  <c r="AN72" i="16"/>
  <c r="AN73" i="16"/>
  <c r="AN74" i="16"/>
  <c r="AN75" i="16"/>
  <c r="AN76" i="16"/>
  <c r="AN77" i="16"/>
  <c r="AN78" i="16"/>
  <c r="AN79" i="16"/>
  <c r="AN80" i="16"/>
  <c r="AN81" i="16"/>
  <c r="AN82" i="16"/>
  <c r="AN83" i="16"/>
  <c r="AN84" i="16"/>
  <c r="AN85" i="16"/>
  <c r="AN86" i="16"/>
  <c r="AN87" i="16"/>
  <c r="AN88" i="16"/>
  <c r="AN89" i="16"/>
  <c r="AN90" i="16"/>
  <c r="AN91" i="16"/>
  <c r="AN92" i="16"/>
  <c r="AN93" i="16"/>
  <c r="AN94" i="16"/>
  <c r="AN95" i="16"/>
  <c r="AN96" i="16"/>
  <c r="AN97" i="16"/>
  <c r="AN98" i="16"/>
  <c r="AN99" i="16"/>
  <c r="AN100" i="16"/>
  <c r="AN101" i="16"/>
  <c r="AN102" i="16"/>
  <c r="AN103" i="16"/>
  <c r="AN104" i="16"/>
  <c r="AN105" i="16"/>
  <c r="AN106" i="16"/>
  <c r="AN107" i="16"/>
  <c r="AN108" i="16"/>
  <c r="AN109" i="16"/>
  <c r="AN110" i="16"/>
  <c r="AN111" i="16"/>
  <c r="AN112" i="16"/>
  <c r="AN113" i="16"/>
  <c r="AN114" i="16"/>
  <c r="AN115" i="16"/>
  <c r="AN116" i="16"/>
  <c r="AN117" i="16"/>
  <c r="AN118" i="16"/>
  <c r="AN119" i="16"/>
  <c r="AN120" i="16"/>
  <c r="AN121" i="16"/>
  <c r="AN122" i="16"/>
  <c r="AN123" i="16"/>
  <c r="AN124" i="16"/>
  <c r="AN125" i="16"/>
  <c r="AN126" i="16"/>
  <c r="AN127" i="16"/>
  <c r="AN128" i="16"/>
  <c r="AN129" i="16"/>
  <c r="AN130" i="16"/>
  <c r="AN131" i="16"/>
  <c r="AN132" i="16"/>
  <c r="AN133" i="16"/>
  <c r="AN134" i="16"/>
  <c r="AN135" i="16"/>
  <c r="AN136" i="16"/>
  <c r="AN137" i="16"/>
  <c r="AN138" i="16"/>
  <c r="AN139" i="16"/>
  <c r="AN140" i="16"/>
  <c r="AN141" i="16"/>
  <c r="AN142" i="16"/>
  <c r="AN143" i="16"/>
  <c r="AN144" i="16"/>
  <c r="AN145" i="16"/>
  <c r="AN146" i="16"/>
  <c r="AN147" i="16"/>
  <c r="AN148" i="16"/>
  <c r="AN149" i="16"/>
  <c r="AN150" i="16"/>
  <c r="AN151" i="16"/>
  <c r="AN152" i="16"/>
  <c r="AN153" i="16"/>
  <c r="AN154" i="16"/>
  <c r="AN155" i="16"/>
  <c r="AN156" i="16"/>
  <c r="AN157" i="16"/>
  <c r="AN158" i="16"/>
  <c r="AN159" i="16"/>
  <c r="AN160" i="16"/>
  <c r="AN161" i="16"/>
  <c r="AN162" i="16"/>
  <c r="AN163" i="16"/>
  <c r="AN164" i="16"/>
  <c r="AN165" i="16"/>
  <c r="AN166" i="16"/>
  <c r="AN167" i="16"/>
  <c r="AN168" i="16"/>
  <c r="AN169" i="16"/>
  <c r="AN170" i="16"/>
  <c r="AN171" i="16"/>
  <c r="AN172" i="16"/>
  <c r="AN173" i="16"/>
  <c r="AN174" i="16"/>
  <c r="AN175" i="16"/>
  <c r="AN176" i="16"/>
  <c r="AN177" i="16"/>
  <c r="AN178" i="16"/>
  <c r="AN179" i="16"/>
  <c r="AN180" i="16"/>
  <c r="AN181" i="16"/>
  <c r="AN182" i="16"/>
  <c r="AN183" i="16"/>
  <c r="AN184" i="16"/>
  <c r="AN185" i="16"/>
  <c r="AN186" i="16"/>
  <c r="AN187" i="16"/>
  <c r="AN188" i="16"/>
  <c r="AN189" i="16"/>
  <c r="AN190" i="16"/>
  <c r="AN191" i="16"/>
  <c r="AN192" i="16"/>
  <c r="AN193" i="16"/>
  <c r="AN194" i="16"/>
  <c r="AN195" i="16"/>
  <c r="AN196" i="16"/>
  <c r="AN197" i="16"/>
  <c r="AN198" i="16"/>
  <c r="AN199" i="16"/>
  <c r="AN200" i="16"/>
  <c r="AN201" i="16"/>
  <c r="AN202" i="16"/>
  <c r="AN203" i="16"/>
  <c r="AN204" i="16"/>
  <c r="AN205" i="16"/>
  <c r="AN206" i="16"/>
  <c r="AN207" i="16"/>
  <c r="AN208" i="16"/>
  <c r="AN209" i="16"/>
  <c r="AN210" i="16"/>
  <c r="AN211" i="16"/>
  <c r="AN212" i="16"/>
  <c r="AN213" i="16"/>
  <c r="AN214" i="16"/>
  <c r="AN215" i="16"/>
  <c r="AN216" i="16"/>
  <c r="AN217" i="16"/>
  <c r="AN218" i="16"/>
  <c r="AN219" i="16"/>
  <c r="AN220" i="16"/>
  <c r="AN221" i="16"/>
  <c r="AN222" i="16"/>
  <c r="AN223" i="16"/>
  <c r="AN224" i="16"/>
  <c r="AN225" i="16"/>
  <c r="AN226" i="16"/>
  <c r="AN227" i="16"/>
  <c r="AN228" i="16"/>
  <c r="AN229" i="16"/>
  <c r="AN230" i="16"/>
  <c r="AN231" i="16"/>
  <c r="AN232" i="16"/>
  <c r="AN233" i="16"/>
  <c r="AN234" i="16"/>
  <c r="AN235" i="16"/>
  <c r="AN236" i="16"/>
  <c r="AN237" i="16"/>
  <c r="AN238" i="16"/>
  <c r="AN239" i="16"/>
  <c r="AN240" i="16"/>
  <c r="AN241" i="16"/>
  <c r="AN242" i="16"/>
  <c r="AN243" i="16"/>
  <c r="AN244" i="16"/>
  <c r="AN245" i="16"/>
  <c r="AN246" i="16"/>
  <c r="AN247" i="16"/>
  <c r="AN248" i="16"/>
  <c r="AN249" i="16"/>
  <c r="AN250" i="16"/>
  <c r="AN251" i="16"/>
  <c r="AN252" i="16"/>
  <c r="AN253" i="16"/>
  <c r="AN254" i="16"/>
  <c r="AN255" i="16"/>
  <c r="AN256" i="16"/>
  <c r="AN257" i="16"/>
  <c r="AN258" i="16"/>
  <c r="AN259" i="16"/>
  <c r="AN260" i="16"/>
  <c r="AN261" i="16"/>
  <c r="AN262" i="16"/>
  <c r="AN263" i="16"/>
  <c r="AN264" i="16"/>
  <c r="AN265" i="16"/>
  <c r="AN266" i="16"/>
  <c r="AN267" i="16"/>
  <c r="AN268" i="16"/>
  <c r="AN269" i="16"/>
  <c r="AN270" i="16"/>
  <c r="AN271" i="16"/>
  <c r="AN272" i="16"/>
  <c r="AN273" i="16"/>
  <c r="AN274" i="16"/>
  <c r="AN275" i="16"/>
  <c r="AN276" i="16"/>
  <c r="AN277" i="16"/>
  <c r="AN278" i="16"/>
  <c r="AN279" i="16"/>
  <c r="AN280" i="16"/>
  <c r="AN281" i="16"/>
  <c r="AN282" i="16"/>
  <c r="AN283" i="16"/>
  <c r="AN284" i="16"/>
  <c r="AN285" i="16"/>
  <c r="AN286" i="16"/>
  <c r="AN287" i="16"/>
  <c r="AN288" i="16"/>
  <c r="AN289" i="16"/>
  <c r="AN290" i="16"/>
  <c r="AN291" i="16"/>
  <c r="AN292" i="16"/>
  <c r="AN293" i="16"/>
  <c r="AN294" i="16"/>
  <c r="AN295" i="16"/>
  <c r="AN296" i="16"/>
  <c r="AN297" i="16"/>
  <c r="AN298" i="16"/>
  <c r="AN299" i="16"/>
  <c r="AN300" i="16"/>
  <c r="AN301" i="16"/>
  <c r="AN302" i="16"/>
  <c r="AN303" i="16"/>
  <c r="AN304" i="16"/>
  <c r="AN305" i="16"/>
  <c r="AN306" i="16"/>
  <c r="AN307" i="16"/>
  <c r="AN308" i="16"/>
  <c r="AN309" i="16"/>
  <c r="AN310" i="16"/>
  <c r="AN311" i="16"/>
  <c r="AN312" i="16"/>
  <c r="AN313" i="16"/>
  <c r="AN314" i="16"/>
  <c r="AN315" i="16"/>
  <c r="AN316" i="16"/>
  <c r="AN317" i="16"/>
  <c r="AN318" i="16"/>
  <c r="AN319" i="16"/>
  <c r="AN320" i="16"/>
  <c r="AN321" i="16"/>
  <c r="AN322" i="16"/>
  <c r="AN323" i="16"/>
  <c r="AN324" i="16"/>
  <c r="AN325" i="16"/>
  <c r="AN326" i="16"/>
  <c r="AN327" i="16"/>
  <c r="AN328" i="16"/>
  <c r="AN329" i="16"/>
  <c r="AN330" i="16"/>
  <c r="AN331" i="16"/>
  <c r="AN332" i="16"/>
  <c r="AN333" i="16"/>
  <c r="AN334" i="16"/>
  <c r="AN335" i="16"/>
  <c r="AN336" i="16"/>
  <c r="AN337" i="16"/>
  <c r="AN338" i="16"/>
  <c r="AN339" i="16"/>
  <c r="AN340" i="16"/>
  <c r="AN341" i="16"/>
  <c r="AN342" i="16"/>
  <c r="AN343" i="16"/>
  <c r="AN344" i="16"/>
  <c r="AN345" i="16"/>
  <c r="AN346" i="16"/>
  <c r="AN347" i="16"/>
  <c r="AN348" i="16"/>
  <c r="AN349" i="16"/>
  <c r="AN350" i="16"/>
  <c r="AN351" i="16"/>
  <c r="AN352" i="16"/>
  <c r="AN353" i="16"/>
  <c r="AN354" i="16"/>
  <c r="AN355" i="16"/>
  <c r="AN356" i="16"/>
  <c r="AN357" i="16"/>
  <c r="AN358" i="16"/>
  <c r="AN359" i="16"/>
  <c r="AN360" i="16"/>
  <c r="AN361" i="16"/>
  <c r="AN362" i="16"/>
  <c r="AN363" i="16"/>
  <c r="AN364" i="16"/>
  <c r="AN365" i="16"/>
  <c r="AN366" i="16"/>
  <c r="AN367" i="16"/>
  <c r="AN368" i="16"/>
  <c r="AN369" i="16"/>
  <c r="AN370" i="16"/>
  <c r="AN371" i="16"/>
  <c r="AN372" i="16"/>
  <c r="AN373" i="16"/>
  <c r="AN374" i="16"/>
  <c r="AN375" i="16"/>
  <c r="AN376" i="16"/>
  <c r="AN377" i="16"/>
  <c r="AN378" i="16"/>
  <c r="AN379" i="16"/>
  <c r="AN380" i="16"/>
  <c r="AN381" i="16"/>
  <c r="AN382" i="16"/>
  <c r="AN383" i="16"/>
  <c r="AN384" i="16"/>
  <c r="AN385" i="16"/>
  <c r="AN386" i="16"/>
  <c r="AN387" i="16"/>
  <c r="AN388" i="16"/>
  <c r="AN389" i="16"/>
  <c r="AN390" i="16"/>
  <c r="AN391" i="16"/>
  <c r="AN392" i="16"/>
  <c r="AN393" i="16"/>
  <c r="AN394" i="16"/>
  <c r="AN395" i="16"/>
  <c r="AN396" i="16"/>
  <c r="AN397" i="16"/>
  <c r="AN398" i="16"/>
  <c r="AN399" i="16"/>
  <c r="AN400" i="16"/>
  <c r="AN401" i="16"/>
  <c r="AN402" i="16"/>
  <c r="AN403" i="16"/>
  <c r="AN404" i="16"/>
  <c r="AN405" i="16"/>
  <c r="AN406" i="16"/>
  <c r="AN407" i="16"/>
  <c r="AN408" i="16"/>
  <c r="AN409" i="16"/>
  <c r="AN410" i="16"/>
  <c r="AN411" i="16"/>
  <c r="AN412" i="16"/>
  <c r="AN413" i="16"/>
  <c r="AN414" i="16"/>
  <c r="AN415" i="16"/>
  <c r="AN416" i="16"/>
  <c r="AN417" i="16"/>
  <c r="AN418" i="16"/>
  <c r="AN419" i="16"/>
  <c r="AN420" i="16"/>
  <c r="AN421" i="16"/>
  <c r="AN422" i="16"/>
  <c r="AN423" i="16"/>
  <c r="AN424" i="16"/>
  <c r="AN425" i="16"/>
  <c r="AN426" i="16"/>
  <c r="AN427" i="16"/>
  <c r="AN428" i="16"/>
  <c r="AN429" i="16"/>
  <c r="AN430" i="16"/>
  <c r="AN431" i="16"/>
  <c r="AN432" i="16"/>
  <c r="AN433" i="16"/>
  <c r="AN434" i="16"/>
  <c r="AN435" i="16"/>
  <c r="AN436" i="16"/>
  <c r="AN437" i="16"/>
  <c r="AN438" i="16"/>
  <c r="AN439" i="16"/>
  <c r="AN440" i="16"/>
  <c r="AN441" i="16"/>
  <c r="AN442" i="16"/>
  <c r="AN443" i="16"/>
  <c r="AN444" i="16"/>
  <c r="AN445" i="16"/>
  <c r="AN446" i="16"/>
  <c r="AN447" i="16"/>
  <c r="AN448" i="16"/>
  <c r="AN449" i="16"/>
  <c r="AN450" i="16"/>
  <c r="AN451" i="16"/>
  <c r="AN452" i="16"/>
  <c r="AN453" i="16"/>
  <c r="AN454" i="16"/>
  <c r="AN455" i="16"/>
  <c r="AN456" i="16"/>
  <c r="AN457" i="16"/>
  <c r="AN458" i="16"/>
  <c r="AN459" i="16"/>
  <c r="AN460" i="16"/>
  <c r="AN461" i="16"/>
  <c r="AN462" i="16"/>
  <c r="AN463" i="16"/>
  <c r="AN464" i="16"/>
  <c r="AN465" i="16"/>
  <c r="AN466" i="16"/>
  <c r="AN467" i="16"/>
  <c r="AN468" i="16"/>
  <c r="AN469" i="16"/>
  <c r="AN470" i="16"/>
  <c r="AN471" i="16"/>
  <c r="AN472" i="16"/>
  <c r="AN473" i="16"/>
  <c r="AN474" i="16"/>
  <c r="AN475" i="16"/>
  <c r="AN476" i="16"/>
  <c r="AN477" i="16"/>
  <c r="AN478" i="16"/>
  <c r="AN479" i="16"/>
  <c r="AN480" i="16"/>
  <c r="AN481" i="16"/>
  <c r="AN482" i="16"/>
  <c r="AN483" i="16"/>
  <c r="AN484" i="16"/>
  <c r="AN485" i="16"/>
  <c r="AN486" i="16"/>
  <c r="AN487" i="16"/>
  <c r="AN488" i="16"/>
  <c r="AN489" i="16"/>
  <c r="AN490" i="16"/>
  <c r="AN491" i="16"/>
  <c r="AN492" i="16"/>
  <c r="AN493" i="16"/>
  <c r="AN494" i="16"/>
  <c r="AN495" i="16"/>
  <c r="AN496" i="16"/>
  <c r="AN497" i="16"/>
  <c r="AN498" i="16"/>
  <c r="AN499" i="16"/>
  <c r="AN500" i="16"/>
  <c r="AN501" i="16"/>
  <c r="AN502" i="16"/>
  <c r="AN503" i="16"/>
  <c r="AN504" i="16"/>
  <c r="AN505" i="16"/>
  <c r="AN506" i="16"/>
  <c r="AN507" i="16"/>
  <c r="AN508" i="16"/>
  <c r="AN509" i="16"/>
  <c r="AN510" i="16"/>
  <c r="AN511" i="16"/>
  <c r="AN512" i="16"/>
  <c r="AN513" i="16"/>
  <c r="AN514" i="16"/>
  <c r="AN515" i="16"/>
  <c r="AN516" i="16"/>
  <c r="AN517" i="16"/>
  <c r="AN518" i="16"/>
  <c r="AN519" i="16"/>
  <c r="AN520" i="16"/>
  <c r="AN521" i="16"/>
  <c r="AN522" i="16"/>
  <c r="AN523" i="16"/>
  <c r="AN524" i="16"/>
  <c r="AN525" i="16"/>
  <c r="AN526" i="16"/>
  <c r="AN527" i="16"/>
  <c r="AN528" i="16"/>
  <c r="AN529" i="16"/>
  <c r="AN530" i="16"/>
  <c r="AN531" i="16"/>
  <c r="AN532" i="16"/>
  <c r="AN533" i="16"/>
  <c r="AN534" i="16"/>
  <c r="AN535" i="16"/>
  <c r="AN536" i="16"/>
  <c r="AN537" i="16"/>
  <c r="AN538" i="16"/>
  <c r="AN539" i="16"/>
  <c r="AN540" i="16"/>
  <c r="AN541" i="16"/>
  <c r="AN542" i="16"/>
  <c r="AN543" i="16"/>
  <c r="AN544" i="16"/>
  <c r="AN545" i="16"/>
  <c r="AN546" i="16"/>
  <c r="AN547" i="16"/>
  <c r="AN548" i="16"/>
  <c r="AN549" i="16"/>
  <c r="AN550" i="16"/>
  <c r="AN551" i="16"/>
  <c r="AN552" i="16"/>
  <c r="AN553" i="16"/>
  <c r="AN554" i="16"/>
  <c r="AN555" i="16"/>
  <c r="AN556" i="16"/>
  <c r="AN557" i="16"/>
  <c r="AN558" i="16"/>
  <c r="AN559" i="16"/>
  <c r="AN560" i="16"/>
  <c r="AN561" i="16"/>
  <c r="AN562" i="16"/>
  <c r="AN563" i="16"/>
  <c r="AN564" i="16"/>
  <c r="AN565" i="16"/>
  <c r="AN566" i="16"/>
  <c r="AN567" i="16"/>
  <c r="AN568" i="16"/>
  <c r="AN569" i="16"/>
  <c r="AN570" i="16"/>
  <c r="AN571" i="16"/>
  <c r="AN572" i="16"/>
  <c r="AN573" i="16"/>
  <c r="AN574" i="16"/>
  <c r="AN575" i="16"/>
  <c r="AN576" i="16"/>
  <c r="AN577" i="16"/>
  <c r="AN578" i="16"/>
  <c r="AN579" i="16"/>
  <c r="AN580" i="16"/>
  <c r="AN581" i="16"/>
  <c r="AN582" i="16"/>
  <c r="AN583" i="16"/>
  <c r="AN584" i="16"/>
  <c r="AN585" i="16"/>
  <c r="AN586" i="16"/>
  <c r="AN587" i="16"/>
  <c r="AN588" i="16"/>
  <c r="AN589" i="16"/>
  <c r="AN590" i="16"/>
  <c r="AN591" i="16"/>
  <c r="AN592" i="16"/>
  <c r="AN593" i="16"/>
  <c r="AN594" i="16"/>
  <c r="AN595" i="16"/>
  <c r="AN596" i="16"/>
  <c r="AN597" i="16"/>
  <c r="AN598" i="16"/>
  <c r="AN599" i="16"/>
  <c r="AN600" i="16"/>
  <c r="AN601" i="16"/>
  <c r="AN602" i="16"/>
  <c r="AN603" i="16"/>
  <c r="AN604" i="16"/>
  <c r="AN605" i="16"/>
  <c r="AN606" i="16"/>
  <c r="AN607" i="16"/>
  <c r="AN608" i="16"/>
  <c r="AN609" i="16"/>
  <c r="AN610" i="16"/>
  <c r="AN611" i="16"/>
  <c r="AN612" i="16"/>
  <c r="AN613" i="16"/>
  <c r="AN614" i="16"/>
  <c r="AN615" i="16"/>
  <c r="AN616" i="16"/>
  <c r="AN617" i="16"/>
  <c r="AN618" i="16"/>
  <c r="AN619" i="16"/>
  <c r="AN620" i="16"/>
  <c r="AN621" i="16"/>
  <c r="AN622" i="16"/>
  <c r="AN623" i="16"/>
  <c r="AN624" i="16"/>
  <c r="AN625" i="16"/>
  <c r="AN626" i="16"/>
  <c r="AN627" i="16"/>
  <c r="AO24" i="16"/>
  <c r="AO25" i="16"/>
  <c r="AO26" i="16"/>
  <c r="AO27" i="16"/>
  <c r="AO28" i="16"/>
  <c r="AO29" i="16"/>
  <c r="AO30" i="16"/>
  <c r="AO31" i="16"/>
  <c r="AO32" i="16"/>
  <c r="AO33" i="16"/>
  <c r="AO34" i="16"/>
  <c r="AO35" i="16"/>
  <c r="AO36" i="16"/>
  <c r="AO37" i="16"/>
  <c r="AO38" i="16"/>
  <c r="AO39" i="16"/>
  <c r="AO40" i="16"/>
  <c r="AO41" i="16"/>
  <c r="AO42" i="16"/>
  <c r="AO43" i="16"/>
  <c r="AO44" i="16"/>
  <c r="AO45" i="16"/>
  <c r="AO46" i="16"/>
  <c r="AO47" i="16"/>
  <c r="AO48" i="16"/>
  <c r="AO49" i="16"/>
  <c r="AO50" i="16"/>
  <c r="AO51" i="16"/>
  <c r="AO52" i="16"/>
  <c r="AO53" i="16"/>
  <c r="AO54" i="16"/>
  <c r="AO55" i="16"/>
  <c r="AO56" i="16"/>
  <c r="AO57" i="16"/>
  <c r="AO58" i="16"/>
  <c r="AO59" i="16"/>
  <c r="AO60" i="16"/>
  <c r="AO61" i="16"/>
  <c r="AO62" i="16"/>
  <c r="AO63" i="16"/>
  <c r="AO64" i="16"/>
  <c r="AO65" i="16"/>
  <c r="AO66" i="16"/>
  <c r="AO67" i="16"/>
  <c r="AO68" i="16"/>
  <c r="AO69" i="16"/>
  <c r="AO70" i="16"/>
  <c r="AO71" i="16"/>
  <c r="AO72" i="16"/>
  <c r="AO73" i="16"/>
  <c r="AO74" i="16"/>
  <c r="AO75" i="16"/>
  <c r="AO76" i="16"/>
  <c r="AO77" i="16"/>
  <c r="AO78" i="16"/>
  <c r="AO79" i="16"/>
  <c r="AO80" i="16"/>
  <c r="AO81" i="16"/>
  <c r="AO82" i="16"/>
  <c r="AO83" i="16"/>
  <c r="AO84" i="16"/>
  <c r="AO85" i="16"/>
  <c r="AO86" i="16"/>
  <c r="AO87" i="16"/>
  <c r="AO88" i="16"/>
  <c r="AO89" i="16"/>
  <c r="AO90" i="16"/>
  <c r="AO91" i="16"/>
  <c r="AO92" i="16"/>
  <c r="AO93" i="16"/>
  <c r="AO94" i="16"/>
  <c r="AO95" i="16"/>
  <c r="AO96" i="16"/>
  <c r="AO97" i="16"/>
  <c r="AO98" i="16"/>
  <c r="AO99" i="16"/>
  <c r="AO100" i="16"/>
  <c r="AO101" i="16"/>
  <c r="AO102" i="16"/>
  <c r="AO103" i="16"/>
  <c r="AO104" i="16"/>
  <c r="AO105" i="16"/>
  <c r="AO106" i="16"/>
  <c r="AO107" i="16"/>
  <c r="AO108" i="16"/>
  <c r="AO109" i="16"/>
  <c r="AO110" i="16"/>
  <c r="AO111" i="16"/>
  <c r="AO112" i="16"/>
  <c r="AO113" i="16"/>
  <c r="AO114" i="16"/>
  <c r="AO115" i="16"/>
  <c r="AO116" i="16"/>
  <c r="AO117" i="16"/>
  <c r="AO118" i="16"/>
  <c r="AO119" i="16"/>
  <c r="AO120" i="16"/>
  <c r="AO121" i="16"/>
  <c r="AO122" i="16"/>
  <c r="AO123" i="16"/>
  <c r="AO124" i="16"/>
  <c r="AO125" i="16"/>
  <c r="AO126" i="16"/>
  <c r="AO127" i="16"/>
  <c r="AO128" i="16"/>
  <c r="AO129" i="16"/>
  <c r="AO130" i="16"/>
  <c r="AO131" i="16"/>
  <c r="AO132" i="16"/>
  <c r="AO133" i="16"/>
  <c r="AO134" i="16"/>
  <c r="AO135" i="16"/>
  <c r="AO136" i="16"/>
  <c r="AO137" i="16"/>
  <c r="AO138" i="16"/>
  <c r="AO139" i="16"/>
  <c r="AO140" i="16"/>
  <c r="AO141" i="16"/>
  <c r="AO142" i="16"/>
  <c r="AO143" i="16"/>
  <c r="AO144" i="16"/>
  <c r="AO145" i="16"/>
  <c r="AO146" i="16"/>
  <c r="AO147" i="16"/>
  <c r="AO148" i="16"/>
  <c r="AO149" i="16"/>
  <c r="AO150" i="16"/>
  <c r="AO151" i="16"/>
  <c r="AO152" i="16"/>
  <c r="AO153" i="16"/>
  <c r="AO154" i="16"/>
  <c r="AO155" i="16"/>
  <c r="AO156" i="16"/>
  <c r="AO157" i="16"/>
  <c r="AO158" i="16"/>
  <c r="AO159" i="16"/>
  <c r="AO160" i="16"/>
  <c r="AO161" i="16"/>
  <c r="AO162" i="16"/>
  <c r="AO163" i="16"/>
  <c r="AO164" i="16"/>
  <c r="AO165" i="16"/>
  <c r="AO166" i="16"/>
  <c r="AO167" i="16"/>
  <c r="AO168" i="16"/>
  <c r="AO169" i="16"/>
  <c r="AO170" i="16"/>
  <c r="AO171" i="16"/>
  <c r="AO172" i="16"/>
  <c r="AO173" i="16"/>
  <c r="AO174" i="16"/>
  <c r="AO175" i="16"/>
  <c r="AO176" i="16"/>
  <c r="AO177" i="16"/>
  <c r="AO178" i="16"/>
  <c r="AO179" i="16"/>
  <c r="AO180" i="16"/>
  <c r="AO181" i="16"/>
  <c r="AO182" i="16"/>
  <c r="AO183" i="16"/>
  <c r="AO184" i="16"/>
  <c r="AO185" i="16"/>
  <c r="AO186" i="16"/>
  <c r="AO187" i="16"/>
  <c r="AO188" i="16"/>
  <c r="AO189" i="16"/>
  <c r="AO190" i="16"/>
  <c r="AO191" i="16"/>
  <c r="AO192" i="16"/>
  <c r="AO193" i="16"/>
  <c r="AO194" i="16"/>
  <c r="AO195" i="16"/>
  <c r="AO196" i="16"/>
  <c r="AO197" i="16"/>
  <c r="AO198" i="16"/>
  <c r="AO199" i="16"/>
  <c r="AO200" i="16"/>
  <c r="AO201" i="16"/>
  <c r="AO202" i="16"/>
  <c r="AO203" i="16"/>
  <c r="AO204" i="16"/>
  <c r="AO205" i="16"/>
  <c r="AO206" i="16"/>
  <c r="AO207" i="16"/>
  <c r="AO208" i="16"/>
  <c r="AO209" i="16"/>
  <c r="AO210" i="16"/>
  <c r="AO211" i="16"/>
  <c r="AO212" i="16"/>
  <c r="AO213" i="16"/>
  <c r="AO214" i="16"/>
  <c r="AO215" i="16"/>
  <c r="AO216" i="16"/>
  <c r="AO217" i="16"/>
  <c r="AO218" i="16"/>
  <c r="AO219" i="16"/>
  <c r="AO220" i="16"/>
  <c r="AO221" i="16"/>
  <c r="AO222" i="16"/>
  <c r="AO223" i="16"/>
  <c r="AO224" i="16"/>
  <c r="AO225" i="16"/>
  <c r="AO226" i="16"/>
  <c r="AO227" i="16"/>
  <c r="AO228" i="16"/>
  <c r="AO229" i="16"/>
  <c r="AO230" i="16"/>
  <c r="AO231" i="16"/>
  <c r="AO232" i="16"/>
  <c r="AO233" i="16"/>
  <c r="AO234" i="16"/>
  <c r="AO235" i="16"/>
  <c r="AO236" i="16"/>
  <c r="AO237" i="16"/>
  <c r="AO238" i="16"/>
  <c r="AO239" i="16"/>
  <c r="AO240" i="16"/>
  <c r="AO241" i="16"/>
  <c r="AO242" i="16"/>
  <c r="AO243" i="16"/>
  <c r="AO244" i="16"/>
  <c r="AO245" i="16"/>
  <c r="AO246" i="16"/>
  <c r="AO247" i="16"/>
  <c r="AO248" i="16"/>
  <c r="AO249" i="16"/>
  <c r="AO250" i="16"/>
  <c r="AO251" i="16"/>
  <c r="AO252" i="16"/>
  <c r="AO253" i="16"/>
  <c r="AO254" i="16"/>
  <c r="AO255" i="16"/>
  <c r="AO256" i="16"/>
  <c r="AO257" i="16"/>
  <c r="AO258" i="16"/>
  <c r="AO259" i="16"/>
  <c r="AO260" i="16"/>
  <c r="AO261" i="16"/>
  <c r="AO262" i="16"/>
  <c r="AO263" i="16"/>
  <c r="AO264" i="16"/>
  <c r="AO265" i="16"/>
  <c r="AO266" i="16"/>
  <c r="AO267" i="16"/>
  <c r="AO268" i="16"/>
  <c r="AO269" i="16"/>
  <c r="AO270" i="16"/>
  <c r="AO271" i="16"/>
  <c r="AO272" i="16"/>
  <c r="AO273" i="16"/>
  <c r="AO274" i="16"/>
  <c r="AO275" i="16"/>
  <c r="AO276" i="16"/>
  <c r="AO277" i="16"/>
  <c r="AO278" i="16"/>
  <c r="AO279" i="16"/>
  <c r="AO280" i="16"/>
  <c r="AO281" i="16"/>
  <c r="AO282" i="16"/>
  <c r="AO283" i="16"/>
  <c r="AO284" i="16"/>
  <c r="AO285" i="16"/>
  <c r="AO286" i="16"/>
  <c r="AO287" i="16"/>
  <c r="AO288" i="16"/>
  <c r="AO289" i="16"/>
  <c r="AO290" i="16"/>
  <c r="AO291" i="16"/>
  <c r="AO292" i="16"/>
  <c r="AO293" i="16"/>
  <c r="AO294" i="16"/>
  <c r="AO295" i="16"/>
  <c r="AO296" i="16"/>
  <c r="AO297" i="16"/>
  <c r="AO298" i="16"/>
  <c r="AO299" i="16"/>
  <c r="AO300" i="16"/>
  <c r="AO301" i="16"/>
  <c r="AO302" i="16"/>
  <c r="AO303" i="16"/>
  <c r="AO304" i="16"/>
  <c r="AO305" i="16"/>
  <c r="AO306" i="16"/>
  <c r="AO307" i="16"/>
  <c r="AO308" i="16"/>
  <c r="AO309" i="16"/>
  <c r="AO310" i="16"/>
  <c r="AO311" i="16"/>
  <c r="AO312" i="16"/>
  <c r="AO313" i="16"/>
  <c r="AO314" i="16"/>
  <c r="AO315" i="16"/>
  <c r="AO316" i="16"/>
  <c r="AO317" i="16"/>
  <c r="AO318" i="16"/>
  <c r="AO319" i="16"/>
  <c r="AO320" i="16"/>
  <c r="AO321" i="16"/>
  <c r="AO322" i="16"/>
  <c r="AO323" i="16"/>
  <c r="AO324" i="16"/>
  <c r="AO325" i="16"/>
  <c r="AO326" i="16"/>
  <c r="AO327" i="16"/>
  <c r="AO328" i="16"/>
  <c r="AO329" i="16"/>
  <c r="AO330" i="16"/>
  <c r="AO331" i="16"/>
  <c r="AO332" i="16"/>
  <c r="AO333" i="16"/>
  <c r="AO334" i="16"/>
  <c r="AO335" i="16"/>
  <c r="AO336" i="16"/>
  <c r="AO337" i="16"/>
  <c r="AO338" i="16"/>
  <c r="AO339" i="16"/>
  <c r="AO340" i="16"/>
  <c r="AO341" i="16"/>
  <c r="AO342" i="16"/>
  <c r="AO343" i="16"/>
  <c r="AO344" i="16"/>
  <c r="AO345" i="16"/>
  <c r="AO346" i="16"/>
  <c r="AO347" i="16"/>
  <c r="AO348" i="16"/>
  <c r="AO349" i="16"/>
  <c r="AO350" i="16"/>
  <c r="AO351" i="16"/>
  <c r="AO352" i="16"/>
  <c r="AO353" i="16"/>
  <c r="AO354" i="16"/>
  <c r="AO355" i="16"/>
  <c r="AO356" i="16"/>
  <c r="AO357" i="16"/>
  <c r="AO358" i="16"/>
  <c r="AO359" i="16"/>
  <c r="AO360" i="16"/>
  <c r="AO361" i="16"/>
  <c r="AO362" i="16"/>
  <c r="AO363" i="16"/>
  <c r="AO364" i="16"/>
  <c r="AO365" i="16"/>
  <c r="AO366" i="16"/>
  <c r="AO367" i="16"/>
  <c r="AO368" i="16"/>
  <c r="AO369" i="16"/>
  <c r="AO370" i="16"/>
  <c r="AO371" i="16"/>
  <c r="AO372" i="16"/>
  <c r="AO373" i="16"/>
  <c r="AO374" i="16"/>
  <c r="AO375" i="16"/>
  <c r="AO376" i="16"/>
  <c r="AO377" i="16"/>
  <c r="AO378" i="16"/>
  <c r="AO379" i="16"/>
  <c r="AO380" i="16"/>
  <c r="AO381" i="16"/>
  <c r="AO382" i="16"/>
  <c r="AO383" i="16"/>
  <c r="AO384" i="16"/>
  <c r="AO385" i="16"/>
  <c r="AO386" i="16"/>
  <c r="AO387" i="16"/>
  <c r="AO388" i="16"/>
  <c r="AO389" i="16"/>
  <c r="AO390" i="16"/>
  <c r="AO391" i="16"/>
  <c r="AO392" i="16"/>
  <c r="AO393" i="16"/>
  <c r="AO394" i="16"/>
  <c r="AO395" i="16"/>
  <c r="AO396" i="16"/>
  <c r="AO397" i="16"/>
  <c r="AO398" i="16"/>
  <c r="AO399" i="16"/>
  <c r="AO400" i="16"/>
  <c r="AO401" i="16"/>
  <c r="AO402" i="16"/>
  <c r="AO403" i="16"/>
  <c r="AO404" i="16"/>
  <c r="AO405" i="16"/>
  <c r="AO406" i="16"/>
  <c r="AO407" i="16"/>
  <c r="AO408" i="16"/>
  <c r="AO409" i="16"/>
  <c r="AO410" i="16"/>
  <c r="AO411" i="16"/>
  <c r="AO412" i="16"/>
  <c r="AO413" i="16"/>
  <c r="AO414" i="16"/>
  <c r="AO415" i="16"/>
  <c r="AO416" i="16"/>
  <c r="AO417" i="16"/>
  <c r="AO418" i="16"/>
  <c r="AO419" i="16"/>
  <c r="AO420" i="16"/>
  <c r="AO421" i="16"/>
  <c r="AO422" i="16"/>
  <c r="AO423" i="16"/>
  <c r="AO424" i="16"/>
  <c r="AO425" i="16"/>
  <c r="AO426" i="16"/>
  <c r="AO427" i="16"/>
  <c r="AO428" i="16"/>
  <c r="AO429" i="16"/>
  <c r="AO430" i="16"/>
  <c r="AO431" i="16"/>
  <c r="AO432" i="16"/>
  <c r="AO433" i="16"/>
  <c r="AO434" i="16"/>
  <c r="AO435" i="16"/>
  <c r="AO436" i="16"/>
  <c r="AO437" i="16"/>
  <c r="AO438" i="16"/>
  <c r="AO439" i="16"/>
  <c r="AO440" i="16"/>
  <c r="AO441" i="16"/>
  <c r="AO442" i="16"/>
  <c r="AO443" i="16"/>
  <c r="AO444" i="16"/>
  <c r="AO445" i="16"/>
  <c r="AO446" i="16"/>
  <c r="AO447" i="16"/>
  <c r="AO448" i="16"/>
  <c r="AO449" i="16"/>
  <c r="AO450" i="16"/>
  <c r="AO451" i="16"/>
  <c r="AO452" i="16"/>
  <c r="AO453" i="16"/>
  <c r="AO454" i="16"/>
  <c r="AO455" i="16"/>
  <c r="AO456" i="16"/>
  <c r="AO457" i="16"/>
  <c r="AO458" i="16"/>
  <c r="AO459" i="16"/>
  <c r="AO460" i="16"/>
  <c r="AO461" i="16"/>
  <c r="AO462" i="16"/>
  <c r="AO463" i="16"/>
  <c r="AO464" i="16"/>
  <c r="AO465" i="16"/>
  <c r="AO466" i="16"/>
  <c r="AO467" i="16"/>
  <c r="AO468" i="16"/>
  <c r="AO469" i="16"/>
  <c r="AO470" i="16"/>
  <c r="AO471" i="16"/>
  <c r="AO472" i="16"/>
  <c r="AO473" i="16"/>
  <c r="AO474" i="16"/>
  <c r="AO475" i="16"/>
  <c r="AO476" i="16"/>
  <c r="AO477" i="16"/>
  <c r="AO478" i="16"/>
  <c r="AO479" i="16"/>
  <c r="AO480" i="16"/>
  <c r="AO481" i="16"/>
  <c r="AO482" i="16"/>
  <c r="AO483" i="16"/>
  <c r="AO484" i="16"/>
  <c r="AO485" i="16"/>
  <c r="AO486" i="16"/>
  <c r="AO487" i="16"/>
  <c r="AO488" i="16"/>
  <c r="AO489" i="16"/>
  <c r="AO490" i="16"/>
  <c r="AO491" i="16"/>
  <c r="AO492" i="16"/>
  <c r="AO493" i="16"/>
  <c r="AO494" i="16"/>
  <c r="AO495" i="16"/>
  <c r="AO496" i="16"/>
  <c r="AO497" i="16"/>
  <c r="AO498" i="16"/>
  <c r="AO499" i="16"/>
  <c r="AO500" i="16"/>
  <c r="AO501" i="16"/>
  <c r="AO502" i="16"/>
  <c r="AO503" i="16"/>
  <c r="AO504" i="16"/>
  <c r="AO505" i="16"/>
  <c r="AO506" i="16"/>
  <c r="AO507" i="16"/>
  <c r="AO508" i="16"/>
  <c r="AO509" i="16"/>
  <c r="AO510" i="16"/>
  <c r="AO511" i="16"/>
  <c r="AO512" i="16"/>
  <c r="AO513" i="16"/>
  <c r="AO514" i="16"/>
  <c r="AO515" i="16"/>
  <c r="AO516" i="16"/>
  <c r="AO517" i="16"/>
  <c r="AO518" i="16"/>
  <c r="AO519" i="16"/>
  <c r="AO520" i="16"/>
  <c r="AO521" i="16"/>
  <c r="AO522" i="16"/>
  <c r="AO523" i="16"/>
  <c r="AO524" i="16"/>
  <c r="AO525" i="16"/>
  <c r="AO526" i="16"/>
  <c r="AO527" i="16"/>
  <c r="AO528" i="16"/>
  <c r="AO529" i="16"/>
  <c r="AO530" i="16"/>
  <c r="AO531" i="16"/>
  <c r="AO532" i="16"/>
  <c r="AO533" i="16"/>
  <c r="AO534" i="16"/>
  <c r="AO535" i="16"/>
  <c r="AO536" i="16"/>
  <c r="AO537" i="16"/>
  <c r="AO538" i="16"/>
  <c r="AO539" i="16"/>
  <c r="AO540" i="16"/>
  <c r="AO541" i="16"/>
  <c r="AO542" i="16"/>
  <c r="AO543" i="16"/>
  <c r="AO544" i="16"/>
  <c r="AO545" i="16"/>
  <c r="AO546" i="16"/>
  <c r="AO547" i="16"/>
  <c r="AO548" i="16"/>
  <c r="AO549" i="16"/>
  <c r="AO550" i="16"/>
  <c r="AO551" i="16"/>
  <c r="AO552" i="16"/>
  <c r="AO553" i="16"/>
  <c r="AO554" i="16"/>
  <c r="AO555" i="16"/>
  <c r="AO556" i="16"/>
  <c r="AO557" i="16"/>
  <c r="AO558" i="16"/>
  <c r="AO559" i="16"/>
  <c r="AO560" i="16"/>
  <c r="AO561" i="16"/>
  <c r="AO562" i="16"/>
  <c r="AO563" i="16"/>
  <c r="AO564" i="16"/>
  <c r="AO565" i="16"/>
  <c r="AO566" i="16"/>
  <c r="AO567" i="16"/>
  <c r="AO568" i="16"/>
  <c r="AO569" i="16"/>
  <c r="AO570" i="16"/>
  <c r="AO571" i="16"/>
  <c r="AO572" i="16"/>
  <c r="AO573" i="16"/>
  <c r="AO574" i="16"/>
  <c r="AO575" i="16"/>
  <c r="AO576" i="16"/>
  <c r="AO577" i="16"/>
  <c r="AO578" i="16"/>
  <c r="AO579" i="16"/>
  <c r="AO580" i="16"/>
  <c r="AO581" i="16"/>
  <c r="AO582" i="16"/>
  <c r="AO583" i="16"/>
  <c r="AO584" i="16"/>
  <c r="AO585" i="16"/>
  <c r="AO586" i="16"/>
  <c r="AO587" i="16"/>
  <c r="AO588" i="16"/>
  <c r="AO589" i="16"/>
  <c r="AO590" i="16"/>
  <c r="AO591" i="16"/>
  <c r="AO592" i="16"/>
  <c r="AO593" i="16"/>
  <c r="AO594" i="16"/>
  <c r="AO595" i="16"/>
  <c r="AO596" i="16"/>
  <c r="AO597" i="16"/>
  <c r="AO598" i="16"/>
  <c r="AO599" i="16"/>
  <c r="AO600" i="16"/>
  <c r="AO601" i="16"/>
  <c r="AO602" i="16"/>
  <c r="AO603" i="16"/>
  <c r="AO604" i="16"/>
  <c r="AO605" i="16"/>
  <c r="AO606" i="16"/>
  <c r="AO607" i="16"/>
  <c r="AO608" i="16"/>
  <c r="AO609" i="16"/>
  <c r="AO610" i="16"/>
  <c r="AO611" i="16"/>
  <c r="AO612" i="16"/>
  <c r="AO613" i="16"/>
  <c r="AO614" i="16"/>
  <c r="AO615" i="16"/>
  <c r="AO616" i="16"/>
  <c r="AO617" i="16"/>
  <c r="AO618" i="16"/>
  <c r="AO619" i="16"/>
  <c r="AO620" i="16"/>
  <c r="AO621" i="16"/>
  <c r="AO622" i="16"/>
  <c r="AO623" i="16"/>
  <c r="AO624" i="16"/>
  <c r="AO625" i="16"/>
  <c r="AO626" i="16"/>
  <c r="AO627" i="16"/>
  <c r="AP24" i="16"/>
  <c r="AP25" i="16"/>
  <c r="AP26" i="16"/>
  <c r="AP27" i="16"/>
  <c r="AP28" i="16"/>
  <c r="AP29" i="16"/>
  <c r="AP30" i="16"/>
  <c r="AP31" i="16"/>
  <c r="AP32" i="16"/>
  <c r="AP33" i="16"/>
  <c r="AP34" i="16"/>
  <c r="AP35" i="16"/>
  <c r="AP36" i="16"/>
  <c r="AP37" i="16"/>
  <c r="AP38" i="16"/>
  <c r="AP39" i="16"/>
  <c r="AP40" i="16"/>
  <c r="AP41" i="16"/>
  <c r="AP42" i="16"/>
  <c r="AP43" i="16"/>
  <c r="AP44" i="16"/>
  <c r="AP45" i="16"/>
  <c r="AP46" i="16"/>
  <c r="AP47" i="16"/>
  <c r="AP48" i="16"/>
  <c r="AP49" i="16"/>
  <c r="AP50" i="16"/>
  <c r="AP51" i="16"/>
  <c r="AP52" i="16"/>
  <c r="AP53" i="16"/>
  <c r="AP54" i="16"/>
  <c r="AP55" i="16"/>
  <c r="AP56" i="16"/>
  <c r="AP57" i="16"/>
  <c r="AP58" i="16"/>
  <c r="AP59" i="16"/>
  <c r="AP60" i="16"/>
  <c r="AP61" i="16"/>
  <c r="AP62" i="16"/>
  <c r="AP63" i="16"/>
  <c r="AP64" i="16"/>
  <c r="AP65" i="16"/>
  <c r="AP66" i="16"/>
  <c r="AP67" i="16"/>
  <c r="AP68" i="16"/>
  <c r="AP69" i="16"/>
  <c r="AP70" i="16"/>
  <c r="AP71" i="16"/>
  <c r="AP72" i="16"/>
  <c r="AP73" i="16"/>
  <c r="AP74" i="16"/>
  <c r="AP75" i="16"/>
  <c r="AP76" i="16"/>
  <c r="AP77" i="16"/>
  <c r="AP78" i="16"/>
  <c r="AP79" i="16"/>
  <c r="AP80" i="16"/>
  <c r="AP81" i="16"/>
  <c r="AP82" i="16"/>
  <c r="AP83" i="16"/>
  <c r="AP84" i="16"/>
  <c r="AP85" i="16"/>
  <c r="AP86" i="16"/>
  <c r="AP87" i="16"/>
  <c r="AP88" i="16"/>
  <c r="AP89" i="16"/>
  <c r="AP90" i="16"/>
  <c r="AP91" i="16"/>
  <c r="AP92" i="16"/>
  <c r="AP93" i="16"/>
  <c r="AP94" i="16"/>
  <c r="AP95" i="16"/>
  <c r="AP96" i="16"/>
  <c r="AP97" i="16"/>
  <c r="AP98" i="16"/>
  <c r="AP99" i="16"/>
  <c r="AP100" i="16"/>
  <c r="AP101" i="16"/>
  <c r="AP102" i="16"/>
  <c r="AP103" i="16"/>
  <c r="AP104" i="16"/>
  <c r="AP105" i="16"/>
  <c r="AP106" i="16"/>
  <c r="AP107" i="16"/>
  <c r="AP108" i="16"/>
  <c r="AP109" i="16"/>
  <c r="AP110" i="16"/>
  <c r="AP111" i="16"/>
  <c r="AP112" i="16"/>
  <c r="AP113" i="16"/>
  <c r="AP114" i="16"/>
  <c r="AP115" i="16"/>
  <c r="AP116" i="16"/>
  <c r="AP117" i="16"/>
  <c r="AP118" i="16"/>
  <c r="AP119" i="16"/>
  <c r="AP120" i="16"/>
  <c r="AP121" i="16"/>
  <c r="AP122" i="16"/>
  <c r="AP123" i="16"/>
  <c r="AP124" i="16"/>
  <c r="AP125" i="16"/>
  <c r="AP126" i="16"/>
  <c r="AP127" i="16"/>
  <c r="AP128" i="16"/>
  <c r="AP129" i="16"/>
  <c r="AP130" i="16"/>
  <c r="AP131" i="16"/>
  <c r="AP132" i="16"/>
  <c r="AP133" i="16"/>
  <c r="AP134" i="16"/>
  <c r="AP135" i="16"/>
  <c r="AP136" i="16"/>
  <c r="AP137" i="16"/>
  <c r="AP138" i="16"/>
  <c r="AP139" i="16"/>
  <c r="AP140" i="16"/>
  <c r="AP141" i="16"/>
  <c r="AP142" i="16"/>
  <c r="AP143" i="16"/>
  <c r="AP144" i="16"/>
  <c r="AP145" i="16"/>
  <c r="AP146" i="16"/>
  <c r="AP147" i="16"/>
  <c r="AP148" i="16"/>
  <c r="AP149" i="16"/>
  <c r="AP150" i="16"/>
  <c r="AP151" i="16"/>
  <c r="AP152" i="16"/>
  <c r="AP153" i="16"/>
  <c r="AP154" i="16"/>
  <c r="AP155" i="16"/>
  <c r="AP156" i="16"/>
  <c r="AP157" i="16"/>
  <c r="AP158" i="16"/>
  <c r="AP159" i="16"/>
  <c r="AP160" i="16"/>
  <c r="AP161" i="16"/>
  <c r="AP162" i="16"/>
  <c r="AP163" i="16"/>
  <c r="AP164" i="16"/>
  <c r="AP165" i="16"/>
  <c r="AP166" i="16"/>
  <c r="AP167" i="16"/>
  <c r="AP168" i="16"/>
  <c r="AP169" i="16"/>
  <c r="AP170" i="16"/>
  <c r="AP171" i="16"/>
  <c r="AP172" i="16"/>
  <c r="AP173" i="16"/>
  <c r="AP174" i="16"/>
  <c r="AP175" i="16"/>
  <c r="AP176" i="16"/>
  <c r="AP177" i="16"/>
  <c r="AP178" i="16"/>
  <c r="AP179" i="16"/>
  <c r="AP180" i="16"/>
  <c r="AP181" i="16"/>
  <c r="AP182" i="16"/>
  <c r="AP183" i="16"/>
  <c r="AP184" i="16"/>
  <c r="AP185" i="16"/>
  <c r="AP186" i="16"/>
  <c r="AP187" i="16"/>
  <c r="AP188" i="16"/>
  <c r="AP189" i="16"/>
  <c r="AP190" i="16"/>
  <c r="AP191" i="16"/>
  <c r="AP192" i="16"/>
  <c r="AP193" i="16"/>
  <c r="AP194" i="16"/>
  <c r="AP195" i="16"/>
  <c r="AP196" i="16"/>
  <c r="AP197" i="16"/>
  <c r="AP198" i="16"/>
  <c r="AP199" i="16"/>
  <c r="AP200" i="16"/>
  <c r="AP201" i="16"/>
  <c r="AP202" i="16"/>
  <c r="AP203" i="16"/>
  <c r="AP204" i="16"/>
  <c r="AP205" i="16"/>
  <c r="AP206" i="16"/>
  <c r="AP207" i="16"/>
  <c r="AP208" i="16"/>
  <c r="AP209" i="16"/>
  <c r="AP210" i="16"/>
  <c r="AP211" i="16"/>
  <c r="AP212" i="16"/>
  <c r="AP213" i="16"/>
  <c r="AP214" i="16"/>
  <c r="AP215" i="16"/>
  <c r="AP216" i="16"/>
  <c r="AP217" i="16"/>
  <c r="AP218" i="16"/>
  <c r="AP219" i="16"/>
  <c r="AP220" i="16"/>
  <c r="AP221" i="16"/>
  <c r="AP222" i="16"/>
  <c r="AP223" i="16"/>
  <c r="AP224" i="16"/>
  <c r="AP225" i="16"/>
  <c r="AP226" i="16"/>
  <c r="AP227" i="16"/>
  <c r="AP228" i="16"/>
  <c r="AP229" i="16"/>
  <c r="AP230" i="16"/>
  <c r="AP231" i="16"/>
  <c r="AP232" i="16"/>
  <c r="AP233" i="16"/>
  <c r="AP234" i="16"/>
  <c r="AP235" i="16"/>
  <c r="AP236" i="16"/>
  <c r="AP237" i="16"/>
  <c r="AP238" i="16"/>
  <c r="AP239" i="16"/>
  <c r="AP240" i="16"/>
  <c r="AP241" i="16"/>
  <c r="AP242" i="16"/>
  <c r="AP243" i="16"/>
  <c r="AP244" i="16"/>
  <c r="AP245" i="16"/>
  <c r="AP246" i="16"/>
  <c r="AP247" i="16"/>
  <c r="AP248" i="16"/>
  <c r="AP249" i="16"/>
  <c r="AP250" i="16"/>
  <c r="AP251" i="16"/>
  <c r="AP252" i="16"/>
  <c r="AP253" i="16"/>
  <c r="AP254" i="16"/>
  <c r="AP255" i="16"/>
  <c r="AP256" i="16"/>
  <c r="AP257" i="16"/>
  <c r="AP258" i="16"/>
  <c r="AP259" i="16"/>
  <c r="AP260" i="16"/>
  <c r="AP261" i="16"/>
  <c r="AP262" i="16"/>
  <c r="AP263" i="16"/>
  <c r="AP264" i="16"/>
  <c r="AP265" i="16"/>
  <c r="AP266" i="16"/>
  <c r="AP267" i="16"/>
  <c r="AP268" i="16"/>
  <c r="AP269" i="16"/>
  <c r="AP270" i="16"/>
  <c r="AP271" i="16"/>
  <c r="AP272" i="16"/>
  <c r="AP273" i="16"/>
  <c r="AP274" i="16"/>
  <c r="AP275" i="16"/>
  <c r="AP276" i="16"/>
  <c r="AP277" i="16"/>
  <c r="AP278" i="16"/>
  <c r="AP279" i="16"/>
  <c r="AP280" i="16"/>
  <c r="AP281" i="16"/>
  <c r="AP282" i="16"/>
  <c r="AP283" i="16"/>
  <c r="AP284" i="16"/>
  <c r="AP285" i="16"/>
  <c r="AP286" i="16"/>
  <c r="AP287" i="16"/>
  <c r="AP288" i="16"/>
  <c r="AP289" i="16"/>
  <c r="AP290" i="16"/>
  <c r="AP291" i="16"/>
  <c r="AP292" i="16"/>
  <c r="AP293" i="16"/>
  <c r="AP294" i="16"/>
  <c r="AP295" i="16"/>
  <c r="AP296" i="16"/>
  <c r="AP297" i="16"/>
  <c r="AP298" i="16"/>
  <c r="AP299" i="16"/>
  <c r="AP300" i="16"/>
  <c r="AP301" i="16"/>
  <c r="AP302" i="16"/>
  <c r="AP303" i="16"/>
  <c r="AP304" i="16"/>
  <c r="AP305" i="16"/>
  <c r="AP306" i="16"/>
  <c r="AP307" i="16"/>
  <c r="AP308" i="16"/>
  <c r="AP309" i="16"/>
  <c r="AP310" i="16"/>
  <c r="AP311" i="16"/>
  <c r="AP312" i="16"/>
  <c r="AP313" i="16"/>
  <c r="AP314" i="16"/>
  <c r="AP315" i="16"/>
  <c r="AP316" i="16"/>
  <c r="AP317" i="16"/>
  <c r="AP318" i="16"/>
  <c r="AP319" i="16"/>
  <c r="AP320" i="16"/>
  <c r="AP321" i="16"/>
  <c r="AP322" i="16"/>
  <c r="AP323" i="16"/>
  <c r="AP324" i="16"/>
  <c r="AP325" i="16"/>
  <c r="AP326" i="16"/>
  <c r="AP327" i="16"/>
  <c r="AP328" i="16"/>
  <c r="AP329" i="16"/>
  <c r="AP330" i="16"/>
  <c r="AP331" i="16"/>
  <c r="AP332" i="16"/>
  <c r="AP333" i="16"/>
  <c r="AP334" i="16"/>
  <c r="AP335" i="16"/>
  <c r="AP336" i="16"/>
  <c r="AP337" i="16"/>
  <c r="AP338" i="16"/>
  <c r="AP339" i="16"/>
  <c r="AP340" i="16"/>
  <c r="AP341" i="16"/>
  <c r="AP342" i="16"/>
  <c r="AP343" i="16"/>
  <c r="AP344" i="16"/>
  <c r="AP345" i="16"/>
  <c r="AP346" i="16"/>
  <c r="AP347" i="16"/>
  <c r="AP348" i="16"/>
  <c r="AP349" i="16"/>
  <c r="AP350" i="16"/>
  <c r="AP351" i="16"/>
  <c r="AP352" i="16"/>
  <c r="AP353" i="16"/>
  <c r="AP354" i="16"/>
  <c r="AP355" i="16"/>
  <c r="AP356" i="16"/>
  <c r="AP357" i="16"/>
  <c r="AP358" i="16"/>
  <c r="AP359" i="16"/>
  <c r="AP360" i="16"/>
  <c r="AP361" i="16"/>
  <c r="AP362" i="16"/>
  <c r="AP363" i="16"/>
  <c r="AP364" i="16"/>
  <c r="AP365" i="16"/>
  <c r="AP366" i="16"/>
  <c r="AP367" i="16"/>
  <c r="AP368" i="16"/>
  <c r="AP369" i="16"/>
  <c r="AP370" i="16"/>
  <c r="AP371" i="16"/>
  <c r="AP372" i="16"/>
  <c r="AP373" i="16"/>
  <c r="AP374" i="16"/>
  <c r="AP375" i="16"/>
  <c r="AP376" i="16"/>
  <c r="AP377" i="16"/>
  <c r="AP378" i="16"/>
  <c r="AP379" i="16"/>
  <c r="AP380" i="16"/>
  <c r="AP381" i="16"/>
  <c r="AP382" i="16"/>
  <c r="AP383" i="16"/>
  <c r="AP384" i="16"/>
  <c r="AP385" i="16"/>
  <c r="AP386" i="16"/>
  <c r="AP387" i="16"/>
  <c r="AP388" i="16"/>
  <c r="AP389" i="16"/>
  <c r="AP390" i="16"/>
  <c r="AP391" i="16"/>
  <c r="AP392" i="16"/>
  <c r="AP393" i="16"/>
  <c r="AP394" i="16"/>
  <c r="AP395" i="16"/>
  <c r="AP396" i="16"/>
  <c r="AP397" i="16"/>
  <c r="AP398" i="16"/>
  <c r="AP399" i="16"/>
  <c r="AP400" i="16"/>
  <c r="AP401" i="16"/>
  <c r="AP402" i="16"/>
  <c r="AP403" i="16"/>
  <c r="AP404" i="16"/>
  <c r="AP405" i="16"/>
  <c r="AP406" i="16"/>
  <c r="AP407" i="16"/>
  <c r="AP408" i="16"/>
  <c r="AP409" i="16"/>
  <c r="AP410" i="16"/>
  <c r="AP411" i="16"/>
  <c r="AP412" i="16"/>
  <c r="AP413" i="16"/>
  <c r="AP414" i="16"/>
  <c r="AP415" i="16"/>
  <c r="AP416" i="16"/>
  <c r="AP417" i="16"/>
  <c r="AP418" i="16"/>
  <c r="AP419" i="16"/>
  <c r="AP420" i="16"/>
  <c r="AP421" i="16"/>
  <c r="AP422" i="16"/>
  <c r="AP423" i="16"/>
  <c r="AP424" i="16"/>
  <c r="AP425" i="16"/>
  <c r="AP426" i="16"/>
  <c r="AP427" i="16"/>
  <c r="AP428" i="16"/>
  <c r="AP429" i="16"/>
  <c r="AP430" i="16"/>
  <c r="AP431" i="16"/>
  <c r="AP432" i="16"/>
  <c r="AP433" i="16"/>
  <c r="AP434" i="16"/>
  <c r="AP435" i="16"/>
  <c r="AP436" i="16"/>
  <c r="AP437" i="16"/>
  <c r="AP438" i="16"/>
  <c r="AP439" i="16"/>
  <c r="AP440" i="16"/>
  <c r="AP441" i="16"/>
  <c r="AP442" i="16"/>
  <c r="AP443" i="16"/>
  <c r="AP444" i="16"/>
  <c r="AP445" i="16"/>
  <c r="AP446" i="16"/>
  <c r="AP447" i="16"/>
  <c r="AP448" i="16"/>
  <c r="AP449" i="16"/>
  <c r="AP450" i="16"/>
  <c r="AP451" i="16"/>
  <c r="AP452" i="16"/>
  <c r="AP453" i="16"/>
  <c r="AP454" i="16"/>
  <c r="AP455" i="16"/>
  <c r="AP456" i="16"/>
  <c r="AP457" i="16"/>
  <c r="AP458" i="16"/>
  <c r="AP459" i="16"/>
  <c r="AP460" i="16"/>
  <c r="AP461" i="16"/>
  <c r="AP462" i="16"/>
  <c r="AP463" i="16"/>
  <c r="AP464" i="16"/>
  <c r="AP465" i="16"/>
  <c r="AP466" i="16"/>
  <c r="AP467" i="16"/>
  <c r="AP468" i="16"/>
  <c r="AP469" i="16"/>
  <c r="AP470" i="16"/>
  <c r="AP471" i="16"/>
  <c r="AP472" i="16"/>
  <c r="AP473" i="16"/>
  <c r="AP474" i="16"/>
  <c r="AP475" i="16"/>
  <c r="AP476" i="16"/>
  <c r="AP477" i="16"/>
  <c r="AP478" i="16"/>
  <c r="AP479" i="16"/>
  <c r="AP480" i="16"/>
  <c r="AP481" i="16"/>
  <c r="AP482" i="16"/>
  <c r="AP483" i="16"/>
  <c r="AP484" i="16"/>
  <c r="AP485" i="16"/>
  <c r="AP486" i="16"/>
  <c r="AP487" i="16"/>
  <c r="AP488" i="16"/>
  <c r="AP489" i="16"/>
  <c r="AP490" i="16"/>
  <c r="AP491" i="16"/>
  <c r="AP492" i="16"/>
  <c r="AP493" i="16"/>
  <c r="AP494" i="16"/>
  <c r="AP495" i="16"/>
  <c r="AP496" i="16"/>
  <c r="AP497" i="16"/>
  <c r="AP498" i="16"/>
  <c r="AP499" i="16"/>
  <c r="AP500" i="16"/>
  <c r="AP501" i="16"/>
  <c r="AP502" i="16"/>
  <c r="AP503" i="16"/>
  <c r="AP504" i="16"/>
  <c r="AP505" i="16"/>
  <c r="AP506" i="16"/>
  <c r="AP507" i="16"/>
  <c r="AP508" i="16"/>
  <c r="AP509" i="16"/>
  <c r="AP510" i="16"/>
  <c r="AP511" i="16"/>
  <c r="AP512" i="16"/>
  <c r="AP513" i="16"/>
  <c r="AP514" i="16"/>
  <c r="AP515" i="16"/>
  <c r="AP516" i="16"/>
  <c r="AP517" i="16"/>
  <c r="AP518" i="16"/>
  <c r="AP519" i="16"/>
  <c r="AP520" i="16"/>
  <c r="AP521" i="16"/>
  <c r="AP522" i="16"/>
  <c r="AP523" i="16"/>
  <c r="AP524" i="16"/>
  <c r="AP525" i="16"/>
  <c r="AP526" i="16"/>
  <c r="AP527" i="16"/>
  <c r="AP528" i="16"/>
  <c r="AP529" i="16"/>
  <c r="AP530" i="16"/>
  <c r="AP531" i="16"/>
  <c r="AP532" i="16"/>
  <c r="AP533" i="16"/>
  <c r="AP534" i="16"/>
  <c r="AP535" i="16"/>
  <c r="AP536" i="16"/>
  <c r="AP537" i="16"/>
  <c r="AP538" i="16"/>
  <c r="AP539" i="16"/>
  <c r="AP540" i="16"/>
  <c r="AP541" i="16"/>
  <c r="AP542" i="16"/>
  <c r="AP543" i="16"/>
  <c r="AP544" i="16"/>
  <c r="AP545" i="16"/>
  <c r="AP546" i="16"/>
  <c r="AP547" i="16"/>
  <c r="AP548" i="16"/>
  <c r="AP549" i="16"/>
  <c r="AP550" i="16"/>
  <c r="AP551" i="16"/>
  <c r="AP552" i="16"/>
  <c r="AP553" i="16"/>
  <c r="AP554" i="16"/>
  <c r="AP555" i="16"/>
  <c r="AP556" i="16"/>
  <c r="AP557" i="16"/>
  <c r="AP558" i="16"/>
  <c r="AP559" i="16"/>
  <c r="AP560" i="16"/>
  <c r="AP561" i="16"/>
  <c r="AP562" i="16"/>
  <c r="AP563" i="16"/>
  <c r="AP564" i="16"/>
  <c r="AP565" i="16"/>
  <c r="AP566" i="16"/>
  <c r="AP567" i="16"/>
  <c r="AP568" i="16"/>
  <c r="AP569" i="16"/>
  <c r="AP570" i="16"/>
  <c r="AP571" i="16"/>
  <c r="AP572" i="16"/>
  <c r="AP573" i="16"/>
  <c r="AP574" i="16"/>
  <c r="AP575" i="16"/>
  <c r="AP576" i="16"/>
  <c r="AP577" i="16"/>
  <c r="AP578" i="16"/>
  <c r="AP579" i="16"/>
  <c r="AP580" i="16"/>
  <c r="AP581" i="16"/>
  <c r="AP582" i="16"/>
  <c r="AP583" i="16"/>
  <c r="AP584" i="16"/>
  <c r="AP585" i="16"/>
  <c r="AP586" i="16"/>
  <c r="AP587" i="16"/>
  <c r="AP588" i="16"/>
  <c r="AP589" i="16"/>
  <c r="AP590" i="16"/>
  <c r="AP591" i="16"/>
  <c r="AP592" i="16"/>
  <c r="AP593" i="16"/>
  <c r="AP594" i="16"/>
  <c r="AP595" i="16"/>
  <c r="AP596" i="16"/>
  <c r="AP597" i="16"/>
  <c r="AP598" i="16"/>
  <c r="AP599" i="16"/>
  <c r="AP600" i="16"/>
  <c r="AP601" i="16"/>
  <c r="AP602" i="16"/>
  <c r="AP603" i="16"/>
  <c r="AP604" i="16"/>
  <c r="AP605" i="16"/>
  <c r="AP606" i="16"/>
  <c r="AP607" i="16"/>
  <c r="AP608" i="16"/>
  <c r="AP609" i="16"/>
  <c r="AP610" i="16"/>
  <c r="AP611" i="16"/>
  <c r="AP612" i="16"/>
  <c r="AP613" i="16"/>
  <c r="AP614" i="16"/>
  <c r="AP615" i="16"/>
  <c r="AP616" i="16"/>
  <c r="AP617" i="16"/>
  <c r="AP618" i="16"/>
  <c r="AP619" i="16"/>
  <c r="AP620" i="16"/>
  <c r="AP621" i="16"/>
  <c r="AP622" i="16"/>
  <c r="AP623" i="16"/>
  <c r="AP624" i="16"/>
  <c r="AP625" i="16"/>
  <c r="AP626" i="16"/>
  <c r="AP627" i="16"/>
  <c r="AQ24" i="16"/>
  <c r="AQ25" i="16"/>
  <c r="AQ26" i="16"/>
  <c r="AQ27" i="16"/>
  <c r="AQ28" i="16"/>
  <c r="AQ29" i="16"/>
  <c r="AQ30" i="16"/>
  <c r="AQ31" i="16"/>
  <c r="AQ32" i="16"/>
  <c r="AQ33" i="16"/>
  <c r="AQ34" i="16"/>
  <c r="AQ35" i="16"/>
  <c r="AQ36" i="16"/>
  <c r="AQ37" i="16"/>
  <c r="AQ38" i="16"/>
  <c r="AQ39" i="16"/>
  <c r="AQ40" i="16"/>
  <c r="AQ41" i="16"/>
  <c r="AQ42" i="16"/>
  <c r="AQ43" i="16"/>
  <c r="AQ44" i="16"/>
  <c r="AQ45" i="16"/>
  <c r="AQ46" i="16"/>
  <c r="AQ47" i="16"/>
  <c r="AQ48" i="16"/>
  <c r="AQ49" i="16"/>
  <c r="AQ50" i="16"/>
  <c r="AQ51" i="16"/>
  <c r="AQ52" i="16"/>
  <c r="AQ53" i="16"/>
  <c r="AQ54" i="16"/>
  <c r="AQ55" i="16"/>
  <c r="AQ56" i="16"/>
  <c r="AQ57" i="16"/>
  <c r="AQ58" i="16"/>
  <c r="AQ59" i="16"/>
  <c r="AQ60" i="16"/>
  <c r="AQ61" i="16"/>
  <c r="AQ62" i="16"/>
  <c r="AQ63" i="16"/>
  <c r="AQ64" i="16"/>
  <c r="AQ65" i="16"/>
  <c r="AQ66" i="16"/>
  <c r="AQ67" i="16"/>
  <c r="AQ68" i="16"/>
  <c r="AQ69" i="16"/>
  <c r="AQ70" i="16"/>
  <c r="AQ71" i="16"/>
  <c r="AQ72" i="16"/>
  <c r="AQ73" i="16"/>
  <c r="AQ74" i="16"/>
  <c r="AQ75" i="16"/>
  <c r="AQ76" i="16"/>
  <c r="AQ77" i="16"/>
  <c r="AQ78" i="16"/>
  <c r="AQ79" i="16"/>
  <c r="AQ80" i="16"/>
  <c r="AQ81" i="16"/>
  <c r="AQ82" i="16"/>
  <c r="AQ83" i="16"/>
  <c r="AQ84" i="16"/>
  <c r="AQ85" i="16"/>
  <c r="AQ86" i="16"/>
  <c r="AQ87" i="16"/>
  <c r="AQ88" i="16"/>
  <c r="AQ89" i="16"/>
  <c r="AQ90" i="16"/>
  <c r="AQ91" i="16"/>
  <c r="AQ92" i="16"/>
  <c r="AQ93" i="16"/>
  <c r="AQ94" i="16"/>
  <c r="AQ95" i="16"/>
  <c r="AQ96" i="16"/>
  <c r="AQ97" i="16"/>
  <c r="AQ98" i="16"/>
  <c r="AQ99" i="16"/>
  <c r="AQ100" i="16"/>
  <c r="AQ101" i="16"/>
  <c r="AQ102" i="16"/>
  <c r="AQ103" i="16"/>
  <c r="AQ104" i="16"/>
  <c r="AQ105" i="16"/>
  <c r="AQ106" i="16"/>
  <c r="AQ107" i="16"/>
  <c r="AQ108" i="16"/>
  <c r="AQ109" i="16"/>
  <c r="AQ110" i="16"/>
  <c r="AQ111" i="16"/>
  <c r="AQ112" i="16"/>
  <c r="AQ113" i="16"/>
  <c r="AQ114" i="16"/>
  <c r="AQ115" i="16"/>
  <c r="AQ116" i="16"/>
  <c r="AQ117" i="16"/>
  <c r="AQ118" i="16"/>
  <c r="AQ119" i="16"/>
  <c r="AQ120" i="16"/>
  <c r="AQ121" i="16"/>
  <c r="AQ122" i="16"/>
  <c r="AQ123" i="16"/>
  <c r="AQ124" i="16"/>
  <c r="AQ125" i="16"/>
  <c r="AQ126" i="16"/>
  <c r="AQ127" i="16"/>
  <c r="AQ128" i="16"/>
  <c r="AQ129" i="16"/>
  <c r="AQ130" i="16"/>
  <c r="AQ131" i="16"/>
  <c r="AQ132" i="16"/>
  <c r="AQ133" i="16"/>
  <c r="AQ134" i="16"/>
  <c r="AQ135" i="16"/>
  <c r="AQ136" i="16"/>
  <c r="AQ137" i="16"/>
  <c r="AQ138" i="16"/>
  <c r="AQ139" i="16"/>
  <c r="AQ140" i="16"/>
  <c r="AQ141" i="16"/>
  <c r="AQ142" i="16"/>
  <c r="AQ143" i="16"/>
  <c r="AQ144" i="16"/>
  <c r="AQ145" i="16"/>
  <c r="AQ146" i="16"/>
  <c r="AQ147" i="16"/>
  <c r="AQ148" i="16"/>
  <c r="AQ149" i="16"/>
  <c r="AQ150" i="16"/>
  <c r="AQ151" i="16"/>
  <c r="AQ152" i="16"/>
  <c r="AQ153" i="16"/>
  <c r="AQ154" i="16"/>
  <c r="AQ155" i="16"/>
  <c r="AQ156" i="16"/>
  <c r="AQ157" i="16"/>
  <c r="AQ158" i="16"/>
  <c r="AQ159" i="16"/>
  <c r="AQ160" i="16"/>
  <c r="AQ161" i="16"/>
  <c r="AQ162" i="16"/>
  <c r="AQ163" i="16"/>
  <c r="AQ164" i="16"/>
  <c r="AQ165" i="16"/>
  <c r="AQ166" i="16"/>
  <c r="AQ167" i="16"/>
  <c r="AQ168" i="16"/>
  <c r="AQ169" i="16"/>
  <c r="AQ170" i="16"/>
  <c r="AQ171" i="16"/>
  <c r="AQ172" i="16"/>
  <c r="AQ173" i="16"/>
  <c r="AQ174" i="16"/>
  <c r="AQ175" i="16"/>
  <c r="AQ176" i="16"/>
  <c r="AQ177" i="16"/>
  <c r="AQ178" i="16"/>
  <c r="AQ179" i="16"/>
  <c r="AQ180" i="16"/>
  <c r="AQ181" i="16"/>
  <c r="AQ182" i="16"/>
  <c r="AQ183" i="16"/>
  <c r="AQ184" i="16"/>
  <c r="AQ185" i="16"/>
  <c r="AQ186" i="16"/>
  <c r="AQ187" i="16"/>
  <c r="AQ188" i="16"/>
  <c r="AQ189" i="16"/>
  <c r="AQ190" i="16"/>
  <c r="AQ191" i="16"/>
  <c r="AQ192" i="16"/>
  <c r="AQ193" i="16"/>
  <c r="AQ194" i="16"/>
  <c r="AQ195" i="16"/>
  <c r="AQ196" i="16"/>
  <c r="AQ197" i="16"/>
  <c r="AQ198" i="16"/>
  <c r="AQ199" i="16"/>
  <c r="AQ200" i="16"/>
  <c r="AQ201" i="16"/>
  <c r="AQ202" i="16"/>
  <c r="AQ203" i="16"/>
  <c r="AQ204" i="16"/>
  <c r="AQ205" i="16"/>
  <c r="AQ206" i="16"/>
  <c r="AQ207" i="16"/>
  <c r="AQ208" i="16"/>
  <c r="AQ209" i="16"/>
  <c r="AQ210" i="16"/>
  <c r="AQ211" i="16"/>
  <c r="AQ212" i="16"/>
  <c r="AQ213" i="16"/>
  <c r="AQ214" i="16"/>
  <c r="AQ215" i="16"/>
  <c r="AQ216" i="16"/>
  <c r="AQ217" i="16"/>
  <c r="AQ218" i="16"/>
  <c r="AQ219" i="16"/>
  <c r="AQ220" i="16"/>
  <c r="AQ221" i="16"/>
  <c r="AQ222" i="16"/>
  <c r="AQ223" i="16"/>
  <c r="AQ224" i="16"/>
  <c r="AQ225" i="16"/>
  <c r="AQ226" i="16"/>
  <c r="AQ227" i="16"/>
  <c r="AQ228" i="16"/>
  <c r="AQ229" i="16"/>
  <c r="AQ230" i="16"/>
  <c r="AQ231" i="16"/>
  <c r="AQ232" i="16"/>
  <c r="AQ233" i="16"/>
  <c r="AQ234" i="16"/>
  <c r="AQ235" i="16"/>
  <c r="AQ236" i="16"/>
  <c r="AQ237" i="16"/>
  <c r="AQ238" i="16"/>
  <c r="AQ239" i="16"/>
  <c r="AQ240" i="16"/>
  <c r="AQ241" i="16"/>
  <c r="AQ242" i="16"/>
  <c r="AQ243" i="16"/>
  <c r="AQ244" i="16"/>
  <c r="AQ245" i="16"/>
  <c r="AQ246" i="16"/>
  <c r="AQ247" i="16"/>
  <c r="AQ248" i="16"/>
  <c r="AQ249" i="16"/>
  <c r="AQ250" i="16"/>
  <c r="AQ251" i="16"/>
  <c r="AQ252" i="16"/>
  <c r="AQ253" i="16"/>
  <c r="AQ254" i="16"/>
  <c r="AQ255" i="16"/>
  <c r="AQ256" i="16"/>
  <c r="AQ257" i="16"/>
  <c r="AQ258" i="16"/>
  <c r="AQ259" i="16"/>
  <c r="AQ260" i="16"/>
  <c r="AQ261" i="16"/>
  <c r="AQ262" i="16"/>
  <c r="AQ263" i="16"/>
  <c r="AQ264" i="16"/>
  <c r="AQ265" i="16"/>
  <c r="AQ266" i="16"/>
  <c r="AQ267" i="16"/>
  <c r="AQ268" i="16"/>
  <c r="AQ269" i="16"/>
  <c r="AQ270" i="16"/>
  <c r="AQ271" i="16"/>
  <c r="AQ272" i="16"/>
  <c r="AQ273" i="16"/>
  <c r="AQ274" i="16"/>
  <c r="AQ275" i="16"/>
  <c r="AQ276" i="16"/>
  <c r="AQ277" i="16"/>
  <c r="AQ278" i="16"/>
  <c r="AQ279" i="16"/>
  <c r="AQ280" i="16"/>
  <c r="AQ281" i="16"/>
  <c r="AQ282" i="16"/>
  <c r="AQ283" i="16"/>
  <c r="AQ284" i="16"/>
  <c r="AQ285" i="16"/>
  <c r="AQ286" i="16"/>
  <c r="AQ287" i="16"/>
  <c r="AQ288" i="16"/>
  <c r="AQ289" i="16"/>
  <c r="AQ290" i="16"/>
  <c r="AQ291" i="16"/>
  <c r="AQ292" i="16"/>
  <c r="AQ293" i="16"/>
  <c r="AQ294" i="16"/>
  <c r="AQ295" i="16"/>
  <c r="AQ296" i="16"/>
  <c r="AQ297" i="16"/>
  <c r="AQ298" i="16"/>
  <c r="AQ299" i="16"/>
  <c r="AQ300" i="16"/>
  <c r="AQ301" i="16"/>
  <c r="AQ302" i="16"/>
  <c r="AQ303" i="16"/>
  <c r="AQ304" i="16"/>
  <c r="AQ305" i="16"/>
  <c r="AQ306" i="16"/>
  <c r="AQ307" i="16"/>
  <c r="AQ308" i="16"/>
  <c r="AQ309" i="16"/>
  <c r="AQ310" i="16"/>
  <c r="AQ311" i="16"/>
  <c r="AQ312" i="16"/>
  <c r="AQ313" i="16"/>
  <c r="AQ314" i="16"/>
  <c r="AQ315" i="16"/>
  <c r="AQ316" i="16"/>
  <c r="AQ317" i="16"/>
  <c r="AQ318" i="16"/>
  <c r="AQ319" i="16"/>
  <c r="AQ320" i="16"/>
  <c r="AQ321" i="16"/>
  <c r="AQ322" i="16"/>
  <c r="AQ323" i="16"/>
  <c r="AQ324" i="16"/>
  <c r="AQ325" i="16"/>
  <c r="AQ326" i="16"/>
  <c r="AQ327" i="16"/>
  <c r="AQ328" i="16"/>
  <c r="AQ329" i="16"/>
  <c r="AQ330" i="16"/>
  <c r="AQ331" i="16"/>
  <c r="AQ332" i="16"/>
  <c r="AQ333" i="16"/>
  <c r="AQ334" i="16"/>
  <c r="AQ335" i="16"/>
  <c r="AQ336" i="16"/>
  <c r="AQ337" i="16"/>
  <c r="AQ338" i="16"/>
  <c r="AQ339" i="16"/>
  <c r="AQ340" i="16"/>
  <c r="AQ341" i="16"/>
  <c r="AQ342" i="16"/>
  <c r="AQ343" i="16"/>
  <c r="AQ344" i="16"/>
  <c r="AQ345" i="16"/>
  <c r="AQ346" i="16"/>
  <c r="AQ347" i="16"/>
  <c r="AQ348" i="16"/>
  <c r="AQ349" i="16"/>
  <c r="AQ350" i="16"/>
  <c r="AQ351" i="16"/>
  <c r="AQ352" i="16"/>
  <c r="AQ353" i="16"/>
  <c r="AQ354" i="16"/>
  <c r="AQ355" i="16"/>
  <c r="AQ356" i="16"/>
  <c r="AQ357" i="16"/>
  <c r="AQ358" i="16"/>
  <c r="AQ359" i="16"/>
  <c r="AQ360" i="16"/>
  <c r="AQ361" i="16"/>
  <c r="AQ362" i="16"/>
  <c r="AQ363" i="16"/>
  <c r="AQ364" i="16"/>
  <c r="AQ365" i="16"/>
  <c r="AQ366" i="16"/>
  <c r="AQ367" i="16"/>
  <c r="AQ368" i="16"/>
  <c r="AQ369" i="16"/>
  <c r="AQ370" i="16"/>
  <c r="AQ371" i="16"/>
  <c r="AQ372" i="16"/>
  <c r="AQ373" i="16"/>
  <c r="AQ374" i="16"/>
  <c r="AQ375" i="16"/>
  <c r="AQ376" i="16"/>
  <c r="AQ377" i="16"/>
  <c r="AQ378" i="16"/>
  <c r="AQ379" i="16"/>
  <c r="AQ380" i="16"/>
  <c r="AQ381" i="16"/>
  <c r="AQ382" i="16"/>
  <c r="AQ383" i="16"/>
  <c r="AQ384" i="16"/>
  <c r="AQ385" i="16"/>
  <c r="AQ386" i="16"/>
  <c r="AQ387" i="16"/>
  <c r="AQ388" i="16"/>
  <c r="AQ389" i="16"/>
  <c r="AQ390" i="16"/>
  <c r="AQ391" i="16"/>
  <c r="AQ392" i="16"/>
  <c r="AQ393" i="16"/>
  <c r="AQ394" i="16"/>
  <c r="AQ395" i="16"/>
  <c r="AQ396" i="16"/>
  <c r="AQ397" i="16"/>
  <c r="AQ398" i="16"/>
  <c r="AQ399" i="16"/>
  <c r="AQ400" i="16"/>
  <c r="AQ401" i="16"/>
  <c r="AQ402" i="16"/>
  <c r="AQ403" i="16"/>
  <c r="AQ404" i="16"/>
  <c r="AQ405" i="16"/>
  <c r="AQ406" i="16"/>
  <c r="AQ407" i="16"/>
  <c r="AQ408" i="16"/>
  <c r="AQ409" i="16"/>
  <c r="AQ410" i="16"/>
  <c r="AQ411" i="16"/>
  <c r="AQ412" i="16"/>
  <c r="AQ413" i="16"/>
  <c r="AQ414" i="16"/>
  <c r="AQ415" i="16"/>
  <c r="AQ416" i="16"/>
  <c r="AQ417" i="16"/>
  <c r="AQ418" i="16"/>
  <c r="AQ419" i="16"/>
  <c r="AQ420" i="16"/>
  <c r="AQ421" i="16"/>
  <c r="AQ422" i="16"/>
  <c r="AQ423" i="16"/>
  <c r="AQ424" i="16"/>
  <c r="AQ425" i="16"/>
  <c r="AQ426" i="16"/>
  <c r="AQ427" i="16"/>
  <c r="AQ428" i="16"/>
  <c r="AQ429" i="16"/>
  <c r="AQ430" i="16"/>
  <c r="AQ431" i="16"/>
  <c r="AQ432" i="16"/>
  <c r="AQ433" i="16"/>
  <c r="AQ434" i="16"/>
  <c r="AQ435" i="16"/>
  <c r="AQ436" i="16"/>
  <c r="AQ437" i="16"/>
  <c r="AQ438" i="16"/>
  <c r="AQ439" i="16"/>
  <c r="AQ440" i="16"/>
  <c r="AQ441" i="16"/>
  <c r="AQ442" i="16"/>
  <c r="AQ443" i="16"/>
  <c r="AQ444" i="16"/>
  <c r="AQ445" i="16"/>
  <c r="AQ446" i="16"/>
  <c r="AQ447" i="16"/>
  <c r="AQ448" i="16"/>
  <c r="AQ449" i="16"/>
  <c r="AQ450" i="16"/>
  <c r="AQ451" i="16"/>
  <c r="AQ452" i="16"/>
  <c r="AQ453" i="16"/>
  <c r="AQ454" i="16"/>
  <c r="AQ455" i="16"/>
  <c r="AQ456" i="16"/>
  <c r="AQ457" i="16"/>
  <c r="AQ458" i="16"/>
  <c r="AQ459" i="16"/>
  <c r="AQ460" i="16"/>
  <c r="AQ461" i="16"/>
  <c r="AQ462" i="16"/>
  <c r="AQ463" i="16"/>
  <c r="AQ464" i="16"/>
  <c r="AQ465" i="16"/>
  <c r="AQ466" i="16"/>
  <c r="AQ467" i="16"/>
  <c r="AQ468" i="16"/>
  <c r="AQ469" i="16"/>
  <c r="AQ470" i="16"/>
  <c r="AQ471" i="16"/>
  <c r="AQ472" i="16"/>
  <c r="AQ473" i="16"/>
  <c r="AQ474" i="16"/>
  <c r="AQ475" i="16"/>
  <c r="AQ476" i="16"/>
  <c r="AQ477" i="16"/>
  <c r="AQ478" i="16"/>
  <c r="AQ479" i="16"/>
  <c r="AQ480" i="16"/>
  <c r="AQ481" i="16"/>
  <c r="AQ482" i="16"/>
  <c r="AQ483" i="16"/>
  <c r="AQ484" i="16"/>
  <c r="AQ485" i="16"/>
  <c r="AQ486" i="16"/>
  <c r="AQ487" i="16"/>
  <c r="AQ488" i="16"/>
  <c r="AQ489" i="16"/>
  <c r="AQ490" i="16"/>
  <c r="AQ491" i="16"/>
  <c r="AQ492" i="16"/>
  <c r="AQ493" i="16"/>
  <c r="AQ494" i="16"/>
  <c r="AQ495" i="16"/>
  <c r="AQ496" i="16"/>
  <c r="AQ497" i="16"/>
  <c r="AQ498" i="16"/>
  <c r="AQ499" i="16"/>
  <c r="AQ500" i="16"/>
  <c r="AQ501" i="16"/>
  <c r="AQ502" i="16"/>
  <c r="AQ503" i="16"/>
  <c r="AQ504" i="16"/>
  <c r="AQ505" i="16"/>
  <c r="AQ506" i="16"/>
  <c r="AQ507" i="16"/>
  <c r="AQ508" i="16"/>
  <c r="AQ509" i="16"/>
  <c r="AQ510" i="16"/>
  <c r="AQ511" i="16"/>
  <c r="AQ512" i="16"/>
  <c r="AQ513" i="16"/>
  <c r="AQ514" i="16"/>
  <c r="AQ515" i="16"/>
  <c r="AQ516" i="16"/>
  <c r="AQ517" i="16"/>
  <c r="AQ518" i="16"/>
  <c r="AQ519" i="16"/>
  <c r="AQ520" i="16"/>
  <c r="AQ521" i="16"/>
  <c r="AQ522" i="16"/>
  <c r="AQ523" i="16"/>
  <c r="AQ524" i="16"/>
  <c r="AQ525" i="16"/>
  <c r="AQ526" i="16"/>
  <c r="AQ527" i="16"/>
  <c r="AQ528" i="16"/>
  <c r="AQ529" i="16"/>
  <c r="AQ530" i="16"/>
  <c r="AQ531" i="16"/>
  <c r="AQ532" i="16"/>
  <c r="AQ533" i="16"/>
  <c r="AQ534" i="16"/>
  <c r="AQ535" i="16"/>
  <c r="AQ536" i="16"/>
  <c r="AQ537" i="16"/>
  <c r="AQ538" i="16"/>
  <c r="AQ539" i="16"/>
  <c r="AQ540" i="16"/>
  <c r="AQ541" i="16"/>
  <c r="AQ542" i="16"/>
  <c r="AQ543" i="16"/>
  <c r="AQ544" i="16"/>
  <c r="AQ545" i="16"/>
  <c r="AQ546" i="16"/>
  <c r="AQ547" i="16"/>
  <c r="AQ548" i="16"/>
  <c r="AQ549" i="16"/>
  <c r="AQ550" i="16"/>
  <c r="AQ551" i="16"/>
  <c r="AQ552" i="16"/>
  <c r="AQ553" i="16"/>
  <c r="AQ554" i="16"/>
  <c r="AQ555" i="16"/>
  <c r="AQ556" i="16"/>
  <c r="AQ557" i="16"/>
  <c r="AQ558" i="16"/>
  <c r="AQ559" i="16"/>
  <c r="AQ560" i="16"/>
  <c r="AQ561" i="16"/>
  <c r="AQ562" i="16"/>
  <c r="AQ563" i="16"/>
  <c r="AQ564" i="16"/>
  <c r="AQ565" i="16"/>
  <c r="AQ566" i="16"/>
  <c r="AQ567" i="16"/>
  <c r="AQ568" i="16"/>
  <c r="AQ569" i="16"/>
  <c r="AQ570" i="16"/>
  <c r="AQ571" i="16"/>
  <c r="AQ572" i="16"/>
  <c r="AQ573" i="16"/>
  <c r="AQ574" i="16"/>
  <c r="AQ575" i="16"/>
  <c r="AQ576" i="16"/>
  <c r="AQ577" i="16"/>
  <c r="AQ578" i="16"/>
  <c r="AQ579" i="16"/>
  <c r="AQ580" i="16"/>
  <c r="AQ581" i="16"/>
  <c r="AQ582" i="16"/>
  <c r="AQ583" i="16"/>
  <c r="AQ584" i="16"/>
  <c r="AQ585" i="16"/>
  <c r="AQ586" i="16"/>
  <c r="AQ587" i="16"/>
  <c r="AQ588" i="16"/>
  <c r="AQ589" i="16"/>
  <c r="AQ590" i="16"/>
  <c r="AQ591" i="16"/>
  <c r="AQ592" i="16"/>
  <c r="AQ593" i="16"/>
  <c r="AQ594" i="16"/>
  <c r="AQ595" i="16"/>
  <c r="AQ596" i="16"/>
  <c r="AQ597" i="16"/>
  <c r="AQ598" i="16"/>
  <c r="AQ599" i="16"/>
  <c r="AQ600" i="16"/>
  <c r="AQ601" i="16"/>
  <c r="AQ602" i="16"/>
  <c r="AQ603" i="16"/>
  <c r="AQ604" i="16"/>
  <c r="AQ605" i="16"/>
  <c r="AQ606" i="16"/>
  <c r="AQ607" i="16"/>
  <c r="AQ608" i="16"/>
  <c r="AQ609" i="16"/>
  <c r="AQ610" i="16"/>
  <c r="AQ611" i="16"/>
  <c r="AQ612" i="16"/>
  <c r="AQ613" i="16"/>
  <c r="AQ614" i="16"/>
  <c r="AQ615" i="16"/>
  <c r="AQ616" i="16"/>
  <c r="AQ617" i="16"/>
  <c r="AQ618" i="16"/>
  <c r="AQ619" i="16"/>
  <c r="AQ620" i="16"/>
  <c r="AQ621" i="16"/>
  <c r="AQ622" i="16"/>
  <c r="AQ623" i="16"/>
  <c r="AQ624" i="16"/>
  <c r="AQ625" i="16"/>
  <c r="AQ626" i="16"/>
  <c r="AQ627" i="16"/>
  <c r="E32" i="18"/>
  <c r="C32" i="18"/>
  <c r="C20" i="18" l="1"/>
  <c r="D20" i="18"/>
  <c r="B20" i="18"/>
  <c r="D9" i="18"/>
  <c r="E34" i="18"/>
  <c r="B9" i="18"/>
  <c r="C9" i="18"/>
  <c r="E21" i="18"/>
  <c r="E23" i="18"/>
  <c r="E22" i="18"/>
  <c r="E12" i="18"/>
  <c r="E11" i="18"/>
  <c r="E10" i="18"/>
  <c r="C92" i="18"/>
  <c r="B64" i="18"/>
  <c r="B95" i="18"/>
  <c r="B76" i="18"/>
  <c r="B88" i="18"/>
  <c r="I84" i="18"/>
  <c r="I83" i="18"/>
  <c r="E88" i="18"/>
  <c r="E92" i="18"/>
  <c r="D64" i="18"/>
  <c r="D92" i="18"/>
  <c r="E76" i="18"/>
  <c r="I82" i="18"/>
  <c r="D88" i="18"/>
  <c r="D34" i="18"/>
  <c r="E37" i="18"/>
  <c r="I58" i="18"/>
  <c r="E64" i="18"/>
  <c r="D76" i="18"/>
  <c r="I71" i="18"/>
  <c r="I73" i="18"/>
  <c r="I72" i="18"/>
  <c r="D43" i="18"/>
  <c r="D49" i="18"/>
  <c r="D46" i="18"/>
  <c r="E46" i="18"/>
  <c r="C46" i="18"/>
  <c r="C43" i="18"/>
  <c r="C49" i="18"/>
  <c r="I62" i="18"/>
  <c r="I61" i="18"/>
  <c r="I56" i="18"/>
  <c r="I55" i="18"/>
  <c r="I75" i="18"/>
  <c r="I74" i="18"/>
  <c r="I70" i="18"/>
  <c r="I69" i="18"/>
  <c r="I68" i="18"/>
  <c r="I67" i="18"/>
  <c r="I87" i="18"/>
  <c r="I86" i="18"/>
  <c r="I85" i="18"/>
  <c r="I81" i="18"/>
  <c r="I80" i="18"/>
  <c r="I79" i="18"/>
  <c r="E43" i="18"/>
  <c r="C88" i="18"/>
  <c r="F79" i="18"/>
  <c r="F80" i="18"/>
  <c r="F81" i="18"/>
  <c r="F82" i="18"/>
  <c r="F83" i="18"/>
  <c r="F84" i="18"/>
  <c r="F85" i="18"/>
  <c r="F86" i="18"/>
  <c r="F87" i="18"/>
  <c r="C76" i="18"/>
  <c r="F67" i="18"/>
  <c r="F68" i="18"/>
  <c r="F69" i="18"/>
  <c r="F70" i="18"/>
  <c r="F71" i="18"/>
  <c r="F72" i="18"/>
  <c r="F73" i="18"/>
  <c r="F74" i="18"/>
  <c r="F75" i="18"/>
  <c r="C64" i="18"/>
  <c r="F55" i="18"/>
  <c r="F56" i="18"/>
  <c r="F57" i="18"/>
  <c r="F58" i="18"/>
  <c r="F59" i="18"/>
  <c r="F60" i="18"/>
  <c r="F61" i="18"/>
  <c r="F62" i="18"/>
  <c r="F63" i="18"/>
  <c r="E35" i="18"/>
  <c r="E95" i="18" s="1"/>
  <c r="D38" i="18"/>
  <c r="D98" i="18" s="1"/>
  <c r="D35" i="18"/>
  <c r="D95" i="18" s="1"/>
  <c r="C38" i="18"/>
  <c r="C98" i="18" s="1"/>
  <c r="C35" i="18"/>
  <c r="E49" i="18"/>
  <c r="B46" i="18"/>
  <c r="B49" i="18"/>
  <c r="B43" i="18"/>
  <c r="F44" i="18"/>
  <c r="F47" i="18"/>
  <c r="AR627" i="16"/>
  <c r="AR626" i="16"/>
  <c r="AR625" i="16"/>
  <c r="AR624" i="16"/>
  <c r="AR623" i="16"/>
  <c r="AR622" i="16"/>
  <c r="AR621" i="16"/>
  <c r="AR620" i="16"/>
  <c r="AR619" i="16"/>
  <c r="AR618" i="16"/>
  <c r="AR617" i="16"/>
  <c r="AR616" i="16"/>
  <c r="AR615" i="16"/>
  <c r="AR614" i="16"/>
  <c r="AR613" i="16"/>
  <c r="AR612" i="16"/>
  <c r="AR611" i="16"/>
  <c r="AR610" i="16"/>
  <c r="AR609" i="16"/>
  <c r="AR608" i="16"/>
  <c r="AR607" i="16"/>
  <c r="AR606" i="16"/>
  <c r="AR605" i="16"/>
  <c r="AR604" i="16"/>
  <c r="AR603" i="16"/>
  <c r="AR602" i="16"/>
  <c r="AR601" i="16"/>
  <c r="AR600" i="16"/>
  <c r="AR599" i="16"/>
  <c r="AR598" i="16"/>
  <c r="AR597" i="16"/>
  <c r="AR596" i="16"/>
  <c r="AR595" i="16"/>
  <c r="AR594" i="16"/>
  <c r="AR593" i="16"/>
  <c r="AR592" i="16"/>
  <c r="AR591" i="16"/>
  <c r="AR590" i="16"/>
  <c r="AR589" i="16"/>
  <c r="AR585" i="16"/>
  <c r="AR584" i="16"/>
  <c r="AR583" i="16"/>
  <c r="AR582" i="16"/>
  <c r="AR581" i="16"/>
  <c r="AR580" i="16"/>
  <c r="AR579" i="16"/>
  <c r="AR578" i="16"/>
  <c r="AR577" i="16"/>
  <c r="AR576" i="16"/>
  <c r="AR575" i="16"/>
  <c r="AR574" i="16"/>
  <c r="AR573" i="16"/>
  <c r="AR572" i="16"/>
  <c r="AR571" i="16"/>
  <c r="AR568" i="16"/>
  <c r="AR567" i="16"/>
  <c r="AR566" i="16"/>
  <c r="AR565" i="16"/>
  <c r="AR564" i="16"/>
  <c r="AR563" i="16"/>
  <c r="AR562" i="16"/>
  <c r="AR561" i="16"/>
  <c r="AR560" i="16"/>
  <c r="AR559" i="16"/>
  <c r="AR558" i="16"/>
  <c r="AR557" i="16"/>
  <c r="AR556" i="16"/>
  <c r="AR555" i="16"/>
  <c r="AR554" i="16"/>
  <c r="AR553" i="16"/>
  <c r="AR552" i="16"/>
  <c r="AR551" i="16"/>
  <c r="AR550" i="16"/>
  <c r="AR549" i="16"/>
  <c r="AR548" i="16"/>
  <c r="AR547" i="16"/>
  <c r="AR546" i="16"/>
  <c r="AR545" i="16"/>
  <c r="AR544" i="16"/>
  <c r="AR543" i="16"/>
  <c r="AR542" i="16"/>
  <c r="AR541" i="16"/>
  <c r="AR540" i="16"/>
  <c r="AR539" i="16"/>
  <c r="AR538" i="16"/>
  <c r="AR537" i="16"/>
  <c r="AR536" i="16"/>
  <c r="AR535" i="16"/>
  <c r="AR533" i="16"/>
  <c r="AR532" i="16"/>
  <c r="AR531" i="16"/>
  <c r="AR530" i="16"/>
  <c r="AR529" i="16"/>
  <c r="AR528" i="16"/>
  <c r="AR527" i="16"/>
  <c r="AR526" i="16"/>
  <c r="AR525" i="16"/>
  <c r="AR524" i="16"/>
  <c r="AR523" i="16"/>
  <c r="AR522" i="16"/>
  <c r="AR521" i="16"/>
  <c r="AR520" i="16"/>
  <c r="AR519" i="16"/>
  <c r="AR518" i="16"/>
  <c r="AR517" i="16"/>
  <c r="AR516" i="16"/>
  <c r="AR515" i="16"/>
  <c r="AR514" i="16"/>
  <c r="AR513" i="16"/>
  <c r="AR512" i="16"/>
  <c r="AR511" i="16"/>
  <c r="AR510" i="16"/>
  <c r="AR509" i="16"/>
  <c r="AR508" i="16"/>
  <c r="AR507" i="16"/>
  <c r="AR506" i="16"/>
  <c r="AR505" i="16"/>
  <c r="AR504" i="16"/>
  <c r="AR503" i="16"/>
  <c r="AR502" i="16"/>
  <c r="AR501" i="16"/>
  <c r="AR500" i="16"/>
  <c r="AR499" i="16"/>
  <c r="AR498" i="16"/>
  <c r="AR497" i="16"/>
  <c r="AR496" i="16"/>
  <c r="AR495" i="16"/>
  <c r="AR494" i="16"/>
  <c r="AR493" i="16"/>
  <c r="AR492" i="16"/>
  <c r="AR491" i="16"/>
  <c r="AR490" i="16"/>
  <c r="AR489" i="16"/>
  <c r="AR488" i="16"/>
  <c r="AR487" i="16"/>
  <c r="AR486" i="16"/>
  <c r="AR485" i="16"/>
  <c r="AR484" i="16"/>
  <c r="AR483" i="16"/>
  <c r="AR482" i="16"/>
  <c r="AR481" i="16"/>
  <c r="AR480" i="16"/>
  <c r="AR479" i="16"/>
  <c r="AR478" i="16"/>
  <c r="AR477" i="16"/>
  <c r="AR476" i="16"/>
  <c r="AR475" i="16"/>
  <c r="AR474" i="16"/>
  <c r="AR472" i="16"/>
  <c r="AR471" i="16"/>
  <c r="AR470" i="16"/>
  <c r="AR469" i="16"/>
  <c r="AR468" i="16"/>
  <c r="AR467" i="16"/>
  <c r="AR466" i="16"/>
  <c r="AR465" i="16"/>
  <c r="AR464" i="16"/>
  <c r="AR463" i="16"/>
  <c r="AR462" i="16"/>
  <c r="AR461" i="16"/>
  <c r="AR460" i="16"/>
  <c r="AR459" i="16"/>
  <c r="AR458" i="16"/>
  <c r="AR457" i="16"/>
  <c r="AR456" i="16"/>
  <c r="AR455" i="16"/>
  <c r="AR454" i="16"/>
  <c r="AR453" i="16"/>
  <c r="AR452" i="16"/>
  <c r="AR451" i="16"/>
  <c r="AR450" i="16"/>
  <c r="AR449" i="16"/>
  <c r="AR448" i="16"/>
  <c r="AR447" i="16"/>
  <c r="AR446" i="16"/>
  <c r="AR445" i="16"/>
  <c r="AR444" i="16"/>
  <c r="AR443" i="16"/>
  <c r="AR442" i="16"/>
  <c r="AR441" i="16"/>
  <c r="AR440" i="16"/>
  <c r="AR439" i="16"/>
  <c r="AR438" i="16"/>
  <c r="AR437" i="16"/>
  <c r="AR436" i="16"/>
  <c r="AR435" i="16"/>
  <c r="AR434" i="16"/>
  <c r="AR433" i="16"/>
  <c r="AR432" i="16"/>
  <c r="AR431" i="16"/>
  <c r="AR430" i="16"/>
  <c r="AR429" i="16"/>
  <c r="AR428" i="16"/>
  <c r="AR427" i="16"/>
  <c r="AR426" i="16"/>
  <c r="AR425" i="16"/>
  <c r="AR424" i="16"/>
  <c r="AR423" i="16"/>
  <c r="AR422" i="16"/>
  <c r="AR421" i="16"/>
  <c r="AR420" i="16"/>
  <c r="AR419" i="16"/>
  <c r="AR418" i="16"/>
  <c r="AR417" i="16"/>
  <c r="AR416" i="16"/>
  <c r="AR415" i="16"/>
  <c r="AR414" i="16"/>
  <c r="AR413" i="16"/>
  <c r="AR412" i="16"/>
  <c r="AR411" i="16"/>
  <c r="AR410" i="16"/>
  <c r="AR409" i="16"/>
  <c r="AR408" i="16"/>
  <c r="AR407" i="16"/>
  <c r="AR406" i="16"/>
  <c r="AR405" i="16"/>
  <c r="AR404" i="16"/>
  <c r="AR403" i="16"/>
  <c r="AR402" i="16"/>
  <c r="AR401" i="16"/>
  <c r="AR400" i="16"/>
  <c r="AR399" i="16"/>
  <c r="AR398" i="16"/>
  <c r="AR397" i="16"/>
  <c r="AR396" i="16"/>
  <c r="AR395" i="16"/>
  <c r="AR394" i="16"/>
  <c r="AR393" i="16"/>
  <c r="AR392" i="16"/>
  <c r="AR391" i="16"/>
  <c r="AR390" i="16"/>
  <c r="AR389" i="16"/>
  <c r="AR388" i="16"/>
  <c r="AR387" i="16"/>
  <c r="AR386" i="16"/>
  <c r="AR385" i="16"/>
  <c r="AR384" i="16"/>
  <c r="AR383" i="16"/>
  <c r="AR382" i="16"/>
  <c r="AR381" i="16"/>
  <c r="AR380" i="16"/>
  <c r="AR379" i="16"/>
  <c r="AR378" i="16"/>
  <c r="AR377" i="16"/>
  <c r="AR376" i="16"/>
  <c r="AR375" i="16"/>
  <c r="AR374" i="16"/>
  <c r="AR373" i="16"/>
  <c r="AR372" i="16"/>
  <c r="AR371" i="16"/>
  <c r="AR370" i="16"/>
  <c r="AR369" i="16"/>
  <c r="AR368" i="16"/>
  <c r="AR367" i="16"/>
  <c r="AR366" i="16"/>
  <c r="AR365" i="16"/>
  <c r="AR364" i="16"/>
  <c r="AR363" i="16"/>
  <c r="AR362" i="16"/>
  <c r="AR361" i="16"/>
  <c r="AR360" i="16"/>
  <c r="AR359" i="16"/>
  <c r="AR358" i="16"/>
  <c r="AR357" i="16"/>
  <c r="AR356" i="16"/>
  <c r="AR355" i="16"/>
  <c r="AR354" i="16"/>
  <c r="AR353" i="16"/>
  <c r="AR352" i="16"/>
  <c r="AR351" i="16"/>
  <c r="AR350" i="16"/>
  <c r="AR349" i="16"/>
  <c r="AR348" i="16"/>
  <c r="AR347" i="16"/>
  <c r="AR346" i="16"/>
  <c r="AR345" i="16"/>
  <c r="AR344" i="16"/>
  <c r="AR343" i="16"/>
  <c r="AR342" i="16"/>
  <c r="AR341" i="16"/>
  <c r="AR340" i="16"/>
  <c r="AR339" i="16"/>
  <c r="AR338" i="16"/>
  <c r="AR337" i="16"/>
  <c r="AR336" i="16"/>
  <c r="AR335" i="16"/>
  <c r="AR334" i="16"/>
  <c r="AR333" i="16"/>
  <c r="AR332" i="16"/>
  <c r="AR331" i="16"/>
  <c r="AR330" i="16"/>
  <c r="AR329" i="16"/>
  <c r="AR328" i="16"/>
  <c r="AR327" i="16"/>
  <c r="AR326" i="16"/>
  <c r="AR325" i="16"/>
  <c r="AR324" i="16"/>
  <c r="AR323" i="16"/>
  <c r="AR322" i="16"/>
  <c r="AR321" i="16"/>
  <c r="AR320" i="16"/>
  <c r="AR319" i="16"/>
  <c r="AR318" i="16"/>
  <c r="AR317" i="16"/>
  <c r="AR316" i="16"/>
  <c r="AR315" i="16"/>
  <c r="AR314" i="16"/>
  <c r="AR313" i="16"/>
  <c r="AR312" i="16"/>
  <c r="AR311" i="16"/>
  <c r="AR310" i="16"/>
  <c r="AR309" i="16"/>
  <c r="AR308" i="16"/>
  <c r="AR307" i="16"/>
  <c r="AR306" i="16"/>
  <c r="AR305" i="16"/>
  <c r="AR304" i="16"/>
  <c r="AR303" i="16"/>
  <c r="AR302" i="16"/>
  <c r="AR301" i="16"/>
  <c r="AR300" i="16"/>
  <c r="AR299" i="16"/>
  <c r="AR298" i="16"/>
  <c r="AR297" i="16"/>
  <c r="AR296" i="16"/>
  <c r="AR295" i="16"/>
  <c r="AR294" i="16"/>
  <c r="AR293" i="16"/>
  <c r="AR292" i="16"/>
  <c r="AR291" i="16"/>
  <c r="AR290" i="16"/>
  <c r="AR289" i="16"/>
  <c r="AR288" i="16"/>
  <c r="AR287" i="16"/>
  <c r="AR286" i="16"/>
  <c r="AR285" i="16"/>
  <c r="AR284" i="16"/>
  <c r="AR283" i="16"/>
  <c r="AR282" i="16"/>
  <c r="AR281" i="16"/>
  <c r="AR280" i="16"/>
  <c r="AR279" i="16"/>
  <c r="AR278" i="16"/>
  <c r="AR277" i="16"/>
  <c r="AR276" i="16"/>
  <c r="AR275" i="16"/>
  <c r="AR274" i="16"/>
  <c r="AR273" i="16"/>
  <c r="AR272" i="16"/>
  <c r="AR271" i="16"/>
  <c r="AR270" i="16"/>
  <c r="AR269" i="16"/>
  <c r="AR268" i="16"/>
  <c r="AR267" i="16"/>
  <c r="AR266" i="16"/>
  <c r="AR265" i="16"/>
  <c r="AR264" i="16"/>
  <c r="AR263" i="16"/>
  <c r="AR262" i="16"/>
  <c r="AR261" i="16"/>
  <c r="AR260" i="16"/>
  <c r="AR259" i="16"/>
  <c r="AR258" i="16"/>
  <c r="AR257" i="16"/>
  <c r="AR256" i="16"/>
  <c r="AR255" i="16"/>
  <c r="AR254" i="16"/>
  <c r="AR253" i="16"/>
  <c r="AR252" i="16"/>
  <c r="AR251" i="16"/>
  <c r="AR250" i="16"/>
  <c r="AR249" i="16"/>
  <c r="AR248" i="16"/>
  <c r="AR247" i="16"/>
  <c r="AR246" i="16"/>
  <c r="AR245" i="16"/>
  <c r="AR244" i="16"/>
  <c r="AR243" i="16"/>
  <c r="AR242" i="16"/>
  <c r="AR241" i="16"/>
  <c r="AR240" i="16"/>
  <c r="AR239" i="16"/>
  <c r="AR238" i="16"/>
  <c r="AR237" i="16"/>
  <c r="AR236" i="16"/>
  <c r="AR235" i="16"/>
  <c r="AR234" i="16"/>
  <c r="AR233" i="16"/>
  <c r="AR232" i="16"/>
  <c r="AR231" i="16"/>
  <c r="AR230" i="16"/>
  <c r="AR229" i="16"/>
  <c r="AR228" i="16"/>
  <c r="AR227" i="16"/>
  <c r="AR225" i="16"/>
  <c r="AR224" i="16"/>
  <c r="AR223" i="16"/>
  <c r="AR222" i="16"/>
  <c r="AR221" i="16"/>
  <c r="AR220" i="16"/>
  <c r="AR219" i="16"/>
  <c r="AR218" i="16"/>
  <c r="AR217" i="16"/>
  <c r="AR216" i="16"/>
  <c r="AR215" i="16"/>
  <c r="AR214" i="16"/>
  <c r="AR213" i="16"/>
  <c r="AR212" i="16"/>
  <c r="AR211" i="16"/>
  <c r="AR210" i="16"/>
  <c r="AR209" i="16"/>
  <c r="AR208" i="16"/>
  <c r="AR207" i="16"/>
  <c r="AR206" i="16"/>
  <c r="AR205" i="16"/>
  <c r="AR204" i="16"/>
  <c r="AR203" i="16"/>
  <c r="AR200" i="16"/>
  <c r="AR199" i="16"/>
  <c r="AR198" i="16"/>
  <c r="AR197" i="16"/>
  <c r="AR196" i="16"/>
  <c r="AR195" i="16"/>
  <c r="AR194" i="16"/>
  <c r="AR193" i="16"/>
  <c r="AR192" i="16"/>
  <c r="AR191" i="16"/>
  <c r="AR190" i="16"/>
  <c r="AR189" i="16"/>
  <c r="AR188" i="16"/>
  <c r="AR187" i="16"/>
  <c r="AR186" i="16"/>
  <c r="AR185" i="16"/>
  <c r="AR184" i="16"/>
  <c r="AR183" i="16"/>
  <c r="AR182" i="16"/>
  <c r="AR181" i="16"/>
  <c r="AR180" i="16"/>
  <c r="AR179" i="16"/>
  <c r="AR178" i="16"/>
  <c r="AR177" i="16"/>
  <c r="AR176" i="16"/>
  <c r="AR175" i="16"/>
  <c r="AR174" i="16"/>
  <c r="AR173" i="16"/>
  <c r="AR172" i="16"/>
  <c r="AR171" i="16"/>
  <c r="AR170" i="16"/>
  <c r="AR169" i="16"/>
  <c r="AR168" i="16"/>
  <c r="AR167" i="16"/>
  <c r="AR166" i="16"/>
  <c r="AR165" i="16"/>
  <c r="AR164" i="16"/>
  <c r="AR163" i="16"/>
  <c r="AR162" i="16"/>
  <c r="AR161" i="16"/>
  <c r="AR160" i="16"/>
  <c r="AR159" i="16"/>
  <c r="AR158" i="16"/>
  <c r="AR157" i="16"/>
  <c r="AR156" i="16"/>
  <c r="AR155" i="16"/>
  <c r="AR154" i="16"/>
  <c r="AR153" i="16"/>
  <c r="AR152" i="16"/>
  <c r="AR151" i="16"/>
  <c r="AR150" i="16"/>
  <c r="AR149" i="16"/>
  <c r="AR148" i="16"/>
  <c r="AR147" i="16"/>
  <c r="AR146" i="16"/>
  <c r="AR145" i="16"/>
  <c r="AR144" i="16"/>
  <c r="AR143" i="16"/>
  <c r="AR142" i="16"/>
  <c r="AR141" i="16"/>
  <c r="AR140" i="16"/>
  <c r="AR139" i="16"/>
  <c r="AR138" i="16"/>
  <c r="AR137" i="16"/>
  <c r="AR136" i="16"/>
  <c r="AR135" i="16"/>
  <c r="AR134" i="16"/>
  <c r="AR133" i="16"/>
  <c r="AR132" i="16"/>
  <c r="AR131" i="16"/>
  <c r="AR130" i="16"/>
  <c r="AR129" i="16"/>
  <c r="AR128" i="16"/>
  <c r="AR127" i="16"/>
  <c r="AR126" i="16"/>
  <c r="AR125" i="16"/>
  <c r="AR124" i="16"/>
  <c r="AR123" i="16"/>
  <c r="AR122" i="16"/>
  <c r="AR121" i="16"/>
  <c r="AR120" i="16"/>
  <c r="AR119" i="16"/>
  <c r="AR118" i="16"/>
  <c r="AR116" i="16"/>
  <c r="AR115" i="16"/>
  <c r="AR114" i="16"/>
  <c r="AR113" i="16"/>
  <c r="AR112" i="16"/>
  <c r="AR111" i="16"/>
  <c r="AR110" i="16"/>
  <c r="AR109" i="16"/>
  <c r="AR108" i="16"/>
  <c r="AR107" i="16"/>
  <c r="AR106" i="16"/>
  <c r="AR105" i="16"/>
  <c r="AR104" i="16"/>
  <c r="AR103" i="16"/>
  <c r="AR102" i="16"/>
  <c r="AR101" i="16"/>
  <c r="AR100" i="16"/>
  <c r="AR99" i="16"/>
  <c r="AR98" i="16"/>
  <c r="AR97" i="16"/>
  <c r="AR96" i="16"/>
  <c r="AR95" i="16"/>
  <c r="AR94" i="16"/>
  <c r="AR93" i="16"/>
  <c r="AR92" i="16"/>
  <c r="AR91" i="16"/>
  <c r="AR90" i="16"/>
  <c r="AR89" i="16"/>
  <c r="AR88" i="16"/>
  <c r="AR87" i="16"/>
  <c r="AR86" i="16"/>
  <c r="AR85" i="16"/>
  <c r="AR84" i="16"/>
  <c r="AR83" i="16"/>
  <c r="AR82" i="16"/>
  <c r="AR81" i="16"/>
  <c r="AR80" i="16"/>
  <c r="AR79" i="16"/>
  <c r="AR78" i="16"/>
  <c r="AR77" i="16"/>
  <c r="AR76" i="16"/>
  <c r="AR75" i="16"/>
  <c r="AR74" i="16"/>
  <c r="AR73" i="16"/>
  <c r="AR72" i="16"/>
  <c r="AR71" i="16"/>
  <c r="AR70" i="16"/>
  <c r="AR69" i="16"/>
  <c r="AR68" i="16"/>
  <c r="AR67" i="16"/>
  <c r="AR66" i="16"/>
  <c r="AR65" i="16"/>
  <c r="AR64" i="16"/>
  <c r="AR63" i="16"/>
  <c r="AR62" i="16"/>
  <c r="AR61" i="16"/>
  <c r="AR60" i="16"/>
  <c r="AR59" i="16"/>
  <c r="AR58" i="16"/>
  <c r="AR57" i="16"/>
  <c r="AR56" i="16"/>
  <c r="AR55" i="16"/>
  <c r="AR54" i="16"/>
  <c r="AR53" i="16"/>
  <c r="AR52" i="16"/>
  <c r="AR51" i="16"/>
  <c r="AR50" i="16"/>
  <c r="AR49" i="16"/>
  <c r="AR48" i="16"/>
  <c r="AR47" i="16"/>
  <c r="AR46" i="16"/>
  <c r="AR45" i="16"/>
  <c r="AR44" i="16"/>
  <c r="AR43" i="16"/>
  <c r="AR42" i="16"/>
  <c r="AR41" i="16"/>
  <c r="AR40" i="16"/>
  <c r="AR39" i="16"/>
  <c r="AR38" i="16"/>
  <c r="AR37" i="16"/>
  <c r="AR36" i="16"/>
  <c r="AR35" i="16"/>
  <c r="AR34" i="16"/>
  <c r="AR33" i="16"/>
  <c r="AR32" i="16"/>
  <c r="AR31" i="16"/>
  <c r="AR30" i="16"/>
  <c r="AR29" i="16"/>
  <c r="AR28" i="16"/>
  <c r="AR27" i="16"/>
  <c r="AR26" i="16"/>
  <c r="AR25" i="16"/>
  <c r="AR24" i="16"/>
  <c r="AQ23" i="16"/>
  <c r="AP23" i="16"/>
  <c r="AO23" i="16"/>
  <c r="AN23" i="16"/>
  <c r="AM23" i="16"/>
  <c r="AQ16" i="16"/>
  <c r="AP16" i="16"/>
  <c r="AO16" i="16"/>
  <c r="AN16" i="16"/>
  <c r="AM16" i="16"/>
  <c r="AQ15" i="16"/>
  <c r="AP15" i="16"/>
  <c r="AO15" i="16"/>
  <c r="AN15" i="16"/>
  <c r="AM15" i="16"/>
  <c r="AQ14" i="16"/>
  <c r="AP14" i="16"/>
  <c r="AO14" i="16"/>
  <c r="AN14" i="16"/>
  <c r="AM14" i="16"/>
  <c r="AQ13" i="16"/>
  <c r="AP13" i="16"/>
  <c r="AO13" i="16"/>
  <c r="AN13" i="16"/>
  <c r="AM13" i="16"/>
  <c r="AQ12" i="16"/>
  <c r="AP12" i="16"/>
  <c r="AO12" i="16"/>
  <c r="AN12" i="16"/>
  <c r="AM12" i="16"/>
  <c r="AQ11" i="16"/>
  <c r="AP11" i="16"/>
  <c r="AO11" i="16"/>
  <c r="AN11" i="16"/>
  <c r="AM11" i="16"/>
  <c r="AQ10" i="16"/>
  <c r="AP10" i="16"/>
  <c r="AO10" i="16"/>
  <c r="AN10" i="16"/>
  <c r="AM10" i="16"/>
  <c r="AQ8" i="16"/>
  <c r="AP8" i="16"/>
  <c r="AO8" i="16"/>
  <c r="AN8" i="16"/>
  <c r="AM8" i="16"/>
  <c r="AQ7" i="16"/>
  <c r="AP7" i="16"/>
  <c r="AO7" i="16"/>
  <c r="AN7" i="16"/>
  <c r="AM7" i="16"/>
  <c r="AQ6" i="16"/>
  <c r="AP6" i="16"/>
  <c r="AO6" i="16"/>
  <c r="AN6" i="16"/>
  <c r="AM6" i="16"/>
  <c r="AQ5" i="16"/>
  <c r="AP5" i="16"/>
  <c r="AO5" i="16"/>
  <c r="AN5" i="16"/>
  <c r="AM5" i="16"/>
  <c r="AQ4" i="16"/>
  <c r="AP4" i="16"/>
  <c r="AO4" i="16"/>
  <c r="AN4" i="16"/>
  <c r="AM4" i="16"/>
  <c r="B32" i="18"/>
  <c r="D18" i="18"/>
  <c r="C19" i="18"/>
  <c r="C18" i="18"/>
  <c r="B18" i="18"/>
  <c r="B19" i="18"/>
  <c r="D8" i="18"/>
  <c r="D7" i="18"/>
  <c r="C8" i="18"/>
  <c r="B8" i="18"/>
  <c r="AL15" i="16"/>
  <c r="AL16" i="16"/>
  <c r="AL17" i="16"/>
  <c r="AL18" i="16"/>
  <c r="AL19" i="16"/>
  <c r="AL20" i="16"/>
  <c r="AL21" i="16"/>
  <c r="AL22" i="16"/>
  <c r="AL23" i="16"/>
  <c r="AM17" i="16"/>
  <c r="AM18" i="16"/>
  <c r="AM19" i="16"/>
  <c r="AM20" i="16"/>
  <c r="AM21" i="16"/>
  <c r="AM22" i="16"/>
  <c r="AN17" i="16"/>
  <c r="AN18" i="16"/>
  <c r="AN19" i="16"/>
  <c r="AN20" i="16"/>
  <c r="AN21" i="16"/>
  <c r="AN22" i="16"/>
  <c r="AO17" i="16"/>
  <c r="AO18" i="16"/>
  <c r="AO19" i="16"/>
  <c r="AO20" i="16"/>
  <c r="AO21" i="16"/>
  <c r="AO22" i="16"/>
  <c r="AP17" i="16"/>
  <c r="AP18" i="16"/>
  <c r="AP19" i="16"/>
  <c r="AP20" i="16"/>
  <c r="AP21" i="16"/>
  <c r="AP22" i="16"/>
  <c r="AQ17" i="16"/>
  <c r="AQ18" i="16"/>
  <c r="AQ19" i="16"/>
  <c r="AQ20" i="16"/>
  <c r="AQ21" i="16"/>
  <c r="AQ22" i="16"/>
  <c r="E94" i="18" l="1"/>
  <c r="E9" i="18"/>
  <c r="E97" i="18"/>
  <c r="I76" i="18"/>
  <c r="I88" i="18"/>
  <c r="F43" i="18"/>
  <c r="G43" i="18" s="1"/>
  <c r="AR4" i="16"/>
  <c r="C36" i="18" s="1"/>
  <c r="AR13" i="16"/>
  <c r="AR5" i="16"/>
  <c r="AR14" i="16"/>
  <c r="I64" i="18"/>
  <c r="F46" i="18"/>
  <c r="G46" i="18" s="1"/>
  <c r="D94" i="18"/>
  <c r="AR10" i="16"/>
  <c r="E48" i="18"/>
  <c r="AR6" i="16"/>
  <c r="AR15" i="16"/>
  <c r="AR12" i="16"/>
  <c r="AR8" i="16"/>
  <c r="AR23" i="16"/>
  <c r="AR11" i="16"/>
  <c r="AR7" i="16"/>
  <c r="AR16" i="16"/>
  <c r="D36" i="18" s="1"/>
  <c r="F49" i="18"/>
  <c r="G49" i="18" s="1"/>
  <c r="D45" i="18"/>
  <c r="C45" i="18"/>
  <c r="D51" i="18"/>
  <c r="D48" i="18"/>
  <c r="C48" i="18"/>
  <c r="C51" i="18"/>
  <c r="B92" i="18"/>
  <c r="I92" i="18" s="1"/>
  <c r="C95" i="18"/>
  <c r="I95" i="18" s="1"/>
  <c r="I49" i="18"/>
  <c r="I43" i="18"/>
  <c r="I46" i="18"/>
  <c r="H87" i="18"/>
  <c r="G87" i="18"/>
  <c r="H86" i="18"/>
  <c r="G86" i="18"/>
  <c r="H85" i="18"/>
  <c r="G85" i="18"/>
  <c r="H84" i="18"/>
  <c r="G84" i="18"/>
  <c r="H83" i="18"/>
  <c r="G83" i="18"/>
  <c r="H82" i="18"/>
  <c r="G82" i="18"/>
  <c r="H81" i="18"/>
  <c r="G81" i="18"/>
  <c r="H80" i="18"/>
  <c r="G80" i="18"/>
  <c r="F88" i="18"/>
  <c r="H88" i="18" s="1"/>
  <c r="H79" i="18"/>
  <c r="G79" i="18"/>
  <c r="H75" i="18"/>
  <c r="G75" i="18"/>
  <c r="H74" i="18"/>
  <c r="G74" i="18"/>
  <c r="H73" i="18"/>
  <c r="G73" i="18"/>
  <c r="H72" i="18"/>
  <c r="G72" i="18"/>
  <c r="H71" i="18"/>
  <c r="G71" i="18"/>
  <c r="H70" i="18"/>
  <c r="G70" i="18"/>
  <c r="H69" i="18"/>
  <c r="G69" i="18"/>
  <c r="H68" i="18"/>
  <c r="G68" i="18"/>
  <c r="F76" i="18"/>
  <c r="H76" i="18" s="1"/>
  <c r="H67" i="18"/>
  <c r="G67" i="18"/>
  <c r="H62" i="18"/>
  <c r="G62" i="18"/>
  <c r="H61" i="18"/>
  <c r="G61" i="18"/>
  <c r="H58" i="18"/>
  <c r="G58" i="18"/>
  <c r="H56" i="18"/>
  <c r="G56" i="18"/>
  <c r="F64" i="18"/>
  <c r="H64" i="18" s="1"/>
  <c r="H55" i="18"/>
  <c r="G55" i="18"/>
  <c r="E51" i="18"/>
  <c r="B51" i="18"/>
  <c r="B48" i="18"/>
  <c r="E45" i="18"/>
  <c r="B45" i="18"/>
  <c r="AR22" i="16"/>
  <c r="AR21" i="16"/>
  <c r="AR20" i="16"/>
  <c r="AR19" i="16"/>
  <c r="AR18" i="16"/>
  <c r="AR17" i="16"/>
  <c r="B36" i="18" l="1"/>
  <c r="E39" i="18"/>
  <c r="B39" i="18"/>
  <c r="B99" i="18" s="1"/>
  <c r="H43" i="18"/>
  <c r="H49" i="18"/>
  <c r="D39" i="18"/>
  <c r="D99" i="18" s="1"/>
  <c r="E36" i="18"/>
  <c r="E96" i="18" s="1"/>
  <c r="H46" i="18"/>
  <c r="C39" i="18"/>
  <c r="C99" i="18" s="1"/>
  <c r="D96" i="18"/>
  <c r="G76" i="18"/>
  <c r="G64" i="18"/>
  <c r="F48" i="18"/>
  <c r="B52" i="18"/>
  <c r="G88" i="18"/>
  <c r="C96" i="18"/>
  <c r="C52" i="18"/>
  <c r="E99" i="18"/>
  <c r="B96" i="18"/>
  <c r="F45" i="18"/>
  <c r="F51" i="18"/>
  <c r="AL14" i="16"/>
  <c r="AL13" i="16"/>
  <c r="AL12" i="16"/>
  <c r="AL11" i="16"/>
  <c r="AQ9" i="16"/>
  <c r="AP9" i="16"/>
  <c r="AO9" i="16"/>
  <c r="AN9" i="16"/>
  <c r="AM9" i="16"/>
  <c r="AL10" i="16"/>
  <c r="AL9" i="16"/>
  <c r="AL8" i="16"/>
  <c r="AL7" i="16"/>
  <c r="AL6" i="16"/>
  <c r="I99" i="18" l="1"/>
  <c r="I96" i="18"/>
  <c r="AR9" i="16"/>
  <c r="D33" i="18" s="1"/>
  <c r="D93" i="18" s="1"/>
  <c r="B38" i="18"/>
  <c r="B98" i="18" s="1"/>
  <c r="E38" i="18"/>
  <c r="E31" i="18"/>
  <c r="E91" i="18" s="1"/>
  <c r="D31" i="18"/>
  <c r="D91" i="18" s="1"/>
  <c r="C31" i="18"/>
  <c r="C91" i="18" s="1"/>
  <c r="B31" i="18"/>
  <c r="B91" i="18" s="1"/>
  <c r="B7" i="18"/>
  <c r="B13" i="18" s="1"/>
  <c r="F32" i="18"/>
  <c r="F92" i="18" s="1"/>
  <c r="H92" i="18" l="1"/>
  <c r="G92" i="18"/>
  <c r="I91" i="18"/>
  <c r="I38" i="18"/>
  <c r="E98" i="18"/>
  <c r="I98" i="18" s="1"/>
  <c r="I31" i="18"/>
  <c r="E52" i="18"/>
  <c r="I52" i="18" s="1"/>
  <c r="F50" i="18"/>
  <c r="E33" i="18"/>
  <c r="E93" i="18" s="1"/>
  <c r="C33" i="18"/>
  <c r="C93" i="18" s="1"/>
  <c r="F38" i="18"/>
  <c r="B33" i="18"/>
  <c r="B93" i="18" s="1"/>
  <c r="F35" i="18"/>
  <c r="F95" i="18" s="1"/>
  <c r="F98" i="18" l="1"/>
  <c r="G98" i="18" s="1"/>
  <c r="E100" i="18"/>
  <c r="H95" i="18"/>
  <c r="G95" i="18"/>
  <c r="I93" i="18"/>
  <c r="H38" i="18"/>
  <c r="G38" i="18"/>
  <c r="F52" i="18"/>
  <c r="F31" i="18"/>
  <c r="F91" i="18" s="1"/>
  <c r="AL5" i="16"/>
  <c r="AL4" i="16"/>
  <c r="H98" i="18" l="1"/>
  <c r="H91" i="18"/>
  <c r="G91" i="18"/>
  <c r="H52" i="18"/>
  <c r="G31" i="18"/>
  <c r="H31" i="18"/>
  <c r="B37" i="18"/>
  <c r="B97" i="18" s="1"/>
  <c r="D37" i="18"/>
  <c r="D97" i="18" s="1"/>
  <c r="D100" i="18" s="1"/>
  <c r="C37" i="18"/>
  <c r="F37" i="18" s="1"/>
  <c r="F97" i="18" s="1"/>
  <c r="B34" i="18"/>
  <c r="B94" i="18" s="1"/>
  <c r="C34" i="18"/>
  <c r="F34" i="18" s="1"/>
  <c r="F94" i="18" s="1"/>
  <c r="D52" i="18"/>
  <c r="G52" i="18" s="1"/>
  <c r="C7" i="18"/>
  <c r="E7" i="18" s="1"/>
  <c r="E8" i="18"/>
  <c r="D13" i="18"/>
  <c r="B100" i="18" l="1"/>
  <c r="D40" i="18"/>
  <c r="I34" i="18"/>
  <c r="C94" i="18"/>
  <c r="I37" i="18"/>
  <c r="C97" i="18"/>
  <c r="H34" i="18"/>
  <c r="G34" i="18"/>
  <c r="H37" i="18"/>
  <c r="G37" i="18"/>
  <c r="C13" i="18"/>
  <c r="E13" i="18"/>
  <c r="B15" i="18" s="1"/>
  <c r="C15" i="18" l="1"/>
  <c r="I97" i="18"/>
  <c r="H97" i="18"/>
  <c r="G97" i="18"/>
  <c r="I94" i="18"/>
  <c r="H94" i="18"/>
  <c r="G94" i="18"/>
  <c r="C100" i="18"/>
  <c r="C102" i="18" s="1"/>
  <c r="D24" i="18"/>
  <c r="E20" i="18"/>
  <c r="E19" i="18"/>
  <c r="E18" i="18"/>
  <c r="C24" i="18"/>
  <c r="B24" i="18"/>
  <c r="I100" i="18" l="1"/>
  <c r="E24" i="18"/>
  <c r="C26" i="18" s="1"/>
  <c r="B26" i="18" l="1"/>
  <c r="F39" i="18"/>
  <c r="F99" i="18" s="1"/>
  <c r="B40" i="18"/>
  <c r="F36" i="18"/>
  <c r="F96" i="18" s="1"/>
  <c r="E40" i="18"/>
  <c r="C40" i="18"/>
  <c r="F33" i="18"/>
  <c r="F93" i="18" s="1"/>
  <c r="I40" i="18" l="1"/>
  <c r="H93" i="18"/>
  <c r="G93" i="18"/>
  <c r="F100" i="18"/>
  <c r="H96" i="18"/>
  <c r="G96" i="18"/>
  <c r="H99" i="18"/>
  <c r="G99" i="18"/>
  <c r="F40" i="18"/>
  <c r="AB11" i="19"/>
  <c r="AB10" i="19"/>
  <c r="AB9" i="19"/>
  <c r="AB8" i="19"/>
  <c r="AB7" i="19"/>
  <c r="AB6" i="19"/>
  <c r="H100" i="18" l="1"/>
  <c r="G100" i="18"/>
  <c r="G40" i="18"/>
  <c r="H40" i="18"/>
  <c r="E15" i="20"/>
  <c r="E14" i="20"/>
  <c r="E13" i="20"/>
  <c r="E12" i="20"/>
  <c r="E11" i="20"/>
  <c r="E10" i="20"/>
  <c r="E9" i="20"/>
  <c r="E8" i="20"/>
  <c r="E7" i="20"/>
  <c r="E6" i="20"/>
  <c r="E5" i="20"/>
  <c r="E4" i="20"/>
  <c r="E3" i="20"/>
  <c r="B15" i="11" l="1"/>
  <c r="N249" i="3"/>
  <c r="N138" i="3"/>
  <c r="N183" i="3"/>
  <c r="N172" i="3"/>
  <c r="N131" i="3"/>
  <c r="N41" i="3"/>
  <c r="N32" i="3"/>
  <c r="N56" i="3"/>
  <c r="N37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45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283" i="3"/>
  <c r="N34" i="3"/>
  <c r="N31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2" i="3"/>
  <c r="N133" i="3"/>
  <c r="N134" i="3"/>
  <c r="N135" i="3"/>
  <c r="N136" i="3"/>
  <c r="N137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3" i="3"/>
  <c r="N174" i="3"/>
  <c r="N175" i="3"/>
  <c r="N176" i="3"/>
  <c r="N177" i="3"/>
  <c r="N178" i="3"/>
  <c r="N179" i="3"/>
  <c r="N180" i="3"/>
  <c r="N181" i="3"/>
  <c r="N182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102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77" i="3"/>
  <c r="N53" i="3"/>
  <c r="N54" i="3"/>
  <c r="N55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52" i="3"/>
  <c r="N28" i="3"/>
  <c r="N29" i="3"/>
  <c r="N30" i="3"/>
  <c r="N33" i="3"/>
  <c r="N35" i="3"/>
  <c r="N36" i="3"/>
  <c r="N38" i="3"/>
  <c r="N39" i="3"/>
  <c r="N40" i="3"/>
  <c r="N42" i="3"/>
  <c r="N43" i="3"/>
  <c r="N44" i="3"/>
  <c r="N45" i="3"/>
  <c r="N46" i="3"/>
  <c r="N47" i="3"/>
  <c r="N48" i="3"/>
  <c r="N49" i="3"/>
  <c r="N50" i="3"/>
  <c r="N51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</calcChain>
</file>

<file path=xl/comments1.xml><?xml version="1.0" encoding="utf-8"?>
<comments xmlns="http://schemas.openxmlformats.org/spreadsheetml/2006/main">
  <authors>
    <author>tc={FD68CE6C-9A44-4739-9871-CF173E49AC82}</author>
  </authors>
  <commentList>
    <comment ref="J3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IF isULD = Y then ULD acceptance, otherwise all acceptance in loose</t>
        </r>
      </text>
    </comment>
  </commentList>
</comments>
</file>

<file path=xl/sharedStrings.xml><?xml version="1.0" encoding="utf-8"?>
<sst xmlns="http://schemas.openxmlformats.org/spreadsheetml/2006/main" count="62893" uniqueCount="7906">
  <si>
    <t>Message Reference</t>
  </si>
  <si>
    <t>Message Standard</t>
  </si>
  <si>
    <t>Message Type</t>
  </si>
  <si>
    <t>Message Version</t>
  </si>
  <si>
    <t>Message Direction</t>
  </si>
  <si>
    <t>Sender/Recipient</t>
  </si>
  <si>
    <t>Message Date</t>
  </si>
  <si>
    <t>Message Status</t>
  </si>
  <si>
    <t>CDMP Status</t>
  </si>
  <si>
    <t>Message Remark</t>
  </si>
  <si>
    <t>Message Logs</t>
  </si>
  <si>
    <t>AWB</t>
  </si>
  <si>
    <t>Captured by</t>
  </si>
  <si>
    <t>Status</t>
  </si>
  <si>
    <t>Flight number</t>
  </si>
  <si>
    <t>Sécurisé</t>
  </si>
  <si>
    <t>OPR026</t>
  </si>
  <si>
    <t>057 - 33040980 - CDG - RUN</t>
  </si>
  <si>
    <t>XMP</t>
  </si>
  <si>
    <t>XFWB</t>
  </si>
  <si>
    <t>INCOMING</t>
  </si>
  <si>
    <t>REUAIR08AFR</t>
  </si>
  <si>
    <t>Processed Successfully</t>
  </si>
  <si>
    <t>View Logs</t>
  </si>
  <si>
    <t>Lynka</t>
  </si>
  <si>
    <t>Executed</t>
  </si>
  <si>
    <t>AFxxxx</t>
  </si>
  <si>
    <t>numéro de douane</t>
  </si>
  <si>
    <t>057 - 30194216 - CDG - ORD</t>
  </si>
  <si>
    <t>Youssouf</t>
  </si>
  <si>
    <t>YES</t>
  </si>
  <si>
    <t>rate dans la ligne tarifaire</t>
  </si>
  <si>
    <t>057 - 03931944 - CDG - DSS</t>
  </si>
  <si>
    <t>QVIXXAF</t>
  </si>
  <si>
    <t>marco</t>
  </si>
  <si>
    <t>Yes</t>
  </si>
  <si>
    <t>057 - 46907464 - CDG - DSS</t>
  </si>
  <si>
    <t>AF718/2509</t>
  </si>
  <si>
    <t>057 - 46907313 - CDG - DSS</t>
  </si>
  <si>
    <t>New</t>
  </si>
  <si>
    <t>KL</t>
  </si>
  <si>
    <t>074 - 54744992 - CDG - GIG</t>
  </si>
  <si>
    <t>QVIDOAF</t>
  </si>
  <si>
    <t>2C</t>
  </si>
  <si>
    <t>057 - 47655064 - CDG - HKG</t>
  </si>
  <si>
    <t>CDGCSXH</t>
  </si>
  <si>
    <t>RSYFMXH</t>
  </si>
  <si>
    <t>057 - 04245920 - CDG - HKG</t>
  </si>
  <si>
    <t>057 - 48323181 - CDG - GIG</t>
  </si>
  <si>
    <t>xx</t>
  </si>
  <si>
    <t xml:space="preserve"> internal error</t>
  </si>
  <si>
    <t>057 - 04247003 - CDG - HKG</t>
  </si>
  <si>
    <t>OK</t>
  </si>
  <si>
    <t>057 - 47542224 - CDG - HKG</t>
  </si>
  <si>
    <t>057 - 48110720 - CDG - HKG</t>
  </si>
  <si>
    <t>057 - 04184213 - CDG - HKG</t>
  </si>
  <si>
    <t>057 - 48182934 - CDG - HKG</t>
  </si>
  <si>
    <t>057 - 46971455 - CDG - HKG</t>
  </si>
  <si>
    <t>xxx</t>
  </si>
  <si>
    <t>Internal error</t>
  </si>
  <si>
    <t>057 - 47986890 - CDG - LAX</t>
  </si>
  <si>
    <t>057 - 47919130 - CDG - HKG</t>
  </si>
  <si>
    <t>AF602/2609</t>
  </si>
  <si>
    <t>057 - 48294201 - CDG - HKG</t>
  </si>
  <si>
    <t>057 - 47647250 - CDG - GIG</t>
  </si>
  <si>
    <t>Imane</t>
  </si>
  <si>
    <t>AF0442 21/09/23</t>
  </si>
  <si>
    <t>Doublon</t>
  </si>
  <si>
    <t>057 - 04151766 - CDG - IAD</t>
  </si>
  <si>
    <t>Yoldez</t>
  </si>
  <si>
    <t>057 - 10720485 - CDG - LAX</t>
  </si>
  <si>
    <t>057 - 47988161 - CDG - LAX</t>
  </si>
  <si>
    <t>057 - 48110834 - CDG - LAX</t>
  </si>
  <si>
    <t>057 - 04259463 - CDG - HKG</t>
  </si>
  <si>
    <t>2C 0602 26-Sep-2023</t>
  </si>
  <si>
    <t>057 - 48313882 - CDG - JNB</t>
  </si>
  <si>
    <t>AF0990 25/09/23</t>
  </si>
  <si>
    <t>057 - 48313893 - CDG - JNB</t>
  </si>
  <si>
    <t>057 - 48313871 - CDG - JNB</t>
  </si>
  <si>
    <t>057 - 04135051 - CDG - JNB</t>
  </si>
  <si>
    <t>057 - 47467195 - CDG - JNB</t>
  </si>
  <si>
    <t>AF 0990 25-Sep-2023</t>
  </si>
  <si>
    <t>057 - 46075190 - CDG - JNB</t>
  </si>
  <si>
    <t>057 - 04161872 - CDG - JNB</t>
  </si>
  <si>
    <t>057 - 46075186 - CDG - JNB</t>
  </si>
  <si>
    <t>AF 0990 22-Sep-2023</t>
  </si>
  <si>
    <t>057 - 90752491 - CDG - JNB</t>
  </si>
  <si>
    <t>057 - 48110576 - CDG - JNB</t>
  </si>
  <si>
    <t>AF 0990 24-Sep-2023</t>
  </si>
  <si>
    <t>057 - 04181365 - CDG - HKG</t>
  </si>
  <si>
    <t>057 - 47988323 - CDG - JNB</t>
  </si>
  <si>
    <t>AF990/2609</t>
  </si>
  <si>
    <t>057 - 45853231 - CDG - LAX</t>
  </si>
  <si>
    <t>CGOACC</t>
  </si>
  <si>
    <t>mariem</t>
  </si>
  <si>
    <t>057 - 47312646 - CDG - NOU</t>
  </si>
  <si>
    <t>057 - 04175032 - CDG - HKG</t>
  </si>
  <si>
    <t>057 - 48148424 - CDG - ORD</t>
  </si>
  <si>
    <t>057 - 12888282 - CDG - GIG</t>
  </si>
  <si>
    <t>057 - 04245441 - CDG - DSS</t>
  </si>
  <si>
    <t>057 - 04184246 - CDG - DSS</t>
  </si>
  <si>
    <t>Bence</t>
  </si>
  <si>
    <t>057 - 48120973 - CDG - IAD</t>
  </si>
  <si>
    <t>057 - 47708345 - CDG - NOU</t>
  </si>
  <si>
    <t>057 - 48120844 - CDG - BEY</t>
  </si>
  <si>
    <t>057 - 04174391 - CDG - LAX</t>
  </si>
  <si>
    <t>057 - 47708474 - CDG - PPT</t>
  </si>
  <si>
    <t>Marie</t>
  </si>
  <si>
    <t>AF0076</t>
  </si>
  <si>
    <t>AF0070</t>
  </si>
  <si>
    <t>057 - 47967625 - CDG - PPT</t>
  </si>
  <si>
    <t>057 - 04235906 - CDG - DSS</t>
  </si>
  <si>
    <t>Paul Edouard</t>
  </si>
  <si>
    <t>QVIFHAF</t>
  </si>
  <si>
    <t>057 - 47709406 - CDG - PPT</t>
  </si>
  <si>
    <t>057 - 47708802 - CDG - NOU</t>
  </si>
  <si>
    <t>057 - 47708920 - CDG - PPT</t>
  </si>
  <si>
    <t>AF0076 26/09/23</t>
  </si>
  <si>
    <t>057 - 04221836 - CDG - NOU</t>
  </si>
  <si>
    <t>AF0442 26/09/23</t>
  </si>
  <si>
    <t>057 - 12488582 - CDG - IAD</t>
  </si>
  <si>
    <t>AF0054 26/09/23</t>
  </si>
  <si>
    <t>057 - 47036430 - CDG - ORD</t>
  </si>
  <si>
    <t>AF136/27</t>
  </si>
  <si>
    <t>AF054/26</t>
  </si>
  <si>
    <t>Double</t>
  </si>
  <si>
    <t>057 - 46801823 - CDG - JNB</t>
  </si>
  <si>
    <t>AF990/24</t>
  </si>
  <si>
    <t>074 - 46583110 - CDG - JNB</t>
  </si>
  <si>
    <t>057 - 46967465 - CDG - LAX</t>
  </si>
  <si>
    <t>057 - 46545925 - CDG - LAX</t>
  </si>
  <si>
    <t>057 - 04164075 - CDG - LAX</t>
  </si>
  <si>
    <t>057 - 04109346 - CDG - LAX</t>
  </si>
  <si>
    <t>057 - 91459701 - CDG - DSS</t>
  </si>
  <si>
    <t>AF718/18SEP</t>
  </si>
  <si>
    <t>057 - 12488560 - CDG - LAX</t>
  </si>
  <si>
    <t>AF070/2509</t>
  </si>
  <si>
    <t>057 - 03525911 - CDG - DSS</t>
  </si>
  <si>
    <t>AF718/1909</t>
  </si>
  <si>
    <t>ok</t>
  </si>
  <si>
    <t>057 - 46737821 - CDG - IAD</t>
  </si>
  <si>
    <t>AF054/2609</t>
  </si>
  <si>
    <t>057 - 47777553 - CDG - HKG</t>
  </si>
  <si>
    <t>057 - 45788691 - CDG - HKG</t>
  </si>
  <si>
    <t>057 - 04250960 - CDG - LAX</t>
  </si>
  <si>
    <t>057 - 04254714 - CDG - DSS</t>
  </si>
  <si>
    <t>AF718/25</t>
  </si>
  <si>
    <t>057 - 08554302 - CDG - DSS</t>
  </si>
  <si>
    <t>057 - 46045591 - CDG - DSS</t>
  </si>
  <si>
    <t>057 - 47863023 - CDG - DSS</t>
  </si>
  <si>
    <t>057 - 04250304 - CDG - DSS</t>
  </si>
  <si>
    <t>057 - 47518962 - CDG - DSS</t>
  </si>
  <si>
    <t>AF 0718 25-Sep-2023</t>
  </si>
  <si>
    <t>057 - 04195612 - CDG - DSS</t>
  </si>
  <si>
    <t>057 - 04155896 - CDG - DSS</t>
  </si>
  <si>
    <t>057 - 04185392 - CDG - DSS</t>
  </si>
  <si>
    <t>057 - 04121110 - CDG - IAD</t>
  </si>
  <si>
    <t>057 - 04236293 - CDG - GIG</t>
  </si>
  <si>
    <t>AF 0442 27-Sep-2023</t>
  </si>
  <si>
    <t>057 - 04236304 - CDG - GIG</t>
  </si>
  <si>
    <t>057 - 48113936 - CDG - BEY</t>
  </si>
  <si>
    <t>AF 0564 26-Sep-2023</t>
  </si>
  <si>
    <t>057 - 48132114 - CDG - LAX</t>
  </si>
  <si>
    <t xml:space="preserve">Doublon </t>
  </si>
  <si>
    <t>057 - 47650245 - CDG - DSS</t>
  </si>
  <si>
    <t>057 - 45128436 - CDG - DSS</t>
  </si>
  <si>
    <t>AF 0718 26-Sep-2023</t>
  </si>
  <si>
    <t>057 - 47443141 - CDG - HKG</t>
  </si>
  <si>
    <t>057 - 47862301 - CDG - DSS</t>
  </si>
  <si>
    <t>AF 0718 23-Sep-2023</t>
  </si>
  <si>
    <t>057 - 47862290 - CDG - DSS</t>
  </si>
  <si>
    <t>AF 0718 22-Sep-2023</t>
  </si>
  <si>
    <t>057 - 04243411 - CDG - HKG</t>
  </si>
  <si>
    <t>Erreur</t>
  </si>
  <si>
    <t>057 - 47516556 - CDG - IAD</t>
  </si>
  <si>
    <t>057 - 04184014 - CDG - JNB</t>
  </si>
  <si>
    <t>JNBCS8X</t>
  </si>
  <si>
    <t>057 - 47449522 - CDG - JNB</t>
  </si>
  <si>
    <t>057 - 04136274 - CDG - ORD</t>
  </si>
  <si>
    <t>057 - 04210986 - CDG - NOU</t>
  </si>
  <si>
    <t>057 - 03934733 - CDG - NOU</t>
  </si>
  <si>
    <t>057 - 47967220 - CDG - NOU</t>
  </si>
  <si>
    <t>057 - 04162771 - CDG - NOU</t>
  </si>
  <si>
    <t>057 - 04159120 - CDG - NOU</t>
  </si>
  <si>
    <t>057 - 47135620 - CDG - LAX</t>
  </si>
  <si>
    <t>074 - 46584322 - CDG - LAX</t>
  </si>
  <si>
    <t>AMSFHCR</t>
  </si>
  <si>
    <t>057 - 87993743 - CDG - IAD</t>
  </si>
  <si>
    <t>Executed/OK</t>
  </si>
  <si>
    <t>057 - 48418801 - CDG - IAD</t>
  </si>
  <si>
    <t>074 - 62262056 - CDG - JNB</t>
  </si>
  <si>
    <t>057 - 04206296 - CDG - JNB</t>
  </si>
  <si>
    <t>057 - 46621735 - CDG - HKG</t>
  </si>
  <si>
    <t>057 - 04236746 - CDG - DSS</t>
  </si>
  <si>
    <t>057 - 48183704 - CDG - BEY</t>
  </si>
  <si>
    <t>AF 0564 24-Sep-2023</t>
  </si>
  <si>
    <t>057 - 48294341 - CDG - DSS</t>
  </si>
  <si>
    <t>057 - 48252514 - CDG - ORD</t>
  </si>
  <si>
    <t>057 - 37221682 - CDG - ATL</t>
  </si>
  <si>
    <t>NO FWB</t>
  </si>
  <si>
    <t>057 - 33489400 - CDG - MIA</t>
  </si>
  <si>
    <t>057 - 97397311 - CDG - MIA</t>
  </si>
  <si>
    <t>057 - 04297510 - CDG - ATL</t>
  </si>
  <si>
    <t>057 - 48367664 - CDG - ORD</t>
  </si>
  <si>
    <t>057 - 47655635 - CDG - ORD</t>
  </si>
  <si>
    <t>057 - 47654891 - CDG - PVG</t>
  </si>
  <si>
    <t>2C 0620 28-Sep-2023</t>
  </si>
  <si>
    <t>057 - 47855231 - CDG - PVG</t>
  </si>
  <si>
    <t>2C 0620 27-Sep-2023</t>
  </si>
  <si>
    <t>057 - 48120660 - CDG - BOG</t>
  </si>
  <si>
    <t>057 - 47646992 - CDG - GIG</t>
  </si>
  <si>
    <t>AF 0442 25-Sep-2023</t>
  </si>
  <si>
    <t>057 - 47855216 - CDG - LAX</t>
  </si>
  <si>
    <t>057 - 48110790 - CDG - HKG</t>
  </si>
  <si>
    <t>057 - 45358843 - CDG - HKG</t>
  </si>
  <si>
    <t>057 - 48110436 - CDG - HKG</t>
  </si>
  <si>
    <t>057 - 48185045 - CDG - GIG</t>
  </si>
  <si>
    <t>057 - 04130195 - CDG - SCL</t>
  </si>
  <si>
    <t>057 - 46075201 - CDG - SCL</t>
  </si>
  <si>
    <t>057 - 04021846 - CDG - SCL</t>
  </si>
  <si>
    <t>057 - 04096971 - CDG - SCL</t>
  </si>
  <si>
    <t>057 - 47830683 - CDG - NOU</t>
  </si>
  <si>
    <t>057 - 47855183 - CDG - JFK</t>
  </si>
  <si>
    <t>057 - 47919653 - CDG - HKG</t>
  </si>
  <si>
    <t>057 - 04287286 - CDG - GRU</t>
  </si>
  <si>
    <t>057 - 04308765 - CDG - HKG</t>
  </si>
  <si>
    <t>057 - 48274866 - CDG - GRU</t>
  </si>
  <si>
    <t>057 - 46971363 - CDG - HKG</t>
  </si>
  <si>
    <t>057 - 04246244 - CDG - GRU</t>
  </si>
  <si>
    <t>057 - 48182945 - CDG - HKG</t>
  </si>
  <si>
    <t>057 - 48083501 - CDG - GRU</t>
  </si>
  <si>
    <t>DGR</t>
  </si>
  <si>
    <t>057 - 48356641 - CDG - SCL</t>
  </si>
  <si>
    <t>057 - 04169631 - CDG - GRU</t>
  </si>
  <si>
    <t>057 - 48113984 - CDG - SCL</t>
  </si>
  <si>
    <t>057 - 04177434 - CDG - GRU</t>
  </si>
  <si>
    <t>057 - 04020004 - CDG - YYZ</t>
  </si>
  <si>
    <t>057 - 47246334 - CDG - ABJ</t>
  </si>
  <si>
    <t>057 - 48274855 - CDG - GRU</t>
  </si>
  <si>
    <t>057 - 47036242 - CDG - GRU</t>
  </si>
  <si>
    <t>EXecuted</t>
  </si>
  <si>
    <t>057 - 47538993 - CDG - PVG</t>
  </si>
  <si>
    <t>Error</t>
  </si>
  <si>
    <t>057 - 04213506 - CDG - GRU</t>
  </si>
  <si>
    <t>057 - 04203323 - CDG - PVG</t>
  </si>
  <si>
    <t>057 - 47919690 - CDG - DXB</t>
  </si>
  <si>
    <t>057 - 48294363 - CDG - NRT</t>
  </si>
  <si>
    <t>057 - 03993371 - CDG - DXB</t>
  </si>
  <si>
    <t>057 - 47919675 - CDG - DSS</t>
  </si>
  <si>
    <t>057 - 47987870 - CDG - LAX</t>
  </si>
  <si>
    <t>057 - 47987903 - CDG - JFK</t>
  </si>
  <si>
    <t>057 - 47855150 - CDG - DXB</t>
  </si>
  <si>
    <t>057 - 47967231 - CDG - NOU</t>
  </si>
  <si>
    <t>057 - 04324386 - CDG - JFK</t>
  </si>
  <si>
    <t>074 - 00701201 - CDG - GRU</t>
  </si>
  <si>
    <t>057 - 47907296 - CDG - NRT</t>
  </si>
  <si>
    <t>057 - 47855113 - CDG - PVG</t>
  </si>
  <si>
    <t>057 - 04219692 - CDG - PVG</t>
  </si>
  <si>
    <t>057 - 04245253 - CDG - PVG</t>
  </si>
  <si>
    <t>057 - 47987343 - CDG - JNB</t>
  </si>
  <si>
    <t>AF 0990 26-Sep-2023</t>
  </si>
  <si>
    <t>Benoit</t>
  </si>
  <si>
    <t>057 - 47987925 - CDG - JNB</t>
  </si>
  <si>
    <t>AF 0990</t>
  </si>
  <si>
    <t>057 - 48313941 - CDG - JNB</t>
  </si>
  <si>
    <t>057 - 48313930 - CDG - JNB</t>
  </si>
  <si>
    <t>057 - 45359436 - CDG - JNB</t>
  </si>
  <si>
    <t>057 - 07716225 - CDG - JNB</t>
  </si>
  <si>
    <t>057 - 45982031 - CDG - NOU</t>
  </si>
  <si>
    <t>057 - 48185686 - CDG - JNB</t>
  </si>
  <si>
    <t>057 - 48113892 - CDG - JNB</t>
  </si>
  <si>
    <t>057 - 47988345 - CDG - PVG</t>
  </si>
  <si>
    <t>057 - 12888190 - CDG - LAX</t>
  </si>
  <si>
    <t>057 - 47647165 - CDG - PVG</t>
  </si>
  <si>
    <t>057 - 48266595 - CDG - PVG</t>
  </si>
  <si>
    <t>057 - 47683204 - CDG - LYS</t>
  </si>
  <si>
    <t>057 - 48185572 - CDG - LHR</t>
  </si>
  <si>
    <t>057 - 46967664 - CDG - NRT</t>
  </si>
  <si>
    <t>057 - 04262436 - CDG - LHR</t>
  </si>
  <si>
    <t>057 - 04328774 - CDG - JNB</t>
  </si>
  <si>
    <t>057 - 48203982 - CDG - LHR</t>
  </si>
  <si>
    <t>PER</t>
  </si>
  <si>
    <t>executed</t>
  </si>
  <si>
    <t>057 - 47987446 - CDG - JNB</t>
  </si>
  <si>
    <t>057 - 48083895 - CDG - LHR</t>
  </si>
  <si>
    <t>057 - 48313915 - CDG - JNB</t>
  </si>
  <si>
    <t>057 - 04268014 - CDG - LHR</t>
  </si>
  <si>
    <t>057 - 48313926 - CDG - JNB</t>
  </si>
  <si>
    <t>057 - 48185734 - CDG - LHR</t>
  </si>
  <si>
    <t>057 - 47683215 - CDG - LHR</t>
  </si>
  <si>
    <t>057 - 47893672 - CDG - JNB</t>
  </si>
  <si>
    <t>057 - 04095453 - CDG - PVG</t>
  </si>
  <si>
    <t>057 - 47312554 - CDG - JNB</t>
  </si>
  <si>
    <t xml:space="preserve">Stef </t>
  </si>
  <si>
    <t>057 - 47629411 - CDG - JNB</t>
  </si>
  <si>
    <t>057 - 48470660 - CDG - LHR</t>
  </si>
  <si>
    <t>057 - 47866276 - CDG - LHR</t>
  </si>
  <si>
    <t>057 - 47036614 - CDG - LHR</t>
  </si>
  <si>
    <t>057 - 48259816 - CDG - LHR</t>
  </si>
  <si>
    <t>057 - 48185421 - CDG - LHR</t>
  </si>
  <si>
    <t>057 - 47987855 - CDG - JNB</t>
  </si>
  <si>
    <t>057 - 08665285 - CDG - ATL</t>
  </si>
  <si>
    <t>057 - 04324891 - CDG - ATL</t>
  </si>
  <si>
    <t>Nico</t>
  </si>
  <si>
    <t>057 - 48037253 - CDG - LHR</t>
  </si>
  <si>
    <t>057 - 04267130 - CDG - LHR</t>
  </si>
  <si>
    <t>057 - 48328921 - CDG - JFK</t>
  </si>
  <si>
    <t>057 - 47654880 - CDG - PVG</t>
  </si>
  <si>
    <t>057 - 04147706 - CDG - DSS</t>
  </si>
  <si>
    <t>057 - 47629481 - CDG - PVG</t>
  </si>
  <si>
    <t>057 - 04268563 - CDG - JFK</t>
  </si>
  <si>
    <t>057 - 48148435 - CDG - JFK</t>
  </si>
  <si>
    <t>057 - 04310552 - CDG - ATL</t>
  </si>
  <si>
    <t>057 - 48329013 - CDG - PVG</t>
  </si>
  <si>
    <t>057 - 04262451 - CDG - NOU</t>
  </si>
  <si>
    <t>057 - c - CDG - LHR</t>
  </si>
  <si>
    <t>057 - 04211056 - CDG - NOU</t>
  </si>
  <si>
    <t>057 - 48329142 - CDG - ORD</t>
  </si>
  <si>
    <t>057 - 47986713 - CDG - LHR</t>
  </si>
  <si>
    <t>057 - 04021695 - CDG - NOU</t>
  </si>
  <si>
    <t>057 - 47708780 - CDG - NOU</t>
  </si>
  <si>
    <t>057 - 47989620 - CDG - JFK</t>
  </si>
  <si>
    <t>074 - 59453321 - CDG - BOG</t>
  </si>
  <si>
    <t>057 - 47971475 - CDG - NOU</t>
  </si>
  <si>
    <t>057 - 04247600 - CDG - ORD</t>
  </si>
  <si>
    <t>057 - 04027726 - CDG - DSS</t>
  </si>
  <si>
    <t>AF 0718 24-Sep-2023</t>
  </si>
  <si>
    <t>057 - 48313834 - CDG - JFK</t>
  </si>
  <si>
    <t>AF 0006 27-Sep-2023</t>
  </si>
  <si>
    <t>057 - 48178443 - CDG - BEY</t>
  </si>
  <si>
    <t>AF 0564 27-Sep-2023</t>
  </si>
  <si>
    <t>057 - 04175426 - CDG - LAX</t>
  </si>
  <si>
    <t>View Log</t>
  </si>
  <si>
    <t>057 - 04162524 - CDG - HKG</t>
  </si>
  <si>
    <t>057 - 46045462 - CDG - DSS</t>
  </si>
  <si>
    <t>057 - 46413054 - CDG - JFK</t>
  </si>
  <si>
    <t>057 - 48306731 - CDG - DSS</t>
  </si>
  <si>
    <t>057 - 04162266 - CDG - JFK</t>
  </si>
  <si>
    <t>057 - 47518376 - CDG - DSS</t>
  </si>
  <si>
    <t>057 - 48307243 - CDG - DSS</t>
  </si>
  <si>
    <t>057 - 46045543 - CDG - DSS</t>
  </si>
  <si>
    <t>057 - 47518365 - CDG - DSS</t>
  </si>
  <si>
    <t>057 - 48127402 - CDG - DTW</t>
  </si>
  <si>
    <t>057 - 03993813 - CDG - BOG</t>
  </si>
  <si>
    <t>057 - 04245216 - CDG - JFK</t>
  </si>
  <si>
    <t>CCA</t>
  </si>
  <si>
    <t>DONE</t>
  </si>
  <si>
    <t>057 - 47855135 - CDG - BOG</t>
  </si>
  <si>
    <t>DOUBLON</t>
  </si>
  <si>
    <t>057 - 47516560 - CDG - ORD</t>
  </si>
  <si>
    <t>057 - 47853610 - CDG - NOU</t>
  </si>
  <si>
    <t>057 - 04121935 - CDG - YYZ</t>
  </si>
  <si>
    <t>057 - 48040941 - CDG - JFK</t>
  </si>
  <si>
    <t>057 - 48258033 - CDG - NOU</t>
  </si>
  <si>
    <t>doublon</t>
  </si>
  <si>
    <t>057 - 04302292 - CDG - ATL</t>
  </si>
  <si>
    <t>cca</t>
  </si>
  <si>
    <t>057 - 47895245 - CDG - YYZ</t>
  </si>
  <si>
    <t>057 - 11477480 - CDG - ABJ</t>
  </si>
  <si>
    <t>057 - 48041092 - CDG - NOU</t>
  </si>
  <si>
    <t>057 - 04298722 - CDG - PPT</t>
  </si>
  <si>
    <t>057 - 48054996 - CDG - LAX</t>
  </si>
  <si>
    <t>done</t>
  </si>
  <si>
    <t>057 - 04131676 - CDG - YUL</t>
  </si>
  <si>
    <t>057 - 46332425 - CDG - NOU</t>
  </si>
  <si>
    <t>057 - 10899232 - CDG - ATL</t>
  </si>
  <si>
    <t>Aurore</t>
  </si>
  <si>
    <t>error</t>
  </si>
  <si>
    <t>057 - 04310854 - CDG - IAD</t>
  </si>
  <si>
    <t>057 - 48053526 - CDG - BEY</t>
  </si>
  <si>
    <t>057 - 48185690 - CDG - JNB</t>
  </si>
  <si>
    <t>057 - 47708312 - CDG - YUL</t>
  </si>
  <si>
    <t>057 - 46170972 - CDG - JFK</t>
  </si>
  <si>
    <t>057 - 04308920 - CDG - ATL</t>
  </si>
  <si>
    <t>057 - 45038523 - CDG - LAX</t>
  </si>
  <si>
    <t>057 - 48120925 - CDG - DSS</t>
  </si>
  <si>
    <t>057 - 12834776 - CDG - ORD</t>
  </si>
  <si>
    <t>AF0136</t>
  </si>
  <si>
    <t>Marco</t>
  </si>
  <si>
    <t>057 - 04284490 - CDG - JFK</t>
  </si>
  <si>
    <t>057 - 04307483 - CDG - JFK</t>
  </si>
  <si>
    <t>057 - 04249350 - CDG - DSS</t>
  </si>
  <si>
    <t>057 - 04246196 - CDG - JFK</t>
  </si>
  <si>
    <t>057 - 04264713 - CDG - JFK</t>
  </si>
  <si>
    <t>057 - 45887881 - CDG - JFK</t>
  </si>
  <si>
    <t>057 - 48356733 - CDG - SCL</t>
  </si>
  <si>
    <t>DOUBLE</t>
  </si>
  <si>
    <t>057 - 48120995 - CDG - JFK</t>
  </si>
  <si>
    <t>057 - 48120612 - CDG - SCL</t>
  </si>
  <si>
    <t>057 - 04308953 - CDG - ATL</t>
  </si>
  <si>
    <t>057 - 04309266 - CDG - ATL</t>
  </si>
  <si>
    <t>not known</t>
  </si>
  <si>
    <t>057 - 12834765 - CDG - YUL</t>
  </si>
  <si>
    <t>Scenarios and Uses Cases</t>
  </si>
  <si>
    <t>Scenario ID</t>
  </si>
  <si>
    <t>Scenario Name</t>
  </si>
  <si>
    <t>Use Case ID</t>
  </si>
  <si>
    <t>Details</t>
  </si>
  <si>
    <t>Merge</t>
  </si>
  <si>
    <t>S1</t>
  </si>
  <si>
    <t>_Export Local Acceptance</t>
  </si>
  <si>
    <t>U01</t>
  </si>
  <si>
    <t>_Loose</t>
  </si>
  <si>
    <t>U02</t>
  </si>
  <si>
    <t>_ULD and/or BUP (both)</t>
  </si>
  <si>
    <t>U03</t>
  </si>
  <si>
    <t>_Mix Load (loose + ULD)</t>
  </si>
  <si>
    <t>U04</t>
  </si>
  <si>
    <t>_DG</t>
  </si>
  <si>
    <t>S2</t>
  </si>
  <si>
    <t>_Transit Acceptance / Outstation = iCargo</t>
  </si>
  <si>
    <t>_DG with iCargo Oustation</t>
  </si>
  <si>
    <t>S3</t>
  </si>
  <si>
    <t>_Transit Acceptance / Outstation = NOT iCargo</t>
  </si>
  <si>
    <t>S4</t>
  </si>
  <si>
    <t>_Unhappy Flow</t>
  </si>
  <si>
    <t>U06</t>
  </si>
  <si>
    <t>_Part Shipment</t>
  </si>
  <si>
    <t>How to use/read both extraction coming Pelican</t>
  </si>
  <si>
    <t>Extract</t>
  </si>
  <si>
    <t>Content</t>
  </si>
  <si>
    <t>Scenario / U.C</t>
  </si>
  <si>
    <t>How to identify</t>
  </si>
  <si>
    <t>N°1</t>
  </si>
  <si>
    <t>Acceptance and ULD not closed in Pelican</t>
  </si>
  <si>
    <t>Loose</t>
  </si>
  <si>
    <t>All accepted by default as Loose</t>
  </si>
  <si>
    <t>ULD</t>
  </si>
  <si>
    <t>Column "isULD", if "Y" so perfom the acceptance as ULD</t>
  </si>
  <si>
    <t>DG</t>
  </si>
  <si>
    <t>SHC List</t>
  </si>
  <si>
    <t>Transit</t>
  </si>
  <si>
    <t>Column "Transit", if " Y" so Transit related</t>
  </si>
  <si>
    <t>G2</t>
  </si>
  <si>
    <t>Column "Sodexi", if  "Y" so Sodexi related = G2</t>
  </si>
  <si>
    <t>Position not known, excel cell is empty (column "POSITION")</t>
  </si>
  <si>
    <t>All position will be updated at the latest moment by IBS IT during Cutover
IBS testing to perform the physical acceptance with a value by default</t>
  </si>
  <si>
    <t>N°2</t>
  </si>
  <si>
    <t>ULD already closed in Pelican</t>
  </si>
  <si>
    <t>IBS Testing guidances</t>
  </si>
  <si>
    <t>N°</t>
  </si>
  <si>
    <t>Rules</t>
  </si>
  <si>
    <t>We do all the build-up for all the loose shipments to next forwading flight present in the Acceptance sheet following columns - AIRLINE  FLT NUM  FLT DATE</t>
  </si>
  <si>
    <t>We do all the build for all the ULDs having data present in the ULD sheet and mark as Builup completed</t>
  </si>
  <si>
    <t>If any ULD data not present in the ULD sheet, we will wait for the next ULD extract</t>
  </si>
  <si>
    <t>All ULDs that are not built up will be compared with the new ULD sheets and will do the build-up if present.</t>
  </si>
  <si>
    <t>Take print out after the Acceptance and mark the old SU number into the print out.</t>
  </si>
  <si>
    <t>Definition of Done related to IBS Data Capture</t>
  </si>
  <si>
    <t>iCargo status</t>
  </si>
  <si>
    <t>Build Up completed</t>
  </si>
  <si>
    <t>Label</t>
  </si>
  <si>
    <t>Label is printed</t>
  </si>
  <si>
    <t>For the flights that will leave CDG on D0, D1, D2, D3</t>
  </si>
  <si>
    <t>AWB TRANSIT</t>
  </si>
  <si>
    <t xml:space="preserve">FNR TRANSIT </t>
  </si>
  <si>
    <t>AWB EXPORT LOCAL</t>
  </si>
  <si>
    <t>FNR EXPORT LOCAL</t>
  </si>
  <si>
    <t>D-1</t>
  </si>
  <si>
    <t>D-2</t>
  </si>
  <si>
    <t>For the flights that will leave CDG on D0</t>
  </si>
  <si>
    <t>AFKL - DC ACCEPTANCE</t>
  </si>
  <si>
    <t>IBS - DC ACCEPTANCE &amp; BUILD UP</t>
  </si>
  <si>
    <t>Benoit Bordet
Please do not touch</t>
  </si>
  <si>
    <t>Data Base - From Pelican</t>
  </si>
  <si>
    <t>AWB Documentary Acceptance</t>
  </si>
  <si>
    <t>Physical Acceptance</t>
  </si>
  <si>
    <t>Build Up (including ULD assigned to a Flight)</t>
  </si>
  <si>
    <t>Extraction Date</t>
  </si>
  <si>
    <t>LAT</t>
  </si>
  <si>
    <t>FNR</t>
  </si>
  <si>
    <t>STORAGEUNIT</t>
  </si>
  <si>
    <t>WGT</t>
  </si>
  <si>
    <t>PCS</t>
  </si>
  <si>
    <t>VOLUME</t>
  </si>
  <si>
    <t>TRANSIT</t>
  </si>
  <si>
    <t>IsULD</t>
  </si>
  <si>
    <t>AIRLINE</t>
  </si>
  <si>
    <t>FLT NUM</t>
  </si>
  <si>
    <t>FLT DATE</t>
  </si>
  <si>
    <t>SHC1</t>
  </si>
  <si>
    <t>SHC2</t>
  </si>
  <si>
    <t>SHC3</t>
  </si>
  <si>
    <t>SHC4</t>
  </si>
  <si>
    <t>SHC5</t>
  </si>
  <si>
    <t>ORI</t>
  </si>
  <si>
    <t>DEST</t>
  </si>
  <si>
    <t>OFLD</t>
  </si>
  <si>
    <t>SODEXI</t>
  </si>
  <si>
    <t>POSITION</t>
  </si>
  <si>
    <t>CONTOUR</t>
  </si>
  <si>
    <t>Unnamed: 22</t>
  </si>
  <si>
    <t>Secured</t>
  </si>
  <si>
    <t>Observation</t>
  </si>
  <si>
    <t>Corrected Manually</t>
  </si>
  <si>
    <t>Status2</t>
  </si>
  <si>
    <t>Observation3</t>
  </si>
  <si>
    <t>SU iCargo</t>
  </si>
  <si>
    <t>Ready for Carriage</t>
  </si>
  <si>
    <t>Status3</t>
  </si>
  <si>
    <t>Observation2</t>
  </si>
  <si>
    <t xml:space="preserve">Printed </t>
  </si>
  <si>
    <t>Pelican Extraction n°</t>
  </si>
  <si>
    <t>Nb Repetition</t>
  </si>
  <si>
    <t>Is SCH1 = DG</t>
  </si>
  <si>
    <t>Is SCH2 = DG</t>
  </si>
  <si>
    <t>Is SCH3 = DG</t>
  </si>
  <si>
    <t>Is SCH4= DG</t>
  </si>
  <si>
    <t>Is SCH5 = DG</t>
  </si>
  <si>
    <t>SHC Check</t>
  </si>
  <si>
    <t>Is ORI =iCargo</t>
  </si>
  <si>
    <t>05704925200</t>
  </si>
  <si>
    <t>BA</t>
  </si>
  <si>
    <t>05704925200001</t>
  </si>
  <si>
    <t>32.0</t>
  </si>
  <si>
    <t>1</t>
  </si>
  <si>
    <t>.74</t>
  </si>
  <si>
    <t>Y</t>
  </si>
  <si>
    <t>N</t>
  </si>
  <si>
    <t>AF</t>
  </si>
  <si>
    <t>568</t>
  </si>
  <si>
    <t>231116</t>
  </si>
  <si>
    <t>ECP</t>
  </si>
  <si>
    <t>EAP</t>
  </si>
  <si>
    <t>TLS</t>
  </si>
  <si>
    <t>CAI</t>
  </si>
  <si>
    <t>51103</t>
  </si>
  <si>
    <t>Passed</t>
  </si>
  <si>
    <t>No HAWB (XFZB issue)</t>
  </si>
  <si>
    <t xml:space="preserve"> finalised</t>
  </si>
  <si>
    <t>Ready</t>
  </si>
  <si>
    <t>05705197080</t>
  </si>
  <si>
    <t>05705197080001</t>
  </si>
  <si>
    <t>17.0</t>
  </si>
  <si>
    <t>.26</t>
  </si>
  <si>
    <t>670</t>
  </si>
  <si>
    <t>231115</t>
  </si>
  <si>
    <t>LYS</t>
  </si>
  <si>
    <t>JIB</t>
  </si>
  <si>
    <t>49406</t>
  </si>
  <si>
    <t>05705209503</t>
  </si>
  <si>
    <t>05705209503001</t>
  </si>
  <si>
    <t>168.0</t>
  </si>
  <si>
    <t>.83</t>
  </si>
  <si>
    <t>330M</t>
  </si>
  <si>
    <t>HEA</t>
  </si>
  <si>
    <t>ATL</t>
  </si>
  <si>
    <t>LJU</t>
  </si>
  <si>
    <t>22006</t>
  </si>
  <si>
    <t>DA</t>
  </si>
  <si>
    <t>05705209503002</t>
  </si>
  <si>
    <t>16105</t>
  </si>
  <si>
    <t>05746973743</t>
  </si>
  <si>
    <t>05746973743001</t>
  </si>
  <si>
    <t>PMC31646KL</t>
  </si>
  <si>
    <t>1647.0</t>
  </si>
  <si>
    <t>10.00</t>
  </si>
  <si>
    <t>174M</t>
  </si>
  <si>
    <t>ECC</t>
  </si>
  <si>
    <t>BUP</t>
  </si>
  <si>
    <t>EAW</t>
  </si>
  <si>
    <t>HKG</t>
  </si>
  <si>
    <t>NTE</t>
  </si>
  <si>
    <t>B2B-4211</t>
  </si>
  <si>
    <t>Failed</t>
  </si>
  <si>
    <t>HAWB PC &gt; MAWB PCs + error routing</t>
  </si>
  <si>
    <t>05747745320</t>
  </si>
  <si>
    <t>05747745320001</t>
  </si>
  <si>
    <t>9.5</t>
  </si>
  <si>
    <t>.05</t>
  </si>
  <si>
    <t>860</t>
  </si>
  <si>
    <t>231120</t>
  </si>
  <si>
    <t>VAL</t>
  </si>
  <si>
    <t>VIC</t>
  </si>
  <si>
    <t>CDG</t>
  </si>
  <si>
    <t>LFW</t>
  </si>
  <si>
    <t>VAL0</t>
  </si>
  <si>
    <t>05748285171</t>
  </si>
  <si>
    <t>05748285171001</t>
  </si>
  <si>
    <t>146.0</t>
  </si>
  <si>
    <t>1.01</t>
  </si>
  <si>
    <t>928</t>
  </si>
  <si>
    <t>MRS</t>
  </si>
  <si>
    <t>PNR</t>
  </si>
  <si>
    <t>S8101</t>
  </si>
  <si>
    <t>05748738771</t>
  </si>
  <si>
    <t>05748738771001</t>
  </si>
  <si>
    <t>490.0</t>
  </si>
  <si>
    <t>2.11</t>
  </si>
  <si>
    <t>132</t>
  </si>
  <si>
    <t>IST</t>
  </si>
  <si>
    <t>DFW</t>
  </si>
  <si>
    <t>XLC20</t>
  </si>
  <si>
    <t>05748849861</t>
  </si>
  <si>
    <t>05748849861001</t>
  </si>
  <si>
    <t>270.0</t>
  </si>
  <si>
    <t>.75</t>
  </si>
  <si>
    <t>090</t>
  </si>
  <si>
    <t>MIA</t>
  </si>
  <si>
    <t>51006</t>
  </si>
  <si>
    <t>13/11/2023</t>
  </si>
  <si>
    <t>05748955561</t>
  </si>
  <si>
    <t>05748955561001</t>
  </si>
  <si>
    <t>496.7</t>
  </si>
  <si>
    <t>1.63</t>
  </si>
  <si>
    <t>066</t>
  </si>
  <si>
    <t>231117</t>
  </si>
  <si>
    <t>DEL</t>
  </si>
  <si>
    <t>LAX</t>
  </si>
  <si>
    <t>HLC005</t>
  </si>
  <si>
    <t>No FWB</t>
  </si>
  <si>
    <t>05748955561002</t>
  </si>
  <si>
    <t>HLC065</t>
  </si>
  <si>
    <t>FA</t>
  </si>
  <si>
    <t>05748955561003</t>
  </si>
  <si>
    <t>HLC066</t>
  </si>
  <si>
    <t>05753714172</t>
  </si>
  <si>
    <t>05753714172001</t>
  </si>
  <si>
    <t>202.0</t>
  </si>
  <si>
    <t>1.30</t>
  </si>
  <si>
    <t>ELI</t>
  </si>
  <si>
    <t>HLC085</t>
  </si>
  <si>
    <t>05771332822</t>
  </si>
  <si>
    <t>05771332822001</t>
  </si>
  <si>
    <t>161.9</t>
  </si>
  <si>
    <t>1.00</t>
  </si>
  <si>
    <t>972</t>
  </si>
  <si>
    <t>FSA</t>
  </si>
  <si>
    <t>SPX</t>
  </si>
  <si>
    <t>LAD</t>
  </si>
  <si>
    <t>T3104</t>
  </si>
  <si>
    <t>No MRN (XCSN issue)</t>
  </si>
  <si>
    <t>05771332822002</t>
  </si>
  <si>
    <t>T4004</t>
  </si>
  <si>
    <t>05771332822003</t>
  </si>
  <si>
    <t>161.8</t>
  </si>
  <si>
    <t>S9304</t>
  </si>
  <si>
    <t>05771333102</t>
  </si>
  <si>
    <t>05771333102001</t>
  </si>
  <si>
    <t>191.3</t>
  </si>
  <si>
    <t>1.15</t>
  </si>
  <si>
    <t>55007</t>
  </si>
  <si>
    <t>05771333102002</t>
  </si>
  <si>
    <t>191.2</t>
  </si>
  <si>
    <t>52403</t>
  </si>
  <si>
    <t>05771333264</t>
  </si>
  <si>
    <t>05771333264001</t>
  </si>
  <si>
    <t>PMC87884AF</t>
  </si>
  <si>
    <t>1221.3</t>
  </si>
  <si>
    <t>9</t>
  </si>
  <si>
    <t>712</t>
  </si>
  <si>
    <t>FSB</t>
  </si>
  <si>
    <t>ABJ</t>
  </si>
  <si>
    <t>NCX-4528</t>
  </si>
  <si>
    <t>05771333264002</t>
  </si>
  <si>
    <t>07462536740</t>
  </si>
  <si>
    <t>07462536740001</t>
  </si>
  <si>
    <t>331.0</t>
  </si>
  <si>
    <t>5</t>
  </si>
  <si>
    <t>.60</t>
  </si>
  <si>
    <t>PVG</t>
  </si>
  <si>
    <t>21005</t>
  </si>
  <si>
    <t>05702550671</t>
  </si>
  <si>
    <t>05702550671001</t>
  </si>
  <si>
    <t>PMC32403KL</t>
  </si>
  <si>
    <t>1369.0</t>
  </si>
  <si>
    <t>3</t>
  </si>
  <si>
    <t>9.42</t>
  </si>
  <si>
    <t>092</t>
  </si>
  <si>
    <t>BKK</t>
  </si>
  <si>
    <t>B2B-4229</t>
  </si>
  <si>
    <t>ML</t>
  </si>
  <si>
    <t>05702608616</t>
  </si>
  <si>
    <t>05702608616001</t>
  </si>
  <si>
    <t>250.0</t>
  </si>
  <si>
    <t>1.18</t>
  </si>
  <si>
    <t>566</t>
  </si>
  <si>
    <t>BEY</t>
  </si>
  <si>
    <t>P8001</t>
  </si>
  <si>
    <t>05702826854</t>
  </si>
  <si>
    <t>05702826854002</t>
  </si>
  <si>
    <t>230.0</t>
  </si>
  <si>
    <t>1.38</t>
  </si>
  <si>
    <t>DL</t>
  </si>
  <si>
    <t>083</t>
  </si>
  <si>
    <t>62106</t>
  </si>
  <si>
    <t>05702826854001</t>
  </si>
  <si>
    <t>05702826854003</t>
  </si>
  <si>
    <t>PMC73891AF</t>
  </si>
  <si>
    <t>623.0</t>
  </si>
  <si>
    <t>6.47</t>
  </si>
  <si>
    <t>B2D-6338</t>
  </si>
  <si>
    <t>HA</t>
  </si>
  <si>
    <t>05702826854004</t>
  </si>
  <si>
    <t>P9304</t>
  </si>
  <si>
    <t>05702864735</t>
  </si>
  <si>
    <t>05702864735001</t>
  </si>
  <si>
    <t>100.0</t>
  </si>
  <si>
    <t>356</t>
  </si>
  <si>
    <t>VIE</t>
  </si>
  <si>
    <t>YYZ</t>
  </si>
  <si>
    <t>P2404</t>
  </si>
  <si>
    <t>05702964710</t>
  </si>
  <si>
    <t>05702964710001</t>
  </si>
  <si>
    <t>175.6</t>
  </si>
  <si>
    <t>1.40</t>
  </si>
  <si>
    <t>BUD</t>
  </si>
  <si>
    <t>63103</t>
  </si>
  <si>
    <t>05702964710002</t>
  </si>
  <si>
    <t>Q9301</t>
  </si>
  <si>
    <t>05702964710003</t>
  </si>
  <si>
    <t>175.7</t>
  </si>
  <si>
    <t>1.41</t>
  </si>
  <si>
    <t>53108</t>
  </si>
  <si>
    <t>05703020500</t>
  </si>
  <si>
    <t>05703020500001</t>
  </si>
  <si>
    <t>150.4</t>
  </si>
  <si>
    <t>1.92</t>
  </si>
  <si>
    <t>804</t>
  </si>
  <si>
    <t>AMS</t>
  </si>
  <si>
    <t>COO</t>
  </si>
  <si>
    <t>HLC111</t>
  </si>
  <si>
    <t>05703062916</t>
  </si>
  <si>
    <t>05703062916001</t>
  </si>
  <si>
    <t>PMC32131KL</t>
  </si>
  <si>
    <t>4</t>
  </si>
  <si>
    <t>.17</t>
  </si>
  <si>
    <t>6762</t>
  </si>
  <si>
    <t>B2B-4023</t>
  </si>
  <si>
    <t>05703077340</t>
  </si>
  <si>
    <t>05703077340001</t>
  </si>
  <si>
    <t>435.0</t>
  </si>
  <si>
    <t>6732</t>
  </si>
  <si>
    <t>STR</t>
  </si>
  <si>
    <t>ORD</t>
  </si>
  <si>
    <t>T5102</t>
  </si>
  <si>
    <t>05703106493</t>
  </si>
  <si>
    <t>05703106493001</t>
  </si>
  <si>
    <t>160.3</t>
  </si>
  <si>
    <t>1.02</t>
  </si>
  <si>
    <t>694</t>
  </si>
  <si>
    <t>FRA</t>
  </si>
  <si>
    <t>IAH</t>
  </si>
  <si>
    <t>51405</t>
  </si>
  <si>
    <t>05703106493002</t>
  </si>
  <si>
    <t>55403</t>
  </si>
  <si>
    <t>05703106493003</t>
  </si>
  <si>
    <t>56408</t>
  </si>
  <si>
    <t>05703108560</t>
  </si>
  <si>
    <t>05703108560001</t>
  </si>
  <si>
    <t>59.6</t>
  </si>
  <si>
    <t>.63</t>
  </si>
  <si>
    <t>990</t>
  </si>
  <si>
    <t>BRU</t>
  </si>
  <si>
    <t>JNB</t>
  </si>
  <si>
    <t>S7403</t>
  </si>
  <si>
    <t>05703108560002</t>
  </si>
  <si>
    <t>.64</t>
  </si>
  <si>
    <t>52110</t>
  </si>
  <si>
    <t>05703109131</t>
  </si>
  <si>
    <t>05703109131001</t>
  </si>
  <si>
    <t>895.0</t>
  </si>
  <si>
    <t>81</t>
  </si>
  <si>
    <t>6.71</t>
  </si>
  <si>
    <t>688</t>
  </si>
  <si>
    <t>RFK50</t>
  </si>
  <si>
    <t>05704696705</t>
  </si>
  <si>
    <t>05704696705001</t>
  </si>
  <si>
    <t>99.0</t>
  </si>
  <si>
    <t>1.12</t>
  </si>
  <si>
    <t>N3302</t>
  </si>
  <si>
    <t>05705111013</t>
  </si>
  <si>
    <t>05705111013001</t>
  </si>
  <si>
    <t>344.3</t>
  </si>
  <si>
    <t>2.27</t>
  </si>
  <si>
    <t>822</t>
  </si>
  <si>
    <t>MAD</t>
  </si>
  <si>
    <t>SSG</t>
  </si>
  <si>
    <t>HLC014</t>
  </si>
  <si>
    <t>05705111013002</t>
  </si>
  <si>
    <t>55310</t>
  </si>
  <si>
    <t>05705111013003</t>
  </si>
  <si>
    <t>62303</t>
  </si>
  <si>
    <t>05705164596</t>
  </si>
  <si>
    <t>05705164596001</t>
  </si>
  <si>
    <t>125.5</t>
  </si>
  <si>
    <t>1.29</t>
  </si>
  <si>
    <t>LHR</t>
  </si>
  <si>
    <t>N2404</t>
  </si>
  <si>
    <t>05705164596002</t>
  </si>
  <si>
    <t>N4403</t>
  </si>
  <si>
    <t>05705178563</t>
  </si>
  <si>
    <t>05705178563001</t>
  </si>
  <si>
    <t>PMC64466AF</t>
  </si>
  <si>
    <t>471.0</t>
  </si>
  <si>
    <t>1.44</t>
  </si>
  <si>
    <t>ABZ</t>
  </si>
  <si>
    <t>B2A-4929</t>
  </si>
  <si>
    <t>05705188190</t>
  </si>
  <si>
    <t>05705188190001</t>
  </si>
  <si>
    <t>179.0</t>
  </si>
  <si>
    <t>1.77</t>
  </si>
  <si>
    <t>148</t>
  </si>
  <si>
    <t>231119</t>
  </si>
  <si>
    <t>LOS</t>
  </si>
  <si>
    <t>58302</t>
  </si>
  <si>
    <t>05705188680</t>
  </si>
  <si>
    <t>05705188680001</t>
  </si>
  <si>
    <t>300.5</t>
  </si>
  <si>
    <t>2.00</t>
  </si>
  <si>
    <t>178</t>
  </si>
  <si>
    <t>COL</t>
  </si>
  <si>
    <t>MEX</t>
  </si>
  <si>
    <t>F3210</t>
  </si>
  <si>
    <t>05705188680002</t>
  </si>
  <si>
    <t>2.01</t>
  </si>
  <si>
    <t>F3209</t>
  </si>
  <si>
    <t>05705191723</t>
  </si>
  <si>
    <t>05705191723001</t>
  </si>
  <si>
    <t>206.9</t>
  </si>
  <si>
    <t>1.43</t>
  </si>
  <si>
    <t>BCN</t>
  </si>
  <si>
    <t>LO100</t>
  </si>
  <si>
    <t>05705191723002</t>
  </si>
  <si>
    <t>05705191723003</t>
  </si>
  <si>
    <t>05705191723004</t>
  </si>
  <si>
    <t>05705196306</t>
  </si>
  <si>
    <t>05705196306001</t>
  </si>
  <si>
    <t>215.0</t>
  </si>
  <si>
    <t>.57</t>
  </si>
  <si>
    <t>Y6303</t>
  </si>
  <si>
    <t>Invalid Agent IATA code</t>
  </si>
  <si>
    <t>05705197570</t>
  </si>
  <si>
    <t>05705197570001</t>
  </si>
  <si>
    <t>460.0</t>
  </si>
  <si>
    <t>1.98</t>
  </si>
  <si>
    <t>XLC00</t>
  </si>
  <si>
    <t>05705198406</t>
  </si>
  <si>
    <t>05705198406001</t>
  </si>
  <si>
    <t>259.7</t>
  </si>
  <si>
    <t>374</t>
  </si>
  <si>
    <t>YVR</t>
  </si>
  <si>
    <t>52406</t>
  </si>
  <si>
    <t>05705198406003</t>
  </si>
  <si>
    <t>R5101</t>
  </si>
  <si>
    <t>05705198406002</t>
  </si>
  <si>
    <t>05705199832</t>
  </si>
  <si>
    <t>05705199832001</t>
  </si>
  <si>
    <t>269.0</t>
  </si>
  <si>
    <t>1.23</t>
  </si>
  <si>
    <t>890</t>
  </si>
  <si>
    <t>CPT</t>
  </si>
  <si>
    <t>RFK43</t>
  </si>
  <si>
    <t>05705199832002</t>
  </si>
  <si>
    <t>268.1</t>
  </si>
  <si>
    <t>RFK64</t>
  </si>
  <si>
    <t>05705199832003</t>
  </si>
  <si>
    <t>RFK00</t>
  </si>
  <si>
    <t>05705199832004</t>
  </si>
  <si>
    <t>RFK63</t>
  </si>
  <si>
    <t>JA</t>
  </si>
  <si>
    <t>05705199832005</t>
  </si>
  <si>
    <t>LA</t>
  </si>
  <si>
    <t>05705199832006</t>
  </si>
  <si>
    <t>05705199832007</t>
  </si>
  <si>
    <t>PA</t>
  </si>
  <si>
    <t>05705199832008</t>
  </si>
  <si>
    <t>RA</t>
  </si>
  <si>
    <t>05705199832009</t>
  </si>
  <si>
    <t>TA</t>
  </si>
  <si>
    <t>05705199832010</t>
  </si>
  <si>
    <t>VA</t>
  </si>
  <si>
    <t>05705199832011</t>
  </si>
  <si>
    <t>XA</t>
  </si>
  <si>
    <t>05705199832012</t>
  </si>
  <si>
    <t>ZA</t>
  </si>
  <si>
    <t>05705199832013</t>
  </si>
  <si>
    <t>AB</t>
  </si>
  <si>
    <t>05705199832014</t>
  </si>
  <si>
    <t>CB</t>
  </si>
  <si>
    <t>05705199832015</t>
  </si>
  <si>
    <t>05705200296</t>
  </si>
  <si>
    <t>05705200296001</t>
  </si>
  <si>
    <t>350.0</t>
  </si>
  <si>
    <t>.29</t>
  </si>
  <si>
    <t>61304</t>
  </si>
  <si>
    <t>05705200996</t>
  </si>
  <si>
    <t>05705200996001</t>
  </si>
  <si>
    <t>320.0</t>
  </si>
  <si>
    <t>4.32</t>
  </si>
  <si>
    <t>LLC00</t>
  </si>
  <si>
    <t>05705200996003</t>
  </si>
  <si>
    <t>05705202326</t>
  </si>
  <si>
    <t>05705202326001</t>
  </si>
  <si>
    <t>118.5</t>
  </si>
  <si>
    <t>.39</t>
  </si>
  <si>
    <t>342</t>
  </si>
  <si>
    <t>HEL</t>
  </si>
  <si>
    <t>YUL</t>
  </si>
  <si>
    <t>HLC010</t>
  </si>
  <si>
    <t>05705202326002</t>
  </si>
  <si>
    <t>P6401</t>
  </si>
  <si>
    <t>05705205642</t>
  </si>
  <si>
    <t>05705205642001</t>
  </si>
  <si>
    <t>252.0</t>
  </si>
  <si>
    <t>.43</t>
  </si>
  <si>
    <t>CGN</t>
  </si>
  <si>
    <t>N5101</t>
  </si>
  <si>
    <t>05705205642002</t>
  </si>
  <si>
    <t>71203</t>
  </si>
  <si>
    <t>05705205642003</t>
  </si>
  <si>
    <t>N6101</t>
  </si>
  <si>
    <t>05705205642004</t>
  </si>
  <si>
    <t>54302</t>
  </si>
  <si>
    <t>05705205966</t>
  </si>
  <si>
    <t>05705205966001</t>
  </si>
  <si>
    <t>.45</t>
  </si>
  <si>
    <t>054</t>
  </si>
  <si>
    <t>IAD</t>
  </si>
  <si>
    <t>HLC162</t>
  </si>
  <si>
    <t>05705207075001</t>
  </si>
  <si>
    <t>125.0</t>
  </si>
  <si>
    <t>1.26</t>
  </si>
  <si>
    <t>XLC30</t>
  </si>
  <si>
    <t>Invalid Agent IATA Code</t>
  </si>
  <si>
    <t>05705207296</t>
  </si>
  <si>
    <t>05705207296001</t>
  </si>
  <si>
    <t>PMC24596KL</t>
  </si>
  <si>
    <t>151.0</t>
  </si>
  <si>
    <t>SWK</t>
  </si>
  <si>
    <t>B2A-5119</t>
  </si>
  <si>
    <t>05705207366</t>
  </si>
  <si>
    <t>05705207366001</t>
  </si>
  <si>
    <t>12.0</t>
  </si>
  <si>
    <t>.62</t>
  </si>
  <si>
    <t>XPH</t>
  </si>
  <si>
    <t>55406</t>
  </si>
  <si>
    <t>05705209536</t>
  </si>
  <si>
    <t>05705209536002</t>
  </si>
  <si>
    <t>518.9</t>
  </si>
  <si>
    <t>1.54</t>
  </si>
  <si>
    <t>HAM</t>
  </si>
  <si>
    <t>73001</t>
  </si>
  <si>
    <t>05705209536001</t>
  </si>
  <si>
    <t>05705211651</t>
  </si>
  <si>
    <t>05705211651001</t>
  </si>
  <si>
    <t>PMC33071KL</t>
  </si>
  <si>
    <t>183.0</t>
  </si>
  <si>
    <t>.38</t>
  </si>
  <si>
    <t>B1A-3230</t>
  </si>
  <si>
    <t>05705212001</t>
  </si>
  <si>
    <t>05705212001001</t>
  </si>
  <si>
    <t>327.0</t>
  </si>
  <si>
    <t>.96</t>
  </si>
  <si>
    <t>M4103</t>
  </si>
  <si>
    <t>NO</t>
  </si>
  <si>
    <t>05705212454</t>
  </si>
  <si>
    <t>05705212454001</t>
  </si>
  <si>
    <t>248.0</t>
  </si>
  <si>
    <t>2</t>
  </si>
  <si>
    <t>258</t>
  </si>
  <si>
    <t>SGN</t>
  </si>
  <si>
    <t>T6201</t>
  </si>
  <si>
    <t>05705212454002</t>
  </si>
  <si>
    <t>T4202</t>
  </si>
  <si>
    <t>05705212454003</t>
  </si>
  <si>
    <t>124.0</t>
  </si>
  <si>
    <t>.77</t>
  </si>
  <si>
    <t>T5302</t>
  </si>
  <si>
    <t>05705212454004</t>
  </si>
  <si>
    <t>49310</t>
  </si>
  <si>
    <t>05705212863</t>
  </si>
  <si>
    <t>05705212863001</t>
  </si>
  <si>
    <t>383.0</t>
  </si>
  <si>
    <t>2.55</t>
  </si>
  <si>
    <t>344</t>
  </si>
  <si>
    <t>XLC10</t>
  </si>
  <si>
    <t>05705218905</t>
  </si>
  <si>
    <t>05705218905001</t>
  </si>
  <si>
    <t>102.7</t>
  </si>
  <si>
    <t>8</t>
  </si>
  <si>
    <t>.78</t>
  </si>
  <si>
    <t>932</t>
  </si>
  <si>
    <t>ACC</t>
  </si>
  <si>
    <t>49111</t>
  </si>
  <si>
    <t>05705218905002</t>
  </si>
  <si>
    <t>51.3</t>
  </si>
  <si>
    <t>49311</t>
  </si>
  <si>
    <t>05705218931</t>
  </si>
  <si>
    <t>05705218931001</t>
  </si>
  <si>
    <t>153.0</t>
  </si>
  <si>
    <t>.79</t>
  </si>
  <si>
    <t>BRE</t>
  </si>
  <si>
    <t>55304</t>
  </si>
  <si>
    <t>05705218931002</t>
  </si>
  <si>
    <t>05705220821</t>
  </si>
  <si>
    <t>WD</t>
  </si>
  <si>
    <t>05705220821051</t>
  </si>
  <si>
    <t>444.0</t>
  </si>
  <si>
    <t>2.82</t>
  </si>
  <si>
    <t>05705220821001</t>
  </si>
  <si>
    <t>05705221005</t>
  </si>
  <si>
    <t>05705221005001</t>
  </si>
  <si>
    <t>210.0</t>
  </si>
  <si>
    <t>.81</t>
  </si>
  <si>
    <t>P2101</t>
  </si>
  <si>
    <t>05705222302</t>
  </si>
  <si>
    <t>05705222302001</t>
  </si>
  <si>
    <t>155.0</t>
  </si>
  <si>
    <t>1.48</t>
  </si>
  <si>
    <t>64008</t>
  </si>
  <si>
    <t>05705222711</t>
  </si>
  <si>
    <t>05705222711001</t>
  </si>
  <si>
    <t>100.9</t>
  </si>
  <si>
    <t>692</t>
  </si>
  <si>
    <t>PRG</t>
  </si>
  <si>
    <t>RDU</t>
  </si>
  <si>
    <t>Y5001</t>
  </si>
  <si>
    <t>05705222711002</t>
  </si>
  <si>
    <t>163.0</t>
  </si>
  <si>
    <t>Y5110</t>
  </si>
  <si>
    <t>05705222711003</t>
  </si>
  <si>
    <t>181.5</t>
  </si>
  <si>
    <t>64105</t>
  </si>
  <si>
    <t>05705222711004</t>
  </si>
  <si>
    <t>Y6310</t>
  </si>
  <si>
    <t>05705222711005</t>
  </si>
  <si>
    <t>18003</t>
  </si>
  <si>
    <t>05705222711006</t>
  </si>
  <si>
    <t>Y6312</t>
  </si>
  <si>
    <t>05705224365</t>
  </si>
  <si>
    <t>05705224365001</t>
  </si>
  <si>
    <t>164.0</t>
  </si>
  <si>
    <t>682</t>
  </si>
  <si>
    <t>N1302</t>
  </si>
  <si>
    <t>05705224365002</t>
  </si>
  <si>
    <t>N1101</t>
  </si>
  <si>
    <t>05705225474</t>
  </si>
  <si>
    <t>05705225474001</t>
  </si>
  <si>
    <t>241.1</t>
  </si>
  <si>
    <t>1.42</t>
  </si>
  <si>
    <t>460</t>
  </si>
  <si>
    <t>MMX</t>
  </si>
  <si>
    <t>GRU</t>
  </si>
  <si>
    <t>Q5103</t>
  </si>
  <si>
    <t>05705225474002</t>
  </si>
  <si>
    <t>74001</t>
  </si>
  <si>
    <t>05705225474003</t>
  </si>
  <si>
    <t>73201</t>
  </si>
  <si>
    <t>05705239765</t>
  </si>
  <si>
    <t>05705239765001</t>
  </si>
  <si>
    <t>68.0</t>
  </si>
  <si>
    <t>.40</t>
  </si>
  <si>
    <t>WAW</t>
  </si>
  <si>
    <t>N7301</t>
  </si>
  <si>
    <t>05705240292</t>
  </si>
  <si>
    <t>05705240292001</t>
  </si>
  <si>
    <t>191.4</t>
  </si>
  <si>
    <t>2.92</t>
  </si>
  <si>
    <t>LO400</t>
  </si>
  <si>
    <t>Maximum amount limit exceeded</t>
  </si>
  <si>
    <t>05705240292051</t>
  </si>
  <si>
    <t>PMC69611AF</t>
  </si>
  <si>
    <t>478.5</t>
  </si>
  <si>
    <t>7.31</t>
  </si>
  <si>
    <t>B2B-4035</t>
  </si>
  <si>
    <t>05705240292002</t>
  </si>
  <si>
    <t>YD</t>
  </si>
  <si>
    <t>05705240292052</t>
  </si>
  <si>
    <t>PAG15317KL</t>
  </si>
  <si>
    <t>478.6</t>
  </si>
  <si>
    <t>B1C-2539</t>
  </si>
  <si>
    <t>AL</t>
  </si>
  <si>
    <t>05705240292003</t>
  </si>
  <si>
    <t>05705244680</t>
  </si>
  <si>
    <t>05705244680001</t>
  </si>
  <si>
    <t>PMC32141KL</t>
  </si>
  <si>
    <t>751.0</t>
  </si>
  <si>
    <t>6</t>
  </si>
  <si>
    <t>7.71</t>
  </si>
  <si>
    <t>152</t>
  </si>
  <si>
    <t>REQ</t>
  </si>
  <si>
    <t>B2B-4140</t>
  </si>
  <si>
    <t>REQ NO DGR</t>
  </si>
  <si>
    <t>0</t>
  </si>
  <si>
    <t>05705245284</t>
  </si>
  <si>
    <t>05705245284001</t>
  </si>
  <si>
    <t>660.0</t>
  </si>
  <si>
    <t>2.30</t>
  </si>
  <si>
    <t>05705251805</t>
  </si>
  <si>
    <t>05705251805001</t>
  </si>
  <si>
    <t>182.0</t>
  </si>
  <si>
    <t>.67</t>
  </si>
  <si>
    <t>S5402</t>
  </si>
  <si>
    <t>05705260021</t>
  </si>
  <si>
    <t>05705260021001</t>
  </si>
  <si>
    <t>250.2</t>
  </si>
  <si>
    <t>2.02</t>
  </si>
  <si>
    <t>084</t>
  </si>
  <si>
    <t>SFO</t>
  </si>
  <si>
    <t>05705260021002</t>
  </si>
  <si>
    <t>250.3</t>
  </si>
  <si>
    <t>05705260021003</t>
  </si>
  <si>
    <t>05705260021004</t>
  </si>
  <si>
    <t>05705260710</t>
  </si>
  <si>
    <t>05705260710001</t>
  </si>
  <si>
    <t>872.5</t>
  </si>
  <si>
    <t>4.59</t>
  </si>
  <si>
    <t>OHG</t>
  </si>
  <si>
    <t>NUE</t>
  </si>
  <si>
    <t>HLC072</t>
  </si>
  <si>
    <t>05705260710002</t>
  </si>
  <si>
    <t>4.60</t>
  </si>
  <si>
    <t>05705265050</t>
  </si>
  <si>
    <t>05705265050001</t>
  </si>
  <si>
    <t>855.0</t>
  </si>
  <si>
    <t>5.13</t>
  </si>
  <si>
    <t>HLC011</t>
  </si>
  <si>
    <t>05705265234</t>
  </si>
  <si>
    <t>05705265234001</t>
  </si>
  <si>
    <t>107.5</t>
  </si>
  <si>
    <t>.54</t>
  </si>
  <si>
    <t>26000</t>
  </si>
  <si>
    <t>05705265234002</t>
  </si>
  <si>
    <t>.55</t>
  </si>
  <si>
    <t>RMD</t>
  </si>
  <si>
    <t>17104</t>
  </si>
  <si>
    <t>05705265746</t>
  </si>
  <si>
    <t>05705265746001</t>
  </si>
  <si>
    <t>79.0</t>
  </si>
  <si>
    <t>.20</t>
  </si>
  <si>
    <t>HLC190</t>
  </si>
  <si>
    <t>05705267334</t>
  </si>
  <si>
    <t>05705267334001</t>
  </si>
  <si>
    <t>314.0</t>
  </si>
  <si>
    <t>.59</t>
  </si>
  <si>
    <t>05705267371</t>
  </si>
  <si>
    <t>05705267371001</t>
  </si>
  <si>
    <t>130.0</t>
  </si>
  <si>
    <t>.58</t>
  </si>
  <si>
    <t>AOG</t>
  </si>
  <si>
    <t>NCC</t>
  </si>
  <si>
    <t>05705267415</t>
  </si>
  <si>
    <t>05705267415001</t>
  </si>
  <si>
    <t>237.0</t>
  </si>
  <si>
    <t>1.17</t>
  </si>
  <si>
    <t>05705276902</t>
  </si>
  <si>
    <t>05705276902001</t>
  </si>
  <si>
    <t>194.0</t>
  </si>
  <si>
    <t>1.09</t>
  </si>
  <si>
    <t>658M</t>
  </si>
  <si>
    <t>DTW</t>
  </si>
  <si>
    <t>VLC</t>
  </si>
  <si>
    <t>20005</t>
  </si>
  <si>
    <t>05705284856</t>
  </si>
  <si>
    <t>05705284856001</t>
  </si>
  <si>
    <t>33.2</t>
  </si>
  <si>
    <t>.33</t>
  </si>
  <si>
    <t>474</t>
  </si>
  <si>
    <t>MXP</t>
  </si>
  <si>
    <t>PTY</t>
  </si>
  <si>
    <t>Y5010</t>
  </si>
  <si>
    <t>05705284856002</t>
  </si>
  <si>
    <t>232.6</t>
  </si>
  <si>
    <t>7</t>
  </si>
  <si>
    <t>2.34</t>
  </si>
  <si>
    <t>Y5016</t>
  </si>
  <si>
    <t>05705284856003</t>
  </si>
  <si>
    <t>Y5012</t>
  </si>
  <si>
    <t>05705285700</t>
  </si>
  <si>
    <t>05705285700001</t>
  </si>
  <si>
    <t>560.0</t>
  </si>
  <si>
    <t>1.06</t>
  </si>
  <si>
    <t>HLC015</t>
  </si>
  <si>
    <t>05705285884</t>
  </si>
  <si>
    <t>05705285884001</t>
  </si>
  <si>
    <t>95.2</t>
  </si>
  <si>
    <t>LLC13</t>
  </si>
  <si>
    <t>05705285884002</t>
  </si>
  <si>
    <t>LLC42</t>
  </si>
  <si>
    <t>05705285884003</t>
  </si>
  <si>
    <t>LLC52</t>
  </si>
  <si>
    <t>05705285884004</t>
  </si>
  <si>
    <t>LLC23</t>
  </si>
  <si>
    <t>05705285884005</t>
  </si>
  <si>
    <t>05705286971</t>
  </si>
  <si>
    <t>05705286971001</t>
  </si>
  <si>
    <t>218.2</t>
  </si>
  <si>
    <t>.73</t>
  </si>
  <si>
    <t>51107</t>
  </si>
  <si>
    <t>05705286971002</t>
  </si>
  <si>
    <t>218.3</t>
  </si>
  <si>
    <t>49301</t>
  </si>
  <si>
    <t>05705289955</t>
  </si>
  <si>
    <t>05705289955001</t>
  </si>
  <si>
    <t>144.0</t>
  </si>
  <si>
    <t>S3304</t>
  </si>
  <si>
    <t>05705290143</t>
  </si>
  <si>
    <t>05705290143001</t>
  </si>
  <si>
    <t>.99</t>
  </si>
  <si>
    <t>702</t>
  </si>
  <si>
    <t>05705290191</t>
  </si>
  <si>
    <t>05705290191001</t>
  </si>
  <si>
    <t>GRZ</t>
  </si>
  <si>
    <t>M4301</t>
  </si>
  <si>
    <t>05705290574</t>
  </si>
  <si>
    <t>05705290574001</t>
  </si>
  <si>
    <t>207.0</t>
  </si>
  <si>
    <t>63105</t>
  </si>
  <si>
    <t>05705292571</t>
  </si>
  <si>
    <t>05705292571001</t>
  </si>
  <si>
    <t>356.4</t>
  </si>
  <si>
    <t>DUB</t>
  </si>
  <si>
    <t>P4103</t>
  </si>
  <si>
    <t>05705292571002</t>
  </si>
  <si>
    <t>RFK24</t>
  </si>
  <si>
    <t>05705292571003</t>
  </si>
  <si>
    <t>712.7</t>
  </si>
  <si>
    <t>.66</t>
  </si>
  <si>
    <t>05705292571004</t>
  </si>
  <si>
    <t>05705292571005</t>
  </si>
  <si>
    <t>05705292571006</t>
  </si>
  <si>
    <t>05705292571007</t>
  </si>
  <si>
    <t>05705292571008</t>
  </si>
  <si>
    <t>05705292825</t>
  </si>
  <si>
    <t>05705292825001</t>
  </si>
  <si>
    <t>307.0</t>
  </si>
  <si>
    <t>DUS</t>
  </si>
  <si>
    <t>S6001</t>
  </si>
  <si>
    <t>05705292862</t>
  </si>
  <si>
    <t>05705292862001</t>
  </si>
  <si>
    <t>918.0</t>
  </si>
  <si>
    <t>2.87</t>
  </si>
  <si>
    <t>OPO</t>
  </si>
  <si>
    <t>05705292921</t>
  </si>
  <si>
    <t>05705292921001</t>
  </si>
  <si>
    <t>268.0</t>
  </si>
  <si>
    <t>.19</t>
  </si>
  <si>
    <t>N3402</t>
  </si>
  <si>
    <t>05705293455</t>
  </si>
  <si>
    <t>05705293455001</t>
  </si>
  <si>
    <t>743.0</t>
  </si>
  <si>
    <t>1.35</t>
  </si>
  <si>
    <t>51012</t>
  </si>
  <si>
    <t>05705293772</t>
  </si>
  <si>
    <t>05705293772001</t>
  </si>
  <si>
    <t>378</t>
  </si>
  <si>
    <t>BIO</t>
  </si>
  <si>
    <t>N3003</t>
  </si>
  <si>
    <t>05705293772002</t>
  </si>
  <si>
    <t>61314</t>
  </si>
  <si>
    <t>05705293772003</t>
  </si>
  <si>
    <t>58310</t>
  </si>
  <si>
    <t>05705293772004</t>
  </si>
  <si>
    <t>05705293772005</t>
  </si>
  <si>
    <t>05705302183</t>
  </si>
  <si>
    <t>05705302183001</t>
  </si>
  <si>
    <t>.15</t>
  </si>
  <si>
    <t>T4404</t>
  </si>
  <si>
    <t>05705303012</t>
  </si>
  <si>
    <t>05705303012001</t>
  </si>
  <si>
    <t>349.0</t>
  </si>
  <si>
    <t>4.80</t>
  </si>
  <si>
    <t>153</t>
  </si>
  <si>
    <t>BOD</t>
  </si>
  <si>
    <t>MSP</t>
  </si>
  <si>
    <t>05705303513</t>
  </si>
  <si>
    <t>05705303513001</t>
  </si>
  <si>
    <t>145.0</t>
  </si>
  <si>
    <t>1.95</t>
  </si>
  <si>
    <t>470M</t>
  </si>
  <si>
    <t>ARN</t>
  </si>
  <si>
    <t>MMX01</t>
  </si>
  <si>
    <t>05705304950</t>
  </si>
  <si>
    <t>05705304950002</t>
  </si>
  <si>
    <t>606.7</t>
  </si>
  <si>
    <t>1.34</t>
  </si>
  <si>
    <t>026</t>
  </si>
  <si>
    <t>05705304950001</t>
  </si>
  <si>
    <t>05705304950003</t>
  </si>
  <si>
    <t>05705304950004</t>
  </si>
  <si>
    <t>51010</t>
  </si>
  <si>
    <t>05705309780</t>
  </si>
  <si>
    <t>05705309780001</t>
  </si>
  <si>
    <t>379.0</t>
  </si>
  <si>
    <t>1.16</t>
  </si>
  <si>
    <t>LLC30</t>
  </si>
  <si>
    <t>05705309780002</t>
  </si>
  <si>
    <t>HLC125</t>
  </si>
  <si>
    <t>05705326156</t>
  </si>
  <si>
    <t>05705326156001</t>
  </si>
  <si>
    <t>120.0</t>
  </si>
  <si>
    <t>.98</t>
  </si>
  <si>
    <t>05705326720</t>
  </si>
  <si>
    <t>05705326720001</t>
  </si>
  <si>
    <t>397.0</t>
  </si>
  <si>
    <t>.95</t>
  </si>
  <si>
    <t>BCN01</t>
  </si>
  <si>
    <t>00635594952001</t>
  </si>
  <si>
    <t>05705329516</t>
  </si>
  <si>
    <t>05705329516001</t>
  </si>
  <si>
    <t>97.0</t>
  </si>
  <si>
    <t>.88</t>
  </si>
  <si>
    <t>664M</t>
  </si>
  <si>
    <t>16005</t>
  </si>
  <si>
    <t>05705332784</t>
  </si>
  <si>
    <t>05705332784001</t>
  </si>
  <si>
    <t>129.0</t>
  </si>
  <si>
    <t>PRC</t>
  </si>
  <si>
    <t>S1104</t>
  </si>
  <si>
    <t>05705339003</t>
  </si>
  <si>
    <t>05705339003001</t>
  </si>
  <si>
    <t>190.0</t>
  </si>
  <si>
    <t>.69</t>
  </si>
  <si>
    <t>53305</t>
  </si>
  <si>
    <t>05706363685</t>
  </si>
  <si>
    <t>05706363685001</t>
  </si>
  <si>
    <t>135.0</t>
  </si>
  <si>
    <t>1.81</t>
  </si>
  <si>
    <t>SIN</t>
  </si>
  <si>
    <t>56208</t>
  </si>
  <si>
    <t>05706363685002</t>
  </si>
  <si>
    <t>1.82</t>
  </si>
  <si>
    <t>M3301</t>
  </si>
  <si>
    <t>05707740504</t>
  </si>
  <si>
    <t>05707740504001</t>
  </si>
  <si>
    <t>1.05</t>
  </si>
  <si>
    <t>R7102</t>
  </si>
  <si>
    <t>05708119996</t>
  </si>
  <si>
    <t>05708119996001</t>
  </si>
  <si>
    <t>204.1</t>
  </si>
  <si>
    <t>.44</t>
  </si>
  <si>
    <t>S1302</t>
  </si>
  <si>
    <t>05708125876</t>
  </si>
  <si>
    <t>05708125876001</t>
  </si>
  <si>
    <t>253.0</t>
  </si>
  <si>
    <t>1.37</t>
  </si>
  <si>
    <t>S8104</t>
  </si>
  <si>
    <t>05708125891</t>
  </si>
  <si>
    <t>05708125891001</t>
  </si>
  <si>
    <t>204.0</t>
  </si>
  <si>
    <t>1.32</t>
  </si>
  <si>
    <t>49305</t>
  </si>
  <si>
    <t>05708331142</t>
  </si>
  <si>
    <t>05708331142001</t>
  </si>
  <si>
    <t>285.0</t>
  </si>
  <si>
    <t>M2304</t>
  </si>
  <si>
    <t>05708408315</t>
  </si>
  <si>
    <t>05708408315001</t>
  </si>
  <si>
    <t>1100.0</t>
  </si>
  <si>
    <t>2.21</t>
  </si>
  <si>
    <t>MTY</t>
  </si>
  <si>
    <t>05708903414</t>
  </si>
  <si>
    <t>05708903414001</t>
  </si>
  <si>
    <t>152.5</t>
  </si>
  <si>
    <t>M4304</t>
  </si>
  <si>
    <t>05708903414002</t>
  </si>
  <si>
    <t>N5304</t>
  </si>
  <si>
    <t>05708991356</t>
  </si>
  <si>
    <t>05708991356001</t>
  </si>
  <si>
    <t>374.0</t>
  </si>
  <si>
    <t>.71</t>
  </si>
  <si>
    <t>Y8012</t>
  </si>
  <si>
    <t>05709117220</t>
  </si>
  <si>
    <t>05709117220003</t>
  </si>
  <si>
    <t>266.0</t>
  </si>
  <si>
    <t>1.11</t>
  </si>
  <si>
    <t>BOM</t>
  </si>
  <si>
    <t>05709117220001</t>
  </si>
  <si>
    <t>05709117220004</t>
  </si>
  <si>
    <t>05709117220002</t>
  </si>
  <si>
    <t>05709367993</t>
  </si>
  <si>
    <t>05709367993001</t>
  </si>
  <si>
    <t>.91</t>
  </si>
  <si>
    <t>722</t>
  </si>
  <si>
    <t>231118</t>
  </si>
  <si>
    <t>LIS</t>
  </si>
  <si>
    <t>FIH</t>
  </si>
  <si>
    <t>63310</t>
  </si>
  <si>
    <t>05709904845</t>
  </si>
  <si>
    <t>05709904845001</t>
  </si>
  <si>
    <t>254.0</t>
  </si>
  <si>
    <t>2.75</t>
  </si>
  <si>
    <t>CRT</t>
  </si>
  <si>
    <t>PIL</t>
  </si>
  <si>
    <t>GVA</t>
  </si>
  <si>
    <t>C2016</t>
  </si>
  <si>
    <t>05709904845002</t>
  </si>
  <si>
    <t>2.76</t>
  </si>
  <si>
    <t>C2101</t>
  </si>
  <si>
    <t>05710857066</t>
  </si>
  <si>
    <t>05710857066001</t>
  </si>
  <si>
    <t>95.0</t>
  </si>
  <si>
    <t>P9302</t>
  </si>
  <si>
    <t>05710857066002</t>
  </si>
  <si>
    <t>.68</t>
  </si>
  <si>
    <t>Y6106</t>
  </si>
  <si>
    <t>05710857066003</t>
  </si>
  <si>
    <t>Y6104</t>
  </si>
  <si>
    <t>05710857066004</t>
  </si>
  <si>
    <t>HLC033</t>
  </si>
  <si>
    <t>05711379885</t>
  </si>
  <si>
    <t>05711379885001</t>
  </si>
  <si>
    <t>FLR</t>
  </si>
  <si>
    <t>CLT</t>
  </si>
  <si>
    <t>N1404</t>
  </si>
  <si>
    <t>05711410055</t>
  </si>
  <si>
    <t>05711410055001</t>
  </si>
  <si>
    <t>346.5</t>
  </si>
  <si>
    <t>18301</t>
  </si>
  <si>
    <t>5711449115</t>
  </si>
  <si>
    <t>05711449115001</t>
  </si>
  <si>
    <t>PMC24114KL</t>
  </si>
  <si>
    <t>5870.0</t>
  </si>
  <si>
    <t>.01</t>
  </si>
  <si>
    <t>CAO</t>
  </si>
  <si>
    <t>RFL</t>
  </si>
  <si>
    <t>FMO</t>
  </si>
  <si>
    <t>B2C-5725</t>
  </si>
  <si>
    <t>MJ</t>
  </si>
  <si>
    <t>No HAWB (XFZB issue) - CAFEED DONE - waiting FFM to trigger DG</t>
  </si>
  <si>
    <t>05711449115002</t>
  </si>
  <si>
    <t>PMC66303AF</t>
  </si>
  <si>
    <t>5380.0</t>
  </si>
  <si>
    <t>B2D-6231</t>
  </si>
  <si>
    <t>No HAWB (XFZB issue) - CAFEED DONE- waiting FFM to trigger DG</t>
  </si>
  <si>
    <t>05712357472</t>
  </si>
  <si>
    <t>05712357472001</t>
  </si>
  <si>
    <t>55.7</t>
  </si>
  <si>
    <t>.28</t>
  </si>
  <si>
    <t>404</t>
  </si>
  <si>
    <t>BIG</t>
  </si>
  <si>
    <t>FOR</t>
  </si>
  <si>
    <t>61310</t>
  </si>
  <si>
    <t>05712488711</t>
  </si>
  <si>
    <t>05712488711001</t>
  </si>
  <si>
    <t>176.0</t>
  </si>
  <si>
    <t>52107</t>
  </si>
  <si>
    <t>05712550985</t>
  </si>
  <si>
    <t>05712550985001</t>
  </si>
  <si>
    <t>96.9</t>
  </si>
  <si>
    <t>62102</t>
  </si>
  <si>
    <t>05712550985002</t>
  </si>
  <si>
    <t>61000</t>
  </si>
  <si>
    <t>05712550985003</t>
  </si>
  <si>
    <t>62307</t>
  </si>
  <si>
    <t>05712550985004</t>
  </si>
  <si>
    <t>54102</t>
  </si>
  <si>
    <t>05712564134</t>
  </si>
  <si>
    <t>05712564134001</t>
  </si>
  <si>
    <t>155.6</t>
  </si>
  <si>
    <t>HLC156</t>
  </si>
  <si>
    <t>05712564134002</t>
  </si>
  <si>
    <t>103.7</t>
  </si>
  <si>
    <t>.12</t>
  </si>
  <si>
    <t>05712564134003</t>
  </si>
  <si>
    <t>259.3</t>
  </si>
  <si>
    <t>10</t>
  </si>
  <si>
    <t>.32</t>
  </si>
  <si>
    <t>05712564134004</t>
  </si>
  <si>
    <t>05712564134005</t>
  </si>
  <si>
    <t>05712564134006</t>
  </si>
  <si>
    <t>259.2</t>
  </si>
  <si>
    <t>05712564134007</t>
  </si>
  <si>
    <t>.13</t>
  </si>
  <si>
    <t>05712626876</t>
  </si>
  <si>
    <t>05712626876001</t>
  </si>
  <si>
    <t>408.5</t>
  </si>
  <si>
    <t>05712626876002</t>
  </si>
  <si>
    <t>62005</t>
  </si>
  <si>
    <t>05712626876003</t>
  </si>
  <si>
    <t>S2001</t>
  </si>
  <si>
    <t>05712626876004</t>
  </si>
  <si>
    <t>HLC164</t>
  </si>
  <si>
    <t>05712964114</t>
  </si>
  <si>
    <t>05712964114001</t>
  </si>
  <si>
    <t>127.5</t>
  </si>
  <si>
    <t>N8403</t>
  </si>
  <si>
    <t>05712964114002</t>
  </si>
  <si>
    <t>N6403</t>
  </si>
  <si>
    <t>05713064100</t>
  </si>
  <si>
    <t>05713064100001</t>
  </si>
  <si>
    <t>386.0</t>
  </si>
  <si>
    <t>1.58</t>
  </si>
  <si>
    <t>17005</t>
  </si>
  <si>
    <t>05728000221</t>
  </si>
  <si>
    <t>05728000221001</t>
  </si>
  <si>
    <t>700.0</t>
  </si>
  <si>
    <t>2.17</t>
  </si>
  <si>
    <t>RTM</t>
  </si>
  <si>
    <t>05745067514</t>
  </si>
  <si>
    <t>05745067514001</t>
  </si>
  <si>
    <t>6724</t>
  </si>
  <si>
    <t>ELM</t>
  </si>
  <si>
    <t>ORK</t>
  </si>
  <si>
    <t>NRT</t>
  </si>
  <si>
    <t>R2404</t>
  </si>
  <si>
    <t>05745144315</t>
  </si>
  <si>
    <t>05745144315001</t>
  </si>
  <si>
    <t>R6403</t>
  </si>
  <si>
    <t>05745144326001</t>
  </si>
  <si>
    <t>247.0</t>
  </si>
  <si>
    <t>.97</t>
  </si>
  <si>
    <t>174</t>
  </si>
  <si>
    <t>94307</t>
  </si>
  <si>
    <t>#N/A</t>
  </si>
  <si>
    <t>05745163311</t>
  </si>
  <si>
    <t>05745163311001</t>
  </si>
  <si>
    <t>3985.0</t>
  </si>
  <si>
    <t>72.00</t>
  </si>
  <si>
    <t>DXP00</t>
  </si>
  <si>
    <t>05745369133</t>
  </si>
  <si>
    <t>05745369133001</t>
  </si>
  <si>
    <t>.34</t>
  </si>
  <si>
    <t>S2402</t>
  </si>
  <si>
    <t>05745369155</t>
  </si>
  <si>
    <t>05745369155001</t>
  </si>
  <si>
    <t>220.0</t>
  </si>
  <si>
    <t>HLC032</t>
  </si>
  <si>
    <t>05745369155002</t>
  </si>
  <si>
    <t>R2402</t>
  </si>
  <si>
    <t>05745516575</t>
  </si>
  <si>
    <t>05745516575001</t>
  </si>
  <si>
    <t>28.4</t>
  </si>
  <si>
    <t>XPS</t>
  </si>
  <si>
    <t>SKR</t>
  </si>
  <si>
    <t>53412</t>
  </si>
  <si>
    <t>05745548112</t>
  </si>
  <si>
    <t>05745548112001</t>
  </si>
  <si>
    <t>268.5</t>
  </si>
  <si>
    <t>DXB</t>
  </si>
  <si>
    <t>05745548112002</t>
  </si>
  <si>
    <t>05745548112003</t>
  </si>
  <si>
    <t>05745548112004</t>
  </si>
  <si>
    <t>05745855003</t>
  </si>
  <si>
    <t>05745855003001</t>
  </si>
  <si>
    <t>88.5</t>
  </si>
  <si>
    <t>948</t>
  </si>
  <si>
    <t>DLA</t>
  </si>
  <si>
    <t>49412</t>
  </si>
  <si>
    <t>05745855003002</t>
  </si>
  <si>
    <t>.41</t>
  </si>
  <si>
    <t>50011</t>
  </si>
  <si>
    <t>05745855725</t>
  </si>
  <si>
    <t>05745855725001</t>
  </si>
  <si>
    <t>286.0</t>
  </si>
  <si>
    <t>05745861653</t>
  </si>
  <si>
    <t>05745861653001</t>
  </si>
  <si>
    <t>140.0</t>
  </si>
  <si>
    <t>952</t>
  </si>
  <si>
    <t>CAY</t>
  </si>
  <si>
    <t>HLC030</t>
  </si>
  <si>
    <t>05745915623</t>
  </si>
  <si>
    <t>05745915623001</t>
  </si>
  <si>
    <t>57.0</t>
  </si>
  <si>
    <t>.14</t>
  </si>
  <si>
    <t>49408</t>
  </si>
  <si>
    <t>05746201072</t>
  </si>
  <si>
    <t>05746201072001</t>
  </si>
  <si>
    <t>165.0</t>
  </si>
  <si>
    <t>.61</t>
  </si>
  <si>
    <t>50302</t>
  </si>
  <si>
    <t>05746201072002</t>
  </si>
  <si>
    <t>50308</t>
  </si>
  <si>
    <t>05746206263</t>
  </si>
  <si>
    <t>05746206263001</t>
  </si>
  <si>
    <t>.93</t>
  </si>
  <si>
    <t>17102</t>
  </si>
  <si>
    <t>05746241543</t>
  </si>
  <si>
    <t>05746241543001</t>
  </si>
  <si>
    <t>PMC96556DL</t>
  </si>
  <si>
    <t>741.8</t>
  </si>
  <si>
    <t>7.81</t>
  </si>
  <si>
    <t>NPR</t>
  </si>
  <si>
    <t>B1B-3042</t>
  </si>
  <si>
    <t>05746241543002</t>
  </si>
  <si>
    <t>247.3</t>
  </si>
  <si>
    <t>2.60</t>
  </si>
  <si>
    <t>05746306536</t>
  </si>
  <si>
    <t>05746306536001</t>
  </si>
  <si>
    <t>180.0</t>
  </si>
  <si>
    <t>.36</t>
  </si>
  <si>
    <t>MUC</t>
  </si>
  <si>
    <t>05746306536002</t>
  </si>
  <si>
    <t>52404</t>
  </si>
  <si>
    <t>05746306536003</t>
  </si>
  <si>
    <t>64307</t>
  </si>
  <si>
    <t>05746524026</t>
  </si>
  <si>
    <t>05746524026001</t>
  </si>
  <si>
    <t>529.5</t>
  </si>
  <si>
    <t>CPH</t>
  </si>
  <si>
    <t>R3003</t>
  </si>
  <si>
    <t>05746524026002</t>
  </si>
  <si>
    <t>S8003</t>
  </si>
  <si>
    <t>05746652001</t>
  </si>
  <si>
    <t>05746652001002</t>
  </si>
  <si>
    <t>2807.1</t>
  </si>
  <si>
    <t>3.95</t>
  </si>
  <si>
    <t>05746652001001</t>
  </si>
  <si>
    <t>05746868474</t>
  </si>
  <si>
    <t>05746868474001</t>
  </si>
  <si>
    <t>108.0</t>
  </si>
  <si>
    <t>M2104</t>
  </si>
  <si>
    <t>05746921464</t>
  </si>
  <si>
    <t>05746921464001</t>
  </si>
  <si>
    <t>127.0</t>
  </si>
  <si>
    <t>1.22</t>
  </si>
  <si>
    <t>N4001</t>
  </si>
  <si>
    <t>05747020761</t>
  </si>
  <si>
    <t>05747020761001</t>
  </si>
  <si>
    <t>44.0</t>
  </si>
  <si>
    <t>.18</t>
  </si>
  <si>
    <t>54406</t>
  </si>
  <si>
    <t>05747024670</t>
  </si>
  <si>
    <t>05747024670001</t>
  </si>
  <si>
    <t>726.0</t>
  </si>
  <si>
    <t>2.15</t>
  </si>
  <si>
    <t>05747027912</t>
  </si>
  <si>
    <t>05747027912001</t>
  </si>
  <si>
    <t>76.7</t>
  </si>
  <si>
    <t>1.19</t>
  </si>
  <si>
    <t>EC300</t>
  </si>
  <si>
    <t>05747027912002</t>
  </si>
  <si>
    <t>38.3</t>
  </si>
  <si>
    <t>05747053985</t>
  </si>
  <si>
    <t>05747053985001</t>
  </si>
  <si>
    <t>230.3</t>
  </si>
  <si>
    <t>085</t>
  </si>
  <si>
    <t>55003</t>
  </si>
  <si>
    <t>05747053985002</t>
  </si>
  <si>
    <t>54301</t>
  </si>
  <si>
    <t>05747053985003</t>
  </si>
  <si>
    <t>55302</t>
  </si>
  <si>
    <t>05747073246</t>
  </si>
  <si>
    <t>05747073246001</t>
  </si>
  <si>
    <t>997.1</t>
  </si>
  <si>
    <t>15</t>
  </si>
  <si>
    <t>10.81</t>
  </si>
  <si>
    <t>ERT</t>
  </si>
  <si>
    <t>Cashdraw warning-Max transaction and amount limit</t>
  </si>
  <si>
    <t>DE</t>
  </si>
  <si>
    <t>05747073246054</t>
  </si>
  <si>
    <t>PMC23876KL</t>
  </si>
  <si>
    <t>600.0</t>
  </si>
  <si>
    <t>6.50</t>
  </si>
  <si>
    <t>B2A-5336</t>
  </si>
  <si>
    <t>05747073246002</t>
  </si>
  <si>
    <t>FE</t>
  </si>
  <si>
    <t>05747073246055</t>
  </si>
  <si>
    <t>PMC76351AF</t>
  </si>
  <si>
    <t>550.0</t>
  </si>
  <si>
    <t>5.96</t>
  </si>
  <si>
    <t>B2A-5130</t>
  </si>
  <si>
    <t>05747073246003</t>
  </si>
  <si>
    <t>HE</t>
  </si>
  <si>
    <t>05747073246056</t>
  </si>
  <si>
    <t>PMC66515AF</t>
  </si>
  <si>
    <t>398.9</t>
  </si>
  <si>
    <t>B1B-3019</t>
  </si>
  <si>
    <t>05747073246004</t>
  </si>
  <si>
    <t>JE</t>
  </si>
  <si>
    <t>05747073246057</t>
  </si>
  <si>
    <t>PMC32263KL</t>
  </si>
  <si>
    <t>398.8</t>
  </si>
  <si>
    <t>B2D-6331</t>
  </si>
  <si>
    <t>05747073246005</t>
  </si>
  <si>
    <t>LE</t>
  </si>
  <si>
    <t>05747073246058</t>
  </si>
  <si>
    <t>PMC73668AF</t>
  </si>
  <si>
    <t>B2A-5324</t>
  </si>
  <si>
    <t>05747073246006</t>
  </si>
  <si>
    <t>05747132444</t>
  </si>
  <si>
    <t>05747132444001</t>
  </si>
  <si>
    <t>200.0</t>
  </si>
  <si>
    <t>2.13</t>
  </si>
  <si>
    <t>05747132444002</t>
  </si>
  <si>
    <t>05747136213</t>
  </si>
  <si>
    <t>05747136213001</t>
  </si>
  <si>
    <t>309.0</t>
  </si>
  <si>
    <t>5.51</t>
  </si>
  <si>
    <t>05747139864</t>
  </si>
  <si>
    <t>05747139864001</t>
  </si>
  <si>
    <t>74.0</t>
  </si>
  <si>
    <t>55306</t>
  </si>
  <si>
    <t>05747148522</t>
  </si>
  <si>
    <t>05747148522001</t>
  </si>
  <si>
    <t>53105</t>
  </si>
  <si>
    <t>05747148592</t>
  </si>
  <si>
    <t>05747148592001</t>
  </si>
  <si>
    <t>116.0</t>
  </si>
  <si>
    <t>50004</t>
  </si>
  <si>
    <t>05747156163</t>
  </si>
  <si>
    <t>05747156163002</t>
  </si>
  <si>
    <t>24.3</t>
  </si>
  <si>
    <t>.22</t>
  </si>
  <si>
    <t>S4401</t>
  </si>
  <si>
    <t>05747156163001</t>
  </si>
  <si>
    <t>05747156163003</t>
  </si>
  <si>
    <t>121.3</t>
  </si>
  <si>
    <t>53010</t>
  </si>
  <si>
    <t>05747156163004</t>
  </si>
  <si>
    <t>169.8</t>
  </si>
  <si>
    <t>1.56</t>
  </si>
  <si>
    <t>71001</t>
  </si>
  <si>
    <t>05747156163005</t>
  </si>
  <si>
    <t>S5304</t>
  </si>
  <si>
    <t>05747156163006</t>
  </si>
  <si>
    <t>R9101</t>
  </si>
  <si>
    <t>05747156163007</t>
  </si>
  <si>
    <t>49110</t>
  </si>
  <si>
    <t>05747184351</t>
  </si>
  <si>
    <t>05747184351001</t>
  </si>
  <si>
    <t>346.8</t>
  </si>
  <si>
    <t>BLR</t>
  </si>
  <si>
    <t>05747184351002</t>
  </si>
  <si>
    <t>277.4</t>
  </si>
  <si>
    <t>.90</t>
  </si>
  <si>
    <t>05747184351003</t>
  </si>
  <si>
    <t>05747184351004</t>
  </si>
  <si>
    <t>05747212185</t>
  </si>
  <si>
    <t>05747212185001</t>
  </si>
  <si>
    <t>874.0</t>
  </si>
  <si>
    <t>1.49</t>
  </si>
  <si>
    <t>HLC132</t>
  </si>
  <si>
    <t>05747212185002</t>
  </si>
  <si>
    <t>HLC115</t>
  </si>
  <si>
    <t>05747287682</t>
  </si>
  <si>
    <t>05747287682001</t>
  </si>
  <si>
    <t>380.0</t>
  </si>
  <si>
    <t>1.84</t>
  </si>
  <si>
    <t>05747326156</t>
  </si>
  <si>
    <t>05747326156001</t>
  </si>
  <si>
    <t>286.2</t>
  </si>
  <si>
    <t>1.71</t>
  </si>
  <si>
    <t>49307</t>
  </si>
  <si>
    <t>05747326156002</t>
  </si>
  <si>
    <t>1.72</t>
  </si>
  <si>
    <t>S3303</t>
  </si>
  <si>
    <t>05747364623</t>
  </si>
  <si>
    <t>05747364623001</t>
  </si>
  <si>
    <t>99.6</t>
  </si>
  <si>
    <t>66005</t>
  </si>
  <si>
    <t>05747364623002</t>
  </si>
  <si>
    <t>99.7</t>
  </si>
  <si>
    <t>66004</t>
  </si>
  <si>
    <t>05747427144</t>
  </si>
  <si>
    <t>05747427144001</t>
  </si>
  <si>
    <t>PMC32456KL</t>
  </si>
  <si>
    <t>1038.0</t>
  </si>
  <si>
    <t>7.63</t>
  </si>
  <si>
    <t>HND</t>
  </si>
  <si>
    <t>B2A-4737</t>
  </si>
  <si>
    <t>05747427144002</t>
  </si>
  <si>
    <t>PMC22341MP</t>
  </si>
  <si>
    <t>692.0</t>
  </si>
  <si>
    <t>5.09</t>
  </si>
  <si>
    <t>B2D-6228</t>
  </si>
  <si>
    <t>05747427144003</t>
  </si>
  <si>
    <t>PMC64064AF</t>
  </si>
  <si>
    <t>B1A-3329</t>
  </si>
  <si>
    <t>05747487112</t>
  </si>
  <si>
    <t>05747487112002</t>
  </si>
  <si>
    <t>159.0</t>
  </si>
  <si>
    <t>ZAG</t>
  </si>
  <si>
    <t>P5104</t>
  </si>
  <si>
    <t>05747487112001</t>
  </si>
  <si>
    <t>05747545083</t>
  </si>
  <si>
    <t>05747545083001</t>
  </si>
  <si>
    <t>419.7</t>
  </si>
  <si>
    <t>4.47</t>
  </si>
  <si>
    <t>6734</t>
  </si>
  <si>
    <t>HLC031</t>
  </si>
  <si>
    <t>05747545083002</t>
  </si>
  <si>
    <t>1260.0</t>
  </si>
  <si>
    <t>05747545083003</t>
  </si>
  <si>
    <t>840.0</t>
  </si>
  <si>
    <t>05747545083004</t>
  </si>
  <si>
    <t>839.3</t>
  </si>
  <si>
    <t>8.93</t>
  </si>
  <si>
    <t>05747621766</t>
  </si>
  <si>
    <t>05747621766001</t>
  </si>
  <si>
    <t>188.5</t>
  </si>
  <si>
    <t>N1301</t>
  </si>
  <si>
    <t>05747621766002</t>
  </si>
  <si>
    <t>1.83</t>
  </si>
  <si>
    <t>N3103</t>
  </si>
  <si>
    <t>05747749645</t>
  </si>
  <si>
    <t>05747749645001</t>
  </si>
  <si>
    <t>140M</t>
  </si>
  <si>
    <t>MRS00</t>
  </si>
  <si>
    <t>05747749645002</t>
  </si>
  <si>
    <t>05747759596</t>
  </si>
  <si>
    <t>05747759596001</t>
  </si>
  <si>
    <t>526.0</t>
  </si>
  <si>
    <t>2.77</t>
  </si>
  <si>
    <t>6722</t>
  </si>
  <si>
    <t>KIX</t>
  </si>
  <si>
    <t>NLU</t>
  </si>
  <si>
    <t>05747778006</t>
  </si>
  <si>
    <t>05747778006001</t>
  </si>
  <si>
    <t>P4302</t>
  </si>
  <si>
    <t>05747780062</t>
  </si>
  <si>
    <t>05747780062003</t>
  </si>
  <si>
    <t>PMC71569AF</t>
  </si>
  <si>
    <t>454.7</t>
  </si>
  <si>
    <t>B1C-2527</t>
  </si>
  <si>
    <t>05747780062001</t>
  </si>
  <si>
    <t>05747784892</t>
  </si>
  <si>
    <t>05747784892001</t>
  </si>
  <si>
    <t>114.6</t>
  </si>
  <si>
    <t>.89</t>
  </si>
  <si>
    <t>C1112</t>
  </si>
  <si>
    <t>05747784892002</t>
  </si>
  <si>
    <t>229.2</t>
  </si>
  <si>
    <t>1.78</t>
  </si>
  <si>
    <t>C1309</t>
  </si>
  <si>
    <t>05747784892003</t>
  </si>
  <si>
    <t>C1316</t>
  </si>
  <si>
    <t>05747784892004</t>
  </si>
  <si>
    <t>C1305</t>
  </si>
  <si>
    <t>05747851086</t>
  </si>
  <si>
    <t>05747851086001</t>
  </si>
  <si>
    <t>56.0</t>
  </si>
  <si>
    <t>.10</t>
  </si>
  <si>
    <t>TNR</t>
  </si>
  <si>
    <t>05747852114</t>
  </si>
  <si>
    <t>05747852114001</t>
  </si>
  <si>
    <t>PMC64441AF</t>
  </si>
  <si>
    <t>773.5</t>
  </si>
  <si>
    <t>28</t>
  </si>
  <si>
    <t>4.54</t>
  </si>
  <si>
    <t>B2A-5042</t>
  </si>
  <si>
    <t>05747856933</t>
  </si>
  <si>
    <t>05747856933001</t>
  </si>
  <si>
    <t>434.4</t>
  </si>
  <si>
    <t>4.14</t>
  </si>
  <si>
    <t>NSC</t>
  </si>
  <si>
    <t>RFK12</t>
  </si>
  <si>
    <t>05747856933002</t>
  </si>
  <si>
    <t>289.6</t>
  </si>
  <si>
    <t>05747906821</t>
  </si>
  <si>
    <t>05747906821001</t>
  </si>
  <si>
    <t>137.0</t>
  </si>
  <si>
    <t>05747923256</t>
  </si>
  <si>
    <t>05747923256001</t>
  </si>
  <si>
    <t>246.0</t>
  </si>
  <si>
    <t>.70</t>
  </si>
  <si>
    <t>55012</t>
  </si>
  <si>
    <t>05747923256002</t>
  </si>
  <si>
    <t>492.0</t>
  </si>
  <si>
    <t>1.39</t>
  </si>
  <si>
    <t>54012</t>
  </si>
  <si>
    <t>05747943755</t>
  </si>
  <si>
    <t>05747943755001</t>
  </si>
  <si>
    <t>PMC94237DL</t>
  </si>
  <si>
    <t>736.0</t>
  </si>
  <si>
    <t>7.36</t>
  </si>
  <si>
    <t>334</t>
  </si>
  <si>
    <t>BOS</t>
  </si>
  <si>
    <t>B2A-5333</t>
  </si>
  <si>
    <t>05747943755002</t>
  </si>
  <si>
    <t>PMC95201DL</t>
  </si>
  <si>
    <t>368.0</t>
  </si>
  <si>
    <t>3.68</t>
  </si>
  <si>
    <t>B2C-5936</t>
  </si>
  <si>
    <t>05747943755003</t>
  </si>
  <si>
    <t>PMC03846DL</t>
  </si>
  <si>
    <t>B1A-3443</t>
  </si>
  <si>
    <t>05747964895001</t>
  </si>
  <si>
    <t>184.0</t>
  </si>
  <si>
    <t>3.29</t>
  </si>
  <si>
    <t>05747964895</t>
  </si>
  <si>
    <t>05747964895002</t>
  </si>
  <si>
    <t>46.0</t>
  </si>
  <si>
    <t>.82</t>
  </si>
  <si>
    <t>05747965223</t>
  </si>
  <si>
    <t>05747965223001</t>
  </si>
  <si>
    <t>PMC67650AF</t>
  </si>
  <si>
    <t>1464.3</t>
  </si>
  <si>
    <t>5.88</t>
  </si>
  <si>
    <t>194</t>
  </si>
  <si>
    <t>B1A-3312</t>
  </si>
  <si>
    <t>05747965223002</t>
  </si>
  <si>
    <t>PMC24513KL</t>
  </si>
  <si>
    <t>B2D-6443</t>
  </si>
  <si>
    <t>05747965223003</t>
  </si>
  <si>
    <t>2050.0</t>
  </si>
  <si>
    <t>14</t>
  </si>
  <si>
    <t>8.24</t>
  </si>
  <si>
    <t>05747989955</t>
  </si>
  <si>
    <t>05747989955002</t>
  </si>
  <si>
    <t>PMC70200AF</t>
  </si>
  <si>
    <t>1593.5</t>
  </si>
  <si>
    <t>B1A-3631</t>
  </si>
  <si>
    <t>05748013405</t>
  </si>
  <si>
    <t>05748013405001</t>
  </si>
  <si>
    <t>49.0</t>
  </si>
  <si>
    <t>.51</t>
  </si>
  <si>
    <t>GDL</t>
  </si>
  <si>
    <t>05748034092</t>
  </si>
  <si>
    <t>05748034092001</t>
  </si>
  <si>
    <t>273.2</t>
  </si>
  <si>
    <t>ZRH</t>
  </si>
  <si>
    <t>R3104</t>
  </si>
  <si>
    <t>05748034092002</t>
  </si>
  <si>
    <t>91.1</t>
  </si>
  <si>
    <t>05748034092003</t>
  </si>
  <si>
    <t>05748057026</t>
  </si>
  <si>
    <t>05748057026002</t>
  </si>
  <si>
    <t>AKE12890AF</t>
  </si>
  <si>
    <t>993.0</t>
  </si>
  <si>
    <t>46</t>
  </si>
  <si>
    <t>3.46</t>
  </si>
  <si>
    <t>RCD-0000</t>
  </si>
  <si>
    <t>KE</t>
  </si>
  <si>
    <t>05748057026001</t>
  </si>
  <si>
    <t>05748069044</t>
  </si>
  <si>
    <t>05748069044001</t>
  </si>
  <si>
    <t>008</t>
  </si>
  <si>
    <t>JFK</t>
  </si>
  <si>
    <t>N4302</t>
  </si>
  <si>
    <t>05748150373</t>
  </si>
  <si>
    <t>05748150373001</t>
  </si>
  <si>
    <t>234.6</t>
  </si>
  <si>
    <t>RFK07</t>
  </si>
  <si>
    <t>05748150373002</t>
  </si>
  <si>
    <t>469.2</t>
  </si>
  <si>
    <t>1.93</t>
  </si>
  <si>
    <t>05748150373003</t>
  </si>
  <si>
    <t>05748154584</t>
  </si>
  <si>
    <t>05748154584001</t>
  </si>
  <si>
    <t>209.3</t>
  </si>
  <si>
    <t>05748161046</t>
  </si>
  <si>
    <t>05748161046001</t>
  </si>
  <si>
    <t>117.0</t>
  </si>
  <si>
    <t>MAA</t>
  </si>
  <si>
    <t>N8001</t>
  </si>
  <si>
    <t>05748166650</t>
  </si>
  <si>
    <t>05748166650001</t>
  </si>
  <si>
    <t>S1102</t>
  </si>
  <si>
    <t>05748172596</t>
  </si>
  <si>
    <t>05748172596001</t>
  </si>
  <si>
    <t>PZA5985MP</t>
  </si>
  <si>
    <t>1079.0</t>
  </si>
  <si>
    <t>05748172596002</t>
  </si>
  <si>
    <t>4.15</t>
  </si>
  <si>
    <t>S1003</t>
  </si>
  <si>
    <t>05748181210</t>
  </si>
  <si>
    <t>05748181210001</t>
  </si>
  <si>
    <t>2.50</t>
  </si>
  <si>
    <t>05748181210002</t>
  </si>
  <si>
    <t>394.0</t>
  </si>
  <si>
    <t>61308</t>
  </si>
  <si>
    <t>05748181210003</t>
  </si>
  <si>
    <t>.84</t>
  </si>
  <si>
    <t>HLC165</t>
  </si>
  <si>
    <t>05748210584</t>
  </si>
  <si>
    <t>05748210584001</t>
  </si>
  <si>
    <t>.16</t>
  </si>
  <si>
    <t>MAN</t>
  </si>
  <si>
    <t>Q8404</t>
  </si>
  <si>
    <t>05748212636</t>
  </si>
  <si>
    <t>05748212636002</t>
  </si>
  <si>
    <t>200.8</t>
  </si>
  <si>
    <t>05748212636001</t>
  </si>
  <si>
    <t>05748260660</t>
  </si>
  <si>
    <t>05748260660001</t>
  </si>
  <si>
    <t>.30</t>
  </si>
  <si>
    <t>54103</t>
  </si>
  <si>
    <t>05748260660002</t>
  </si>
  <si>
    <t>138.0</t>
  </si>
  <si>
    <t>M7304</t>
  </si>
  <si>
    <t>05748267741</t>
  </si>
  <si>
    <t>05748267741001</t>
  </si>
  <si>
    <t>T5404</t>
  </si>
  <si>
    <t>05748279140</t>
  </si>
  <si>
    <t>05748279140001</t>
  </si>
  <si>
    <t>410.5</t>
  </si>
  <si>
    <t>P5003</t>
  </si>
  <si>
    <t>05748279140002</t>
  </si>
  <si>
    <t>HLC103</t>
  </si>
  <si>
    <t>05748279173</t>
  </si>
  <si>
    <t>05748279173001</t>
  </si>
  <si>
    <t>340.0</t>
  </si>
  <si>
    <t>Q7304</t>
  </si>
  <si>
    <t>05748296430</t>
  </si>
  <si>
    <t>05748296430001</t>
  </si>
  <si>
    <t>529.0</t>
  </si>
  <si>
    <t>05748333504</t>
  </si>
  <si>
    <t>05748333504001</t>
  </si>
  <si>
    <t>54.0</t>
  </si>
  <si>
    <t>05748333504002</t>
  </si>
  <si>
    <t>141.0</t>
  </si>
  <si>
    <t>.42</t>
  </si>
  <si>
    <t>05748340176</t>
  </si>
  <si>
    <t>05748340176001</t>
  </si>
  <si>
    <t>70.0</t>
  </si>
  <si>
    <t>.46</t>
  </si>
  <si>
    <t>HLC083</t>
  </si>
  <si>
    <t>05748340176002</t>
  </si>
  <si>
    <t>24.0</t>
  </si>
  <si>
    <t>HLC043</t>
  </si>
  <si>
    <t>05748353734</t>
  </si>
  <si>
    <t>05748353734002</t>
  </si>
  <si>
    <t>150.0</t>
  </si>
  <si>
    <t>LLC10</t>
  </si>
  <si>
    <t>05748353734001</t>
  </si>
  <si>
    <t>05748353734003</t>
  </si>
  <si>
    <t>187.2</t>
  </si>
  <si>
    <t>05748353734004</t>
  </si>
  <si>
    <t>124.8</t>
  </si>
  <si>
    <t>05748353734005</t>
  </si>
  <si>
    <t>05748353734006</t>
  </si>
  <si>
    <t>62.4</t>
  </si>
  <si>
    <t>05748353734007</t>
  </si>
  <si>
    <t>Q5001</t>
  </si>
  <si>
    <t>05748355484</t>
  </si>
  <si>
    <t>05748355484001</t>
  </si>
  <si>
    <t>.23</t>
  </si>
  <si>
    <t>05748355484002</t>
  </si>
  <si>
    <t>344.7</t>
  </si>
  <si>
    <t>2.12</t>
  </si>
  <si>
    <t>52112</t>
  </si>
  <si>
    <t>05748361865</t>
  </si>
  <si>
    <t>05748361865001</t>
  </si>
  <si>
    <t>1355.0</t>
  </si>
  <si>
    <t>49011</t>
  </si>
  <si>
    <t>05748365903</t>
  </si>
  <si>
    <t>05748365903001</t>
  </si>
  <si>
    <t>PMC31440KL</t>
  </si>
  <si>
    <t>2458.3</t>
  </si>
  <si>
    <t>107</t>
  </si>
  <si>
    <t>7.56</t>
  </si>
  <si>
    <t>B2A-4933</t>
  </si>
  <si>
    <t>05748451325</t>
  </si>
  <si>
    <t>05748451325001</t>
  </si>
  <si>
    <t>115.0</t>
  </si>
  <si>
    <t>R7303</t>
  </si>
  <si>
    <t>05748466515</t>
  </si>
  <si>
    <t>05748466515001</t>
  </si>
  <si>
    <t>263.2</t>
  </si>
  <si>
    <t>R2003</t>
  </si>
  <si>
    <t>05748469330</t>
  </si>
  <si>
    <t>05748469330001</t>
  </si>
  <si>
    <t>PMC21487MP</t>
  </si>
  <si>
    <t>798.0</t>
  </si>
  <si>
    <t>8.70</t>
  </si>
  <si>
    <t>B2C-5840</t>
  </si>
  <si>
    <t>05748469330002</t>
  </si>
  <si>
    <t>PMC28353KL</t>
  </si>
  <si>
    <t>665.0</t>
  </si>
  <si>
    <t>7.25</t>
  </si>
  <si>
    <t>B1A-3341</t>
  </si>
  <si>
    <t>05748480062</t>
  </si>
  <si>
    <t>05748480062001</t>
  </si>
  <si>
    <t>PMC72489AF</t>
  </si>
  <si>
    <t>2100.0</t>
  </si>
  <si>
    <t>5.38</t>
  </si>
  <si>
    <t>B1B-2729</t>
  </si>
  <si>
    <t>05748491435</t>
  </si>
  <si>
    <t>05748491435001</t>
  </si>
  <si>
    <t>217.9</t>
  </si>
  <si>
    <t>17</t>
  </si>
  <si>
    <t>.92</t>
  </si>
  <si>
    <t>S9301</t>
  </si>
  <si>
    <t>05748491450</t>
  </si>
  <si>
    <t>05748491450001</t>
  </si>
  <si>
    <t>570.0</t>
  </si>
  <si>
    <t>.72</t>
  </si>
  <si>
    <t>62104</t>
  </si>
  <si>
    <t>05748511352</t>
  </si>
  <si>
    <t>05748511352001</t>
  </si>
  <si>
    <t>9.6</t>
  </si>
  <si>
    <t>.04</t>
  </si>
  <si>
    <t>53309</t>
  </si>
  <si>
    <t>05748534021</t>
  </si>
  <si>
    <t>05748534021001</t>
  </si>
  <si>
    <t>191.0</t>
  </si>
  <si>
    <t>652</t>
  </si>
  <si>
    <t>RUN</t>
  </si>
  <si>
    <t>53101</t>
  </si>
  <si>
    <t>05748534150</t>
  </si>
  <si>
    <t>05748534150001</t>
  </si>
  <si>
    <t>294.0</t>
  </si>
  <si>
    <t>P7104</t>
  </si>
  <si>
    <t>05748541920</t>
  </si>
  <si>
    <t>05748541920001</t>
  </si>
  <si>
    <t>291.0</t>
  </si>
  <si>
    <t>3.53</t>
  </si>
  <si>
    <t>05748570034</t>
  </si>
  <si>
    <t>05748570034001</t>
  </si>
  <si>
    <t>94.0</t>
  </si>
  <si>
    <t>61109</t>
  </si>
  <si>
    <t>05748570034002</t>
  </si>
  <si>
    <t>188.0</t>
  </si>
  <si>
    <t>1.47</t>
  </si>
  <si>
    <t>74002</t>
  </si>
  <si>
    <t>05748570196</t>
  </si>
  <si>
    <t>05748570196001</t>
  </si>
  <si>
    <t>316.4</t>
  </si>
  <si>
    <t>1.80</t>
  </si>
  <si>
    <t>004</t>
  </si>
  <si>
    <t>05748570196002</t>
  </si>
  <si>
    <t>RFK40</t>
  </si>
  <si>
    <t>05748570196003</t>
  </si>
  <si>
    <t>05748570196004</t>
  </si>
  <si>
    <t>05748570196005</t>
  </si>
  <si>
    <t>05748570196006</t>
  </si>
  <si>
    <t>0.00</t>
  </si>
  <si>
    <t>05748570196007</t>
  </si>
  <si>
    <t>05748570196008</t>
  </si>
  <si>
    <t>05748570196009</t>
  </si>
  <si>
    <t>05748570196010</t>
  </si>
  <si>
    <t>05748570244</t>
  </si>
  <si>
    <t>05748570244001</t>
  </si>
  <si>
    <t>178.0</t>
  </si>
  <si>
    <t>P7402</t>
  </si>
  <si>
    <t>05748586473</t>
  </si>
  <si>
    <t>05748586473001</t>
  </si>
  <si>
    <t>115.5</t>
  </si>
  <si>
    <t>1.07</t>
  </si>
  <si>
    <t>49109</t>
  </si>
  <si>
    <t>05748586473002</t>
  </si>
  <si>
    <t>05748597452</t>
  </si>
  <si>
    <t>05748597452001</t>
  </si>
  <si>
    <t>494.0</t>
  </si>
  <si>
    <t>P5102</t>
  </si>
  <si>
    <t>05748602595</t>
  </si>
  <si>
    <t>05748602595001</t>
  </si>
  <si>
    <t>PMC01174DL</t>
  </si>
  <si>
    <t>445.3</t>
  </si>
  <si>
    <t>5.98</t>
  </si>
  <si>
    <t>089</t>
  </si>
  <si>
    <t>B1C-2525</t>
  </si>
  <si>
    <t>05748602595006</t>
  </si>
  <si>
    <t>63.6</t>
  </si>
  <si>
    <t>.85</t>
  </si>
  <si>
    <t>05748602595002</t>
  </si>
  <si>
    <t>05748602595007</t>
  </si>
  <si>
    <t>05748602595003</t>
  </si>
  <si>
    <t>05748602595008</t>
  </si>
  <si>
    <t>05748602595004</t>
  </si>
  <si>
    <t>05748602595009</t>
  </si>
  <si>
    <t>05748602595005</t>
  </si>
  <si>
    <t>05748602610</t>
  </si>
  <si>
    <t>05748602610002</t>
  </si>
  <si>
    <t>256.7</t>
  </si>
  <si>
    <t>1.36</t>
  </si>
  <si>
    <t>6730</t>
  </si>
  <si>
    <t>63304</t>
  </si>
  <si>
    <t>05748602610001</t>
  </si>
  <si>
    <t>05748602610004</t>
  </si>
  <si>
    <t>256.8</t>
  </si>
  <si>
    <t>64304</t>
  </si>
  <si>
    <t>05748602610005</t>
  </si>
  <si>
    <t>67102</t>
  </si>
  <si>
    <t>05748602610003</t>
  </si>
  <si>
    <t>05748602610006</t>
  </si>
  <si>
    <t>T8403</t>
  </si>
  <si>
    <t>05748620051</t>
  </si>
  <si>
    <t>05748620051001</t>
  </si>
  <si>
    <t>N7104</t>
  </si>
  <si>
    <t>05748632802</t>
  </si>
  <si>
    <t>05748632802001</t>
  </si>
  <si>
    <t>1.10</t>
  </si>
  <si>
    <t>Y6103</t>
  </si>
  <si>
    <t>05748678291</t>
  </si>
  <si>
    <t>05748678291001</t>
  </si>
  <si>
    <t>173.0</t>
  </si>
  <si>
    <t>.31</t>
  </si>
  <si>
    <t>BTS</t>
  </si>
  <si>
    <t>CNF</t>
  </si>
  <si>
    <t>Q5104</t>
  </si>
  <si>
    <t>05748700923</t>
  </si>
  <si>
    <t>05748700923001</t>
  </si>
  <si>
    <t>136.0</t>
  </si>
  <si>
    <t>1.33</t>
  </si>
  <si>
    <t>M7003</t>
  </si>
  <si>
    <t>05748700923002</t>
  </si>
  <si>
    <t>54403</t>
  </si>
  <si>
    <t>05748700923003</t>
  </si>
  <si>
    <t>RFK60</t>
  </si>
  <si>
    <t>05748700923004</t>
  </si>
  <si>
    <t>RFK62</t>
  </si>
  <si>
    <t>05748700923005</t>
  </si>
  <si>
    <t>05748700923006</t>
  </si>
  <si>
    <t>RFK68</t>
  </si>
  <si>
    <t>05748700923007</t>
  </si>
  <si>
    <t>05748700923008</t>
  </si>
  <si>
    <t>05748700923009</t>
  </si>
  <si>
    <t>05748700923010</t>
  </si>
  <si>
    <t>05748700923011</t>
  </si>
  <si>
    <t>05748700923012</t>
  </si>
  <si>
    <t>05748710944</t>
  </si>
  <si>
    <t>05748710944001</t>
  </si>
  <si>
    <t>376.0</t>
  </si>
  <si>
    <t>51104</t>
  </si>
  <si>
    <t>05748711832</t>
  </si>
  <si>
    <t>05748711832001</t>
  </si>
  <si>
    <t>128.0</t>
  </si>
  <si>
    <t>BSL</t>
  </si>
  <si>
    <t>66003</t>
  </si>
  <si>
    <t>05748712042</t>
  </si>
  <si>
    <t>05748712042001</t>
  </si>
  <si>
    <t>PMC24103KL</t>
  </si>
  <si>
    <t>870.3</t>
  </si>
  <si>
    <t>8.60</t>
  </si>
  <si>
    <t>B1A-3228</t>
  </si>
  <si>
    <t>05748712042002</t>
  </si>
  <si>
    <t>108.8</t>
  </si>
  <si>
    <t>66304</t>
  </si>
  <si>
    <t>05748712042003</t>
  </si>
  <si>
    <t>1.08</t>
  </si>
  <si>
    <t>65005</t>
  </si>
  <si>
    <t>05748712042004</t>
  </si>
  <si>
    <t>65105</t>
  </si>
  <si>
    <t>05748712042005</t>
  </si>
  <si>
    <t>66301</t>
  </si>
  <si>
    <t>05748712042006</t>
  </si>
  <si>
    <t>66302</t>
  </si>
  <si>
    <t>05748712042007</t>
  </si>
  <si>
    <t>66303</t>
  </si>
  <si>
    <t>05748720932</t>
  </si>
  <si>
    <t>05748720932001</t>
  </si>
  <si>
    <t>114.0</t>
  </si>
  <si>
    <t>64303</t>
  </si>
  <si>
    <t>05748723636</t>
  </si>
  <si>
    <t>05748723636001</t>
  </si>
  <si>
    <t>1.31</t>
  </si>
  <si>
    <t>Q3103</t>
  </si>
  <si>
    <t>05748753025</t>
  </si>
  <si>
    <t>05748753025002</t>
  </si>
  <si>
    <t>PMC23537KL</t>
  </si>
  <si>
    <t>172.3</t>
  </si>
  <si>
    <t>1.79</t>
  </si>
  <si>
    <t>072</t>
  </si>
  <si>
    <t>B2A-5125</t>
  </si>
  <si>
    <t>05748753025001</t>
  </si>
  <si>
    <t>05748753025003</t>
  </si>
  <si>
    <t>05748753025004</t>
  </si>
  <si>
    <t>05748753025005</t>
  </si>
  <si>
    <t>05748753025006</t>
  </si>
  <si>
    <t>05748780373</t>
  </si>
  <si>
    <t>05748780373001</t>
  </si>
  <si>
    <t>139.5</t>
  </si>
  <si>
    <t>N7101</t>
  </si>
  <si>
    <t>05748780373002</t>
  </si>
  <si>
    <t>M6002</t>
  </si>
  <si>
    <t>05748793205</t>
  </si>
  <si>
    <t>05748793205001</t>
  </si>
  <si>
    <t>240.0</t>
  </si>
  <si>
    <t>05748794911</t>
  </si>
  <si>
    <t>05748794911001</t>
  </si>
  <si>
    <t>PMC63518AF</t>
  </si>
  <si>
    <t>2183.0</t>
  </si>
  <si>
    <t>6.49</t>
  </si>
  <si>
    <t>B2C-5730</t>
  </si>
  <si>
    <t>05748794911002</t>
  </si>
  <si>
    <t>PMC25248KL</t>
  </si>
  <si>
    <t>1865.0</t>
  </si>
  <si>
    <t>8.12</t>
  </si>
  <si>
    <t>B1A-3324</t>
  </si>
  <si>
    <t>05748794955</t>
  </si>
  <si>
    <t>05748794955001</t>
  </si>
  <si>
    <t>83.0</t>
  </si>
  <si>
    <t>N2303</t>
  </si>
  <si>
    <t>05748795051</t>
  </si>
  <si>
    <t>05748795051001</t>
  </si>
  <si>
    <t>920.0</t>
  </si>
  <si>
    <t>05748795051002</t>
  </si>
  <si>
    <t>05748795596</t>
  </si>
  <si>
    <t>05748795596002</t>
  </si>
  <si>
    <t>73.0</t>
  </si>
  <si>
    <t>136</t>
  </si>
  <si>
    <t>51308</t>
  </si>
  <si>
    <t>05748795596001</t>
  </si>
  <si>
    <t>05748797210</t>
  </si>
  <si>
    <t>05748797210001</t>
  </si>
  <si>
    <t>440.0</t>
  </si>
  <si>
    <t>Q6002</t>
  </si>
  <si>
    <t>05748797210002</t>
  </si>
  <si>
    <t>Q6001</t>
  </si>
  <si>
    <t>05748803554</t>
  </si>
  <si>
    <t>05748803554001</t>
  </si>
  <si>
    <t>184.2</t>
  </si>
  <si>
    <t>CMB</t>
  </si>
  <si>
    <t>R3301</t>
  </si>
  <si>
    <t>05748803554002</t>
  </si>
  <si>
    <t>Q9102</t>
  </si>
  <si>
    <t>05748803554003</t>
  </si>
  <si>
    <t>184.3</t>
  </si>
  <si>
    <t>R3302</t>
  </si>
  <si>
    <t>05748803554004</t>
  </si>
  <si>
    <t>59005</t>
  </si>
  <si>
    <t>05748804044</t>
  </si>
  <si>
    <t>05748804044001</t>
  </si>
  <si>
    <t>P3002</t>
  </si>
  <si>
    <t>05748806575</t>
  </si>
  <si>
    <t>05748806575001</t>
  </si>
  <si>
    <t>68.7</t>
  </si>
  <si>
    <t>2.41</t>
  </si>
  <si>
    <t>R8302</t>
  </si>
  <si>
    <t>05748806575002</t>
  </si>
  <si>
    <t>19.6</t>
  </si>
  <si>
    <t>HLC021</t>
  </si>
  <si>
    <t>05748806575003</t>
  </si>
  <si>
    <t>88.3</t>
  </si>
  <si>
    <t>3.09</t>
  </si>
  <si>
    <t>73204</t>
  </si>
  <si>
    <t>05748806575004</t>
  </si>
  <si>
    <t>9.8</t>
  </si>
  <si>
    <t>HLC163</t>
  </si>
  <si>
    <t>05748806575005</t>
  </si>
  <si>
    <t>05748806660</t>
  </si>
  <si>
    <t>05748806660001</t>
  </si>
  <si>
    <t>Q2303</t>
  </si>
  <si>
    <t>05748807942</t>
  </si>
  <si>
    <t>05748807942001</t>
  </si>
  <si>
    <t>M6301</t>
  </si>
  <si>
    <t>05748810650</t>
  </si>
  <si>
    <t>05748810650002</t>
  </si>
  <si>
    <t>378.0</t>
  </si>
  <si>
    <t>05748810650001</t>
  </si>
  <si>
    <t>05748853232</t>
  </si>
  <si>
    <t>05748853232001</t>
  </si>
  <si>
    <t>18</t>
  </si>
  <si>
    <t>406</t>
  </si>
  <si>
    <t>SCL</t>
  </si>
  <si>
    <t>Q3304</t>
  </si>
  <si>
    <t>05748853534</t>
  </si>
  <si>
    <t>05748853534002</t>
  </si>
  <si>
    <t>49007</t>
  </si>
  <si>
    <t>05748853534001</t>
  </si>
  <si>
    <t>05748857966</t>
  </si>
  <si>
    <t>05748857966001</t>
  </si>
  <si>
    <t>354.0</t>
  </si>
  <si>
    <t>1.69</t>
  </si>
  <si>
    <t>19004</t>
  </si>
  <si>
    <t>05748858014</t>
  </si>
  <si>
    <t>05748858014001</t>
  </si>
  <si>
    <t>103.0</t>
  </si>
  <si>
    <t>05748863592</t>
  </si>
  <si>
    <t>05748863592001</t>
  </si>
  <si>
    <t>459.0</t>
  </si>
  <si>
    <t>HAJ</t>
  </si>
  <si>
    <t>05748863592002</t>
  </si>
  <si>
    <t>05748866403</t>
  </si>
  <si>
    <t>05748866403001</t>
  </si>
  <si>
    <t>155.3</t>
  </si>
  <si>
    <t>55109</t>
  </si>
  <si>
    <t>05748866403002</t>
  </si>
  <si>
    <t>M5104</t>
  </si>
  <si>
    <t>05748866403003</t>
  </si>
  <si>
    <t>05748882746</t>
  </si>
  <si>
    <t>05748882746001</t>
  </si>
  <si>
    <t>358.0</t>
  </si>
  <si>
    <t>50109</t>
  </si>
  <si>
    <t>05748937151</t>
  </si>
  <si>
    <t>05748937151001</t>
  </si>
  <si>
    <t>241.0</t>
  </si>
  <si>
    <t>VUN</t>
  </si>
  <si>
    <t>VN113</t>
  </si>
  <si>
    <t>05748964204</t>
  </si>
  <si>
    <t>05748964204005</t>
  </si>
  <si>
    <t>718</t>
  </si>
  <si>
    <t>DSS</t>
  </si>
  <si>
    <t>05748964204001</t>
  </si>
  <si>
    <t>05748964204006</t>
  </si>
  <si>
    <t>PMC28603KL</t>
  </si>
  <si>
    <t>1325.0</t>
  </si>
  <si>
    <t>2.46</t>
  </si>
  <si>
    <t>B2C-5839</t>
  </si>
  <si>
    <t>05748964204002</t>
  </si>
  <si>
    <t>05748964204008</t>
  </si>
  <si>
    <t>368.1</t>
  </si>
  <si>
    <t>05748964204003</t>
  </si>
  <si>
    <t>05748964204009</t>
  </si>
  <si>
    <t>662.5</t>
  </si>
  <si>
    <t>73002</t>
  </si>
  <si>
    <t>05748964204004</t>
  </si>
  <si>
    <t>05748964204010</t>
  </si>
  <si>
    <t>05748964204011</t>
  </si>
  <si>
    <t>462.6</t>
  </si>
  <si>
    <t>05748968931</t>
  </si>
  <si>
    <t>05748968931002</t>
  </si>
  <si>
    <t>94107</t>
  </si>
  <si>
    <t>No HAWB (XFZB issue) - CAFEED DONE -waiting FFM to trigger DG</t>
  </si>
  <si>
    <t>05748968931001</t>
  </si>
  <si>
    <t>05748983513</t>
  </si>
  <si>
    <t>05748983513001</t>
  </si>
  <si>
    <t>18.0</t>
  </si>
  <si>
    <t>M2402</t>
  </si>
  <si>
    <t>05748983535</t>
  </si>
  <si>
    <t>05748983535001</t>
  </si>
  <si>
    <t>HLC082</t>
  </si>
  <si>
    <t>05748986335</t>
  </si>
  <si>
    <t>05748986335001</t>
  </si>
  <si>
    <t>339.0</t>
  </si>
  <si>
    <t>53310</t>
  </si>
  <si>
    <t>05749004163</t>
  </si>
  <si>
    <t>05749004163001</t>
  </si>
  <si>
    <t>88.0</t>
  </si>
  <si>
    <t>.53</t>
  </si>
  <si>
    <t>BER</t>
  </si>
  <si>
    <t>S6401</t>
  </si>
  <si>
    <t>05749005655</t>
  </si>
  <si>
    <t>05749005655001</t>
  </si>
  <si>
    <t>ORY</t>
  </si>
  <si>
    <t>S8303</t>
  </si>
  <si>
    <t>05749010360</t>
  </si>
  <si>
    <t>05749010360001</t>
  </si>
  <si>
    <t>824.0</t>
  </si>
  <si>
    <t>4.94</t>
  </si>
  <si>
    <t>EAT</t>
  </si>
  <si>
    <t>05749015702</t>
  </si>
  <si>
    <t>05749015702001</t>
  </si>
  <si>
    <t>N5404</t>
  </si>
  <si>
    <t>05749021114</t>
  </si>
  <si>
    <t>05749021114001</t>
  </si>
  <si>
    <t>58011</t>
  </si>
  <si>
    <t>05749021114002</t>
  </si>
  <si>
    <t>64003</t>
  </si>
  <si>
    <t>05749021114003</t>
  </si>
  <si>
    <t>P9004</t>
  </si>
  <si>
    <t>05749023483</t>
  </si>
  <si>
    <t>05749023483001</t>
  </si>
  <si>
    <t>66.7</t>
  </si>
  <si>
    <t>53405</t>
  </si>
  <si>
    <t>05749023483002</t>
  </si>
  <si>
    <t>33.3</t>
  </si>
  <si>
    <t>05749026191</t>
  </si>
  <si>
    <t>05749026191001</t>
  </si>
  <si>
    <t>PMC69912AF</t>
  </si>
  <si>
    <t>4532.0</t>
  </si>
  <si>
    <t>B1B-2943</t>
  </si>
  <si>
    <t>05749027031</t>
  </si>
  <si>
    <t>05749027031001</t>
  </si>
  <si>
    <t>PMC28396KL</t>
  </si>
  <si>
    <t>B2C-5733</t>
  </si>
  <si>
    <t>05749036971</t>
  </si>
  <si>
    <t>05749036971002</t>
  </si>
  <si>
    <t>PMC93146DL</t>
  </si>
  <si>
    <t>256.3</t>
  </si>
  <si>
    <t>7.60</t>
  </si>
  <si>
    <t>291</t>
  </si>
  <si>
    <t>B1C-2220</t>
  </si>
  <si>
    <t>05749036971001</t>
  </si>
  <si>
    <t>05749036971003</t>
  </si>
  <si>
    <t>PMC94534DL</t>
  </si>
  <si>
    <t>128.2</t>
  </si>
  <si>
    <t>3.80</t>
  </si>
  <si>
    <t>B2A-4625</t>
  </si>
  <si>
    <t>05749043514</t>
  </si>
  <si>
    <t>05749043514001</t>
  </si>
  <si>
    <t>61311</t>
  </si>
  <si>
    <t>05749043525</t>
  </si>
  <si>
    <t>05749043525003</t>
  </si>
  <si>
    <t>1011.5</t>
  </si>
  <si>
    <t>HLC055</t>
  </si>
  <si>
    <t>Getting internal error on listsing the awb and on clicking as is execute button getting sorry page</t>
  </si>
  <si>
    <t>05749043525001</t>
  </si>
  <si>
    <t>05749043525007</t>
  </si>
  <si>
    <t>1011.6</t>
  </si>
  <si>
    <t>HLC062</t>
  </si>
  <si>
    <t>05749043525002</t>
  </si>
  <si>
    <t>05749057831</t>
  </si>
  <si>
    <t>05749057831001</t>
  </si>
  <si>
    <t>PMC01550MP</t>
  </si>
  <si>
    <t>644.4</t>
  </si>
  <si>
    <t>8.11</t>
  </si>
  <si>
    <t>B1C-2242</t>
  </si>
  <si>
    <t>05749057831002</t>
  </si>
  <si>
    <t>80.6</t>
  </si>
  <si>
    <t>69401</t>
  </si>
  <si>
    <t>05749068972</t>
  </si>
  <si>
    <t>05749068972001</t>
  </si>
  <si>
    <t>195.0</t>
  </si>
  <si>
    <t>3.59</t>
  </si>
  <si>
    <t>TLV</t>
  </si>
  <si>
    <t>05749100870</t>
  </si>
  <si>
    <t>05749100870002</t>
  </si>
  <si>
    <t>1050.0</t>
  </si>
  <si>
    <t>Y5003</t>
  </si>
  <si>
    <t>05749100870001</t>
  </si>
  <si>
    <t>05749109093</t>
  </si>
  <si>
    <t>05749109093001</t>
  </si>
  <si>
    <t>341.0</t>
  </si>
  <si>
    <t>.37</t>
  </si>
  <si>
    <t>53112</t>
  </si>
  <si>
    <t>05749109174</t>
  </si>
  <si>
    <t>05749109174001</t>
  </si>
  <si>
    <t>R9402</t>
  </si>
  <si>
    <t>05749139123</t>
  </si>
  <si>
    <t>05749139123001</t>
  </si>
  <si>
    <t>37.9</t>
  </si>
  <si>
    <t>61103</t>
  </si>
  <si>
    <t>05749139123002</t>
  </si>
  <si>
    <t>58312</t>
  </si>
  <si>
    <t>05749175254</t>
  </si>
  <si>
    <t>05749175254001</t>
  </si>
  <si>
    <t>59013</t>
  </si>
  <si>
    <t>05753737073</t>
  </si>
  <si>
    <t>05753737073001</t>
  </si>
  <si>
    <t>090M</t>
  </si>
  <si>
    <t>BHX</t>
  </si>
  <si>
    <t>19104</t>
  </si>
  <si>
    <t>05753737073002</t>
  </si>
  <si>
    <t>21001</t>
  </si>
  <si>
    <t>05753737073003</t>
  </si>
  <si>
    <t>19105</t>
  </si>
  <si>
    <t>05753737073004</t>
  </si>
  <si>
    <t>19003</t>
  </si>
  <si>
    <t>05770653144</t>
  </si>
  <si>
    <t>05770653144001</t>
  </si>
  <si>
    <t>P3104</t>
  </si>
  <si>
    <t>05770771116</t>
  </si>
  <si>
    <t>05770771116001</t>
  </si>
  <si>
    <t>34.0</t>
  </si>
  <si>
    <t>866</t>
  </si>
  <si>
    <t>NDJ</t>
  </si>
  <si>
    <t>55311</t>
  </si>
  <si>
    <t>05770774141</t>
  </si>
  <si>
    <t>05770774141001</t>
  </si>
  <si>
    <t>PLB00528AF</t>
  </si>
  <si>
    <t>486.0</t>
  </si>
  <si>
    <t>4.16</t>
  </si>
  <si>
    <t>B2B-4031</t>
  </si>
  <si>
    <t>LL</t>
  </si>
  <si>
    <t>05770774141002</t>
  </si>
  <si>
    <t>PMC64278AF</t>
  </si>
  <si>
    <t>972.0</t>
  </si>
  <si>
    <t>8.32</t>
  </si>
  <si>
    <t>B2B-4041</t>
  </si>
  <si>
    <t>05770790775</t>
  </si>
  <si>
    <t>05770790775001</t>
  </si>
  <si>
    <t>3.0</t>
  </si>
  <si>
    <t>16004</t>
  </si>
  <si>
    <t>05770790786</t>
  </si>
  <si>
    <t>05770790786001</t>
  </si>
  <si>
    <t>16406</t>
  </si>
  <si>
    <t>05771230795</t>
  </si>
  <si>
    <t>05771230795001</t>
  </si>
  <si>
    <t>PMC63256AF</t>
  </si>
  <si>
    <t>360.0</t>
  </si>
  <si>
    <t>4.44</t>
  </si>
  <si>
    <t>B1A-3334</t>
  </si>
  <si>
    <t>05771230795002</t>
  </si>
  <si>
    <t>PMC20180MP</t>
  </si>
  <si>
    <t>B2A-5040</t>
  </si>
  <si>
    <t>05771297100</t>
  </si>
  <si>
    <t>05771297100001</t>
  </si>
  <si>
    <t>235.0</t>
  </si>
  <si>
    <t>05771305452</t>
  </si>
  <si>
    <t>05771305452001</t>
  </si>
  <si>
    <t>P7301</t>
  </si>
  <si>
    <t>05771320896</t>
  </si>
  <si>
    <t>05771320896001</t>
  </si>
  <si>
    <t>270.4</t>
  </si>
  <si>
    <t>1.62</t>
  </si>
  <si>
    <t>FCO</t>
  </si>
  <si>
    <t>HLC052</t>
  </si>
  <si>
    <t>05771332785</t>
  </si>
  <si>
    <t>05771332785001</t>
  </si>
  <si>
    <t>PAG10066AF</t>
  </si>
  <si>
    <t>261.8</t>
  </si>
  <si>
    <t>2.73</t>
  </si>
  <si>
    <t>B1C-2432</t>
  </si>
  <si>
    <t>05771332785002</t>
  </si>
  <si>
    <t>05771332785003</t>
  </si>
  <si>
    <t>05771332785004</t>
  </si>
  <si>
    <t>05771332785005</t>
  </si>
  <si>
    <t>05771332951</t>
  </si>
  <si>
    <t>05771332951001</t>
  </si>
  <si>
    <t>159.8</t>
  </si>
  <si>
    <t>N1401</t>
  </si>
  <si>
    <t>05771332951002</t>
  </si>
  <si>
    <t>N1402</t>
  </si>
  <si>
    <t>05771333544</t>
  </si>
  <si>
    <t>05771333544001</t>
  </si>
  <si>
    <t>3010.9</t>
  </si>
  <si>
    <t>12</t>
  </si>
  <si>
    <t>10.36</t>
  </si>
  <si>
    <t>LO000</t>
  </si>
  <si>
    <t>05771333544051</t>
  </si>
  <si>
    <t>3011.0</t>
  </si>
  <si>
    <t>10.37</t>
  </si>
  <si>
    <t>05771333555</t>
  </si>
  <si>
    <t>05771333555001</t>
  </si>
  <si>
    <t>321.3</t>
  </si>
  <si>
    <t>51312</t>
  </si>
  <si>
    <t>05771333555002</t>
  </si>
  <si>
    <t>P5001</t>
  </si>
  <si>
    <t>05771333566</t>
  </si>
  <si>
    <t>05771333566001</t>
  </si>
  <si>
    <t>349.4</t>
  </si>
  <si>
    <t>Q2102</t>
  </si>
  <si>
    <t>05771333684</t>
  </si>
  <si>
    <t>05771333684001</t>
  </si>
  <si>
    <t>849.0</t>
  </si>
  <si>
    <t>3.84</t>
  </si>
  <si>
    <t>076</t>
  </si>
  <si>
    <t>PPT</t>
  </si>
  <si>
    <t>05771486505</t>
  </si>
  <si>
    <t>05771486505001</t>
  </si>
  <si>
    <t>45.0</t>
  </si>
  <si>
    <t>S5401</t>
  </si>
  <si>
    <t>05771486505002</t>
  </si>
  <si>
    <t>50407</t>
  </si>
  <si>
    <t>05771486553</t>
  </si>
  <si>
    <t>05771486553001</t>
  </si>
  <si>
    <t>198.0</t>
  </si>
  <si>
    <t>HFI011</t>
  </si>
  <si>
    <t>05771527783</t>
  </si>
  <si>
    <t>05771527783001</t>
  </si>
  <si>
    <t>10.0</t>
  </si>
  <si>
    <t>.06</t>
  </si>
  <si>
    <t>1304</t>
  </si>
  <si>
    <t>RDS</t>
  </si>
  <si>
    <t>ICE</t>
  </si>
  <si>
    <t>91404</t>
  </si>
  <si>
    <t>No HAWB (XFZB issue) - CAFEED DONE -DG captured in ORD ICARGO</t>
  </si>
  <si>
    <t>05771532414</t>
  </si>
  <si>
    <t>05771532414001</t>
  </si>
  <si>
    <t>Q3102</t>
  </si>
  <si>
    <t>05771731656</t>
  </si>
  <si>
    <t>05771731656001</t>
  </si>
  <si>
    <t>110.0</t>
  </si>
  <si>
    <t>R4404</t>
  </si>
  <si>
    <t>05771732861</t>
  </si>
  <si>
    <t>05771732861001</t>
  </si>
  <si>
    <t>M3102</t>
  </si>
  <si>
    <t>05771732861002</t>
  </si>
  <si>
    <t>05771732861003</t>
  </si>
  <si>
    <t>05771732861004</t>
  </si>
  <si>
    <t>N1303</t>
  </si>
  <si>
    <t>05771750136</t>
  </si>
  <si>
    <t>05771750136001</t>
  </si>
  <si>
    <t>111.0</t>
  </si>
  <si>
    <t>1.65</t>
  </si>
  <si>
    <t>Q4303</t>
  </si>
  <si>
    <t>05771752656</t>
  </si>
  <si>
    <t>05771752656001</t>
  </si>
  <si>
    <t>518.0</t>
  </si>
  <si>
    <t>1.91</t>
  </si>
  <si>
    <t>HLC023</t>
  </si>
  <si>
    <t>05771752656002</t>
  </si>
  <si>
    <t>PMC22237KL</t>
  </si>
  <si>
    <t>B2A-5117</t>
  </si>
  <si>
    <t>05771754642</t>
  </si>
  <si>
    <t>05771754642001</t>
  </si>
  <si>
    <t>524.0</t>
  </si>
  <si>
    <t>05771754642002</t>
  </si>
  <si>
    <t>N4104</t>
  </si>
  <si>
    <t>05771754642003</t>
  </si>
  <si>
    <t>05771754642004</t>
  </si>
  <si>
    <t>05771754642005</t>
  </si>
  <si>
    <t>05771754664</t>
  </si>
  <si>
    <t>05771754664001</t>
  </si>
  <si>
    <t>156.0</t>
  </si>
  <si>
    <t>58009</t>
  </si>
  <si>
    <t>05771754793</t>
  </si>
  <si>
    <t>05771754793001</t>
  </si>
  <si>
    <t>487.0</t>
  </si>
  <si>
    <t>412</t>
  </si>
  <si>
    <t>EZE</t>
  </si>
  <si>
    <t>P3003</t>
  </si>
  <si>
    <t>05771757722</t>
  </si>
  <si>
    <t>05771757722001</t>
  </si>
  <si>
    <t>29.7</t>
  </si>
  <si>
    <t>.24</t>
  </si>
  <si>
    <t>05771757722002</t>
  </si>
  <si>
    <t>05771757722003</t>
  </si>
  <si>
    <t>297.3</t>
  </si>
  <si>
    <t>2.39</t>
  </si>
  <si>
    <t>05771757722004</t>
  </si>
  <si>
    <t>475.7</t>
  </si>
  <si>
    <t>16</t>
  </si>
  <si>
    <t>3.82</t>
  </si>
  <si>
    <t>05771757722005</t>
  </si>
  <si>
    <t>59.5</t>
  </si>
  <si>
    <t>.48</t>
  </si>
  <si>
    <t>05771757722006</t>
  </si>
  <si>
    <t>05771757722007</t>
  </si>
  <si>
    <t>05771761266</t>
  </si>
  <si>
    <t>05771761266001</t>
  </si>
  <si>
    <t>404.4</t>
  </si>
  <si>
    <t>2.91</t>
  </si>
  <si>
    <t>54105</t>
  </si>
  <si>
    <t>05771761266002</t>
  </si>
  <si>
    <t>25.3</t>
  </si>
  <si>
    <t>Y6015</t>
  </si>
  <si>
    <t>05771761266003</t>
  </si>
  <si>
    <t>64104</t>
  </si>
  <si>
    <t>05771761911</t>
  </si>
  <si>
    <t>05771761911001</t>
  </si>
  <si>
    <t>413.0</t>
  </si>
  <si>
    <t>P9001</t>
  </si>
  <si>
    <t>05771762003</t>
  </si>
  <si>
    <t>05771762003001</t>
  </si>
  <si>
    <t>1074.9</t>
  </si>
  <si>
    <t>1.66</t>
  </si>
  <si>
    <t>05771762003002</t>
  </si>
  <si>
    <t>1.67</t>
  </si>
  <si>
    <t>05771762040</t>
  </si>
  <si>
    <t>05771762040001</t>
  </si>
  <si>
    <t>1074.8</t>
  </si>
  <si>
    <t>50002</t>
  </si>
  <si>
    <t>05771763661</t>
  </si>
  <si>
    <t>05771763661001</t>
  </si>
  <si>
    <t>75.0</t>
  </si>
  <si>
    <t>HLC041</t>
  </si>
  <si>
    <t>05771763672</t>
  </si>
  <si>
    <t>05771763672001</t>
  </si>
  <si>
    <t>113.0</t>
  </si>
  <si>
    <t>05771765116</t>
  </si>
  <si>
    <t>05771765116001</t>
  </si>
  <si>
    <t>279.0</t>
  </si>
  <si>
    <t>M4101</t>
  </si>
  <si>
    <t>05771765153</t>
  </si>
  <si>
    <t>05771765153001</t>
  </si>
  <si>
    <t>185.0</t>
  </si>
  <si>
    <t>05771766085</t>
  </si>
  <si>
    <t>05771766085001</t>
  </si>
  <si>
    <t>239.1</t>
  </si>
  <si>
    <t>1.27</t>
  </si>
  <si>
    <t>MAG</t>
  </si>
  <si>
    <t>T7403</t>
  </si>
  <si>
    <t>MAG NO DGR</t>
  </si>
  <si>
    <t>05771766085002</t>
  </si>
  <si>
    <t>T4204</t>
  </si>
  <si>
    <t>05771766811</t>
  </si>
  <si>
    <t>05771766811001</t>
  </si>
  <si>
    <t>40.7</t>
  </si>
  <si>
    <t>.21</t>
  </si>
  <si>
    <t>52309</t>
  </si>
  <si>
    <t>05771766866</t>
  </si>
  <si>
    <t>05771766866001</t>
  </si>
  <si>
    <t>484.0</t>
  </si>
  <si>
    <t>49010</t>
  </si>
  <si>
    <t>05771766892</t>
  </si>
  <si>
    <t>05771766892001</t>
  </si>
  <si>
    <t>397.8</t>
  </si>
  <si>
    <t>1.04</t>
  </si>
  <si>
    <t>60004</t>
  </si>
  <si>
    <t>05771768793</t>
  </si>
  <si>
    <t>05771768793001</t>
  </si>
  <si>
    <t>166.0</t>
  </si>
  <si>
    <t>52407</t>
  </si>
  <si>
    <t>05771768793002</t>
  </si>
  <si>
    <t>51310</t>
  </si>
  <si>
    <t>05771768793003</t>
  </si>
  <si>
    <t>49009</t>
  </si>
  <si>
    <t>05771771490</t>
  </si>
  <si>
    <t>05771771490001</t>
  </si>
  <si>
    <t>N3403</t>
  </si>
  <si>
    <t>05771889193</t>
  </si>
  <si>
    <t>05771889193002</t>
  </si>
  <si>
    <t>R6101</t>
  </si>
  <si>
    <t>05771889193001</t>
  </si>
  <si>
    <t>05771889720</t>
  </si>
  <si>
    <t>05771889720001</t>
  </si>
  <si>
    <t>C1104</t>
  </si>
  <si>
    <t>05771895143</t>
  </si>
  <si>
    <t>05771895143001</t>
  </si>
  <si>
    <t>134.7</t>
  </si>
  <si>
    <t>3.18</t>
  </si>
  <si>
    <t>05771895143002</t>
  </si>
  <si>
    <t>05771895143003</t>
  </si>
  <si>
    <t>Violates torelance level</t>
  </si>
  <si>
    <t>05771895143004</t>
  </si>
  <si>
    <t>05774576143</t>
  </si>
  <si>
    <t>05774576143001</t>
  </si>
  <si>
    <t>1792.0</t>
  </si>
  <si>
    <t>4.10</t>
  </si>
  <si>
    <t>05795591182</t>
  </si>
  <si>
    <t>05795591182001</t>
  </si>
  <si>
    <t>05797567875</t>
  </si>
  <si>
    <t>05797567875002</t>
  </si>
  <si>
    <t>304.7</t>
  </si>
  <si>
    <t>SOF</t>
  </si>
  <si>
    <t>52007</t>
  </si>
  <si>
    <t>05797567875001</t>
  </si>
  <si>
    <t>05797567875003</t>
  </si>
  <si>
    <t>05797567875004</t>
  </si>
  <si>
    <t>P8301</t>
  </si>
  <si>
    <t>05797568914</t>
  </si>
  <si>
    <t>05797568914001</t>
  </si>
  <si>
    <t>PMC02308DL</t>
  </si>
  <si>
    <t>1561.0</t>
  </si>
  <si>
    <t>LCJ</t>
  </si>
  <si>
    <t>H20-2038</t>
  </si>
  <si>
    <t>05797568914002</t>
  </si>
  <si>
    <t>PMC02781DL</t>
  </si>
  <si>
    <t>2980.0</t>
  </si>
  <si>
    <t>NCX-4529</t>
  </si>
  <si>
    <t>05797568914003</t>
  </si>
  <si>
    <t>PMC03401DL</t>
  </si>
  <si>
    <t>1669.0</t>
  </si>
  <si>
    <t>NCX-4513</t>
  </si>
  <si>
    <t>05797568914004</t>
  </si>
  <si>
    <t>PMC98490DL</t>
  </si>
  <si>
    <t>520.0</t>
  </si>
  <si>
    <t>NCX-4537</t>
  </si>
  <si>
    <t>05797569065</t>
  </si>
  <si>
    <t>05797569065001</t>
  </si>
  <si>
    <t>106.0</t>
  </si>
  <si>
    <t>KRK</t>
  </si>
  <si>
    <t>Y6306</t>
  </si>
  <si>
    <t>05797569102</t>
  </si>
  <si>
    <t>05797569102001</t>
  </si>
  <si>
    <t>1.55</t>
  </si>
  <si>
    <t>05797569183</t>
  </si>
  <si>
    <t>05797569183001</t>
  </si>
  <si>
    <t>PMC98956DL</t>
  </si>
  <si>
    <t>214.7</t>
  </si>
  <si>
    <t>5.81</t>
  </si>
  <si>
    <t>B2B-4141</t>
  </si>
  <si>
    <t>05797569183002</t>
  </si>
  <si>
    <t>PMC04154DL</t>
  </si>
  <si>
    <t>B2A-5039</t>
  </si>
  <si>
    <t>05797569183003</t>
  </si>
  <si>
    <t>PMC00105DL</t>
  </si>
  <si>
    <t>B1A-3439</t>
  </si>
  <si>
    <t>07400873073</t>
  </si>
  <si>
    <t>07400873073001</t>
  </si>
  <si>
    <t>1.86</t>
  </si>
  <si>
    <t>07400873073002</t>
  </si>
  <si>
    <t>1.87</t>
  </si>
  <si>
    <t>07400873073003</t>
  </si>
  <si>
    <t>07400873073004</t>
  </si>
  <si>
    <t>07458883193</t>
  </si>
  <si>
    <t>07458883193001</t>
  </si>
  <si>
    <t>4.5</t>
  </si>
  <si>
    <t>.02</t>
  </si>
  <si>
    <t>768</t>
  </si>
  <si>
    <t>NKC</t>
  </si>
  <si>
    <t>Q7000</t>
  </si>
  <si>
    <t>07458883193002</t>
  </si>
  <si>
    <t>07460511776</t>
  </si>
  <si>
    <t>07460511776003</t>
  </si>
  <si>
    <t>380.5</t>
  </si>
  <si>
    <t>62309</t>
  </si>
  <si>
    <t>07460511776001</t>
  </si>
  <si>
    <t>07461109565</t>
  </si>
  <si>
    <t>07461109565001</t>
  </si>
  <si>
    <t>PMC63130AF</t>
  </si>
  <si>
    <t>1262.4</t>
  </si>
  <si>
    <t>5.32</t>
  </si>
  <si>
    <t>B1C-2427</t>
  </si>
  <si>
    <t>07461241670</t>
  </si>
  <si>
    <t>07461241670001</t>
  </si>
  <si>
    <t>1560.0</t>
  </si>
  <si>
    <t>8.51</t>
  </si>
  <si>
    <t>07461506944</t>
  </si>
  <si>
    <t>07461506944001</t>
  </si>
  <si>
    <t>PAG15705KL</t>
  </si>
  <si>
    <t>1578.0</t>
  </si>
  <si>
    <t>4.58</t>
  </si>
  <si>
    <t>B2C-6026</t>
  </si>
  <si>
    <t>07461859173</t>
  </si>
  <si>
    <t>07461859173001</t>
  </si>
  <si>
    <t>885.0</t>
  </si>
  <si>
    <t>2.23</t>
  </si>
  <si>
    <t>07461859173002</t>
  </si>
  <si>
    <t>2.24</t>
  </si>
  <si>
    <t>07462295914</t>
  </si>
  <si>
    <t>07462295914001</t>
  </si>
  <si>
    <t>1157.3</t>
  </si>
  <si>
    <t>Y6001</t>
  </si>
  <si>
    <t>07462295914003</t>
  </si>
  <si>
    <t>1168.0</t>
  </si>
  <si>
    <t>60002</t>
  </si>
  <si>
    <t>07462295914005</t>
  </si>
  <si>
    <t>07462295914004</t>
  </si>
  <si>
    <t>Y6007</t>
  </si>
  <si>
    <t>Y6003</t>
  </si>
  <si>
    <t>07462356512</t>
  </si>
  <si>
    <t>07462356512001</t>
  </si>
  <si>
    <t>117.3</t>
  </si>
  <si>
    <t>62101</t>
  </si>
  <si>
    <t>07462356512002</t>
  </si>
  <si>
    <t>146.6</t>
  </si>
  <si>
    <t>HLC064</t>
  </si>
  <si>
    <t>07462445095</t>
  </si>
  <si>
    <t>07462445095001</t>
  </si>
  <si>
    <t>816</t>
  </si>
  <si>
    <t>HAV</t>
  </si>
  <si>
    <t>R5302</t>
  </si>
  <si>
    <t>07462445095002</t>
  </si>
  <si>
    <t>107.3</t>
  </si>
  <si>
    <t>S6404</t>
  </si>
  <si>
    <t>07462445095003</t>
  </si>
  <si>
    <t>143.1</t>
  </si>
  <si>
    <t>Q9103</t>
  </si>
  <si>
    <t>07462445095004</t>
  </si>
  <si>
    <t>393.5</t>
  </si>
  <si>
    <t>11</t>
  </si>
  <si>
    <t>HLC121</t>
  </si>
  <si>
    <t>07462445106</t>
  </si>
  <si>
    <t>07462445106001</t>
  </si>
  <si>
    <t>744</t>
  </si>
  <si>
    <t>PTP</t>
  </si>
  <si>
    <t>61108</t>
  </si>
  <si>
    <t>07462571084</t>
  </si>
  <si>
    <t>07462571084001</t>
  </si>
  <si>
    <t>1.20</t>
  </si>
  <si>
    <t>64010</t>
  </si>
  <si>
    <t>051406736306</t>
  </si>
  <si>
    <t>51406736306001</t>
  </si>
  <si>
    <t>301.8</t>
  </si>
  <si>
    <t>DAC</t>
  </si>
  <si>
    <t>51009</t>
  </si>
  <si>
    <t>Non Standard AWB</t>
  </si>
  <si>
    <t>51406736306002</t>
  </si>
  <si>
    <t>347.1</t>
  </si>
  <si>
    <t>51406736306003</t>
  </si>
  <si>
    <t>161.0</t>
  </si>
  <si>
    <t>50007</t>
  </si>
  <si>
    <t>51406736306004</t>
  </si>
  <si>
    <t>120.7</t>
  </si>
  <si>
    <t>61306</t>
  </si>
  <si>
    <t>51406736306005</t>
  </si>
  <si>
    <t>277.7</t>
  </si>
  <si>
    <t>51406736306006</t>
  </si>
  <si>
    <t>00635594952</t>
  </si>
  <si>
    <t>128.6</t>
  </si>
  <si>
    <t>454</t>
  </si>
  <si>
    <t>FR402</t>
  </si>
  <si>
    <t>3.1</t>
  </si>
  <si>
    <t>00635594952002</t>
  </si>
  <si>
    <t>FR404</t>
  </si>
  <si>
    <t>00635594952003</t>
  </si>
  <si>
    <t>FR316</t>
  </si>
  <si>
    <t>00635594952004</t>
  </si>
  <si>
    <t>257.3</t>
  </si>
  <si>
    <t>1.76</t>
  </si>
  <si>
    <t>NFL00</t>
  </si>
  <si>
    <t>00641406901</t>
  </si>
  <si>
    <t>00641406901002</t>
  </si>
  <si>
    <t>PMC97968DL</t>
  </si>
  <si>
    <t>2223.8</t>
  </si>
  <si>
    <t>4.12</t>
  </si>
  <si>
    <t>152D</t>
  </si>
  <si>
    <t>CVG</t>
  </si>
  <si>
    <t>SXB</t>
  </si>
  <si>
    <t>B2D-6442</t>
  </si>
  <si>
    <t>00641406901003</t>
  </si>
  <si>
    <t>PMC94932DL</t>
  </si>
  <si>
    <t>B2B-4025</t>
  </si>
  <si>
    <t>00679798552</t>
  </si>
  <si>
    <t>00679798552001</t>
  </si>
  <si>
    <t>1.73</t>
  </si>
  <si>
    <t>108M</t>
  </si>
  <si>
    <t>BOD01</t>
  </si>
  <si>
    <t>00679798552002</t>
  </si>
  <si>
    <t>05702015930</t>
  </si>
  <si>
    <t>05702015930002</t>
  </si>
  <si>
    <t>PMC24887KL</t>
  </si>
  <si>
    <t>337.3</t>
  </si>
  <si>
    <t>OSL</t>
  </si>
  <si>
    <t>B2C-5835</t>
  </si>
  <si>
    <t>05702015930001</t>
  </si>
  <si>
    <t>05702087503</t>
  </si>
  <si>
    <t>05702087503001</t>
  </si>
  <si>
    <t>8.0</t>
  </si>
  <si>
    <t>.07</t>
  </si>
  <si>
    <t>05702270461</t>
  </si>
  <si>
    <t>05702270461001</t>
  </si>
  <si>
    <t>RFK29</t>
  </si>
  <si>
    <t>Error comes as "Please check credit amount" on finalize payment on CSH007 screen</t>
  </si>
  <si>
    <t>Youssouf Validation by as is execute /The customer put the Wrong agent IATA code in FWB</t>
  </si>
  <si>
    <t>05702549820</t>
  </si>
  <si>
    <t>05702549820001</t>
  </si>
  <si>
    <t>372.0</t>
  </si>
  <si>
    <t>2.80</t>
  </si>
  <si>
    <t>231121</t>
  </si>
  <si>
    <t>TUN</t>
  </si>
  <si>
    <t>Lynka /  Agent inconnu en RCT/prod ok</t>
  </si>
  <si>
    <t>05702663474</t>
  </si>
  <si>
    <t>05702663474001</t>
  </si>
  <si>
    <t>898</t>
  </si>
  <si>
    <t>FDF</t>
  </si>
  <si>
    <t>R3102</t>
  </si>
  <si>
    <t>05702877641</t>
  </si>
  <si>
    <t>05702877641001</t>
  </si>
  <si>
    <t>214.0</t>
  </si>
  <si>
    <t>.25</t>
  </si>
  <si>
    <t>Q4301</t>
  </si>
  <si>
    <t>05702881292</t>
  </si>
  <si>
    <t>05702881292001</t>
  </si>
  <si>
    <t>PMC28687KL</t>
  </si>
  <si>
    <t>997.0</t>
  </si>
  <si>
    <t>10.06</t>
  </si>
  <si>
    <t>B2C-6032</t>
  </si>
  <si>
    <t>05702881292002</t>
  </si>
  <si>
    <t>PMC75447AF</t>
  </si>
  <si>
    <t>996.0</t>
  </si>
  <si>
    <t>B2A-5230</t>
  </si>
  <si>
    <t>05702905862</t>
  </si>
  <si>
    <t>05702905862002</t>
  </si>
  <si>
    <t>PMC75170AF</t>
  </si>
  <si>
    <t>1.13</t>
  </si>
  <si>
    <t>KTW</t>
  </si>
  <si>
    <t>B2A-4944</t>
  </si>
  <si>
    <t>05702905862001</t>
  </si>
  <si>
    <t>05702905862003</t>
  </si>
  <si>
    <t>05702905862004</t>
  </si>
  <si>
    <t>05702905862005</t>
  </si>
  <si>
    <t>05702905862006</t>
  </si>
  <si>
    <t>05702905862007</t>
  </si>
  <si>
    <t>05702963553</t>
  </si>
  <si>
    <t>05702963553001</t>
  </si>
  <si>
    <t>900</t>
  </si>
  <si>
    <t>NSI</t>
  </si>
  <si>
    <t>S7000</t>
  </si>
  <si>
    <t>05703070653</t>
  </si>
  <si>
    <t>05703070653001</t>
  </si>
  <si>
    <t>Error comes as " Stated volume less than accepted volume "</t>
  </si>
  <si>
    <t>Youssouf Validation by as is execute / OPR 026 Volume was less than accepted volume maybe wrong data capture (volume) in 0PR026</t>
  </si>
  <si>
    <t>98.0</t>
  </si>
  <si>
    <t>50304</t>
  </si>
  <si>
    <t>05703070653002</t>
  </si>
  <si>
    <t>05703076054</t>
  </si>
  <si>
    <t>05703076054001</t>
  </si>
  <si>
    <t>120.3</t>
  </si>
  <si>
    <t>05703076054002</t>
  </si>
  <si>
    <t>60.1</t>
  </si>
  <si>
    <t>05703076054003</t>
  </si>
  <si>
    <t>05703076054004</t>
  </si>
  <si>
    <t>05703170786</t>
  </si>
  <si>
    <t>05703170786001</t>
  </si>
  <si>
    <t>2.0</t>
  </si>
  <si>
    <t>05704874785</t>
  </si>
  <si>
    <t>05704874785001</t>
  </si>
  <si>
    <t>620.0</t>
  </si>
  <si>
    <t>480</t>
  </si>
  <si>
    <t>LIM</t>
  </si>
  <si>
    <t>P2004</t>
  </si>
  <si>
    <t>Error comes as "Internal Error"</t>
  </si>
  <si>
    <t>05704960561</t>
  </si>
  <si>
    <t>05704960561001</t>
  </si>
  <si>
    <t>585.0</t>
  </si>
  <si>
    <t>05705171574</t>
  </si>
  <si>
    <t>05705171574001</t>
  </si>
  <si>
    <t>PMC24235KL</t>
  </si>
  <si>
    <t>506.0</t>
  </si>
  <si>
    <t>FA6-PI00</t>
  </si>
  <si>
    <t>05705171574002</t>
  </si>
  <si>
    <t>05705171574003</t>
  </si>
  <si>
    <t>05705171574004</t>
  </si>
  <si>
    <t>05705177550</t>
  </si>
  <si>
    <t>05705177550001</t>
  </si>
  <si>
    <t>PMC23094KL</t>
  </si>
  <si>
    <t>B2A-5232</t>
  </si>
  <si>
    <t>05705177550002</t>
  </si>
  <si>
    <t>782.0</t>
  </si>
  <si>
    <t>23</t>
  </si>
  <si>
    <t>4.09</t>
  </si>
  <si>
    <t>05705178261</t>
  </si>
  <si>
    <t>05705178261001</t>
  </si>
  <si>
    <t>SVG</t>
  </si>
  <si>
    <t>53411</t>
  </si>
  <si>
    <t>05705179871</t>
  </si>
  <si>
    <t>05705179871001</t>
  </si>
  <si>
    <t>4.3</t>
  </si>
  <si>
    <t>51108</t>
  </si>
  <si>
    <t>05705179985</t>
  </si>
  <si>
    <t>05705179985001</t>
  </si>
  <si>
    <t>05705181621</t>
  </si>
  <si>
    <t>05705181621001</t>
  </si>
  <si>
    <t>330.7</t>
  </si>
  <si>
    <t>R7301</t>
  </si>
  <si>
    <t>05705181621002</t>
  </si>
  <si>
    <t>S2301</t>
  </si>
  <si>
    <t>05705181621003</t>
  </si>
  <si>
    <t>S8002</t>
  </si>
  <si>
    <t>05705184686</t>
  </si>
  <si>
    <t>05705184686001</t>
  </si>
  <si>
    <t>3.30</t>
  </si>
  <si>
    <t>8771</t>
  </si>
  <si>
    <t>CHS</t>
  </si>
  <si>
    <t>05705186742</t>
  </si>
  <si>
    <t>05705186742001</t>
  </si>
  <si>
    <t>690M</t>
  </si>
  <si>
    <t>EWR</t>
  </si>
  <si>
    <t>OPO00</t>
  </si>
  <si>
    <t>05705189004</t>
  </si>
  <si>
    <t>05705189004001</t>
  </si>
  <si>
    <t>LLC44</t>
  </si>
  <si>
    <t>05705189645</t>
  </si>
  <si>
    <t>05705189645002</t>
  </si>
  <si>
    <t>382</t>
  </si>
  <si>
    <t>PEK</t>
  </si>
  <si>
    <t>Q7104</t>
  </si>
  <si>
    <t>05705189645001</t>
  </si>
  <si>
    <t>05705189645003</t>
  </si>
  <si>
    <t>52409</t>
  </si>
  <si>
    <t>05705189914</t>
  </si>
  <si>
    <t>05705189914001</t>
  </si>
  <si>
    <t>118.0</t>
  </si>
  <si>
    <t>05705189914002</t>
  </si>
  <si>
    <t>05705192412</t>
  </si>
  <si>
    <t>05705192412002</t>
  </si>
  <si>
    <t>2.04</t>
  </si>
  <si>
    <t>P9103</t>
  </si>
  <si>
    <t>05705192412001</t>
  </si>
  <si>
    <t>05705196866</t>
  </si>
  <si>
    <t>05705196866002</t>
  </si>
  <si>
    <t>530.0</t>
  </si>
  <si>
    <t>05705196866001</t>
  </si>
  <si>
    <t>05705202746</t>
  </si>
  <si>
    <t>05705202746001</t>
  </si>
  <si>
    <t>28.1</t>
  </si>
  <si>
    <t>05705202746002</t>
  </si>
  <si>
    <t>112.2</t>
  </si>
  <si>
    <t>Q2101</t>
  </si>
  <si>
    <t>05705207296002</t>
  </si>
  <si>
    <t>302.0</t>
  </si>
  <si>
    <t>N7103</t>
  </si>
  <si>
    <t>05705209186</t>
  </si>
  <si>
    <t>05705209186001</t>
  </si>
  <si>
    <t>645.0</t>
  </si>
  <si>
    <t>4.03</t>
  </si>
  <si>
    <t>HFE00</t>
  </si>
  <si>
    <t>05705209665</t>
  </si>
  <si>
    <t>05705209665001</t>
  </si>
  <si>
    <t>58.0</t>
  </si>
  <si>
    <t>S9303</t>
  </si>
  <si>
    <t>05705212620</t>
  </si>
  <si>
    <t>05705212620001</t>
  </si>
  <si>
    <t>94.5</t>
  </si>
  <si>
    <t>05705212620002</t>
  </si>
  <si>
    <t>05705212620003</t>
  </si>
  <si>
    <t>05705212620004</t>
  </si>
  <si>
    <t>05705213014</t>
  </si>
  <si>
    <t>05705213014001</t>
  </si>
  <si>
    <t>280.0</t>
  </si>
  <si>
    <t>P6001</t>
  </si>
  <si>
    <t>05705213014002</t>
  </si>
  <si>
    <t>P8002</t>
  </si>
  <si>
    <t>05705219594</t>
  </si>
  <si>
    <t>05705219594001</t>
  </si>
  <si>
    <t>384.0</t>
  </si>
  <si>
    <t>2.32</t>
  </si>
  <si>
    <t>265</t>
  </si>
  <si>
    <t>148.0</t>
  </si>
  <si>
    <t>.94</t>
  </si>
  <si>
    <t>05705224461</t>
  </si>
  <si>
    <t>05705224461001</t>
  </si>
  <si>
    <t>PMC1282MP</t>
  </si>
  <si>
    <t>1042.0</t>
  </si>
  <si>
    <t>3.43</t>
  </si>
  <si>
    <t>B2A-4722</t>
  </si>
  <si>
    <t>Rate note for the OD pair</t>
  </si>
  <si>
    <t>Lynka Validation by As Is execute / No Change</t>
  </si>
  <si>
    <t>05705224461002</t>
  </si>
  <si>
    <t>05705224461003</t>
  </si>
  <si>
    <t>05705231741</t>
  </si>
  <si>
    <t>05705231741001</t>
  </si>
  <si>
    <t>.86</t>
  </si>
  <si>
    <t>N3303</t>
  </si>
  <si>
    <t>05705231741002</t>
  </si>
  <si>
    <t>.87</t>
  </si>
  <si>
    <t>N2103</t>
  </si>
  <si>
    <t>05705232371</t>
  </si>
  <si>
    <t>05705232371001</t>
  </si>
  <si>
    <t>05705239312</t>
  </si>
  <si>
    <t>05705239312001</t>
  </si>
  <si>
    <t>PMC65822AF</t>
  </si>
  <si>
    <t>544.0</t>
  </si>
  <si>
    <t>7.18</t>
  </si>
  <si>
    <t>B2C-6041</t>
  </si>
  <si>
    <t>05705239312002</t>
  </si>
  <si>
    <t>PMC72926AF</t>
  </si>
  <si>
    <t>B1B-2739</t>
  </si>
  <si>
    <t>Warehouse location not found</t>
  </si>
  <si>
    <t>05705239312003</t>
  </si>
  <si>
    <t>PMC76363AF</t>
  </si>
  <si>
    <t>B2C-5736</t>
  </si>
  <si>
    <t>05705239872</t>
  </si>
  <si>
    <t>05705239872001</t>
  </si>
  <si>
    <t>1.0</t>
  </si>
  <si>
    <t>XR000</t>
  </si>
  <si>
    <t>05705242823</t>
  </si>
  <si>
    <t>05705242823001</t>
  </si>
  <si>
    <t>1.68</t>
  </si>
  <si>
    <t>52105</t>
  </si>
  <si>
    <t>05705242823002</t>
  </si>
  <si>
    <t>N8104</t>
  </si>
  <si>
    <t>05705243980</t>
  </si>
  <si>
    <t>05705243980001</t>
  </si>
  <si>
    <t>AKE03637AF</t>
  </si>
  <si>
    <t>05705243980002</t>
  </si>
  <si>
    <t>AKE04200AF</t>
  </si>
  <si>
    <t>05705244061</t>
  </si>
  <si>
    <t>05705244061001</t>
  </si>
  <si>
    <t>119.7</t>
  </si>
  <si>
    <t>R6302</t>
  </si>
  <si>
    <t>05705244875</t>
  </si>
  <si>
    <t>05705244875001</t>
  </si>
  <si>
    <t>284.0</t>
  </si>
  <si>
    <t>53003</t>
  </si>
  <si>
    <t>05705245822</t>
  </si>
  <si>
    <t>05705245822001</t>
  </si>
  <si>
    <t>LLC54</t>
  </si>
  <si>
    <t>05705257630</t>
  </si>
  <si>
    <t>05705257630001</t>
  </si>
  <si>
    <t>.65</t>
  </si>
  <si>
    <t>P2102</t>
  </si>
  <si>
    <t>05705258691</t>
  </si>
  <si>
    <t>05705258691001</t>
  </si>
  <si>
    <t>PAG15646KL</t>
  </si>
  <si>
    <t>397.5</t>
  </si>
  <si>
    <t>B2A-5331</t>
  </si>
  <si>
    <t>05705258691002</t>
  </si>
  <si>
    <t>PMC63796AF</t>
  </si>
  <si>
    <t>B1C-2234</t>
  </si>
  <si>
    <t>05705258691003</t>
  </si>
  <si>
    <t>05705258691004</t>
  </si>
  <si>
    <t>05705263871</t>
  </si>
  <si>
    <t>05705263871001</t>
  </si>
  <si>
    <t>PAG12470AF</t>
  </si>
  <si>
    <t>513.7</t>
  </si>
  <si>
    <t>3.08</t>
  </si>
  <si>
    <t>B2A-5322</t>
  </si>
  <si>
    <t>05705263871002</t>
  </si>
  <si>
    <t>513.8</t>
  </si>
  <si>
    <t>05705263871003</t>
  </si>
  <si>
    <t>05705263871004</t>
  </si>
  <si>
    <t>05705266995</t>
  </si>
  <si>
    <t>05705266995001</t>
  </si>
  <si>
    <t>107.6</t>
  </si>
  <si>
    <t>R7403</t>
  </si>
  <si>
    <t>05705268093</t>
  </si>
  <si>
    <t>05705268093001</t>
  </si>
  <si>
    <t>217.0</t>
  </si>
  <si>
    <t>R8304</t>
  </si>
  <si>
    <t>05705268093002</t>
  </si>
  <si>
    <t>R9301</t>
  </si>
  <si>
    <t>05705268126</t>
  </si>
  <si>
    <t>05705268126001</t>
  </si>
  <si>
    <t>605.3</t>
  </si>
  <si>
    <t>S2003</t>
  </si>
  <si>
    <t>05705268126002</t>
  </si>
  <si>
    <t>T3003</t>
  </si>
  <si>
    <t>05705270226</t>
  </si>
  <si>
    <t>05705270226001</t>
  </si>
  <si>
    <t>142.0</t>
  </si>
  <si>
    <t>FR317</t>
  </si>
  <si>
    <t>05705274172</t>
  </si>
  <si>
    <t>05705274172001</t>
  </si>
  <si>
    <t>85.0</t>
  </si>
  <si>
    <t>Q3002</t>
  </si>
  <si>
    <t>05705279061</t>
  </si>
  <si>
    <t>05705279061001</t>
  </si>
  <si>
    <t>17305</t>
  </si>
  <si>
    <t>05705279503</t>
  </si>
  <si>
    <t>05705279503001</t>
  </si>
  <si>
    <t>05705285744</t>
  </si>
  <si>
    <t>05705285744001</t>
  </si>
  <si>
    <t>PAG15593KL</t>
  </si>
  <si>
    <t>300.0</t>
  </si>
  <si>
    <t>263</t>
  </si>
  <si>
    <t>NCX-4517</t>
  </si>
  <si>
    <t>05705290390</t>
  </si>
  <si>
    <t>05705290390001</t>
  </si>
  <si>
    <t>256.0</t>
  </si>
  <si>
    <t>P5301</t>
  </si>
  <si>
    <t>05705290445</t>
  </si>
  <si>
    <t>05705290445001</t>
  </si>
  <si>
    <t>N6003</t>
  </si>
  <si>
    <t>05705290526</t>
  </si>
  <si>
    <t>05705290526001</t>
  </si>
  <si>
    <t>05705290526002</t>
  </si>
  <si>
    <t>05705290526003</t>
  </si>
  <si>
    <t>HFI101</t>
  </si>
  <si>
    <t>05705292954</t>
  </si>
  <si>
    <t>05705292954001</t>
  </si>
  <si>
    <t>390.0</t>
  </si>
  <si>
    <t>M5303</t>
  </si>
  <si>
    <t>05705294026</t>
  </si>
  <si>
    <t>05705294026001</t>
  </si>
  <si>
    <t>202.7</t>
  </si>
  <si>
    <t>MLH</t>
  </si>
  <si>
    <t>No location</t>
  </si>
  <si>
    <t>05705294026002</t>
  </si>
  <si>
    <t>AXB00</t>
  </si>
  <si>
    <t>05705294026003</t>
  </si>
  <si>
    <t>05705294494</t>
  </si>
  <si>
    <t>05705294494001</t>
  </si>
  <si>
    <t>465.0</t>
  </si>
  <si>
    <t>1.28</t>
  </si>
  <si>
    <t>R2001</t>
  </si>
  <si>
    <t>05705301203</t>
  </si>
  <si>
    <t>05705301203001</t>
  </si>
  <si>
    <t>PMC21438MP</t>
  </si>
  <si>
    <t>1289.8</t>
  </si>
  <si>
    <t>5.16</t>
  </si>
  <si>
    <t>012</t>
  </si>
  <si>
    <t>NCX-4516</t>
  </si>
  <si>
    <t>05705301203003</t>
  </si>
  <si>
    <t>630.2</t>
  </si>
  <si>
    <t>05705301203002</t>
  </si>
  <si>
    <t>05705301203004</t>
  </si>
  <si>
    <t>PMC28642KL</t>
  </si>
  <si>
    <t>NCX-4520</t>
  </si>
  <si>
    <t>05705301203009</t>
  </si>
  <si>
    <t>05705301203010</t>
  </si>
  <si>
    <t>315.1</t>
  </si>
  <si>
    <t>05705301203005</t>
  </si>
  <si>
    <t>05705301203011</t>
  </si>
  <si>
    <t>05705303616</t>
  </si>
  <si>
    <t>05705303616001</t>
  </si>
  <si>
    <t>23.0</t>
  </si>
  <si>
    <t>400M</t>
  </si>
  <si>
    <t>16401</t>
  </si>
  <si>
    <t>05705309931</t>
  </si>
  <si>
    <t>05705309931001</t>
  </si>
  <si>
    <t>2.52</t>
  </si>
  <si>
    <t>05705310200</t>
  </si>
  <si>
    <t>05705310200001</t>
  </si>
  <si>
    <t>.56</t>
  </si>
  <si>
    <t>20001</t>
  </si>
  <si>
    <t>05705316415</t>
  </si>
  <si>
    <t>05705316415001</t>
  </si>
  <si>
    <t>109.9</t>
  </si>
  <si>
    <t>P4401</t>
  </si>
  <si>
    <t>05705325585</t>
  </si>
  <si>
    <t>05705325585001</t>
  </si>
  <si>
    <t>AKH00401AF</t>
  </si>
  <si>
    <t>.6</t>
  </si>
  <si>
    <t>1532</t>
  </si>
  <si>
    <t>ATH</t>
  </si>
  <si>
    <t>HUBEXPRESS</t>
  </si>
  <si>
    <t>05705329553</t>
  </si>
  <si>
    <t>05705329553001</t>
  </si>
  <si>
    <t>PMC64825AF</t>
  </si>
  <si>
    <t>450.0</t>
  </si>
  <si>
    <t>6.02</t>
  </si>
  <si>
    <t>062</t>
  </si>
  <si>
    <t>B2A-4942</t>
  </si>
  <si>
    <t>05705331933</t>
  </si>
  <si>
    <t>05705331933001</t>
  </si>
  <si>
    <t>192.0</t>
  </si>
  <si>
    <t>S1002</t>
  </si>
  <si>
    <t>05705334770</t>
  </si>
  <si>
    <t>05705334770001</t>
  </si>
  <si>
    <t>111.1</t>
  </si>
  <si>
    <t>05705351776</t>
  </si>
  <si>
    <t>05705351776001</t>
  </si>
  <si>
    <t>7.0</t>
  </si>
  <si>
    <t>UIO</t>
  </si>
  <si>
    <t>M7402</t>
  </si>
  <si>
    <t>05705434214</t>
  </si>
  <si>
    <t>05705434214001</t>
  </si>
  <si>
    <t>172.0</t>
  </si>
  <si>
    <t>CMN</t>
  </si>
  <si>
    <t>05705541362</t>
  </si>
  <si>
    <t>05705541362001</t>
  </si>
  <si>
    <t>308.0</t>
  </si>
  <si>
    <t>05705983143</t>
  </si>
  <si>
    <t>05705983143001</t>
  </si>
  <si>
    <t>574.0</t>
  </si>
  <si>
    <t>LGI00</t>
  </si>
  <si>
    <t>05708125880</t>
  </si>
  <si>
    <t>05708125880001</t>
  </si>
  <si>
    <t>183.5</t>
  </si>
  <si>
    <t>64311</t>
  </si>
  <si>
    <t>05708125880002</t>
  </si>
  <si>
    <t>T7201</t>
  </si>
  <si>
    <t>05708731365</t>
  </si>
  <si>
    <t>05708731365001</t>
  </si>
  <si>
    <t>163.8</t>
  </si>
  <si>
    <t>RFK44</t>
  </si>
  <si>
    <t>05708731365002</t>
  </si>
  <si>
    <t>05708731365003</t>
  </si>
  <si>
    <t>05708731365004</t>
  </si>
  <si>
    <t>05708731365005</t>
  </si>
  <si>
    <t>05709559605</t>
  </si>
  <si>
    <t>05709559605001</t>
  </si>
  <si>
    <t>283.0</t>
  </si>
  <si>
    <t>R5102</t>
  </si>
  <si>
    <t>05709646416</t>
  </si>
  <si>
    <t>453.0</t>
  </si>
  <si>
    <t>95103</t>
  </si>
  <si>
    <t>05709646416001</t>
  </si>
  <si>
    <t>94110</t>
  </si>
  <si>
    <t>05709646416002</t>
  </si>
  <si>
    <t>05709853200</t>
  </si>
  <si>
    <t>05709853200001</t>
  </si>
  <si>
    <t>PMC06271AF</t>
  </si>
  <si>
    <t>3146.9</t>
  </si>
  <si>
    <t>B1B-2711</t>
  </si>
  <si>
    <t>05710887192</t>
  </si>
  <si>
    <t>05710887192002</t>
  </si>
  <si>
    <t>32.4</t>
  </si>
  <si>
    <t>S7301</t>
  </si>
  <si>
    <t>05710887192001</t>
  </si>
  <si>
    <t>05710887192003</t>
  </si>
  <si>
    <t>T3102</t>
  </si>
  <si>
    <t>05710887192004</t>
  </si>
  <si>
    <t>64.9</t>
  </si>
  <si>
    <t>S7304</t>
  </si>
  <si>
    <t>05710887192005</t>
  </si>
  <si>
    <t>454.0</t>
  </si>
  <si>
    <t>S9101</t>
  </si>
  <si>
    <t>05710887192006</t>
  </si>
  <si>
    <t>T5101</t>
  </si>
  <si>
    <t>05710986286</t>
  </si>
  <si>
    <t>05710986286001</t>
  </si>
  <si>
    <t>1018.0</t>
  </si>
  <si>
    <t>51005</t>
  </si>
  <si>
    <t>05710986286002</t>
  </si>
  <si>
    <t>5.45</t>
  </si>
  <si>
    <t>58002</t>
  </si>
  <si>
    <t>05710986286003</t>
  </si>
  <si>
    <t>RFK11</t>
  </si>
  <si>
    <t>05710986286005</t>
  </si>
  <si>
    <t>58005</t>
  </si>
  <si>
    <t>Tolerance issue</t>
  </si>
  <si>
    <t>05710986286006</t>
  </si>
  <si>
    <t>05710986286007</t>
  </si>
  <si>
    <t>05710986286008</t>
  </si>
  <si>
    <t>49001</t>
  </si>
  <si>
    <t>05710986286009</t>
  </si>
  <si>
    <t>05710986286010</t>
  </si>
  <si>
    <t>05710986286011</t>
  </si>
  <si>
    <t>05710986286012</t>
  </si>
  <si>
    <t>05710986286013</t>
  </si>
  <si>
    <t>05710986286014</t>
  </si>
  <si>
    <t>05710986286015</t>
  </si>
  <si>
    <t>53009</t>
  </si>
  <si>
    <t>05711000743</t>
  </si>
  <si>
    <t>05711000743001</t>
  </si>
  <si>
    <t>Q6304</t>
  </si>
  <si>
    <t>05711030600</t>
  </si>
  <si>
    <t>05711030600001</t>
  </si>
  <si>
    <t>R9003</t>
  </si>
  <si>
    <t>05711184401</t>
  </si>
  <si>
    <t>05711184401001</t>
  </si>
  <si>
    <t>PAG14351KL</t>
  </si>
  <si>
    <t>485.0</t>
  </si>
  <si>
    <t>59</t>
  </si>
  <si>
    <t>4.61</t>
  </si>
  <si>
    <t>B1B-2734</t>
  </si>
  <si>
    <t>Lynka / 0 n° agent RCT+ PROD</t>
  </si>
  <si>
    <t>05711266080</t>
  </si>
  <si>
    <t>05711266080001</t>
  </si>
  <si>
    <t>900.0</t>
  </si>
  <si>
    <t>RFK06</t>
  </si>
  <si>
    <t>05711266080002</t>
  </si>
  <si>
    <t>05711266080003</t>
  </si>
  <si>
    <t>80.0</t>
  </si>
  <si>
    <t>N5401</t>
  </si>
  <si>
    <t>05711748741</t>
  </si>
  <si>
    <t>05711748741001</t>
  </si>
  <si>
    <t>86.0</t>
  </si>
  <si>
    <t>HLC024</t>
  </si>
  <si>
    <t>05711824142</t>
  </si>
  <si>
    <t>05711824142001</t>
  </si>
  <si>
    <t>259.0</t>
  </si>
  <si>
    <t>650</t>
  </si>
  <si>
    <t>CUN</t>
  </si>
  <si>
    <t>05711824142003</t>
  </si>
  <si>
    <t>05711824142002</t>
  </si>
  <si>
    <t>05711824142004</t>
  </si>
  <si>
    <t>05711824142005</t>
  </si>
  <si>
    <t>`</t>
  </si>
  <si>
    <t>05711824142006</t>
  </si>
  <si>
    <t>AKE13477AF</t>
  </si>
  <si>
    <t>599.0</t>
  </si>
  <si>
    <t>3.01</t>
  </si>
  <si>
    <t>SOR-0000</t>
  </si>
  <si>
    <t>05711899764</t>
  </si>
  <si>
    <t>05711899764001</t>
  </si>
  <si>
    <t>62302</t>
  </si>
  <si>
    <t>05711954180</t>
  </si>
  <si>
    <t>05711954180001</t>
  </si>
  <si>
    <t>293.0</t>
  </si>
  <si>
    <t>49306</t>
  </si>
  <si>
    <t>05711954180002</t>
  </si>
  <si>
    <t>51301</t>
  </si>
  <si>
    <t>05712040560</t>
  </si>
  <si>
    <t>05712040560001</t>
  </si>
  <si>
    <t>47.0</t>
  </si>
  <si>
    <t>P6104</t>
  </si>
  <si>
    <t>05712040560002</t>
  </si>
  <si>
    <t>47.1</t>
  </si>
  <si>
    <t>P4102</t>
  </si>
  <si>
    <t>05712224866</t>
  </si>
  <si>
    <t>05712224866001</t>
  </si>
  <si>
    <t>PMC03838DL</t>
  </si>
  <si>
    <t>2155.0</t>
  </si>
  <si>
    <t>B2B-4132</t>
  </si>
  <si>
    <t>05712401060</t>
  </si>
  <si>
    <t>05712401060001</t>
  </si>
  <si>
    <t>61.0</t>
  </si>
  <si>
    <t>M6103</t>
  </si>
  <si>
    <t>05712432696</t>
  </si>
  <si>
    <t>05712432696001</t>
  </si>
  <si>
    <t>21.0</t>
  </si>
  <si>
    <t>50009</t>
  </si>
  <si>
    <t>05712432696002</t>
  </si>
  <si>
    <t>05712560564</t>
  </si>
  <si>
    <t>05712560564001</t>
  </si>
  <si>
    <t>PMC22328MP</t>
  </si>
  <si>
    <t>927.7</t>
  </si>
  <si>
    <t>B1C-2541</t>
  </si>
  <si>
    <t>05712560564002</t>
  </si>
  <si>
    <t>PMC23163KL</t>
  </si>
  <si>
    <t>500.0</t>
  </si>
  <si>
    <t>B1C-2528</t>
  </si>
  <si>
    <t>05712560564003</t>
  </si>
  <si>
    <t>PMC63962AF</t>
  </si>
  <si>
    <t>B1B-2719</t>
  </si>
  <si>
    <t>05712637704</t>
  </si>
  <si>
    <t>05712637704001</t>
  </si>
  <si>
    <t>.50</t>
  </si>
  <si>
    <t>S3302</t>
  </si>
  <si>
    <t>05713124204</t>
  </si>
  <si>
    <t>05713124204002</t>
  </si>
  <si>
    <t>T3404</t>
  </si>
  <si>
    <t>05713124204001</t>
  </si>
  <si>
    <t>05713124204003</t>
  </si>
  <si>
    <t>T3403</t>
  </si>
  <si>
    <t>05719532855</t>
  </si>
  <si>
    <t>05719532855001</t>
  </si>
  <si>
    <t>N7000</t>
  </si>
  <si>
    <t>05719532925</t>
  </si>
  <si>
    <t>05719532925001</t>
  </si>
  <si>
    <t>258.0</t>
  </si>
  <si>
    <t>05741304885</t>
  </si>
  <si>
    <t>05741304885002</t>
  </si>
  <si>
    <t>262.0</t>
  </si>
  <si>
    <t>1.64</t>
  </si>
  <si>
    <t>R2002</t>
  </si>
  <si>
    <t>05741304885001</t>
  </si>
  <si>
    <t>05745061586</t>
  </si>
  <si>
    <t>05745061586001</t>
  </si>
  <si>
    <t>69.6</t>
  </si>
  <si>
    <t>M7101</t>
  </si>
  <si>
    <t>05745061586002</t>
  </si>
  <si>
    <t>278.4</t>
  </si>
  <si>
    <t>M2102</t>
  </si>
  <si>
    <t>05745061590</t>
  </si>
  <si>
    <t>05745061590001</t>
  </si>
  <si>
    <t>109.7</t>
  </si>
  <si>
    <t>M3402</t>
  </si>
  <si>
    <t>05745061590002</t>
  </si>
  <si>
    <t>219.3</t>
  </si>
  <si>
    <t>M5302</t>
  </si>
  <si>
    <t>05745193374</t>
  </si>
  <si>
    <t>05745193374001</t>
  </si>
  <si>
    <t>187.3</t>
  </si>
  <si>
    <t>218</t>
  </si>
  <si>
    <t>05745193374002</t>
  </si>
  <si>
    <t>N2102</t>
  </si>
  <si>
    <t>05745193374003</t>
  </si>
  <si>
    <t>05745270245</t>
  </si>
  <si>
    <t>05745270245001</t>
  </si>
  <si>
    <t>53.3</t>
  </si>
  <si>
    <t>N7404</t>
  </si>
  <si>
    <t>05745270245002</t>
  </si>
  <si>
    <t>P8302</t>
  </si>
  <si>
    <t>05745270245003</t>
  </si>
  <si>
    <t>Y7016</t>
  </si>
  <si>
    <t>05745447231</t>
  </si>
  <si>
    <t>05745447231001</t>
  </si>
  <si>
    <t>264.0</t>
  </si>
  <si>
    <t>P8103</t>
  </si>
  <si>
    <t>05745447231002</t>
  </si>
  <si>
    <t>M3103</t>
  </si>
  <si>
    <t>05745447231003</t>
  </si>
  <si>
    <t>69003</t>
  </si>
  <si>
    <t>05745545640</t>
  </si>
  <si>
    <t>05745545640002</t>
  </si>
  <si>
    <t>PMC65726AF</t>
  </si>
  <si>
    <t>204.7</t>
  </si>
  <si>
    <t>3.78</t>
  </si>
  <si>
    <t>B2C-6044</t>
  </si>
  <si>
    <t>05745545640001</t>
  </si>
  <si>
    <t>05745622054</t>
  </si>
  <si>
    <t>05745622054001</t>
  </si>
  <si>
    <t>102.2</t>
  </si>
  <si>
    <t>05745622054002</t>
  </si>
  <si>
    <t>05745622054003</t>
  </si>
  <si>
    <t>613.0</t>
  </si>
  <si>
    <t>71002</t>
  </si>
  <si>
    <t>05745666143</t>
  </si>
  <si>
    <t>05745666143001</t>
  </si>
  <si>
    <t>160.0</t>
  </si>
  <si>
    <t>HLC152</t>
  </si>
  <si>
    <t>05745731335</t>
  </si>
  <si>
    <t>05745731335001</t>
  </si>
  <si>
    <t>.49</t>
  </si>
  <si>
    <t>N6401</t>
  </si>
  <si>
    <t>05745972135</t>
  </si>
  <si>
    <t>05745972135001</t>
  </si>
  <si>
    <t>407.0</t>
  </si>
  <si>
    <t>2.29</t>
  </si>
  <si>
    <t>54104</t>
  </si>
  <si>
    <t>05746058176</t>
  </si>
  <si>
    <t>05746058176001</t>
  </si>
  <si>
    <t>Q2304</t>
  </si>
  <si>
    <t>05746058213</t>
  </si>
  <si>
    <t>05746058213001</t>
  </si>
  <si>
    <t>55006</t>
  </si>
  <si>
    <t>05746058331</t>
  </si>
  <si>
    <t>05746058331001</t>
  </si>
  <si>
    <t>05746058342</t>
  </si>
  <si>
    <t>05746058342001</t>
  </si>
  <si>
    <t>PMC65895AF</t>
  </si>
  <si>
    <t>69.4</t>
  </si>
  <si>
    <t>B1B-2929</t>
  </si>
  <si>
    <t>05746058342002</t>
  </si>
  <si>
    <t>416.2</t>
  </si>
  <si>
    <t>05746058342003</t>
  </si>
  <si>
    <t>138.7</t>
  </si>
  <si>
    <t>05746058342004</t>
  </si>
  <si>
    <t>05746058342005</t>
  </si>
  <si>
    <t>05746058353</t>
  </si>
  <si>
    <t>05746058353001</t>
  </si>
  <si>
    <t>HLC045</t>
  </si>
  <si>
    <t>05746058353002</t>
  </si>
  <si>
    <t>53.0</t>
  </si>
  <si>
    <t>Q8003</t>
  </si>
  <si>
    <t>05746058375</t>
  </si>
  <si>
    <t>05746058375001</t>
  </si>
  <si>
    <t>169.0</t>
  </si>
  <si>
    <t>1.25</t>
  </si>
  <si>
    <t>05746058375002</t>
  </si>
  <si>
    <t>05746058386</t>
  </si>
  <si>
    <t>05746058386001</t>
  </si>
  <si>
    <t>60.0</t>
  </si>
  <si>
    <t>Q6003</t>
  </si>
  <si>
    <t>05746058386002</t>
  </si>
  <si>
    <t>Q6303</t>
  </si>
  <si>
    <t>05746106406</t>
  </si>
  <si>
    <t>05746106406001</t>
  </si>
  <si>
    <t>54.5</t>
  </si>
  <si>
    <t>484</t>
  </si>
  <si>
    <t>GIG</t>
  </si>
  <si>
    <t>05746106406002</t>
  </si>
  <si>
    <t>05746106406003</t>
  </si>
  <si>
    <t>05746106406004</t>
  </si>
  <si>
    <t>P4003</t>
  </si>
  <si>
    <t>05746227311</t>
  </si>
  <si>
    <t>05746227311002</t>
  </si>
  <si>
    <t>125.2</t>
  </si>
  <si>
    <t>225</t>
  </si>
  <si>
    <t>T8204</t>
  </si>
  <si>
    <t>05746227311001</t>
  </si>
  <si>
    <t>05746227311004</t>
  </si>
  <si>
    <t>T8002</t>
  </si>
  <si>
    <t>05746375766</t>
  </si>
  <si>
    <t>05746375766001</t>
  </si>
  <si>
    <t>PMC97371DL</t>
  </si>
  <si>
    <t>56.7</t>
  </si>
  <si>
    <t>B1A-3241</t>
  </si>
  <si>
    <t>05746375766002</t>
  </si>
  <si>
    <t>56.8</t>
  </si>
  <si>
    <t>05746375766003</t>
  </si>
  <si>
    <t>05746375766004</t>
  </si>
  <si>
    <t>05746425094</t>
  </si>
  <si>
    <t>05746425094001</t>
  </si>
  <si>
    <t>330.0</t>
  </si>
  <si>
    <t>Q5101</t>
  </si>
  <si>
    <t>05746425094002</t>
  </si>
  <si>
    <t>.27</t>
  </si>
  <si>
    <t>Q7102</t>
  </si>
  <si>
    <t>05746524100</t>
  </si>
  <si>
    <t>05746524100001</t>
  </si>
  <si>
    <t>PMC69816AF</t>
  </si>
  <si>
    <t>2188.8</t>
  </si>
  <si>
    <t>6.81</t>
  </si>
  <si>
    <t>B1A-3428</t>
  </si>
  <si>
    <t>05746524100051</t>
  </si>
  <si>
    <t>PMC31793KL</t>
  </si>
  <si>
    <t>2736.1</t>
  </si>
  <si>
    <t>B2A-5337</t>
  </si>
  <si>
    <t>05746524100002</t>
  </si>
  <si>
    <t>05746524100052</t>
  </si>
  <si>
    <t>PMC31968KL</t>
  </si>
  <si>
    <t>B1B-2934</t>
  </si>
  <si>
    <t>Non secure cse no RA N°</t>
  </si>
  <si>
    <t>05746728312</t>
  </si>
  <si>
    <t>05746728312001</t>
  </si>
  <si>
    <t>XT000</t>
  </si>
  <si>
    <t>05746842504</t>
  </si>
  <si>
    <t>05746842504002</t>
  </si>
  <si>
    <t>PMC21945MP</t>
  </si>
  <si>
    <t>413.8</t>
  </si>
  <si>
    <t>7.41</t>
  </si>
  <si>
    <t>B1A-3442</t>
  </si>
  <si>
    <t>05746842504001</t>
  </si>
  <si>
    <t>05746842504003</t>
  </si>
  <si>
    <t>PMC24885KL</t>
  </si>
  <si>
    <t>331.1</t>
  </si>
  <si>
    <t>5.93</t>
  </si>
  <si>
    <t>B2C-5940</t>
  </si>
  <si>
    <t>05746849445</t>
  </si>
  <si>
    <t>05746849445001</t>
  </si>
  <si>
    <t>HLC073</t>
  </si>
  <si>
    <t>05746849445002</t>
  </si>
  <si>
    <t>05746926224</t>
  </si>
  <si>
    <t>05746926224001</t>
  </si>
  <si>
    <t>PMC32874KL</t>
  </si>
  <si>
    <t>415.0</t>
  </si>
  <si>
    <t>05746973743004</t>
  </si>
  <si>
    <t>PMC67708AF</t>
  </si>
  <si>
    <t>1131.0</t>
  </si>
  <si>
    <t>B2C-6042</t>
  </si>
  <si>
    <t>05746973743005</t>
  </si>
  <si>
    <t>PMC76300AF</t>
  </si>
  <si>
    <t>2067.0</t>
  </si>
  <si>
    <t>174D</t>
  </si>
  <si>
    <t>B1B-2911</t>
  </si>
  <si>
    <t>05747061453</t>
  </si>
  <si>
    <t>05747061453001</t>
  </si>
  <si>
    <t>950.0</t>
  </si>
  <si>
    <t>P4002</t>
  </si>
  <si>
    <t>05747065782</t>
  </si>
  <si>
    <t>05747065782002</t>
  </si>
  <si>
    <t>52402</t>
  </si>
  <si>
    <t>NE</t>
  </si>
  <si>
    <t>05747073246059</t>
  </si>
  <si>
    <t>PAG15020KL</t>
  </si>
  <si>
    <t>332.4</t>
  </si>
  <si>
    <t>3.61</t>
  </si>
  <si>
    <t>B2A-4719</t>
  </si>
  <si>
    <t>05747128550</t>
  </si>
  <si>
    <t>05747128550001</t>
  </si>
  <si>
    <t>92.0</t>
  </si>
  <si>
    <t>1.21</t>
  </si>
  <si>
    <t>Q6004</t>
  </si>
  <si>
    <t>05747136994</t>
  </si>
  <si>
    <t>05747136994002</t>
  </si>
  <si>
    <t>T3304</t>
  </si>
  <si>
    <t>05747136994001</t>
  </si>
  <si>
    <t>05747136994003</t>
  </si>
  <si>
    <t>93.0</t>
  </si>
  <si>
    <t>05747184513</t>
  </si>
  <si>
    <t>05747184513001</t>
  </si>
  <si>
    <t>HLC034</t>
  </si>
  <si>
    <t>05747187593</t>
  </si>
  <si>
    <t>05747187593001</t>
  </si>
  <si>
    <t>PMC28655KL</t>
  </si>
  <si>
    <t>610.0</t>
  </si>
  <si>
    <t>27</t>
  </si>
  <si>
    <t>8.18</t>
  </si>
  <si>
    <t>006</t>
  </si>
  <si>
    <t>B2A-5237</t>
  </si>
  <si>
    <t>05747191760</t>
  </si>
  <si>
    <t>05747191760001</t>
  </si>
  <si>
    <t>50307</t>
  </si>
  <si>
    <t>05747232721</t>
  </si>
  <si>
    <t>05747232721001</t>
  </si>
  <si>
    <t>NBO</t>
  </si>
  <si>
    <t>16103</t>
  </si>
  <si>
    <t>05747273995</t>
  </si>
  <si>
    <t>05747273995002</t>
  </si>
  <si>
    <t>206.5</t>
  </si>
  <si>
    <t>M7102</t>
  </si>
  <si>
    <t>05747273995001</t>
  </si>
  <si>
    <t>05747342621</t>
  </si>
  <si>
    <t>19.0</t>
  </si>
  <si>
    <t>91401</t>
  </si>
  <si>
    <t>No FWB -CAFEED DONE - DG captured manually in ICARGO</t>
  </si>
  <si>
    <t>05747342621001</t>
  </si>
  <si>
    <t>05747447525</t>
  </si>
  <si>
    <t>05747447525001</t>
  </si>
  <si>
    <t>98.5</t>
  </si>
  <si>
    <t>1.24</t>
  </si>
  <si>
    <t>55308</t>
  </si>
  <si>
    <t>05747447525002</t>
  </si>
  <si>
    <t>55307</t>
  </si>
  <si>
    <t>05747455321</t>
  </si>
  <si>
    <t>05747455321001</t>
  </si>
  <si>
    <t>PMC66557AF</t>
  </si>
  <si>
    <t>470.7</t>
  </si>
  <si>
    <t>B2A-4726</t>
  </si>
  <si>
    <t>05747455321002</t>
  </si>
  <si>
    <t>470.8</t>
  </si>
  <si>
    <t>05747455321003</t>
  </si>
  <si>
    <t>05747455321004</t>
  </si>
  <si>
    <t>05747455505</t>
  </si>
  <si>
    <t>05747455505001</t>
  </si>
  <si>
    <t>401.0</t>
  </si>
  <si>
    <t>N8102</t>
  </si>
  <si>
    <t>05747469306</t>
  </si>
  <si>
    <t>05747469306001</t>
  </si>
  <si>
    <t>8.8</t>
  </si>
  <si>
    <t>P2403</t>
  </si>
  <si>
    <t>05747469306002</t>
  </si>
  <si>
    <t>1.74</t>
  </si>
  <si>
    <t>P8003</t>
  </si>
  <si>
    <t>05747469306003</t>
  </si>
  <si>
    <t>61.8</t>
  </si>
  <si>
    <t>P2003</t>
  </si>
  <si>
    <t>05747469306004</t>
  </si>
  <si>
    <t>P2303</t>
  </si>
  <si>
    <t>05747546122</t>
  </si>
  <si>
    <t>05747546122001</t>
  </si>
  <si>
    <t>PAG11356AF</t>
  </si>
  <si>
    <t>621.0</t>
  </si>
  <si>
    <t>33</t>
  </si>
  <si>
    <t>6.63</t>
  </si>
  <si>
    <t>ICN</t>
  </si>
  <si>
    <t>B1A-3444</t>
  </si>
  <si>
    <t>05747555196</t>
  </si>
  <si>
    <t>05747555196001</t>
  </si>
  <si>
    <t>PMC28965KL</t>
  </si>
  <si>
    <t>433.7</t>
  </si>
  <si>
    <t>31</t>
  </si>
  <si>
    <t>340M</t>
  </si>
  <si>
    <t>B2C-5923</t>
  </si>
  <si>
    <t>Lynka / Rappel Agent 0 modif</t>
  </si>
  <si>
    <t>05747555196002</t>
  </si>
  <si>
    <t>1049.3</t>
  </si>
  <si>
    <t>75</t>
  </si>
  <si>
    <t>2.08</t>
  </si>
  <si>
    <t>05747555196003</t>
  </si>
  <si>
    <t>28.0</t>
  </si>
  <si>
    <t>05747555406</t>
  </si>
  <si>
    <t>05747555406001</t>
  </si>
  <si>
    <t>AKE04351AF</t>
  </si>
  <si>
    <t>05747599005</t>
  </si>
  <si>
    <t>05747599005001</t>
  </si>
  <si>
    <t>PMC72121AF</t>
  </si>
  <si>
    <t>1462.5</t>
  </si>
  <si>
    <t>B1A-3225</t>
  </si>
  <si>
    <t>05747599005002</t>
  </si>
  <si>
    <t>PMC71639AF</t>
  </si>
  <si>
    <t>B2C-5935</t>
  </si>
  <si>
    <t>05747637660</t>
  </si>
  <si>
    <t>05747637660001</t>
  </si>
  <si>
    <t>183.3</t>
  </si>
  <si>
    <t>328</t>
  </si>
  <si>
    <t>YOW</t>
  </si>
  <si>
    <t>52004</t>
  </si>
  <si>
    <t>05747637660002</t>
  </si>
  <si>
    <t>50012</t>
  </si>
  <si>
    <t>05747637660003</t>
  </si>
  <si>
    <t>P4001</t>
  </si>
  <si>
    <t>05747637660004</t>
  </si>
  <si>
    <t>52008</t>
  </si>
  <si>
    <t>05747639115</t>
  </si>
  <si>
    <t>05747639115001</t>
  </si>
  <si>
    <t>PMC31349KL</t>
  </si>
  <si>
    <t>CAP-0000</t>
  </si>
  <si>
    <t>05747650105</t>
  </si>
  <si>
    <t>05747650105001</t>
  </si>
  <si>
    <t>05747650105002</t>
  </si>
  <si>
    <t>54404</t>
  </si>
  <si>
    <t>05747661854</t>
  </si>
  <si>
    <t>05747661854001</t>
  </si>
  <si>
    <t>05747661865</t>
  </si>
  <si>
    <t>05747661865001</t>
  </si>
  <si>
    <t>606.0</t>
  </si>
  <si>
    <t>05747661876</t>
  </si>
  <si>
    <t>05747661876001</t>
  </si>
  <si>
    <t>402.0</t>
  </si>
  <si>
    <t>05747661891</t>
  </si>
  <si>
    <t>05747661891001</t>
  </si>
  <si>
    <t>818.0</t>
  </si>
  <si>
    <t>24</t>
  </si>
  <si>
    <t>3.32</t>
  </si>
  <si>
    <t>05747751874</t>
  </si>
  <si>
    <t>05747751874001</t>
  </si>
  <si>
    <t>.80</t>
  </si>
  <si>
    <t>BNA</t>
  </si>
  <si>
    <t>64110</t>
  </si>
  <si>
    <t xml:space="preserve">Lynka / 0 code agent </t>
  </si>
  <si>
    <t>05747755400</t>
  </si>
  <si>
    <t>05747755400001</t>
  </si>
  <si>
    <t>137.6</t>
  </si>
  <si>
    <t>20</t>
  </si>
  <si>
    <t>05747768055</t>
  </si>
  <si>
    <t>05747768055001</t>
  </si>
  <si>
    <t>1.45</t>
  </si>
  <si>
    <t>N1003</t>
  </si>
  <si>
    <t>05747768055002</t>
  </si>
  <si>
    <t>236.0</t>
  </si>
  <si>
    <t>HLC022</t>
  </si>
  <si>
    <t>05747768055003</t>
  </si>
  <si>
    <t>154.0</t>
  </si>
  <si>
    <t>05747768055004</t>
  </si>
  <si>
    <t>46.7</t>
  </si>
  <si>
    <t>HLC063</t>
  </si>
  <si>
    <t>05747768055005</t>
  </si>
  <si>
    <t>15.0</t>
  </si>
  <si>
    <t>HLC090</t>
  </si>
  <si>
    <t>05747768055007</t>
  </si>
  <si>
    <t>M3101</t>
  </si>
  <si>
    <t>05747768055006</t>
  </si>
  <si>
    <t>05747768055009</t>
  </si>
  <si>
    <t>472.0</t>
  </si>
  <si>
    <t>2.90</t>
  </si>
  <si>
    <t>58104</t>
  </si>
  <si>
    <t>05747768055010</t>
  </si>
  <si>
    <t>05747768055008</t>
  </si>
  <si>
    <t>05747772174</t>
  </si>
  <si>
    <t>05747772174001</t>
  </si>
  <si>
    <t>RBI</t>
  </si>
  <si>
    <t>59403</t>
  </si>
  <si>
    <t>No HAWB (XFZB issue) -CAFEED DONE -DG captured manually in ICARGO</t>
  </si>
  <si>
    <t>05747773246</t>
  </si>
  <si>
    <t>05747773246001</t>
  </si>
  <si>
    <t>PMC65939AF</t>
  </si>
  <si>
    <t>1500.0</t>
  </si>
  <si>
    <t>10.28</t>
  </si>
  <si>
    <t>6736</t>
  </si>
  <si>
    <t>B2A-5412</t>
  </si>
  <si>
    <t>05747773246002</t>
  </si>
  <si>
    <t>PMC20389MP</t>
  </si>
  <si>
    <t>668.0</t>
  </si>
  <si>
    <t>B1B-2712</t>
  </si>
  <si>
    <t>05747773246003</t>
  </si>
  <si>
    <t>PMC24699KL</t>
  </si>
  <si>
    <t>915.0</t>
  </si>
  <si>
    <t>6.27</t>
  </si>
  <si>
    <t>B2A-5212</t>
  </si>
  <si>
    <t>05747786034</t>
  </si>
  <si>
    <t>05747786034001</t>
  </si>
  <si>
    <t>67001</t>
  </si>
  <si>
    <t>05747847704</t>
  </si>
  <si>
    <t>05747847704002</t>
  </si>
  <si>
    <t>PMC28954KL</t>
  </si>
  <si>
    <t>1386.5</t>
  </si>
  <si>
    <t>14.67</t>
  </si>
  <si>
    <t>H20-2005</t>
  </si>
  <si>
    <t>05747847866</t>
  </si>
  <si>
    <t>05747847866001</t>
  </si>
  <si>
    <t>PMC97402DL</t>
  </si>
  <si>
    <t>867.0</t>
  </si>
  <si>
    <t>9.36</t>
  </si>
  <si>
    <t>B1A-3433</t>
  </si>
  <si>
    <t>05747847866002</t>
  </si>
  <si>
    <t>PMC00717DL</t>
  </si>
  <si>
    <t>B2C-5834</t>
  </si>
  <si>
    <t>05747869441</t>
  </si>
  <si>
    <t>05747869441001</t>
  </si>
  <si>
    <t>.35</t>
  </si>
  <si>
    <t>05747879016</t>
  </si>
  <si>
    <t>05747879016001</t>
  </si>
  <si>
    <t>825.0</t>
  </si>
  <si>
    <t>39</t>
  </si>
  <si>
    <t>RFK32</t>
  </si>
  <si>
    <t>05747888433</t>
  </si>
  <si>
    <t>05747888433001</t>
  </si>
  <si>
    <t>DWC</t>
  </si>
  <si>
    <t>NCE</t>
  </si>
  <si>
    <t>05747895934</t>
  </si>
  <si>
    <t>05747895934001</t>
  </si>
  <si>
    <t>290.0</t>
  </si>
  <si>
    <t>3.00</t>
  </si>
  <si>
    <t>R8003</t>
  </si>
  <si>
    <t>05747905675</t>
  </si>
  <si>
    <t>05747905675001</t>
  </si>
  <si>
    <t>BLL</t>
  </si>
  <si>
    <t>Y7010</t>
  </si>
  <si>
    <t>05747905675002</t>
  </si>
  <si>
    <t>56001</t>
  </si>
  <si>
    <t>05747905675003</t>
  </si>
  <si>
    <t>56003</t>
  </si>
  <si>
    <t>05747970403</t>
  </si>
  <si>
    <t>05747970403005</t>
  </si>
  <si>
    <t>961.2</t>
  </si>
  <si>
    <t>5.77</t>
  </si>
  <si>
    <t>146</t>
  </si>
  <si>
    <t>NOU</t>
  </si>
  <si>
    <t>RFK49</t>
  </si>
  <si>
    <t>05747970403001</t>
  </si>
  <si>
    <t>05747970403051</t>
  </si>
  <si>
    <t>40.1</t>
  </si>
  <si>
    <t>E9800</t>
  </si>
  <si>
    <t>05747970403002</t>
  </si>
  <si>
    <t>05747980531</t>
  </si>
  <si>
    <t>05747980531001</t>
  </si>
  <si>
    <t>61.3</t>
  </si>
  <si>
    <t>53106</t>
  </si>
  <si>
    <t>05747980531002</t>
  </si>
  <si>
    <t>15.3</t>
  </si>
  <si>
    <t>52301</t>
  </si>
  <si>
    <t>05747980531003</t>
  </si>
  <si>
    <t>52304</t>
  </si>
  <si>
    <t>05747982185</t>
  </si>
  <si>
    <t>05747982185001</t>
  </si>
  <si>
    <t>PMC90177AF</t>
  </si>
  <si>
    <t>1753.0</t>
  </si>
  <si>
    <t>89</t>
  </si>
  <si>
    <t>8.99</t>
  </si>
  <si>
    <t>B2A-5111</t>
  </si>
  <si>
    <t>05747982185002</t>
  </si>
  <si>
    <t>359.2</t>
  </si>
  <si>
    <t>56207</t>
  </si>
  <si>
    <t>05747982185003</t>
  </si>
  <si>
    <t>89.8</t>
  </si>
  <si>
    <t>N3102</t>
  </si>
  <si>
    <t>05747982303</t>
  </si>
  <si>
    <t>05747982303001</t>
  </si>
  <si>
    <t>226.0</t>
  </si>
  <si>
    <t>05747982314</t>
  </si>
  <si>
    <t>05747982314001</t>
  </si>
  <si>
    <t>05748028271</t>
  </si>
  <si>
    <t>05748028271001</t>
  </si>
  <si>
    <t>322.1</t>
  </si>
  <si>
    <t>RCM</t>
  </si>
  <si>
    <t>93101</t>
  </si>
  <si>
    <t>Dangerous goods details not captured for the SCC - CAFEED DONE</t>
  </si>
  <si>
    <t>05748051150</t>
  </si>
  <si>
    <t>05748051150001</t>
  </si>
  <si>
    <t>72.0</t>
  </si>
  <si>
    <t>05748057085</t>
  </si>
  <si>
    <t>05748057085001</t>
  </si>
  <si>
    <t>108.7</t>
  </si>
  <si>
    <t>ECV00</t>
  </si>
  <si>
    <t>05748057085002</t>
  </si>
  <si>
    <t>186.3</t>
  </si>
  <si>
    <t>05748065371</t>
  </si>
  <si>
    <t>05748065371001</t>
  </si>
  <si>
    <t>PMC63993AF</t>
  </si>
  <si>
    <t>1203.0</t>
  </si>
  <si>
    <t>B2A-5442</t>
  </si>
  <si>
    <t>05748095272</t>
  </si>
  <si>
    <t>05748095272001</t>
  </si>
  <si>
    <t>195.6</t>
  </si>
  <si>
    <t>N8303</t>
  </si>
  <si>
    <t>HAWB document finalized and executed</t>
  </si>
  <si>
    <t>05748095272002</t>
  </si>
  <si>
    <t>N8302</t>
  </si>
  <si>
    <t>05748115620</t>
  </si>
  <si>
    <t>05748115620001</t>
  </si>
  <si>
    <t>173.5</t>
  </si>
  <si>
    <t>49407</t>
  </si>
  <si>
    <t>05748115620002</t>
  </si>
  <si>
    <t>86.8</t>
  </si>
  <si>
    <t>P6102</t>
  </si>
  <si>
    <t>05748115620003</t>
  </si>
  <si>
    <t>63305</t>
  </si>
  <si>
    <t>05748136395</t>
  </si>
  <si>
    <t>05748136395001</t>
  </si>
  <si>
    <t>848.2</t>
  </si>
  <si>
    <t>1.50</t>
  </si>
  <si>
    <t>702M</t>
  </si>
  <si>
    <t>ORY00</t>
  </si>
  <si>
    <t>05748136395002</t>
  </si>
  <si>
    <t>848.3</t>
  </si>
  <si>
    <t>05748136395003</t>
  </si>
  <si>
    <t>05748149205</t>
  </si>
  <si>
    <t>05748149205001</t>
  </si>
  <si>
    <t>229.0</t>
  </si>
  <si>
    <t>LIL</t>
  </si>
  <si>
    <t>Q5304</t>
  </si>
  <si>
    <t>05748166101</t>
  </si>
  <si>
    <t>05748166101001</t>
  </si>
  <si>
    <t>PMC22075MP</t>
  </si>
  <si>
    <t>1474.6</t>
  </si>
  <si>
    <t>52</t>
  </si>
  <si>
    <t>5.37</t>
  </si>
  <si>
    <t>B2A-5128</t>
  </si>
  <si>
    <t>05748166101002</t>
  </si>
  <si>
    <t>05748178896</t>
  </si>
  <si>
    <t>05748178896001</t>
  </si>
  <si>
    <t>134.0</t>
  </si>
  <si>
    <t>55101</t>
  </si>
  <si>
    <t>05748200666</t>
  </si>
  <si>
    <t>05748200666001</t>
  </si>
  <si>
    <t>PMC20598MP</t>
  </si>
  <si>
    <t>1457.0</t>
  </si>
  <si>
    <t>135</t>
  </si>
  <si>
    <t>12.04</t>
  </si>
  <si>
    <t>B2A-5224</t>
  </si>
  <si>
    <t>05748200666004</t>
  </si>
  <si>
    <t>PMC73092AF</t>
  </si>
  <si>
    <t>926.0</t>
  </si>
  <si>
    <t>99</t>
  </si>
  <si>
    <t>8.83</t>
  </si>
  <si>
    <t>002</t>
  </si>
  <si>
    <t>B2B-4027</t>
  </si>
  <si>
    <t>05748200666002</t>
  </si>
  <si>
    <t>05748220712</t>
  </si>
  <si>
    <t>05748220712001</t>
  </si>
  <si>
    <t>PMC76321AF</t>
  </si>
  <si>
    <t>1024.3</t>
  </si>
  <si>
    <t>6.07</t>
  </si>
  <si>
    <t>B1C-2238</t>
  </si>
  <si>
    <t>05748224153</t>
  </si>
  <si>
    <t>05748224153001</t>
  </si>
  <si>
    <t>398.4</t>
  </si>
  <si>
    <t>25</t>
  </si>
  <si>
    <t>Y7007</t>
  </si>
  <si>
    <t>05748224153003</t>
  </si>
  <si>
    <t>366.6</t>
  </si>
  <si>
    <t>1.59</t>
  </si>
  <si>
    <t>HFE12</t>
  </si>
  <si>
    <t>05748224153002</t>
  </si>
  <si>
    <t>05748226371</t>
  </si>
  <si>
    <t>05748226371001</t>
  </si>
  <si>
    <t>1.51</t>
  </si>
  <si>
    <t>422</t>
  </si>
  <si>
    <t>BOG</t>
  </si>
  <si>
    <t>05748230490</t>
  </si>
  <si>
    <t>05748230490001</t>
  </si>
  <si>
    <t>54309</t>
  </si>
  <si>
    <t>05748230490002</t>
  </si>
  <si>
    <t>M4102</t>
  </si>
  <si>
    <t>05748230490003</t>
  </si>
  <si>
    <t>M6304</t>
  </si>
  <si>
    <t>05748246236</t>
  </si>
  <si>
    <t>05748246236001</t>
  </si>
  <si>
    <t>05748258221</t>
  </si>
  <si>
    <t>05748258221001</t>
  </si>
  <si>
    <t>P2301</t>
  </si>
  <si>
    <t>05748258232</t>
  </si>
  <si>
    <t>05748258232001</t>
  </si>
  <si>
    <t>64.8</t>
  </si>
  <si>
    <t>S4302</t>
  </si>
  <si>
    <t>05748258232002</t>
  </si>
  <si>
    <t>S2303</t>
  </si>
  <si>
    <t>05748275356</t>
  </si>
  <si>
    <t>05748275356001</t>
  </si>
  <si>
    <t>93404</t>
  </si>
  <si>
    <t>CAFEED DONE - DG not captured in ICARGO</t>
  </si>
  <si>
    <t>05748275356002</t>
  </si>
  <si>
    <t>RNG</t>
  </si>
  <si>
    <t>59401</t>
  </si>
  <si>
    <t>Dangerous goods details not captured for the SCC</t>
  </si>
  <si>
    <t>05748275356003</t>
  </si>
  <si>
    <t>162.0</t>
  </si>
  <si>
    <t>R6401</t>
  </si>
  <si>
    <t>05748285370</t>
  </si>
  <si>
    <t>05748285370001</t>
  </si>
  <si>
    <t>.08</t>
  </si>
  <si>
    <t>VN000</t>
  </si>
  <si>
    <t>05748291972</t>
  </si>
  <si>
    <t>05748291972001</t>
  </si>
  <si>
    <t>485.5</t>
  </si>
  <si>
    <t>S5003</t>
  </si>
  <si>
    <t>Lynka / Wrong iata code format</t>
  </si>
  <si>
    <t>05748291972002</t>
  </si>
  <si>
    <t>566.5</t>
  </si>
  <si>
    <t>R7003</t>
  </si>
  <si>
    <t>05748293906</t>
  </si>
  <si>
    <t>05748293906001</t>
  </si>
  <si>
    <t>276.0</t>
  </si>
  <si>
    <t>61107</t>
  </si>
  <si>
    <t>05748321755</t>
  </si>
  <si>
    <t>05748321755001</t>
  </si>
  <si>
    <t>PMC31422KL</t>
  </si>
  <si>
    <t>816.1</t>
  </si>
  <si>
    <t>9.07</t>
  </si>
  <si>
    <t>BRT-2318</t>
  </si>
  <si>
    <t>05748321755002</t>
  </si>
  <si>
    <t>163.2</t>
  </si>
  <si>
    <t>C1002</t>
  </si>
  <si>
    <t>05748321755003</t>
  </si>
  <si>
    <t>C1004</t>
  </si>
  <si>
    <t>05748321755004</t>
  </si>
  <si>
    <t>C1003</t>
  </si>
  <si>
    <t>05748323855</t>
  </si>
  <si>
    <t>05748323855001</t>
  </si>
  <si>
    <t>353.0</t>
  </si>
  <si>
    <t>58007</t>
  </si>
  <si>
    <t>05748323855002</t>
  </si>
  <si>
    <t>Q8001</t>
  </si>
  <si>
    <t>05748323855003</t>
  </si>
  <si>
    <t>M6104</t>
  </si>
  <si>
    <t>05748365892</t>
  </si>
  <si>
    <t>05748365892001</t>
  </si>
  <si>
    <t>626.3</t>
  </si>
  <si>
    <t>2.37</t>
  </si>
  <si>
    <t>05748365892002</t>
  </si>
  <si>
    <t>56.9</t>
  </si>
  <si>
    <t>05748365892003</t>
  </si>
  <si>
    <t>05748365892004</t>
  </si>
  <si>
    <t>113.9</t>
  </si>
  <si>
    <t>05748365892005</t>
  </si>
  <si>
    <t>05748402970</t>
  </si>
  <si>
    <t>05748402970001</t>
  </si>
  <si>
    <t>P2104</t>
  </si>
  <si>
    <t>passed</t>
  </si>
  <si>
    <t>After execution spx changed to NSC</t>
  </si>
  <si>
    <t>05748402970002</t>
  </si>
  <si>
    <t>P4104</t>
  </si>
  <si>
    <t>05748420794</t>
  </si>
  <si>
    <t>05748420794001</t>
  </si>
  <si>
    <t>05748448761</t>
  </si>
  <si>
    <t>05748448761001</t>
  </si>
  <si>
    <t>05748463870</t>
  </si>
  <si>
    <t>05748463870001</t>
  </si>
  <si>
    <t>344.0</t>
  </si>
  <si>
    <t>Q4302</t>
  </si>
  <si>
    <t>05748467790</t>
  </si>
  <si>
    <t>05748467790001</t>
  </si>
  <si>
    <t>63.2</t>
  </si>
  <si>
    <t>256</t>
  </si>
  <si>
    <t>RFG</t>
  </si>
  <si>
    <t>94000</t>
  </si>
  <si>
    <t>05748467790002</t>
  </si>
  <si>
    <t>S5001</t>
  </si>
  <si>
    <t>05748467790003</t>
  </si>
  <si>
    <t>S5103</t>
  </si>
  <si>
    <t>05748467812</t>
  </si>
  <si>
    <t>05748467812001</t>
  </si>
  <si>
    <t>418.0</t>
  </si>
  <si>
    <t>R3103</t>
  </si>
  <si>
    <t>05748467812002</t>
  </si>
  <si>
    <t>PMC76239AF</t>
  </si>
  <si>
    <t>2508.0</t>
  </si>
  <si>
    <t>B1B-2740</t>
  </si>
  <si>
    <t>05748467812003</t>
  </si>
  <si>
    <t>PMC68611AF</t>
  </si>
  <si>
    <t>B2C-5942</t>
  </si>
  <si>
    <t>05748467812004</t>
  </si>
  <si>
    <t>PMC65594AF</t>
  </si>
  <si>
    <t>B1C-2144</t>
  </si>
  <si>
    <t>05748467882</t>
  </si>
  <si>
    <t>05748467882001</t>
  </si>
  <si>
    <t>PMC22705MP</t>
  </si>
  <si>
    <t>2704.0</t>
  </si>
  <si>
    <t>8.46</t>
  </si>
  <si>
    <t>B2C-6039</t>
  </si>
  <si>
    <t>05748467882002</t>
  </si>
  <si>
    <t>PMC68777AF</t>
  </si>
  <si>
    <t>B2C-5837</t>
  </si>
  <si>
    <t>05748467882003</t>
  </si>
  <si>
    <t>PMC32706KL</t>
  </si>
  <si>
    <t>B1B-2736</t>
  </si>
  <si>
    <t>05748467882004</t>
  </si>
  <si>
    <t>PMC68209AF</t>
  </si>
  <si>
    <t>B2A-4733</t>
  </si>
  <si>
    <t>05748469304</t>
  </si>
  <si>
    <t>05748469304002</t>
  </si>
  <si>
    <t>PMC20501MP</t>
  </si>
  <si>
    <t>655.0</t>
  </si>
  <si>
    <t>B2C-5842</t>
  </si>
  <si>
    <t>05748469304001</t>
  </si>
  <si>
    <t>05748482442</t>
  </si>
  <si>
    <t>05748482442001</t>
  </si>
  <si>
    <t>HLC025</t>
  </si>
  <si>
    <t>05748482674</t>
  </si>
  <si>
    <t>05748482674001</t>
  </si>
  <si>
    <t>05748492474</t>
  </si>
  <si>
    <t>05748492474001</t>
  </si>
  <si>
    <t>GOT</t>
  </si>
  <si>
    <t>58313</t>
  </si>
  <si>
    <t>failed</t>
  </si>
  <si>
    <t>05748492474002</t>
  </si>
  <si>
    <t>54005</t>
  </si>
  <si>
    <t>05748535616</t>
  </si>
  <si>
    <t>05748535616001</t>
  </si>
  <si>
    <t>69.0</t>
  </si>
  <si>
    <t>LLC20</t>
  </si>
  <si>
    <t>05748551425</t>
  </si>
  <si>
    <t>05748551425001</t>
  </si>
  <si>
    <t>PMC21682KL</t>
  </si>
  <si>
    <t>611.7</t>
  </si>
  <si>
    <t>7.48</t>
  </si>
  <si>
    <t>NCX-4525</t>
  </si>
  <si>
    <t>05748551425002</t>
  </si>
  <si>
    <t>PMC63587AF</t>
  </si>
  <si>
    <t>524.3</t>
  </si>
  <si>
    <t>6.41</t>
  </si>
  <si>
    <t>B2C-5841</t>
  </si>
  <si>
    <t>05748559103</t>
  </si>
  <si>
    <t>05748559103001</t>
  </si>
  <si>
    <t>105.3</t>
  </si>
  <si>
    <t>05748559103002</t>
  </si>
  <si>
    <t>56204</t>
  </si>
  <si>
    <t>05748559103003</t>
  </si>
  <si>
    <t>N4304</t>
  </si>
  <si>
    <t>05748564541</t>
  </si>
  <si>
    <t>05748564541001</t>
  </si>
  <si>
    <t>91.2</t>
  </si>
  <si>
    <t>52003</t>
  </si>
  <si>
    <t>05748564541002</t>
  </si>
  <si>
    <t>N2002</t>
  </si>
  <si>
    <t>05748564541003</t>
  </si>
  <si>
    <t>N2301</t>
  </si>
  <si>
    <t>05748565075</t>
  </si>
  <si>
    <t>05748565075001</t>
  </si>
  <si>
    <t>PMC68031AF</t>
  </si>
  <si>
    <t>1252.1</t>
  </si>
  <si>
    <t>11.07</t>
  </si>
  <si>
    <t>KNG</t>
  </si>
  <si>
    <t>B1A-3417</t>
  </si>
  <si>
    <t>Got error like 'There is an internal server error. Please contact system administrator.'</t>
  </si>
  <si>
    <t>05748565075002</t>
  </si>
  <si>
    <t>40.4</t>
  </si>
  <si>
    <t>05748565075003</t>
  </si>
  <si>
    <t>PMC71991AF</t>
  </si>
  <si>
    <t>969.4</t>
  </si>
  <si>
    <t>8.57</t>
  </si>
  <si>
    <t>B1B-2940</t>
  </si>
  <si>
    <t>05748565226</t>
  </si>
  <si>
    <t>05748565226001</t>
  </si>
  <si>
    <t>PMC31729KL</t>
  </si>
  <si>
    <t>820.8</t>
  </si>
  <si>
    <t>20.00</t>
  </si>
  <si>
    <t>B2A-5241</t>
  </si>
  <si>
    <t>05748570233</t>
  </si>
  <si>
    <t>05748570233001</t>
  </si>
  <si>
    <t>PMC63943AF</t>
  </si>
  <si>
    <t>3119.0</t>
  </si>
  <si>
    <t>B1C-2516</t>
  </si>
  <si>
    <t>05748592806</t>
  </si>
  <si>
    <t>05748592806001</t>
  </si>
  <si>
    <t>611.3</t>
  </si>
  <si>
    <t>C1007</t>
  </si>
  <si>
    <t>05748592806002</t>
  </si>
  <si>
    <t>C1006</t>
  </si>
  <si>
    <t>05748592806003</t>
  </si>
  <si>
    <t>C1010</t>
  </si>
  <si>
    <t>05748618835</t>
  </si>
  <si>
    <t>05748618835001</t>
  </si>
  <si>
    <t>17.1</t>
  </si>
  <si>
    <t>FR409</t>
  </si>
  <si>
    <t>05748621812</t>
  </si>
  <si>
    <t>05748621812001</t>
  </si>
  <si>
    <t>401.6</t>
  </si>
  <si>
    <t>M7104</t>
  </si>
  <si>
    <t>05748621812002</t>
  </si>
  <si>
    <t>M7001</t>
  </si>
  <si>
    <t>05748625415</t>
  </si>
  <si>
    <t>05748625415002</t>
  </si>
  <si>
    <t>73.1</t>
  </si>
  <si>
    <t>50107</t>
  </si>
  <si>
    <t>05748625415001</t>
  </si>
  <si>
    <t>05748625415003</t>
  </si>
  <si>
    <t>234.0</t>
  </si>
  <si>
    <t>05748625415004</t>
  </si>
  <si>
    <t>219.4</t>
  </si>
  <si>
    <t>05748625415005</t>
  </si>
  <si>
    <t>05748625415006</t>
  </si>
  <si>
    <t>05748659015</t>
  </si>
  <si>
    <t>05748659015003</t>
  </si>
  <si>
    <t>250.7</t>
  </si>
  <si>
    <t>Y5312</t>
  </si>
  <si>
    <t>05748659015001</t>
  </si>
  <si>
    <t>05748659225</t>
  </si>
  <si>
    <t>05748659225004</t>
  </si>
  <si>
    <t>PAG0244AF</t>
  </si>
  <si>
    <t>714.0</t>
  </si>
  <si>
    <t>4.20</t>
  </si>
  <si>
    <t>B1B-2931</t>
  </si>
  <si>
    <t>05748659225001</t>
  </si>
  <si>
    <t>05748659833</t>
  </si>
  <si>
    <t>05748659833001</t>
  </si>
  <si>
    <t>N5003</t>
  </si>
  <si>
    <t>Got error like Shipper Zip/Postal code is not specified for 057-48659833</t>
  </si>
  <si>
    <t>05748659833002</t>
  </si>
  <si>
    <t>142.2</t>
  </si>
  <si>
    <t>05748659833003</t>
  </si>
  <si>
    <t>05748659833004</t>
  </si>
  <si>
    <t>05748659833005</t>
  </si>
  <si>
    <t>05748659833006</t>
  </si>
  <si>
    <t>05748659833007</t>
  </si>
  <si>
    <t>05748679072</t>
  </si>
  <si>
    <t>05748679072001</t>
  </si>
  <si>
    <t>648.0</t>
  </si>
  <si>
    <t>R4003</t>
  </si>
  <si>
    <t>After execution SPX changed to NSC</t>
  </si>
  <si>
    <t>05748684495</t>
  </si>
  <si>
    <t>05748684495001</t>
  </si>
  <si>
    <t>PMC22290KL</t>
  </si>
  <si>
    <t>1699.0</t>
  </si>
  <si>
    <t>50</t>
  </si>
  <si>
    <t>UCB</t>
  </si>
  <si>
    <t>B2C-6040</t>
  </si>
  <si>
    <t>05748684543</t>
  </si>
  <si>
    <t>05748684543001</t>
  </si>
  <si>
    <t>PMC28390KL</t>
  </si>
  <si>
    <t>1738.0</t>
  </si>
  <si>
    <t>58</t>
  </si>
  <si>
    <t>B2A-4936</t>
  </si>
  <si>
    <t>05748716533</t>
  </si>
  <si>
    <t>05748716533001</t>
  </si>
  <si>
    <t>72.7</t>
  </si>
  <si>
    <t>FR401</t>
  </si>
  <si>
    <t>05748752104</t>
  </si>
  <si>
    <t>05748752104001</t>
  </si>
  <si>
    <t>265.2</t>
  </si>
  <si>
    <t>1.53</t>
  </si>
  <si>
    <t>RFK41</t>
  </si>
  <si>
    <t>Not secured</t>
  </si>
  <si>
    <t>05748752104002</t>
  </si>
  <si>
    <t>265.3</t>
  </si>
  <si>
    <t>05748752104003</t>
  </si>
  <si>
    <t>05748752104004</t>
  </si>
  <si>
    <t>05748753106</t>
  </si>
  <si>
    <t>05748753106001</t>
  </si>
  <si>
    <t>05748756584</t>
  </si>
  <si>
    <t>05748756584001</t>
  </si>
  <si>
    <t>16.0</t>
  </si>
  <si>
    <t>116</t>
  </si>
  <si>
    <t>05748756584002</t>
  </si>
  <si>
    <t>05748763046</t>
  </si>
  <si>
    <t>05748763046002</t>
  </si>
  <si>
    <t>.11</t>
  </si>
  <si>
    <t>50104</t>
  </si>
  <si>
    <t>05748763046001</t>
  </si>
  <si>
    <t>05748763046006</t>
  </si>
  <si>
    <t>55</t>
  </si>
  <si>
    <t>71204</t>
  </si>
  <si>
    <t>05748763046007</t>
  </si>
  <si>
    <t>272.0</t>
  </si>
  <si>
    <t>44</t>
  </si>
  <si>
    <t>52006</t>
  </si>
  <si>
    <t>05748763046003</t>
  </si>
  <si>
    <t>05748763046008</t>
  </si>
  <si>
    <t>53409</t>
  </si>
  <si>
    <t>05748763046004</t>
  </si>
  <si>
    <t>05748763142</t>
  </si>
  <si>
    <t>05748763142001</t>
  </si>
  <si>
    <t>P3001</t>
  </si>
  <si>
    <t>05748765990</t>
  </si>
  <si>
    <t>05748765990001</t>
  </si>
  <si>
    <t>20.6</t>
  </si>
  <si>
    <t>05748765990002</t>
  </si>
  <si>
    <t>123.4</t>
  </si>
  <si>
    <t>Q2104</t>
  </si>
  <si>
    <t>05748770632</t>
  </si>
  <si>
    <t>05748770632001</t>
  </si>
  <si>
    <t>PMC28707KL</t>
  </si>
  <si>
    <t>653.0</t>
  </si>
  <si>
    <t>5.85</t>
  </si>
  <si>
    <t>B2C-5931</t>
  </si>
  <si>
    <t>05748776151</t>
  </si>
  <si>
    <t>05748776151001</t>
  </si>
  <si>
    <t>R8101</t>
  </si>
  <si>
    <t>05748778726</t>
  </si>
  <si>
    <t>05748778726001</t>
  </si>
  <si>
    <t>245.0</t>
  </si>
  <si>
    <t>YHZ</t>
  </si>
  <si>
    <t>49008</t>
  </si>
  <si>
    <t>05748780701</t>
  </si>
  <si>
    <t>05748780701001</t>
  </si>
  <si>
    <t>343.7</t>
  </si>
  <si>
    <t>.52</t>
  </si>
  <si>
    <t>N8003</t>
  </si>
  <si>
    <t>05748780701002</t>
  </si>
  <si>
    <t>171.8</t>
  </si>
  <si>
    <t>05748780701003</t>
  </si>
  <si>
    <t>515.5</t>
  </si>
  <si>
    <t>63012</t>
  </si>
  <si>
    <t>05748785936</t>
  </si>
  <si>
    <t>05748785936001</t>
  </si>
  <si>
    <t>05748794896</t>
  </si>
  <si>
    <t>05748794896001</t>
  </si>
  <si>
    <t>3.04</t>
  </si>
  <si>
    <t>271.8</t>
  </si>
  <si>
    <t>26</t>
  </si>
  <si>
    <t>1.52</t>
  </si>
  <si>
    <t>RFK69</t>
  </si>
  <si>
    <t>05748795596003</t>
  </si>
  <si>
    <t>209.1</t>
  </si>
  <si>
    <t>05748795596004</t>
  </si>
  <si>
    <t>05748795596005</t>
  </si>
  <si>
    <t>05748795596006</t>
  </si>
  <si>
    <t>05748803602</t>
  </si>
  <si>
    <t>05748803602001</t>
  </si>
  <si>
    <t>143.0</t>
  </si>
  <si>
    <t>P9102</t>
  </si>
  <si>
    <t>05748803786</t>
  </si>
  <si>
    <t>05748803786001</t>
  </si>
  <si>
    <t>N6002</t>
  </si>
  <si>
    <t>05748806936</t>
  </si>
  <si>
    <t>05748806936001</t>
  </si>
  <si>
    <t>70.5</t>
  </si>
  <si>
    <t>59014</t>
  </si>
  <si>
    <t>05748806936002</t>
  </si>
  <si>
    <t>140.9</t>
  </si>
  <si>
    <t>LLC40</t>
  </si>
  <si>
    <t>05748806936003</t>
  </si>
  <si>
    <t>70.4</t>
  </si>
  <si>
    <t>61307</t>
  </si>
  <si>
    <t>05748806936004</t>
  </si>
  <si>
    <t>HLC106</t>
  </si>
  <si>
    <t>05748806936005</t>
  </si>
  <si>
    <t>54108</t>
  </si>
  <si>
    <t>05748806936006</t>
  </si>
  <si>
    <t>05748866425</t>
  </si>
  <si>
    <t>05748866425001</t>
  </si>
  <si>
    <t>426.7</t>
  </si>
  <si>
    <t>2.56</t>
  </si>
  <si>
    <t>55111</t>
  </si>
  <si>
    <t>05748866425002</t>
  </si>
  <si>
    <t>05748866425003</t>
  </si>
  <si>
    <t>05748871163</t>
  </si>
  <si>
    <t>05748871163001</t>
  </si>
  <si>
    <t>61411</t>
  </si>
  <si>
    <t>05748879655</t>
  </si>
  <si>
    <t>05748879655001</t>
  </si>
  <si>
    <t>335.0</t>
  </si>
  <si>
    <t>N2101</t>
  </si>
  <si>
    <t>05748879666</t>
  </si>
  <si>
    <t>05748879666001</t>
  </si>
  <si>
    <t>38.0</t>
  </si>
  <si>
    <t>226</t>
  </si>
  <si>
    <t>R7401</t>
  </si>
  <si>
    <t>05748885815</t>
  </si>
  <si>
    <t>05748885815001</t>
  </si>
  <si>
    <t>P3402</t>
  </si>
  <si>
    <t>05748892981</t>
  </si>
  <si>
    <t>05748892981001</t>
  </si>
  <si>
    <t>108</t>
  </si>
  <si>
    <t xml:space="preserve">No FWB  </t>
  </si>
  <si>
    <t>05748895184</t>
  </si>
  <si>
    <t>05748895184001</t>
  </si>
  <si>
    <t>362.0</t>
  </si>
  <si>
    <t>Q5004</t>
  </si>
  <si>
    <t>No MRN</t>
  </si>
  <si>
    <t>05748895184002</t>
  </si>
  <si>
    <t>Q6104</t>
  </si>
  <si>
    <t>05748929565</t>
  </si>
  <si>
    <t>05748929565001</t>
  </si>
  <si>
    <t>87.0</t>
  </si>
  <si>
    <t>05748929565002</t>
  </si>
  <si>
    <t>05748929580</t>
  </si>
  <si>
    <t>05748929580001</t>
  </si>
  <si>
    <t>05748929580002</t>
  </si>
  <si>
    <t>Q2002</t>
  </si>
  <si>
    <t>05748929646</t>
  </si>
  <si>
    <t>05748929646001</t>
  </si>
  <si>
    <t>14.0</t>
  </si>
  <si>
    <t>49107</t>
  </si>
  <si>
    <t>05748940964</t>
  </si>
  <si>
    <t>05748940964001</t>
  </si>
  <si>
    <t>623.5</t>
  </si>
  <si>
    <t>05748940964002</t>
  </si>
  <si>
    <t>54007</t>
  </si>
  <si>
    <t>05748941012</t>
  </si>
  <si>
    <t>05748941012001</t>
  </si>
  <si>
    <t>54101</t>
  </si>
  <si>
    <t>05748945083</t>
  </si>
  <si>
    <t>05748945083001</t>
  </si>
  <si>
    <t>MAE</t>
  </si>
  <si>
    <t>63104</t>
  </si>
  <si>
    <t>05748945131</t>
  </si>
  <si>
    <t>05748945131001</t>
  </si>
  <si>
    <t>63409</t>
  </si>
  <si>
    <t>05748958372</t>
  </si>
  <si>
    <t>05748958372001</t>
  </si>
  <si>
    <t>05748967030</t>
  </si>
  <si>
    <t>05748967030001</t>
  </si>
  <si>
    <t>125.3</t>
  </si>
  <si>
    <t>M6401</t>
  </si>
  <si>
    <t>05748967030007</t>
  </si>
  <si>
    <t>13.6</t>
  </si>
  <si>
    <t>N6404</t>
  </si>
  <si>
    <t>05748967030002</t>
  </si>
  <si>
    <t>05748967052</t>
  </si>
  <si>
    <t>05748967052001</t>
  </si>
  <si>
    <t>PMC21670KL</t>
  </si>
  <si>
    <t>1019.0</t>
  </si>
  <si>
    <t>79</t>
  </si>
  <si>
    <t>10.15</t>
  </si>
  <si>
    <t>B2B-4144</t>
  </si>
  <si>
    <t>05748967052002</t>
  </si>
  <si>
    <t>PMC22606MP</t>
  </si>
  <si>
    <t>926.1</t>
  </si>
  <si>
    <t>76</t>
  </si>
  <si>
    <t>9.76</t>
  </si>
  <si>
    <t>B2A-5416</t>
  </si>
  <si>
    <t>05748967052003</t>
  </si>
  <si>
    <t>PMC24328KL</t>
  </si>
  <si>
    <t>993.2</t>
  </si>
  <si>
    <t>77</t>
  </si>
  <si>
    <t>9.89</t>
  </si>
  <si>
    <t>B2B-4318</t>
  </si>
  <si>
    <t>05748967052004</t>
  </si>
  <si>
    <t>PMC67626AF</t>
  </si>
  <si>
    <t>580.0</t>
  </si>
  <si>
    <t>5.91</t>
  </si>
  <si>
    <t>B2B-4336</t>
  </si>
  <si>
    <t>05748967052005</t>
  </si>
  <si>
    <t>PMC71011AF</t>
  </si>
  <si>
    <t>980.0</t>
  </si>
  <si>
    <t>B2A-4613</t>
  </si>
  <si>
    <t>05748967052006</t>
  </si>
  <si>
    <t>PMC71815AF</t>
  </si>
  <si>
    <t>B1C-2112</t>
  </si>
  <si>
    <t>05748967063</t>
  </si>
  <si>
    <t>05748967063001</t>
  </si>
  <si>
    <t>PMC21228MP</t>
  </si>
  <si>
    <t>790.0</t>
  </si>
  <si>
    <t>62</t>
  </si>
  <si>
    <t>7.92</t>
  </si>
  <si>
    <t>B2B-4240</t>
  </si>
  <si>
    <t>05748967063002</t>
  </si>
  <si>
    <t>PMC21342MP</t>
  </si>
  <si>
    <t>47</t>
  </si>
  <si>
    <t>6.01</t>
  </si>
  <si>
    <t>B2A-5240</t>
  </si>
  <si>
    <t>05748967063003</t>
  </si>
  <si>
    <t>05748967063005</t>
  </si>
  <si>
    <t>PMC63446AF</t>
  </si>
  <si>
    <t>943.0</t>
  </si>
  <si>
    <t>72</t>
  </si>
  <si>
    <t>9.20</t>
  </si>
  <si>
    <t>B2B-4137</t>
  </si>
  <si>
    <t>05748967063004</t>
  </si>
  <si>
    <t>05748967063006</t>
  </si>
  <si>
    <t>PMC65137AF</t>
  </si>
  <si>
    <t>1008.0</t>
  </si>
  <si>
    <t>9.84</t>
  </si>
  <si>
    <t>B2B-4243</t>
  </si>
  <si>
    <t>05748967063007</t>
  </si>
  <si>
    <t>PMC70073AF</t>
  </si>
  <si>
    <t>B2B-4342</t>
  </si>
  <si>
    <t>05748969093</t>
  </si>
  <si>
    <t>05748969093001</t>
  </si>
  <si>
    <t>13</t>
  </si>
  <si>
    <t>59104</t>
  </si>
  <si>
    <t>05748973385</t>
  </si>
  <si>
    <t>05748973385001</t>
  </si>
  <si>
    <t>119.0</t>
  </si>
  <si>
    <t>58102</t>
  </si>
  <si>
    <t>05748977412</t>
  </si>
  <si>
    <t>05748977412001</t>
  </si>
  <si>
    <t>05748977994</t>
  </si>
  <si>
    <t>05748977994001</t>
  </si>
  <si>
    <t>51.6</t>
  </si>
  <si>
    <t>R9303</t>
  </si>
  <si>
    <t>05748982640</t>
  </si>
  <si>
    <t>05748982640001</t>
  </si>
  <si>
    <t>137.5</t>
  </si>
  <si>
    <t>62008</t>
  </si>
  <si>
    <t>05748982640002</t>
  </si>
  <si>
    <t>62007</t>
  </si>
  <si>
    <t>05748983572</t>
  </si>
  <si>
    <t>05748983572001</t>
  </si>
  <si>
    <t>139.0</t>
  </si>
  <si>
    <t>HLC113</t>
  </si>
  <si>
    <t>05748983572002</t>
  </si>
  <si>
    <t>278.0</t>
  </si>
  <si>
    <t>05748989345</t>
  </si>
  <si>
    <t>05748989345001</t>
  </si>
  <si>
    <t>73.2</t>
  </si>
  <si>
    <t>05748989345002</t>
  </si>
  <si>
    <t>198.8</t>
  </si>
  <si>
    <t>19</t>
  </si>
  <si>
    <t>05749017743</t>
  </si>
  <si>
    <t>05749017743001</t>
  </si>
  <si>
    <t>114.2</t>
  </si>
  <si>
    <t>N3401</t>
  </si>
  <si>
    <t>05749017743002</t>
  </si>
  <si>
    <t>228.5</t>
  </si>
  <si>
    <t>N3301</t>
  </si>
  <si>
    <t>05749017743003</t>
  </si>
  <si>
    <t>114.3</t>
  </si>
  <si>
    <t>M3401</t>
  </si>
  <si>
    <t>05749018502</t>
  </si>
  <si>
    <t>05749018502001</t>
  </si>
  <si>
    <t>219.0</t>
  </si>
  <si>
    <t>MCI</t>
  </si>
  <si>
    <t>LLC60</t>
  </si>
  <si>
    <t>05749023306</t>
  </si>
  <si>
    <t>05749023306001</t>
  </si>
  <si>
    <t>PMC3848AF</t>
  </si>
  <si>
    <t>242.4</t>
  </si>
  <si>
    <t>B2A-4644</t>
  </si>
  <si>
    <t>Invalid Agent Iata Code</t>
  </si>
  <si>
    <t>05749023306002</t>
  </si>
  <si>
    <t>757.6</t>
  </si>
  <si>
    <t>05749023590</t>
  </si>
  <si>
    <t>05749023590001</t>
  </si>
  <si>
    <t>648.7</t>
  </si>
  <si>
    <t>63010</t>
  </si>
  <si>
    <t>05749023590003</t>
  </si>
  <si>
    <t>648.8</t>
  </si>
  <si>
    <t>63005</t>
  </si>
  <si>
    <t>05749023590002</t>
  </si>
  <si>
    <t>05749023590004</t>
  </si>
  <si>
    <t>58003</t>
  </si>
  <si>
    <t>05749023590005</t>
  </si>
  <si>
    <t>58006</t>
  </si>
  <si>
    <t>05749023612</t>
  </si>
  <si>
    <t>05749023612001</t>
  </si>
  <si>
    <t>188M</t>
  </si>
  <si>
    <t>18005</t>
  </si>
  <si>
    <t>05749023634</t>
  </si>
  <si>
    <t>05749023634001</t>
  </si>
  <si>
    <t>HLC102</t>
  </si>
  <si>
    <t>05749023634002</t>
  </si>
  <si>
    <t>181.4</t>
  </si>
  <si>
    <t>HLC105</t>
  </si>
  <si>
    <t>05749023645</t>
  </si>
  <si>
    <t>05749023645001</t>
  </si>
  <si>
    <t>199.0</t>
  </si>
  <si>
    <t>52002</t>
  </si>
  <si>
    <t>05749026434</t>
  </si>
  <si>
    <t>05749026434001</t>
  </si>
  <si>
    <t>M5301</t>
  </si>
  <si>
    <t>05749026434003</t>
  </si>
  <si>
    <t>N2104</t>
  </si>
  <si>
    <t>05749040611</t>
  </si>
  <si>
    <t>05749040611001</t>
  </si>
  <si>
    <t>302.9</t>
  </si>
  <si>
    <t>221</t>
  </si>
  <si>
    <t>SLC</t>
  </si>
  <si>
    <t>55106</t>
  </si>
  <si>
    <t>05749040611002</t>
  </si>
  <si>
    <t>181.7</t>
  </si>
  <si>
    <t>55104</t>
  </si>
  <si>
    <t>05749040611003</t>
  </si>
  <si>
    <t>58304</t>
  </si>
  <si>
    <t>05749040611004</t>
  </si>
  <si>
    <t>378.6</t>
  </si>
  <si>
    <t>58303</t>
  </si>
  <si>
    <t>05749057621</t>
  </si>
  <si>
    <t>05749057621001</t>
  </si>
  <si>
    <t>82.0</t>
  </si>
  <si>
    <t>Q3301</t>
  </si>
  <si>
    <t>05749057912</t>
  </si>
  <si>
    <t>05749057912001</t>
  </si>
  <si>
    <t>PMC31061KL</t>
  </si>
  <si>
    <t>B2C-5941</t>
  </si>
  <si>
    <t>05749057923</t>
  </si>
  <si>
    <t>05749057923001</t>
  </si>
  <si>
    <t>RAP200673D</t>
  </si>
  <si>
    <t>1003.2</t>
  </si>
  <si>
    <t>9.90</t>
  </si>
  <si>
    <t>ACE</t>
  </si>
  <si>
    <t>ACE-2056</t>
  </si>
  <si>
    <t>05749057945</t>
  </si>
  <si>
    <t>05749057945001</t>
  </si>
  <si>
    <t>85.9</t>
  </si>
  <si>
    <t>65104</t>
  </si>
  <si>
    <t>05749057945002</t>
  </si>
  <si>
    <t>65305</t>
  </si>
  <si>
    <t>05749057945003</t>
  </si>
  <si>
    <t>65306</t>
  </si>
  <si>
    <t>05749057945004</t>
  </si>
  <si>
    <t>65304</t>
  </si>
  <si>
    <t>05749057971</t>
  </si>
  <si>
    <t>05749057971001</t>
  </si>
  <si>
    <t>34.4</t>
  </si>
  <si>
    <t>.47</t>
  </si>
  <si>
    <t>69404</t>
  </si>
  <si>
    <t>05749057971002</t>
  </si>
  <si>
    <t>34.5</t>
  </si>
  <si>
    <t>70401</t>
  </si>
  <si>
    <t>05749060642</t>
  </si>
  <si>
    <t>05749060642001</t>
  </si>
  <si>
    <t>58308</t>
  </si>
  <si>
    <t>Invalid Agent data code</t>
  </si>
  <si>
    <t>05749061563</t>
  </si>
  <si>
    <t>05749061563001</t>
  </si>
  <si>
    <t>PMC33051KL</t>
  </si>
  <si>
    <t>618.6</t>
  </si>
  <si>
    <t>9.34</t>
  </si>
  <si>
    <t>B2A-5222</t>
  </si>
  <si>
    <t>05749061563002</t>
  </si>
  <si>
    <t>123.7</t>
  </si>
  <si>
    <t>Q4304</t>
  </si>
  <si>
    <t>05749061563003</t>
  </si>
  <si>
    <t>Q5002</t>
  </si>
  <si>
    <t>05749062182</t>
  </si>
  <si>
    <t>05749062182001</t>
  </si>
  <si>
    <t>R3401</t>
  </si>
  <si>
    <t>05749062311</t>
  </si>
  <si>
    <t>05749062311001</t>
  </si>
  <si>
    <t>PMC24110KL</t>
  </si>
  <si>
    <t>1660.0</t>
  </si>
  <si>
    <t>9.38</t>
  </si>
  <si>
    <t>ACT-8116</t>
  </si>
  <si>
    <t>05749071470</t>
  </si>
  <si>
    <t>05749071470001</t>
  </si>
  <si>
    <t>31.0</t>
  </si>
  <si>
    <t>N7401</t>
  </si>
  <si>
    <t>05749071492</t>
  </si>
  <si>
    <t>05749071492001</t>
  </si>
  <si>
    <t>05749072726</t>
  </si>
  <si>
    <t>05749072726001</t>
  </si>
  <si>
    <t>R2104</t>
  </si>
  <si>
    <t>Invalid Agent</t>
  </si>
  <si>
    <t>05749072870</t>
  </si>
  <si>
    <t>05749072870001</t>
  </si>
  <si>
    <t>SAL</t>
  </si>
  <si>
    <t>HLC012</t>
  </si>
  <si>
    <t>05749072881</t>
  </si>
  <si>
    <t>05749072881001</t>
  </si>
  <si>
    <t>50102</t>
  </si>
  <si>
    <t>05749072881002</t>
  </si>
  <si>
    <t>50008</t>
  </si>
  <si>
    <t>05749072892</t>
  </si>
  <si>
    <t>05749072892001</t>
  </si>
  <si>
    <t>05749072914</t>
  </si>
  <si>
    <t>05749072914001</t>
  </si>
  <si>
    <t>291.5</t>
  </si>
  <si>
    <t>M5003</t>
  </si>
  <si>
    <t>05749072914002</t>
  </si>
  <si>
    <t>M3303</t>
  </si>
  <si>
    <t>05749072925</t>
  </si>
  <si>
    <t>05749072925001</t>
  </si>
  <si>
    <t>097</t>
  </si>
  <si>
    <t>M2401</t>
  </si>
  <si>
    <t>05749072936</t>
  </si>
  <si>
    <t>05749072936001</t>
  </si>
  <si>
    <t>261.0</t>
  </si>
  <si>
    <t>49005</t>
  </si>
  <si>
    <t>05749078072</t>
  </si>
  <si>
    <t>05749078072001</t>
  </si>
  <si>
    <t>66006</t>
  </si>
  <si>
    <t>05749078072002</t>
  </si>
  <si>
    <t>05749082703</t>
  </si>
  <si>
    <t>05749082703001</t>
  </si>
  <si>
    <t>PMC93936DL</t>
  </si>
  <si>
    <t>227.8</t>
  </si>
  <si>
    <t>6.10</t>
  </si>
  <si>
    <t>T13-PN15</t>
  </si>
  <si>
    <t>05749083274</t>
  </si>
  <si>
    <t>05749083274001</t>
  </si>
  <si>
    <t>71202</t>
  </si>
  <si>
    <t>05749083274002</t>
  </si>
  <si>
    <t>40.0</t>
  </si>
  <si>
    <t>74201</t>
  </si>
  <si>
    <t>05749083285</t>
  </si>
  <si>
    <t>05749083285001</t>
  </si>
  <si>
    <t>05749083300</t>
  </si>
  <si>
    <t>05749083300001</t>
  </si>
  <si>
    <t>414.0</t>
  </si>
  <si>
    <t>3.74</t>
  </si>
  <si>
    <t>05749085783</t>
  </si>
  <si>
    <t>05749085783001</t>
  </si>
  <si>
    <t>94.6</t>
  </si>
  <si>
    <t>P7103</t>
  </si>
  <si>
    <t>05749085783002</t>
  </si>
  <si>
    <t>236.5</t>
  </si>
  <si>
    <t>51002</t>
  </si>
  <si>
    <t>05749085783003</t>
  </si>
  <si>
    <t>78.8</t>
  </si>
  <si>
    <t>P7102</t>
  </si>
  <si>
    <t>05749086030</t>
  </si>
  <si>
    <t>05749086030001</t>
  </si>
  <si>
    <t>05749086590</t>
  </si>
  <si>
    <t>05749086590001</t>
  </si>
  <si>
    <t>PAG15800KL</t>
  </si>
  <si>
    <t>1499.0</t>
  </si>
  <si>
    <t>34</t>
  </si>
  <si>
    <t>4.87</t>
  </si>
  <si>
    <t>B1A-3438</t>
  </si>
  <si>
    <t>05749086590002</t>
  </si>
  <si>
    <t>283.1</t>
  </si>
  <si>
    <t>N8101</t>
  </si>
  <si>
    <t>05749086590003</t>
  </si>
  <si>
    <t>134.3</t>
  </si>
  <si>
    <t>1.14</t>
  </si>
  <si>
    <t>M4401</t>
  </si>
  <si>
    <t>05749086590004</t>
  </si>
  <si>
    <t>251.7</t>
  </si>
  <si>
    <t>M2303</t>
  </si>
  <si>
    <t>05749086590005</t>
  </si>
  <si>
    <t>18.9</t>
  </si>
  <si>
    <t>53007</t>
  </si>
  <si>
    <t>05749086590006</t>
  </si>
  <si>
    <t>54304</t>
  </si>
  <si>
    <t>05749086590007</t>
  </si>
  <si>
    <t>53005</t>
  </si>
  <si>
    <t>05749086590008</t>
  </si>
  <si>
    <t>N8002</t>
  </si>
  <si>
    <t>05749091556</t>
  </si>
  <si>
    <t>05749091556001</t>
  </si>
  <si>
    <t>59.0</t>
  </si>
  <si>
    <t>368</t>
  </si>
  <si>
    <t>SEA</t>
  </si>
  <si>
    <t>VN109</t>
  </si>
  <si>
    <t>No MRN , French custom</t>
  </si>
  <si>
    <t>05749091556002</t>
  </si>
  <si>
    <t>VN110</t>
  </si>
  <si>
    <t>05749101301</t>
  </si>
  <si>
    <t>05749101301001</t>
  </si>
  <si>
    <t>PMC23141KL</t>
  </si>
  <si>
    <t>1405.0</t>
  </si>
  <si>
    <t>3.14</t>
  </si>
  <si>
    <t>B2C-6037</t>
  </si>
  <si>
    <t>05749108102</t>
  </si>
  <si>
    <t>05749108102003</t>
  </si>
  <si>
    <t>373.0</t>
  </si>
  <si>
    <t>05749108102001</t>
  </si>
  <si>
    <t>05749112022</t>
  </si>
  <si>
    <t>05749112022001</t>
  </si>
  <si>
    <t>PMC28497KL</t>
  </si>
  <si>
    <t>1715.8</t>
  </si>
  <si>
    <t>10.30</t>
  </si>
  <si>
    <t>B2D-6142</t>
  </si>
  <si>
    <t>05749112022002</t>
  </si>
  <si>
    <t>PMC75905AF</t>
  </si>
  <si>
    <t>1930.2</t>
  </si>
  <si>
    <t>11.58</t>
  </si>
  <si>
    <t>ACT-8129</t>
  </si>
  <si>
    <t>05749114155</t>
  </si>
  <si>
    <t>05749114155001</t>
  </si>
  <si>
    <t>93000</t>
  </si>
  <si>
    <t>No HAWB (XFZB issue) - CAFEED DONE - DG captured manually in ICARGO</t>
  </si>
  <si>
    <t>05749130491</t>
  </si>
  <si>
    <t>05749130491001</t>
  </si>
  <si>
    <t xml:space="preserve">CAFEED DONE  </t>
  </si>
  <si>
    <t>05749140243</t>
  </si>
  <si>
    <t>05749140243001</t>
  </si>
  <si>
    <t>N1001</t>
  </si>
  <si>
    <t>05749140243002</t>
  </si>
  <si>
    <t>N4103</t>
  </si>
  <si>
    <t>05749158970</t>
  </si>
  <si>
    <t>05749158970001</t>
  </si>
  <si>
    <t>55.0</t>
  </si>
  <si>
    <t>T5401</t>
  </si>
  <si>
    <t>05764060824</t>
  </si>
  <si>
    <t>05764060824001</t>
  </si>
  <si>
    <t>260.0</t>
  </si>
  <si>
    <t>22</t>
  </si>
  <si>
    <t>56011</t>
  </si>
  <si>
    <t>05771224790</t>
  </si>
  <si>
    <t>05771224790001</t>
  </si>
  <si>
    <t>HFI013</t>
  </si>
  <si>
    <t>05771224790002</t>
  </si>
  <si>
    <t>1.46</t>
  </si>
  <si>
    <t>16003</t>
  </si>
  <si>
    <t>05771224790003</t>
  </si>
  <si>
    <t>HFI012</t>
  </si>
  <si>
    <t>05771224790004</t>
  </si>
  <si>
    <t>Y6005</t>
  </si>
  <si>
    <t>05771279972</t>
  </si>
  <si>
    <t>05771279972003</t>
  </si>
  <si>
    <t>PMC25182KL</t>
  </si>
  <si>
    <t>3240.0</t>
  </si>
  <si>
    <t>H20-2048</t>
  </si>
  <si>
    <t>05771301366</t>
  </si>
  <si>
    <t>05771301366001</t>
  </si>
  <si>
    <t>703.0</t>
  </si>
  <si>
    <t>LLC14</t>
  </si>
  <si>
    <t>05771301366002</t>
  </si>
  <si>
    <t>HLC056</t>
  </si>
  <si>
    <t>05771307821</t>
  </si>
  <si>
    <t>05771307821001</t>
  </si>
  <si>
    <t>330.5</t>
  </si>
  <si>
    <t>05771318192</t>
  </si>
  <si>
    <t>05771318192001</t>
  </si>
  <si>
    <t>189.0</t>
  </si>
  <si>
    <t>N4303</t>
  </si>
  <si>
    <t>05771318192002</t>
  </si>
  <si>
    <t>74003</t>
  </si>
  <si>
    <t>05771318192003</t>
  </si>
  <si>
    <t>283.5</t>
  </si>
  <si>
    <t>M6003</t>
  </si>
  <si>
    <t>05771318192004</t>
  </si>
  <si>
    <t>58307</t>
  </si>
  <si>
    <t>05771318192005</t>
  </si>
  <si>
    <t>472.5</t>
  </si>
  <si>
    <t>63107</t>
  </si>
  <si>
    <t>05771318192006</t>
  </si>
  <si>
    <t>Q8303</t>
  </si>
  <si>
    <t>05771318192007</t>
  </si>
  <si>
    <t>N7402</t>
  </si>
  <si>
    <t>05771318192008</t>
  </si>
  <si>
    <t>63301</t>
  </si>
  <si>
    <t>05771318192009</t>
  </si>
  <si>
    <t>Y6108</t>
  </si>
  <si>
    <t>05771318192010</t>
  </si>
  <si>
    <t>N2403</t>
  </si>
  <si>
    <t>05771320045</t>
  </si>
  <si>
    <t>05771320045001</t>
  </si>
  <si>
    <t>Q5401</t>
  </si>
  <si>
    <t>05771320045002</t>
  </si>
  <si>
    <t>Q4404</t>
  </si>
  <si>
    <t>05771323545</t>
  </si>
  <si>
    <t>05771323545001</t>
  </si>
  <si>
    <t>112.9</t>
  </si>
  <si>
    <t>Q2302</t>
  </si>
  <si>
    <t>05771323545002</t>
  </si>
  <si>
    <t>75.3</t>
  </si>
  <si>
    <t>Q4002</t>
  </si>
  <si>
    <t>05771332155</t>
  </si>
  <si>
    <t>05771332155001</t>
  </si>
  <si>
    <t>PMC2762MP</t>
  </si>
  <si>
    <t>523.5</t>
  </si>
  <si>
    <t>B1B-2743</t>
  </si>
  <si>
    <t>05771333286</t>
  </si>
  <si>
    <t>05771333286001</t>
  </si>
  <si>
    <t>69.5</t>
  </si>
  <si>
    <t>R6402</t>
  </si>
  <si>
    <t>05771333290</t>
  </si>
  <si>
    <t>05771333290001</t>
  </si>
  <si>
    <t>1495.7</t>
  </si>
  <si>
    <t>3.49</t>
  </si>
  <si>
    <t>05771333290051</t>
  </si>
  <si>
    <t>PAG15438KL</t>
  </si>
  <si>
    <t>1869.6</t>
  </si>
  <si>
    <t>4.37</t>
  </si>
  <si>
    <t>B2A-4734</t>
  </si>
  <si>
    <t>05771333290002</t>
  </si>
  <si>
    <t>05771333544052</t>
  </si>
  <si>
    <t>PAG12418AF</t>
  </si>
  <si>
    <t>2007.3</t>
  </si>
  <si>
    <t>6.91</t>
  </si>
  <si>
    <t>B2A-4730</t>
  </si>
  <si>
    <t>AK</t>
  </si>
  <si>
    <t>BE</t>
  </si>
  <si>
    <t>05771333544053</t>
  </si>
  <si>
    <t>PMC71893AF</t>
  </si>
  <si>
    <t>B2A-5338</t>
  </si>
  <si>
    <t>05771333570</t>
  </si>
  <si>
    <t>05771333570001</t>
  </si>
  <si>
    <t>7.5</t>
  </si>
  <si>
    <t>FSE</t>
  </si>
  <si>
    <t>49402</t>
  </si>
  <si>
    <t>05771333603</t>
  </si>
  <si>
    <t>05771333603001</t>
  </si>
  <si>
    <t>249.2</t>
  </si>
  <si>
    <t>Q3402</t>
  </si>
  <si>
    <t>05771333614</t>
  </si>
  <si>
    <t>05771333614001</t>
  </si>
  <si>
    <t>26.2</t>
  </si>
  <si>
    <t>49302</t>
  </si>
  <si>
    <t>05771333651</t>
  </si>
  <si>
    <t>05771333651001</t>
  </si>
  <si>
    <t>92.5</t>
  </si>
  <si>
    <t>49403</t>
  </si>
  <si>
    <t>05771333662</t>
  </si>
  <si>
    <t>05771333662001</t>
  </si>
  <si>
    <t>74.4</t>
  </si>
  <si>
    <t>51307</t>
  </si>
  <si>
    <t>05771333662002</t>
  </si>
  <si>
    <t>18.6</t>
  </si>
  <si>
    <t>52306</t>
  </si>
  <si>
    <t>05771333706</t>
  </si>
  <si>
    <t>05771333706001</t>
  </si>
  <si>
    <t>84.4</t>
  </si>
  <si>
    <t>756</t>
  </si>
  <si>
    <t>R7404</t>
  </si>
  <si>
    <t>05771333710</t>
  </si>
  <si>
    <t>05771333710001</t>
  </si>
  <si>
    <t>874.8</t>
  </si>
  <si>
    <t>5.25</t>
  </si>
  <si>
    <t>56005</t>
  </si>
  <si>
    <t>05771333710002</t>
  </si>
  <si>
    <t>437.4</t>
  </si>
  <si>
    <t>2.62</t>
  </si>
  <si>
    <t>56006</t>
  </si>
  <si>
    <t>05771333721</t>
  </si>
  <si>
    <t>05771333721001</t>
  </si>
  <si>
    <t>402.7</t>
  </si>
  <si>
    <t>2.42</t>
  </si>
  <si>
    <t>P7101</t>
  </si>
  <si>
    <t>05771333721002</t>
  </si>
  <si>
    <t>402.6</t>
  </si>
  <si>
    <t>P7004</t>
  </si>
  <si>
    <t>05771333732</t>
  </si>
  <si>
    <t>05771333732001</t>
  </si>
  <si>
    <t>537.5</t>
  </si>
  <si>
    <t>3.23</t>
  </si>
  <si>
    <t>P7003</t>
  </si>
  <si>
    <t>05771333732002</t>
  </si>
  <si>
    <t>P7002</t>
  </si>
  <si>
    <t>05771333743</t>
  </si>
  <si>
    <t>05771333743001</t>
  </si>
  <si>
    <t>1070.8</t>
  </si>
  <si>
    <t>05771476661</t>
  </si>
  <si>
    <t>05771476661001</t>
  </si>
  <si>
    <t>780.0</t>
  </si>
  <si>
    <t>17002</t>
  </si>
  <si>
    <t>05771484405</t>
  </si>
  <si>
    <t>05771484405001</t>
  </si>
  <si>
    <t>167.0</t>
  </si>
  <si>
    <t>16301</t>
  </si>
  <si>
    <t>05771484405002</t>
  </si>
  <si>
    <t>PMC69753AF</t>
  </si>
  <si>
    <t>5.05</t>
  </si>
  <si>
    <t>B2A-5044</t>
  </si>
  <si>
    <t>05771486435</t>
  </si>
  <si>
    <t>05771486435002</t>
  </si>
  <si>
    <t>05771486435001</t>
  </si>
  <si>
    <t>05771726594</t>
  </si>
  <si>
    <t>05771726594001</t>
  </si>
  <si>
    <t>650.0</t>
  </si>
  <si>
    <t>05771726594002</t>
  </si>
  <si>
    <t>25.0</t>
  </si>
  <si>
    <t>N1002</t>
  </si>
  <si>
    <t>05771726594003</t>
  </si>
  <si>
    <t>05771738155</t>
  </si>
  <si>
    <t>05771738155003</t>
  </si>
  <si>
    <t>PMC31610KL</t>
  </si>
  <si>
    <t>770.0</t>
  </si>
  <si>
    <t>B1C-2136</t>
  </si>
  <si>
    <t>05771738155004</t>
  </si>
  <si>
    <t>PMC66949AF</t>
  </si>
  <si>
    <t>684.0</t>
  </si>
  <si>
    <t>B1B-2727</t>
  </si>
  <si>
    <t>05771738870</t>
  </si>
  <si>
    <t>05771738870001</t>
  </si>
  <si>
    <t>531.0</t>
  </si>
  <si>
    <t>1.89</t>
  </si>
  <si>
    <t>05771743416</t>
  </si>
  <si>
    <t>05771743416006</t>
  </si>
  <si>
    <t>187.6</t>
  </si>
  <si>
    <t>N3104</t>
  </si>
  <si>
    <t>05771743416001</t>
  </si>
  <si>
    <t>05771743416007</t>
  </si>
  <si>
    <t>55002</t>
  </si>
  <si>
    <t>05771750033</t>
  </si>
  <si>
    <t>05771750033001</t>
  </si>
  <si>
    <t>175.0</t>
  </si>
  <si>
    <t>.76</t>
  </si>
  <si>
    <t>17003</t>
  </si>
  <si>
    <t>05771752424</t>
  </si>
  <si>
    <t>05771752424001</t>
  </si>
  <si>
    <t>PMC21500KL</t>
  </si>
  <si>
    <t>638.0</t>
  </si>
  <si>
    <t>B1B-3034</t>
  </si>
  <si>
    <t>05771752424002</t>
  </si>
  <si>
    <t>PMC31447KL</t>
  </si>
  <si>
    <t>1301.7</t>
  </si>
  <si>
    <t>B1C-2523</t>
  </si>
  <si>
    <t>05771752424003</t>
  </si>
  <si>
    <t>PMC32810KL</t>
  </si>
  <si>
    <t>1044.0</t>
  </si>
  <si>
    <t>B1C-2522</t>
  </si>
  <si>
    <t>05771752424004</t>
  </si>
  <si>
    <t>PMC73681AF</t>
  </si>
  <si>
    <t>1030.0</t>
  </si>
  <si>
    <t>B1B-3031</t>
  </si>
  <si>
    <t>05771752660</t>
  </si>
  <si>
    <t>05771752660001</t>
  </si>
  <si>
    <t>PMC20835KL</t>
  </si>
  <si>
    <t>722.4</t>
  </si>
  <si>
    <t>B2B-4235</t>
  </si>
  <si>
    <t>05771752660002</t>
  </si>
  <si>
    <t>PMC31493KL</t>
  </si>
  <si>
    <t>837.8</t>
  </si>
  <si>
    <t>B2D-6431</t>
  </si>
  <si>
    <t>05771758875</t>
  </si>
  <si>
    <t>05771758875001</t>
  </si>
  <si>
    <t>05771758875002</t>
  </si>
  <si>
    <t>LLC22</t>
  </si>
  <si>
    <t>05771761255</t>
  </si>
  <si>
    <t>05771761255001</t>
  </si>
  <si>
    <t>1.57</t>
  </si>
  <si>
    <t>51305</t>
  </si>
  <si>
    <t>05771762902</t>
  </si>
  <si>
    <t>05771762902001</t>
  </si>
  <si>
    <t>PMC71793AF</t>
  </si>
  <si>
    <t>1158.8</t>
  </si>
  <si>
    <t>B2B-4238</t>
  </si>
  <si>
    <t>05771768524</t>
  </si>
  <si>
    <t>05771768524001</t>
  </si>
  <si>
    <t>551.0</t>
  </si>
  <si>
    <t>05771768524002</t>
  </si>
  <si>
    <t>N6102</t>
  </si>
  <si>
    <t>05771769320</t>
  </si>
  <si>
    <t>05771769320001</t>
  </si>
  <si>
    <t>414.5</t>
  </si>
  <si>
    <t>Q5102</t>
  </si>
  <si>
    <t>05771769434</t>
  </si>
  <si>
    <t>05771769434001</t>
  </si>
  <si>
    <t>PMC21266KL</t>
  </si>
  <si>
    <t>1858.0</t>
  </si>
  <si>
    <t>7.58</t>
  </si>
  <si>
    <t>B2B-4019</t>
  </si>
  <si>
    <t>05771769434002</t>
  </si>
  <si>
    <t>PMC32949KL</t>
  </si>
  <si>
    <t>1959.0</t>
  </si>
  <si>
    <t>9.11</t>
  </si>
  <si>
    <t>B1C-2443</t>
  </si>
  <si>
    <t>05771772256</t>
  </si>
  <si>
    <t>05771772256001</t>
  </si>
  <si>
    <t>137.7</t>
  </si>
  <si>
    <t>LPB</t>
  </si>
  <si>
    <t>05771772256002</t>
  </si>
  <si>
    <t>05771772256003</t>
  </si>
  <si>
    <t>05771881025</t>
  </si>
  <si>
    <t>05771881025001</t>
  </si>
  <si>
    <t>133.8</t>
  </si>
  <si>
    <t>LLC34</t>
  </si>
  <si>
    <t>HAWB finalised manually, No booking info</t>
  </si>
  <si>
    <t>05771881025002</t>
  </si>
  <si>
    <t>LLC31</t>
  </si>
  <si>
    <t>05771881025003</t>
  </si>
  <si>
    <t>05771881025004</t>
  </si>
  <si>
    <t>05771881040</t>
  </si>
  <si>
    <t>05771881040001</t>
  </si>
  <si>
    <t>PMC86427DL</t>
  </si>
  <si>
    <t>2223.7</t>
  </si>
  <si>
    <t>B2A-4739</t>
  </si>
  <si>
    <t>05771881040002</t>
  </si>
  <si>
    <t>202.2</t>
  </si>
  <si>
    <t>R8303</t>
  </si>
  <si>
    <t>05771886662</t>
  </si>
  <si>
    <t>05771886662001</t>
  </si>
  <si>
    <t>1687.3</t>
  </si>
  <si>
    <t>6.87</t>
  </si>
  <si>
    <t>05771886662002</t>
  </si>
  <si>
    <t>05771889742</t>
  </si>
  <si>
    <t>05771889742001</t>
  </si>
  <si>
    <t>73.5</t>
  </si>
  <si>
    <t>814</t>
  </si>
  <si>
    <t>N3002</t>
  </si>
  <si>
    <t>05771889742002</t>
  </si>
  <si>
    <t>31.5</t>
  </si>
  <si>
    <t>05771895224</t>
  </si>
  <si>
    <t>05771895224001</t>
  </si>
  <si>
    <t>737.6</t>
  </si>
  <si>
    <t>05771895331</t>
  </si>
  <si>
    <t>05771895331001</t>
  </si>
  <si>
    <t>182.6</t>
  </si>
  <si>
    <t>29</t>
  </si>
  <si>
    <t>BCN02</t>
  </si>
  <si>
    <t>05771995011</t>
  </si>
  <si>
    <t>05771995011001</t>
  </si>
  <si>
    <t>05774576191</t>
  </si>
  <si>
    <t>05774576191001</t>
  </si>
  <si>
    <t>71201</t>
  </si>
  <si>
    <t>05774576191002</t>
  </si>
  <si>
    <t>71004</t>
  </si>
  <si>
    <t>05780333525</t>
  </si>
  <si>
    <t>05780333525001</t>
  </si>
  <si>
    <t>86.9</t>
  </si>
  <si>
    <t>05780333525002</t>
  </si>
  <si>
    <t>347.8</t>
  </si>
  <si>
    <t>50001</t>
  </si>
  <si>
    <t>05780333525003</t>
  </si>
  <si>
    <t>173.9</t>
  </si>
  <si>
    <t>N5001</t>
  </si>
  <si>
    <t>05780333525004</t>
  </si>
  <si>
    <t>05780333525005</t>
  </si>
  <si>
    <t>53301</t>
  </si>
  <si>
    <t>05781625876</t>
  </si>
  <si>
    <t>05781625876001</t>
  </si>
  <si>
    <t>P2001</t>
  </si>
  <si>
    <t>05787183762</t>
  </si>
  <si>
    <t>05787183762001</t>
  </si>
  <si>
    <t>PMC70144AF</t>
  </si>
  <si>
    <t>2584.0</t>
  </si>
  <si>
    <t>100</t>
  </si>
  <si>
    <t>15.47</t>
  </si>
  <si>
    <t>PES</t>
  </si>
  <si>
    <t>BFR-4422</t>
  </si>
  <si>
    <t>05787402582</t>
  </si>
  <si>
    <t>05787402582001</t>
  </si>
  <si>
    <t>720.0</t>
  </si>
  <si>
    <t>2.58</t>
  </si>
  <si>
    <t>05788337826</t>
  </si>
  <si>
    <t>05788337826001</t>
  </si>
  <si>
    <t>PMC32427KL</t>
  </si>
  <si>
    <t>B2B-4135</t>
  </si>
  <si>
    <t>05788337826002</t>
  </si>
  <si>
    <t>05788337826003</t>
  </si>
  <si>
    <t>05788337826004</t>
  </si>
  <si>
    <t>05788337826005</t>
  </si>
  <si>
    <t>05788337826006</t>
  </si>
  <si>
    <t>05788901595</t>
  </si>
  <si>
    <t>05788901595001</t>
  </si>
  <si>
    <t>626.0</t>
  </si>
  <si>
    <t>05788914501</t>
  </si>
  <si>
    <t>05788914501001</t>
  </si>
  <si>
    <t>385.0</t>
  </si>
  <si>
    <t>S3001</t>
  </si>
  <si>
    <t>05792062806</t>
  </si>
  <si>
    <t>05792062806001</t>
  </si>
  <si>
    <t>R9001</t>
  </si>
  <si>
    <t>05793398255</t>
  </si>
  <si>
    <t>05793398255001</t>
  </si>
  <si>
    <t>197.0</t>
  </si>
  <si>
    <t>Q2003</t>
  </si>
  <si>
    <t>05793639895</t>
  </si>
  <si>
    <t>05793639895001</t>
  </si>
  <si>
    <t>M6302</t>
  </si>
  <si>
    <t>05793639895002</t>
  </si>
  <si>
    <t>72201</t>
  </si>
  <si>
    <t>05793639895003</t>
  </si>
  <si>
    <t>M5002</t>
  </si>
  <si>
    <t>05795661576</t>
  </si>
  <si>
    <t>05795661576001</t>
  </si>
  <si>
    <t>233.5</t>
  </si>
  <si>
    <t>56205</t>
  </si>
  <si>
    <t>05795661576002</t>
  </si>
  <si>
    <t>56203</t>
  </si>
  <si>
    <t>05797464076</t>
  </si>
  <si>
    <t>05797464076001</t>
  </si>
  <si>
    <t>926</t>
  </si>
  <si>
    <t>LBV</t>
  </si>
  <si>
    <t>HLC112</t>
  </si>
  <si>
    <t>05797569614</t>
  </si>
  <si>
    <t>05797569614001</t>
  </si>
  <si>
    <t>PMC28364KL</t>
  </si>
  <si>
    <t>2298.0</t>
  </si>
  <si>
    <t>10.75</t>
  </si>
  <si>
    <t>B1A-3434</t>
  </si>
  <si>
    <t>05797569614002</t>
  </si>
  <si>
    <t>PMC69342AF</t>
  </si>
  <si>
    <t>B2C-6038</t>
  </si>
  <si>
    <t>05797570126</t>
  </si>
  <si>
    <t>05797570126001</t>
  </si>
  <si>
    <t>109.6</t>
  </si>
  <si>
    <t>21006</t>
  </si>
  <si>
    <t>07400849424</t>
  </si>
  <si>
    <t>07400849424001</t>
  </si>
  <si>
    <t>63.4</t>
  </si>
  <si>
    <t>C1103</t>
  </si>
  <si>
    <t>07400849424002</t>
  </si>
  <si>
    <t>C1101</t>
  </si>
  <si>
    <t>07400849424003</t>
  </si>
  <si>
    <t>C1106</t>
  </si>
  <si>
    <t>07400879992</t>
  </si>
  <si>
    <t>07400879992001</t>
  </si>
  <si>
    <t>53401</t>
  </si>
  <si>
    <t>07400880935</t>
  </si>
  <si>
    <t>07400880935001</t>
  </si>
  <si>
    <t>469.0</t>
  </si>
  <si>
    <t>07400880935002</t>
  </si>
  <si>
    <t>1.90</t>
  </si>
  <si>
    <t>07400883002</t>
  </si>
  <si>
    <t>07400883002001</t>
  </si>
  <si>
    <t>105.9</t>
  </si>
  <si>
    <t>R9002</t>
  </si>
  <si>
    <t>07400884446</t>
  </si>
  <si>
    <t>07400884446001</t>
  </si>
  <si>
    <t>PLA70805AF</t>
  </si>
  <si>
    <t>1252.0</t>
  </si>
  <si>
    <t>B2A-5235</t>
  </si>
  <si>
    <t>07400888543</t>
  </si>
  <si>
    <t>07400888543001</t>
  </si>
  <si>
    <t>PMC31479KL</t>
  </si>
  <si>
    <t>2915.0</t>
  </si>
  <si>
    <t>6.77</t>
  </si>
  <si>
    <t>B2C-5843</t>
  </si>
  <si>
    <t>07410740785</t>
  </si>
  <si>
    <t>07410740785001</t>
  </si>
  <si>
    <t>PMC21341KL</t>
  </si>
  <si>
    <t>1322.9</t>
  </si>
  <si>
    <t>B2C-5836</t>
  </si>
  <si>
    <t>07448028046</t>
  </si>
  <si>
    <t>07448028046003</t>
  </si>
  <si>
    <t>07448449936</t>
  </si>
  <si>
    <t>07448449936001</t>
  </si>
  <si>
    <t>M3302</t>
  </si>
  <si>
    <t>07455001111</t>
  </si>
  <si>
    <t>07455001111001</t>
  </si>
  <si>
    <t>PMC00601DL</t>
  </si>
  <si>
    <t>4892.0</t>
  </si>
  <si>
    <t>4.96</t>
  </si>
  <si>
    <t>B1B-2741</t>
  </si>
  <si>
    <t>07455001111002</t>
  </si>
  <si>
    <t>PMC04465DL</t>
  </si>
  <si>
    <t>5014.0</t>
  </si>
  <si>
    <t>B2A-4619</t>
  </si>
  <si>
    <t>07455001111003</t>
  </si>
  <si>
    <t>PMC96242DL</t>
  </si>
  <si>
    <t>4494.0</t>
  </si>
  <si>
    <t>6.28</t>
  </si>
  <si>
    <t>B2A-5343</t>
  </si>
  <si>
    <t>07456280416</t>
  </si>
  <si>
    <t>07456280416001</t>
  </si>
  <si>
    <t>168.5</t>
  </si>
  <si>
    <t>07456280416002</t>
  </si>
  <si>
    <t>93102</t>
  </si>
  <si>
    <t>No FWB  - CAFEED DONE - DG captured manually in ICARGO</t>
  </si>
  <si>
    <t>07457267000</t>
  </si>
  <si>
    <t>07457267000001</t>
  </si>
  <si>
    <t>PMC22975KL</t>
  </si>
  <si>
    <t>2191.0</t>
  </si>
  <si>
    <t>118</t>
  </si>
  <si>
    <t>10.44</t>
  </si>
  <si>
    <t>B2B-4244</t>
  </si>
  <si>
    <t>07459411041</t>
  </si>
  <si>
    <t>07459411041001</t>
  </si>
  <si>
    <t>PMC76322AF</t>
  </si>
  <si>
    <t>1568.0</t>
  </si>
  <si>
    <t>6.96</t>
  </si>
  <si>
    <t>B2A-5018</t>
  </si>
  <si>
    <t>07459745825</t>
  </si>
  <si>
    <t>07459745825001</t>
  </si>
  <si>
    <t>199.5</t>
  </si>
  <si>
    <t>POS</t>
  </si>
  <si>
    <t>07459745825002</t>
  </si>
  <si>
    <t>S8302</t>
  </si>
  <si>
    <t>62308</t>
  </si>
  <si>
    <t>07460511776002</t>
  </si>
  <si>
    <t>95.1</t>
  </si>
  <si>
    <t>07461109565002</t>
  </si>
  <si>
    <t>315.6</t>
  </si>
  <si>
    <t>71003</t>
  </si>
  <si>
    <t>07461513045</t>
  </si>
  <si>
    <t>07461513045001</t>
  </si>
  <si>
    <t>80.3</t>
  </si>
  <si>
    <t>S2102</t>
  </si>
  <si>
    <t>07461513045002</t>
  </si>
  <si>
    <t>26.8</t>
  </si>
  <si>
    <t>07461530976</t>
  </si>
  <si>
    <t>07461530976001</t>
  </si>
  <si>
    <t>212.0</t>
  </si>
  <si>
    <t>07461531385</t>
  </si>
  <si>
    <t>07461531385001</t>
  </si>
  <si>
    <t>07461846212</t>
  </si>
  <si>
    <t>07461846212001</t>
  </si>
  <si>
    <t>90.0</t>
  </si>
  <si>
    <t>07461846245</t>
  </si>
  <si>
    <t>07461846245001</t>
  </si>
  <si>
    <t>07462295914002</t>
  </si>
  <si>
    <t>1160.0</t>
  </si>
  <si>
    <t>N6001</t>
  </si>
  <si>
    <t>07462357256</t>
  </si>
  <si>
    <t>07462357256001</t>
  </si>
  <si>
    <t>07462357256002</t>
  </si>
  <si>
    <t>56012</t>
  </si>
  <si>
    <t>07462566906</t>
  </si>
  <si>
    <t>07462566906001</t>
  </si>
  <si>
    <t>PMC2464MP</t>
  </si>
  <si>
    <t>2233.0</t>
  </si>
  <si>
    <t>7.17</t>
  </si>
  <si>
    <t>B2A-4735</t>
  </si>
  <si>
    <t>07462653566</t>
  </si>
  <si>
    <t>07462653566001</t>
  </si>
  <si>
    <t>C1304</t>
  </si>
  <si>
    <t>07462788972</t>
  </si>
  <si>
    <t>07462788972001</t>
  </si>
  <si>
    <t>206.3</t>
  </si>
  <si>
    <t>TPE</t>
  </si>
  <si>
    <t>53304</t>
  </si>
  <si>
    <t>07462788972002</t>
  </si>
  <si>
    <t>51409</t>
  </si>
  <si>
    <t>07462788972003</t>
  </si>
  <si>
    <t>53103</t>
  </si>
  <si>
    <t>07462792752</t>
  </si>
  <si>
    <t>07462792752001</t>
  </si>
  <si>
    <t>76.0</t>
  </si>
  <si>
    <t>HLC004</t>
  </si>
  <si>
    <t>07462792752002</t>
  </si>
  <si>
    <t>152.0</t>
  </si>
  <si>
    <t>N2304</t>
  </si>
  <si>
    <t>07462794782</t>
  </si>
  <si>
    <t>07462794782001</t>
  </si>
  <si>
    <t>381.5</t>
  </si>
  <si>
    <t>P5002</t>
  </si>
  <si>
    <t>07462794782002</t>
  </si>
  <si>
    <t>56202</t>
  </si>
  <si>
    <t>07462794782003</t>
  </si>
  <si>
    <t>317.9</t>
  </si>
  <si>
    <t>P5101</t>
  </si>
  <si>
    <t>07462794992</t>
  </si>
  <si>
    <t>07462794992001</t>
  </si>
  <si>
    <t>07462795154</t>
  </si>
  <si>
    <t>07462795154001</t>
  </si>
  <si>
    <t>07462795246</t>
  </si>
  <si>
    <t>07462795246001</t>
  </si>
  <si>
    <t>97.8</t>
  </si>
  <si>
    <t>07462795246002</t>
  </si>
  <si>
    <t>07462795246003</t>
  </si>
  <si>
    <t>07462795246004</t>
  </si>
  <si>
    <t>07462795246005</t>
  </si>
  <si>
    <t>07462795390</t>
  </si>
  <si>
    <t>07462795390001</t>
  </si>
  <si>
    <t>225.0</t>
  </si>
  <si>
    <t>N7102</t>
  </si>
  <si>
    <t>07462795390002</t>
  </si>
  <si>
    <t>N8301</t>
  </si>
  <si>
    <t>07462795460</t>
  </si>
  <si>
    <t>07462795460001</t>
  </si>
  <si>
    <t>PMC67598AF</t>
  </si>
  <si>
    <t>2451.0</t>
  </si>
  <si>
    <t>B2A-5342</t>
  </si>
  <si>
    <t>07462795611</t>
  </si>
  <si>
    <t>07462795611001</t>
  </si>
  <si>
    <t>07462918870</t>
  </si>
  <si>
    <t>07462918870001</t>
  </si>
  <si>
    <t>AKE12857AF</t>
  </si>
  <si>
    <t>624.0</t>
  </si>
  <si>
    <t>KHI</t>
  </si>
  <si>
    <t>07462929661</t>
  </si>
  <si>
    <t>07462929661001</t>
  </si>
  <si>
    <t>157.0</t>
  </si>
  <si>
    <t>49106</t>
  </si>
  <si>
    <t>07462959654</t>
  </si>
  <si>
    <t>07462959654001</t>
  </si>
  <si>
    <t>07462975555</t>
  </si>
  <si>
    <t>07462975555001</t>
  </si>
  <si>
    <t>338.3</t>
  </si>
  <si>
    <t>S4304</t>
  </si>
  <si>
    <t>07462975555002</t>
  </si>
  <si>
    <t>386.7</t>
  </si>
  <si>
    <t>S3103</t>
  </si>
  <si>
    <t>07462979980</t>
  </si>
  <si>
    <t>07462979980001</t>
  </si>
  <si>
    <t>PMC75278AF</t>
  </si>
  <si>
    <t>2211.0</t>
  </si>
  <si>
    <t>9.37</t>
  </si>
  <si>
    <t>B2A-4712</t>
  </si>
  <si>
    <t>07462979991</t>
  </si>
  <si>
    <t>07462979991001</t>
  </si>
  <si>
    <t>P3401</t>
  </si>
  <si>
    <t>07462980153</t>
  </si>
  <si>
    <t>07462980153001</t>
  </si>
  <si>
    <t>PMC21394KL</t>
  </si>
  <si>
    <t>115</t>
  </si>
  <si>
    <t>6.00</t>
  </si>
  <si>
    <t>B2A-5432</t>
  </si>
  <si>
    <t>07462980455</t>
  </si>
  <si>
    <t>07462980455001</t>
  </si>
  <si>
    <t>07463065214</t>
  </si>
  <si>
    <t>07463065214001</t>
  </si>
  <si>
    <t>PMC69522AF</t>
  </si>
  <si>
    <t>2636.0</t>
  </si>
  <si>
    <t>3.71</t>
  </si>
  <si>
    <t>B2A-4736</t>
  </si>
  <si>
    <t>07484758914</t>
  </si>
  <si>
    <t>07484758914001</t>
  </si>
  <si>
    <t>121.0</t>
  </si>
  <si>
    <t>C1403</t>
  </si>
  <si>
    <t>64309866511</t>
  </si>
  <si>
    <t>64309866511001</t>
  </si>
  <si>
    <t>MLA</t>
  </si>
  <si>
    <t>S2403</t>
  </si>
  <si>
    <t>00679759116</t>
  </si>
  <si>
    <t>00679759116001</t>
  </si>
  <si>
    <t>N6303</t>
  </si>
  <si>
    <t>3.2</t>
  </si>
  <si>
    <t>05702367352</t>
  </si>
  <si>
    <t>05702367352001</t>
  </si>
  <si>
    <t>3.02</t>
  </si>
  <si>
    <t>05702574084</t>
  </si>
  <si>
    <t>05702574084001</t>
  </si>
  <si>
    <t>49.5</t>
  </si>
  <si>
    <t>S1103</t>
  </si>
  <si>
    <t>05702574084002</t>
  </si>
  <si>
    <t>S3301</t>
  </si>
  <si>
    <t>05702574084003</t>
  </si>
  <si>
    <t>S2103</t>
  </si>
  <si>
    <t>05702586065</t>
  </si>
  <si>
    <t>05702586065001</t>
  </si>
  <si>
    <t>PMC66890AF</t>
  </si>
  <si>
    <t>647.0</t>
  </si>
  <si>
    <t>7.96</t>
  </si>
  <si>
    <t>B1A-3234</t>
  </si>
  <si>
    <t>Getting Internal error while listing the AWB</t>
  </si>
  <si>
    <t>05702734664</t>
  </si>
  <si>
    <t>05702734664001</t>
  </si>
  <si>
    <t>M2403</t>
  </si>
  <si>
    <t>05703125651</t>
  </si>
  <si>
    <t>05703125651001</t>
  </si>
  <si>
    <t>629.0</t>
  </si>
  <si>
    <t>41</t>
  </si>
  <si>
    <t>4.72</t>
  </si>
  <si>
    <t>05703126815</t>
  </si>
  <si>
    <t>05703126815001</t>
  </si>
  <si>
    <t>1.6</t>
  </si>
  <si>
    <t>182</t>
  </si>
  <si>
    <t>05703135215</t>
  </si>
  <si>
    <t>05703135215001</t>
  </si>
  <si>
    <t>50.0</t>
  </si>
  <si>
    <t>N1304</t>
  </si>
  <si>
    <t>05703151923</t>
  </si>
  <si>
    <t>05703151923001</t>
  </si>
  <si>
    <t>RSD00</t>
  </si>
  <si>
    <t>05703167301</t>
  </si>
  <si>
    <t>05703167301001</t>
  </si>
  <si>
    <t>516.0</t>
  </si>
  <si>
    <t>N4002</t>
  </si>
  <si>
    <t>05703167301002</t>
  </si>
  <si>
    <t>HLC054</t>
  </si>
  <si>
    <t>05704624222</t>
  </si>
  <si>
    <t>05704624222001</t>
  </si>
  <si>
    <t>S2401</t>
  </si>
  <si>
    <t>05704789131</t>
  </si>
  <si>
    <t>05704789131001</t>
  </si>
  <si>
    <t>211.0</t>
  </si>
  <si>
    <t>05704867284</t>
  </si>
  <si>
    <t>05704867284001</t>
  </si>
  <si>
    <t>05705161262</t>
  </si>
  <si>
    <t>05705161262001</t>
  </si>
  <si>
    <t>HLC155</t>
  </si>
  <si>
    <t>05705174853</t>
  </si>
  <si>
    <t>05705174853001</t>
  </si>
  <si>
    <t>4.27</t>
  </si>
  <si>
    <t>05705182656</t>
  </si>
  <si>
    <t>05705182656001</t>
  </si>
  <si>
    <t>PMC90128AF</t>
  </si>
  <si>
    <t>1208.0</t>
  </si>
  <si>
    <t>NCX-4540</t>
  </si>
  <si>
    <t>05705203516</t>
  </si>
  <si>
    <t>05705203516001</t>
  </si>
  <si>
    <t>05705231284</t>
  </si>
  <si>
    <t>05705231284001</t>
  </si>
  <si>
    <t>512.5</t>
  </si>
  <si>
    <t>R7103</t>
  </si>
  <si>
    <t>05705231284002</t>
  </si>
  <si>
    <t>S4101</t>
  </si>
  <si>
    <t>05705235381</t>
  </si>
  <si>
    <t>05705235381001</t>
  </si>
  <si>
    <t>281.0</t>
  </si>
  <si>
    <t>49104</t>
  </si>
  <si>
    <t>05705242064</t>
  </si>
  <si>
    <t>05705242064001</t>
  </si>
  <si>
    <t>49112</t>
  </si>
  <si>
    <t>05705242801</t>
  </si>
  <si>
    <t>05705242801001</t>
  </si>
  <si>
    <t>270.5</t>
  </si>
  <si>
    <t>N1403</t>
  </si>
  <si>
    <t>05705244400</t>
  </si>
  <si>
    <t>05705244400001</t>
  </si>
  <si>
    <t>30.0</t>
  </si>
  <si>
    <t>HLC141</t>
  </si>
  <si>
    <t>05705245800</t>
  </si>
  <si>
    <t>05705245800001</t>
  </si>
  <si>
    <t>28.6</t>
  </si>
  <si>
    <t>LLC50</t>
  </si>
  <si>
    <t>05705245940</t>
  </si>
  <si>
    <t>05705245940001</t>
  </si>
  <si>
    <t>63002</t>
  </si>
  <si>
    <t>05705245940002</t>
  </si>
  <si>
    <t>05705245940003</t>
  </si>
  <si>
    <t>05705245984</t>
  </si>
  <si>
    <t>05705245984001</t>
  </si>
  <si>
    <t>345.0</t>
  </si>
  <si>
    <t>49304</t>
  </si>
  <si>
    <t>05705246732</t>
  </si>
  <si>
    <t>05705246732001</t>
  </si>
  <si>
    <t>PAG11467AF</t>
  </si>
  <si>
    <t>2781.0</t>
  </si>
  <si>
    <t>B2A-5339</t>
  </si>
  <si>
    <t>05705264184</t>
  </si>
  <si>
    <t>05705264184002</t>
  </si>
  <si>
    <t>150.3</t>
  </si>
  <si>
    <t>HLC126</t>
  </si>
  <si>
    <t>05705264184001</t>
  </si>
  <si>
    <t>05705264184003</t>
  </si>
  <si>
    <t>HLC116</t>
  </si>
  <si>
    <t>05705264453</t>
  </si>
  <si>
    <t>05705264453001</t>
  </si>
  <si>
    <t>05705266704</t>
  </si>
  <si>
    <t>05705266704001</t>
  </si>
  <si>
    <t>OD1OUI</t>
  </si>
  <si>
    <t>05705266704002</t>
  </si>
  <si>
    <t>05705267905</t>
  </si>
  <si>
    <t>05705267905001</t>
  </si>
  <si>
    <t>S3402</t>
  </si>
  <si>
    <t>05705268292</t>
  </si>
  <si>
    <t>05705268292001</t>
  </si>
  <si>
    <t>65.8</t>
  </si>
  <si>
    <t>55401</t>
  </si>
  <si>
    <t>05705272050</t>
  </si>
  <si>
    <t>05705272050002</t>
  </si>
  <si>
    <t>209.0</t>
  </si>
  <si>
    <t>HLC042</t>
  </si>
  <si>
    <t>05705272050001</t>
  </si>
  <si>
    <t>05705276924</t>
  </si>
  <si>
    <t>05705276924001</t>
  </si>
  <si>
    <t>208.0</t>
  </si>
  <si>
    <t>49108</t>
  </si>
  <si>
    <t>05705281846</t>
  </si>
  <si>
    <t>05705281846001</t>
  </si>
  <si>
    <t>410.0</t>
  </si>
  <si>
    <t>S8103</t>
  </si>
  <si>
    <t>05705281846002</t>
  </si>
  <si>
    <t>S7102</t>
  </si>
  <si>
    <t>05705285674</t>
  </si>
  <si>
    <t>05705285674001</t>
  </si>
  <si>
    <t>86.2</t>
  </si>
  <si>
    <t>HAWB finalised checkbox ticked</t>
  </si>
  <si>
    <t>05705285674002</t>
  </si>
  <si>
    <t>86.3</t>
  </si>
  <si>
    <t>05705285696</t>
  </si>
  <si>
    <t>05705285696001</t>
  </si>
  <si>
    <t>54401</t>
  </si>
  <si>
    <t>05705289620</t>
  </si>
  <si>
    <t>05705289620001</t>
  </si>
  <si>
    <t>170.0</t>
  </si>
  <si>
    <t>N6304</t>
  </si>
  <si>
    <t>05705292140</t>
  </si>
  <si>
    <t>05705292140001</t>
  </si>
  <si>
    <t>126.3</t>
  </si>
  <si>
    <t>S2302</t>
  </si>
  <si>
    <t>05705292140002</t>
  </si>
  <si>
    <t>56007</t>
  </si>
  <si>
    <t>05705292140003</t>
  </si>
  <si>
    <t>126.4</t>
  </si>
  <si>
    <t>2.35</t>
  </si>
  <si>
    <t>R3001</t>
  </si>
  <si>
    <t>05705292420</t>
  </si>
  <si>
    <t>05705292420001</t>
  </si>
  <si>
    <t>PMC98853DL</t>
  </si>
  <si>
    <t>9888</t>
  </si>
  <si>
    <t>B2A-5026</t>
  </si>
  <si>
    <t>05705293142</t>
  </si>
  <si>
    <t>05705293142001</t>
  </si>
  <si>
    <t>315.0</t>
  </si>
  <si>
    <t>53110</t>
  </si>
  <si>
    <t>05705294380</t>
  </si>
  <si>
    <t>05705294380001</t>
  </si>
  <si>
    <t>508.0</t>
  </si>
  <si>
    <t>05705294380002</t>
  </si>
  <si>
    <t>05705294833</t>
  </si>
  <si>
    <t>05705294833001</t>
  </si>
  <si>
    <t>244.5</t>
  </si>
  <si>
    <t>2.79</t>
  </si>
  <si>
    <t>05705294833002</t>
  </si>
  <si>
    <t>53008</t>
  </si>
  <si>
    <t>05705295161</t>
  </si>
  <si>
    <t>05705295161001</t>
  </si>
  <si>
    <t>298.0</t>
  </si>
  <si>
    <t>05705295850</t>
  </si>
  <si>
    <t>05705295850001</t>
  </si>
  <si>
    <t>53002</t>
  </si>
  <si>
    <t>05705295850002</t>
  </si>
  <si>
    <t>N5002</t>
  </si>
  <si>
    <t>05705297154</t>
  </si>
  <si>
    <t>05705297154001</t>
  </si>
  <si>
    <t>61104</t>
  </si>
  <si>
    <t>05705298016</t>
  </si>
  <si>
    <t>05705298016001</t>
  </si>
  <si>
    <t>51.0</t>
  </si>
  <si>
    <t>51407</t>
  </si>
  <si>
    <t>05705298742</t>
  </si>
  <si>
    <t>05705298742001</t>
  </si>
  <si>
    <t>998.0</t>
  </si>
  <si>
    <t>05705302275</t>
  </si>
  <si>
    <t>05705302275001</t>
  </si>
  <si>
    <t>PAG30961NW</t>
  </si>
  <si>
    <t>B2B-4127</t>
  </si>
  <si>
    <t>05705302275002</t>
  </si>
  <si>
    <t>05705310826</t>
  </si>
  <si>
    <t>05705310826001</t>
  </si>
  <si>
    <t>131.0</t>
  </si>
  <si>
    <t>T3303</t>
  </si>
  <si>
    <t>05705314072</t>
  </si>
  <si>
    <t>05705314072001</t>
  </si>
  <si>
    <t>387.7</t>
  </si>
  <si>
    <t>EC400</t>
  </si>
  <si>
    <t>05705314072002</t>
  </si>
  <si>
    <t>05705314072003</t>
  </si>
  <si>
    <t>05705323916</t>
  </si>
  <si>
    <t>05705323916001</t>
  </si>
  <si>
    <t>12.5</t>
  </si>
  <si>
    <t>05705323916002</t>
  </si>
  <si>
    <t>12.4</t>
  </si>
  <si>
    <t>05705323916003</t>
  </si>
  <si>
    <t>05705323916004</t>
  </si>
  <si>
    <t>S6403</t>
  </si>
  <si>
    <t>05705323916005</t>
  </si>
  <si>
    <t>94402</t>
  </si>
  <si>
    <t>05705331911</t>
  </si>
  <si>
    <t>05705331911001</t>
  </si>
  <si>
    <t>53.6</t>
  </si>
  <si>
    <t>S2404</t>
  </si>
  <si>
    <t>05705331911002</t>
  </si>
  <si>
    <t>89.4</t>
  </si>
  <si>
    <t>S1001</t>
  </si>
  <si>
    <t>05705334372</t>
  </si>
  <si>
    <t>05705334372002</t>
  </si>
  <si>
    <t>HLC104</t>
  </si>
  <si>
    <t>05705334372001</t>
  </si>
  <si>
    <t>05705341943</t>
  </si>
  <si>
    <t>05705341943001</t>
  </si>
  <si>
    <t>S1402</t>
  </si>
  <si>
    <t>05705342422</t>
  </si>
  <si>
    <t>05705342422001</t>
  </si>
  <si>
    <t>111.3</t>
  </si>
  <si>
    <t>05705351920</t>
  </si>
  <si>
    <t>05705351920001</t>
  </si>
  <si>
    <t>4.0</t>
  </si>
  <si>
    <t>05705353246</t>
  </si>
  <si>
    <t>05705353246001</t>
  </si>
  <si>
    <t>13.3</t>
  </si>
  <si>
    <t>081</t>
  </si>
  <si>
    <t>05705362280</t>
  </si>
  <si>
    <t>05705362280001</t>
  </si>
  <si>
    <t>05706908786</t>
  </si>
  <si>
    <t>05706908786001</t>
  </si>
  <si>
    <t>N5301</t>
  </si>
  <si>
    <t>05709669730</t>
  </si>
  <si>
    <t>05709669730001</t>
  </si>
  <si>
    <t>51306</t>
  </si>
  <si>
    <t>05709669730002</t>
  </si>
  <si>
    <t>Y5014</t>
  </si>
  <si>
    <t>05710611020</t>
  </si>
  <si>
    <t>05710611020001</t>
  </si>
  <si>
    <t>73004</t>
  </si>
  <si>
    <t>05711412542</t>
  </si>
  <si>
    <t>05711412542001</t>
  </si>
  <si>
    <t>97.5</t>
  </si>
  <si>
    <t>R5401</t>
  </si>
  <si>
    <t>05712328551</t>
  </si>
  <si>
    <t>05712328551001</t>
  </si>
  <si>
    <t>32.1</t>
  </si>
  <si>
    <t>05712484721</t>
  </si>
  <si>
    <t>05712484721001</t>
  </si>
  <si>
    <t>PMC01421DL</t>
  </si>
  <si>
    <t>126.0</t>
  </si>
  <si>
    <t>B1A-3436</t>
  </si>
  <si>
    <t>05712484721002</t>
  </si>
  <si>
    <t>05712564134008</t>
  </si>
  <si>
    <t>B2A-5138</t>
  </si>
  <si>
    <t>05712564134009</t>
  </si>
  <si>
    <t>PMC64459AF</t>
  </si>
  <si>
    <t>207.4</t>
  </si>
  <si>
    <t>FA8-PI00</t>
  </si>
  <si>
    <t>05712655436</t>
  </si>
  <si>
    <t>05712655436001</t>
  </si>
  <si>
    <t>132.0</t>
  </si>
  <si>
    <t>S1301</t>
  </si>
  <si>
    <t>05712835233</t>
  </si>
  <si>
    <t>.03</t>
  </si>
  <si>
    <t>91102</t>
  </si>
  <si>
    <t>05712835233001</t>
  </si>
  <si>
    <t>05712888993</t>
  </si>
  <si>
    <t>05712888993001</t>
  </si>
  <si>
    <t>2.4</t>
  </si>
  <si>
    <t>498</t>
  </si>
  <si>
    <t>SXM</t>
  </si>
  <si>
    <t>05712970296</t>
  </si>
  <si>
    <t>05712970296001</t>
  </si>
  <si>
    <t>61111</t>
  </si>
  <si>
    <t>05712970296002</t>
  </si>
  <si>
    <t>58306</t>
  </si>
  <si>
    <t>05712970296003</t>
  </si>
  <si>
    <t>61010</t>
  </si>
  <si>
    <t>05712970296004</t>
  </si>
  <si>
    <t>53307</t>
  </si>
  <si>
    <t>54408</t>
  </si>
  <si>
    <t>05745105885</t>
  </si>
  <si>
    <t>05745105885001</t>
  </si>
  <si>
    <t>286.7</t>
  </si>
  <si>
    <t>05745105885002</t>
  </si>
  <si>
    <t>M2101</t>
  </si>
  <si>
    <t>05745105885003</t>
  </si>
  <si>
    <t>M5101</t>
  </si>
  <si>
    <t>05745510220</t>
  </si>
  <si>
    <t>05745510220001</t>
  </si>
  <si>
    <t>517.0</t>
  </si>
  <si>
    <t>HLC001</t>
  </si>
  <si>
    <t>05745879422</t>
  </si>
  <si>
    <t>05745879422001</t>
  </si>
  <si>
    <t>PMC04299DL</t>
  </si>
  <si>
    <t>B1C-2228</t>
  </si>
  <si>
    <t>05745990081</t>
  </si>
  <si>
    <t>05745990081001</t>
  </si>
  <si>
    <t>PMC65574AF</t>
  </si>
  <si>
    <t>5550.0</t>
  </si>
  <si>
    <t>11.81</t>
  </si>
  <si>
    <t>B2A-5228</t>
  </si>
  <si>
    <t>05746441721</t>
  </si>
  <si>
    <t>05746441721001</t>
  </si>
  <si>
    <t>RPB</t>
  </si>
  <si>
    <t>91000</t>
  </si>
  <si>
    <t>05746441721002</t>
  </si>
  <si>
    <t>FR000</t>
  </si>
  <si>
    <t>05746594973</t>
  </si>
  <si>
    <t>05746594973001</t>
  </si>
  <si>
    <t>PMC28235KL</t>
  </si>
  <si>
    <t>188</t>
  </si>
  <si>
    <t>B1C-2430</t>
  </si>
  <si>
    <t>05746642201</t>
  </si>
  <si>
    <t>05746642201001</t>
  </si>
  <si>
    <t>PHL</t>
  </si>
  <si>
    <t>N6301</t>
  </si>
  <si>
    <t>05746727155</t>
  </si>
  <si>
    <t>05746727155001</t>
  </si>
  <si>
    <t>51112</t>
  </si>
  <si>
    <t>05746858733</t>
  </si>
  <si>
    <t>05746858733001</t>
  </si>
  <si>
    <t>PMC72621AF</t>
  </si>
  <si>
    <t>1433.0</t>
  </si>
  <si>
    <t>95</t>
  </si>
  <si>
    <t>8.55</t>
  </si>
  <si>
    <t>B1C-2215</t>
  </si>
  <si>
    <t>05746858744</t>
  </si>
  <si>
    <t>05746858744001</t>
  </si>
  <si>
    <t>PMC32441KL</t>
  </si>
  <si>
    <t>1453.0</t>
  </si>
  <si>
    <t>96</t>
  </si>
  <si>
    <t>8.64</t>
  </si>
  <si>
    <t>B2A-5011</t>
  </si>
  <si>
    <t>05746967955</t>
  </si>
  <si>
    <t>05746967955001</t>
  </si>
  <si>
    <t>271.0</t>
  </si>
  <si>
    <t>05746993052</t>
  </si>
  <si>
    <t>05746993052001</t>
  </si>
  <si>
    <t>AKE05138AF</t>
  </si>
  <si>
    <t>invalid Agent Iata code</t>
  </si>
  <si>
    <t>05746993052002</t>
  </si>
  <si>
    <t>116.2</t>
  </si>
  <si>
    <t>30</t>
  </si>
  <si>
    <t>05747064194</t>
  </si>
  <si>
    <t>05747064194001</t>
  </si>
  <si>
    <t>PMC64886AF</t>
  </si>
  <si>
    <t>1690.0</t>
  </si>
  <si>
    <t>10.20</t>
  </si>
  <si>
    <t>B2A-4912</t>
  </si>
  <si>
    <t>05747206493</t>
  </si>
  <si>
    <t>05747206493001</t>
  </si>
  <si>
    <t>PMC32766KL</t>
  </si>
  <si>
    <t>161.2</t>
  </si>
  <si>
    <t>FA2-PI00</t>
  </si>
  <si>
    <t>05747206493003</t>
  </si>
  <si>
    <t>05747206493004</t>
  </si>
  <si>
    <t>05747211872</t>
  </si>
  <si>
    <t>05747211872001</t>
  </si>
  <si>
    <t>PMC95922DL</t>
  </si>
  <si>
    <t>B1C-2429</t>
  </si>
  <si>
    <t>05747228215</t>
  </si>
  <si>
    <t>05747228215001</t>
  </si>
  <si>
    <t>PMC71178AF</t>
  </si>
  <si>
    <t>2423.8</t>
  </si>
  <si>
    <t>4.06</t>
  </si>
  <si>
    <t>LEJ</t>
  </si>
  <si>
    <t>B2A-5043</t>
  </si>
  <si>
    <t>05747228215002</t>
  </si>
  <si>
    <t>PMC73764AF</t>
  </si>
  <si>
    <t>B2B-4133</t>
  </si>
  <si>
    <t>05747228215003</t>
  </si>
  <si>
    <t>PMC76257AF</t>
  </si>
  <si>
    <t>B2A-5233</t>
  </si>
  <si>
    <t>05747273450</t>
  </si>
  <si>
    <t>05747273450001</t>
  </si>
  <si>
    <t>213.5</t>
  </si>
  <si>
    <t>N5102</t>
  </si>
  <si>
    <t>05747273450002</t>
  </si>
  <si>
    <t>05747381913</t>
  </si>
  <si>
    <t>05747381913001</t>
  </si>
  <si>
    <t>325.0</t>
  </si>
  <si>
    <t>05747502674</t>
  </si>
  <si>
    <t>05747502674001</t>
  </si>
  <si>
    <t>546.7</t>
  </si>
  <si>
    <t>05747502674002</t>
  </si>
  <si>
    <t>50108</t>
  </si>
  <si>
    <t>05747502674003</t>
  </si>
  <si>
    <t>51101</t>
  </si>
  <si>
    <t>05747652010</t>
  </si>
  <si>
    <t>05747652010006</t>
  </si>
  <si>
    <t>05747652010001</t>
  </si>
  <si>
    <t>05747652010007</t>
  </si>
  <si>
    <t>05747652010002</t>
  </si>
  <si>
    <t>05747652010008</t>
  </si>
  <si>
    <t>05747800594</t>
  </si>
  <si>
    <t>05747800594001</t>
  </si>
  <si>
    <t>05747819041</t>
  </si>
  <si>
    <t>05747819041001</t>
  </si>
  <si>
    <t>05747819041002</t>
  </si>
  <si>
    <t>05747847833</t>
  </si>
  <si>
    <t>05747847833002</t>
  </si>
  <si>
    <t>PMC73769AF</t>
  </si>
  <si>
    <t>1250.0</t>
  </si>
  <si>
    <t>13.73</t>
  </si>
  <si>
    <t>B2A-5325</t>
  </si>
  <si>
    <t>05747847833001</t>
  </si>
  <si>
    <t>05747847833007</t>
  </si>
  <si>
    <t>PMC73059AF</t>
  </si>
  <si>
    <t>B2B-4116</t>
  </si>
  <si>
    <t>05747905701</t>
  </si>
  <si>
    <t>05747905701001</t>
  </si>
  <si>
    <t>22.0</t>
  </si>
  <si>
    <t>.09</t>
  </si>
  <si>
    <t>05747905701002</t>
  </si>
  <si>
    <t>05747905701003</t>
  </si>
  <si>
    <t>87.9</t>
  </si>
  <si>
    <t>05747905701004</t>
  </si>
  <si>
    <t>241.8</t>
  </si>
  <si>
    <t>05747971733</t>
  </si>
  <si>
    <t>05747971733001</t>
  </si>
  <si>
    <t>AKE12741AF</t>
  </si>
  <si>
    <t>107.0</t>
  </si>
  <si>
    <t>5.00</t>
  </si>
  <si>
    <t>05748046191</t>
  </si>
  <si>
    <t>05748046191005</t>
  </si>
  <si>
    <t>05748046191001</t>
  </si>
  <si>
    <t>05748046191006</t>
  </si>
  <si>
    <t>05748046191007</t>
  </si>
  <si>
    <t>05748092520</t>
  </si>
  <si>
    <t>05748092520001</t>
  </si>
  <si>
    <t>PMC20589KL</t>
  </si>
  <si>
    <t>2023.0</t>
  </si>
  <si>
    <t>B1B-2939</t>
  </si>
  <si>
    <t>05748092520002</t>
  </si>
  <si>
    <t>PMC21260MP</t>
  </si>
  <si>
    <t>2022.0</t>
  </si>
  <si>
    <t>B1B-2732</t>
  </si>
  <si>
    <t>05748108664</t>
  </si>
  <si>
    <t>05748108664001</t>
  </si>
  <si>
    <t>PMC65631AF</t>
  </si>
  <si>
    <t>514.1</t>
  </si>
  <si>
    <t>12.80</t>
  </si>
  <si>
    <t>B2A-4935</t>
  </si>
  <si>
    <t>05748108690</t>
  </si>
  <si>
    <t>05748108690001</t>
  </si>
  <si>
    <t>PMC71744DL</t>
  </si>
  <si>
    <t>960.0</t>
  </si>
  <si>
    <t>11.56</t>
  </si>
  <si>
    <t>B2A-5234</t>
  </si>
  <si>
    <t>05748166440</t>
  </si>
  <si>
    <t>05748166440001</t>
  </si>
  <si>
    <t>216.0</t>
  </si>
  <si>
    <t>59003</t>
  </si>
  <si>
    <t>05748176332</t>
  </si>
  <si>
    <t>05748176332002</t>
  </si>
  <si>
    <t>1.85</t>
  </si>
  <si>
    <t>55009</t>
  </si>
  <si>
    <t>05748176332001</t>
  </si>
  <si>
    <t>05748176332004</t>
  </si>
  <si>
    <t>55112</t>
  </si>
  <si>
    <t>05748197041</t>
  </si>
  <si>
    <t>05748197041001</t>
  </si>
  <si>
    <t>PMC90296AF</t>
  </si>
  <si>
    <t>3903.0</t>
  </si>
  <si>
    <t>B2C-6028</t>
  </si>
  <si>
    <t>05748197052</t>
  </si>
  <si>
    <t>05748197052001</t>
  </si>
  <si>
    <t>PMC21571KL</t>
  </si>
  <si>
    <t>B2A-5231</t>
  </si>
  <si>
    <t>75.4</t>
  </si>
  <si>
    <t>16306</t>
  </si>
  <si>
    <t>05748224153004</t>
  </si>
  <si>
    <t>452.6</t>
  </si>
  <si>
    <t>05748234572</t>
  </si>
  <si>
    <t>05748234572001</t>
  </si>
  <si>
    <t>21.5</t>
  </si>
  <si>
    <t>05748234572003</t>
  </si>
  <si>
    <t>05748234572007</t>
  </si>
  <si>
    <t>238.5</t>
  </si>
  <si>
    <t>133</t>
  </si>
  <si>
    <t>05748234572008</t>
  </si>
  <si>
    <t>120.1</t>
  </si>
  <si>
    <t>67</t>
  </si>
  <si>
    <t>05748234572009</t>
  </si>
  <si>
    <t>69.9</t>
  </si>
  <si>
    <t>05748234572010</t>
  </si>
  <si>
    <t>05748234572011</t>
  </si>
  <si>
    <t>68.4</t>
  </si>
  <si>
    <t>84</t>
  </si>
  <si>
    <t>05748234572012</t>
  </si>
  <si>
    <t>05748237501</t>
  </si>
  <si>
    <t>05748237501001</t>
  </si>
  <si>
    <t>MCO</t>
  </si>
  <si>
    <t>05748237501002</t>
  </si>
  <si>
    <t>05748237501003</t>
  </si>
  <si>
    <t>774.1</t>
  </si>
  <si>
    <t>05748237501004</t>
  </si>
  <si>
    <t>05748237501005</t>
  </si>
  <si>
    <t>05748237501006</t>
  </si>
  <si>
    <t>05748248056</t>
  </si>
  <si>
    <t>05748248056001</t>
  </si>
  <si>
    <t>DIP</t>
  </si>
  <si>
    <t>56008</t>
  </si>
  <si>
    <t>05748248056002</t>
  </si>
  <si>
    <t>Q2401</t>
  </si>
  <si>
    <t>05748248056003</t>
  </si>
  <si>
    <t>56209</t>
  </si>
  <si>
    <t>05748248071</t>
  </si>
  <si>
    <t>05748248071001</t>
  </si>
  <si>
    <t>35.0</t>
  </si>
  <si>
    <t>BZV</t>
  </si>
  <si>
    <t>N5303</t>
  </si>
  <si>
    <t>05748248082</t>
  </si>
  <si>
    <t>05748248082001</t>
  </si>
  <si>
    <t>78.0</t>
  </si>
  <si>
    <t>73003</t>
  </si>
  <si>
    <t>9.0</t>
  </si>
  <si>
    <t>93406</t>
  </si>
  <si>
    <t>05748255852</t>
  </si>
  <si>
    <t>05748255852002</t>
  </si>
  <si>
    <t>786.0</t>
  </si>
  <si>
    <t>DUR</t>
  </si>
  <si>
    <t>51007</t>
  </si>
  <si>
    <t>05748255852001</t>
  </si>
  <si>
    <t>05748285296</t>
  </si>
  <si>
    <t>05748285296001</t>
  </si>
  <si>
    <t>13.2</t>
  </si>
  <si>
    <t>RLM</t>
  </si>
  <si>
    <t>05748330730</t>
  </si>
  <si>
    <t>05748330730001</t>
  </si>
  <si>
    <t>114.8</t>
  </si>
  <si>
    <t>05748330730002</t>
  </si>
  <si>
    <t>7.2</t>
  </si>
  <si>
    <t>05748338754001</t>
  </si>
  <si>
    <t>1875.0</t>
  </si>
  <si>
    <t>AWB not captured </t>
  </si>
  <si>
    <t>05748338754</t>
  </si>
  <si>
    <t>05748338754002</t>
  </si>
  <si>
    <t>4.45</t>
  </si>
  <si>
    <t>05748340541</t>
  </si>
  <si>
    <t>05748340541001</t>
  </si>
  <si>
    <t>VN404</t>
  </si>
  <si>
    <t>05748340541002</t>
  </si>
  <si>
    <t>VN405</t>
  </si>
  <si>
    <t>05748341075</t>
  </si>
  <si>
    <t>05748341075001</t>
  </si>
  <si>
    <t>05748386855</t>
  </si>
  <si>
    <t>05748386855001</t>
  </si>
  <si>
    <t>05748451336</t>
  </si>
  <si>
    <t>05748451336001</t>
  </si>
  <si>
    <t>PMC66082AF</t>
  </si>
  <si>
    <t>436.0</t>
  </si>
  <si>
    <t>PHX</t>
  </si>
  <si>
    <t>FA3-PI00</t>
  </si>
  <si>
    <t>05748463881</t>
  </si>
  <si>
    <t>05748463881001</t>
  </si>
  <si>
    <t>169.3</t>
  </si>
  <si>
    <t>54412</t>
  </si>
  <si>
    <t>HAWB finalised manually</t>
  </si>
  <si>
    <t>05748463881002</t>
  </si>
  <si>
    <t>338.7</t>
  </si>
  <si>
    <t>55102</t>
  </si>
  <si>
    <t>05748467871</t>
  </si>
  <si>
    <t>05748467871001</t>
  </si>
  <si>
    <t>239.5</t>
  </si>
  <si>
    <t>69103</t>
  </si>
  <si>
    <t>05748467926</t>
  </si>
  <si>
    <t>05748467926001</t>
  </si>
  <si>
    <t>94009</t>
  </si>
  <si>
    <t>05748469341</t>
  </si>
  <si>
    <t>05748469341001</t>
  </si>
  <si>
    <t>PMC73301AF</t>
  </si>
  <si>
    <t>633.0</t>
  </si>
  <si>
    <t>6.94</t>
  </si>
  <si>
    <t>05748479771</t>
  </si>
  <si>
    <t>05748479771001</t>
  </si>
  <si>
    <t>N3001</t>
  </si>
  <si>
    <t>05748500911</t>
  </si>
  <si>
    <t>05748500911001</t>
  </si>
  <si>
    <t>48.0</t>
  </si>
  <si>
    <t>S3101</t>
  </si>
  <si>
    <t>05748513511</t>
  </si>
  <si>
    <t>05748513511001</t>
  </si>
  <si>
    <t>568.0</t>
  </si>
  <si>
    <t>AX600</t>
  </si>
  <si>
    <t>05748596822</t>
  </si>
  <si>
    <t>05748596822001</t>
  </si>
  <si>
    <t>PMC72494AF</t>
  </si>
  <si>
    <t>1329.5</t>
  </si>
  <si>
    <t>37</t>
  </si>
  <si>
    <t>8.20</t>
  </si>
  <si>
    <t>B2A-5430</t>
  </si>
  <si>
    <t>05748625135</t>
  </si>
  <si>
    <t>05748625135001</t>
  </si>
  <si>
    <t>105.0</t>
  </si>
  <si>
    <t>N5103</t>
  </si>
  <si>
    <t>05748659704</t>
  </si>
  <si>
    <t>05748659704001</t>
  </si>
  <si>
    <t>46.8</t>
  </si>
  <si>
    <t>05748659704002</t>
  </si>
  <si>
    <t>374.5</t>
  </si>
  <si>
    <t>R5001</t>
  </si>
  <si>
    <t>05748659704003</t>
  </si>
  <si>
    <t>234.1</t>
  </si>
  <si>
    <t>S7302</t>
  </si>
  <si>
    <t>05748659704004</t>
  </si>
  <si>
    <t>93.6</t>
  </si>
  <si>
    <t>05748670112</t>
  </si>
  <si>
    <t>05748670112001</t>
  </si>
  <si>
    <t>PMC76436AF</t>
  </si>
  <si>
    <t>1479.0</t>
  </si>
  <si>
    <t>163</t>
  </si>
  <si>
    <t>B2B-4115</t>
  </si>
  <si>
    <t>05748670123</t>
  </si>
  <si>
    <t>05748670123001</t>
  </si>
  <si>
    <t>PMC24546KL</t>
  </si>
  <si>
    <t>8.71</t>
  </si>
  <si>
    <t>B2A-5215</t>
  </si>
  <si>
    <t>05748684311</t>
  </si>
  <si>
    <t>05748684311001</t>
  </si>
  <si>
    <t>PMC71558AF</t>
  </si>
  <si>
    <t>2274.0</t>
  </si>
  <si>
    <t>B2C-6029</t>
  </si>
  <si>
    <t>05748710966</t>
  </si>
  <si>
    <t>05748710966001</t>
  </si>
  <si>
    <t>55010</t>
  </si>
  <si>
    <t>05748710992</t>
  </si>
  <si>
    <t>05748710992001</t>
  </si>
  <si>
    <t>6944</t>
  </si>
  <si>
    <t>AMS00</t>
  </si>
  <si>
    <t>05748711003</t>
  </si>
  <si>
    <t>05748711003001</t>
  </si>
  <si>
    <t>05748720965</t>
  </si>
  <si>
    <t>05748720965001</t>
  </si>
  <si>
    <t>171.0</t>
  </si>
  <si>
    <t>05748742595</t>
  </si>
  <si>
    <t>05748742595001</t>
  </si>
  <si>
    <t>N6302</t>
  </si>
  <si>
    <t>05748744765</t>
  </si>
  <si>
    <t>05748744765001</t>
  </si>
  <si>
    <t>810.0</t>
  </si>
  <si>
    <t>05748750262</t>
  </si>
  <si>
    <t>05748750262001</t>
  </si>
  <si>
    <t>219.7</t>
  </si>
  <si>
    <t>05748750262003</t>
  </si>
  <si>
    <t>05748750262002</t>
  </si>
  <si>
    <t>R6304</t>
  </si>
  <si>
    <t>05748754650</t>
  </si>
  <si>
    <t>05748754650001</t>
  </si>
  <si>
    <t>105.7</t>
  </si>
  <si>
    <t>05748754650002</t>
  </si>
  <si>
    <t>05748754650003</t>
  </si>
  <si>
    <t>05748760423</t>
  </si>
  <si>
    <t>05748760423001</t>
  </si>
  <si>
    <t>2.31</t>
  </si>
  <si>
    <t>69001</t>
  </si>
  <si>
    <t>05748763050</t>
  </si>
  <si>
    <t>05748763050001</t>
  </si>
  <si>
    <t>AKE11890AF</t>
  </si>
  <si>
    <t>701.0</t>
  </si>
  <si>
    <t>121</t>
  </si>
  <si>
    <t>3.63</t>
  </si>
  <si>
    <t>05748763050002</t>
  </si>
  <si>
    <t>AKE13272AF</t>
  </si>
  <si>
    <t>750.0</t>
  </si>
  <si>
    <t>05748784713</t>
  </si>
  <si>
    <t>05748784713001</t>
  </si>
  <si>
    <t>05748784713002</t>
  </si>
  <si>
    <t>05748801944</t>
  </si>
  <si>
    <t>05748801944001</t>
  </si>
  <si>
    <t>52101</t>
  </si>
  <si>
    <t>05748807824</t>
  </si>
  <si>
    <t>05748807824001</t>
  </si>
  <si>
    <t>Q5003</t>
  </si>
  <si>
    <t>05748807824002</t>
  </si>
  <si>
    <t>407.3</t>
  </si>
  <si>
    <t>RFK26</t>
  </si>
  <si>
    <t>05748807824003</t>
  </si>
  <si>
    <t>203.6</t>
  </si>
  <si>
    <t>05748807824004</t>
  </si>
  <si>
    <t>305.5</t>
  </si>
  <si>
    <t>05748807964</t>
  </si>
  <si>
    <t>05748807964001</t>
  </si>
  <si>
    <t>390M</t>
  </si>
  <si>
    <t>BRU00</t>
  </si>
  <si>
    <t>05748810646</t>
  </si>
  <si>
    <t>05748810646001</t>
  </si>
  <si>
    <t>05748810646002</t>
  </si>
  <si>
    <t>296.0</t>
  </si>
  <si>
    <t>05748810694</t>
  </si>
  <si>
    <t>05748810694001</t>
  </si>
  <si>
    <t>M7403</t>
  </si>
  <si>
    <t>05748810952</t>
  </si>
  <si>
    <t>05748810952001</t>
  </si>
  <si>
    <t>77.0</t>
  </si>
  <si>
    <t>05748810952002</t>
  </si>
  <si>
    <t>153.9</t>
  </si>
  <si>
    <t>05748812105</t>
  </si>
  <si>
    <t>05748812105001</t>
  </si>
  <si>
    <t>110.5</t>
  </si>
  <si>
    <t>73203</t>
  </si>
  <si>
    <t>05748812105002</t>
  </si>
  <si>
    <t>73202</t>
  </si>
  <si>
    <t>05748812153</t>
  </si>
  <si>
    <t>05748812153001</t>
  </si>
  <si>
    <t>157.5</t>
  </si>
  <si>
    <t>50402</t>
  </si>
  <si>
    <t>05748812153002</t>
  </si>
  <si>
    <t>72001</t>
  </si>
  <si>
    <t>05748831893</t>
  </si>
  <si>
    <t>05748831893001</t>
  </si>
  <si>
    <t>PMC20586KL</t>
  </si>
  <si>
    <t>309.6</t>
  </si>
  <si>
    <t>B2A-5129</t>
  </si>
  <si>
    <t>05748831893002</t>
  </si>
  <si>
    <t>05748831893003</t>
  </si>
  <si>
    <t>05748831893004</t>
  </si>
  <si>
    <t>05748831893005</t>
  </si>
  <si>
    <t>PMC63904AF</t>
  </si>
  <si>
    <t>FA1-PI00</t>
  </si>
  <si>
    <t>05748831915</t>
  </si>
  <si>
    <t>05748831915001</t>
  </si>
  <si>
    <t>2.59</t>
  </si>
  <si>
    <t>RSC</t>
  </si>
  <si>
    <t>LRD</t>
  </si>
  <si>
    <t>05748831930</t>
  </si>
  <si>
    <t>05748831930001</t>
  </si>
  <si>
    <t>05748928526</t>
  </si>
  <si>
    <t>05748928526001</t>
  </si>
  <si>
    <t>2.40</t>
  </si>
  <si>
    <t>05748928935</t>
  </si>
  <si>
    <t>05748928935001</t>
  </si>
  <si>
    <t>Q2004</t>
  </si>
  <si>
    <t>05748933850</t>
  </si>
  <si>
    <t>05748933850001</t>
  </si>
  <si>
    <t>PMC86032DL</t>
  </si>
  <si>
    <t>1572.0</t>
  </si>
  <si>
    <t>5.49</t>
  </si>
  <si>
    <t>B2A-5029</t>
  </si>
  <si>
    <t>05748933850002</t>
  </si>
  <si>
    <t>PMC98816DL</t>
  </si>
  <si>
    <t>670.0</t>
  </si>
  <si>
    <t>B2A-5121</t>
  </si>
  <si>
    <t>05748949961</t>
  </si>
  <si>
    <t>05748949961001</t>
  </si>
  <si>
    <t>11.8</t>
  </si>
  <si>
    <t>94401</t>
  </si>
  <si>
    <t>05748949972</t>
  </si>
  <si>
    <t>05748949972001</t>
  </si>
  <si>
    <t>83.9</t>
  </si>
  <si>
    <t>94101</t>
  </si>
  <si>
    <t>05748959945</t>
  </si>
  <si>
    <t>05748959945001</t>
  </si>
  <si>
    <t>215.6</t>
  </si>
  <si>
    <t>72203</t>
  </si>
  <si>
    <t>05748959956</t>
  </si>
  <si>
    <t>05748959956001</t>
  </si>
  <si>
    <t>M7404</t>
  </si>
  <si>
    <t>05748967041</t>
  </si>
  <si>
    <t>05748967041003</t>
  </si>
  <si>
    <t>PMC20489MP</t>
  </si>
  <si>
    <t>875.4</t>
  </si>
  <si>
    <t>69</t>
  </si>
  <si>
    <t>8.82</t>
  </si>
  <si>
    <t>B2B-4341</t>
  </si>
  <si>
    <t>05748967041001</t>
  </si>
  <si>
    <t>05748967041004</t>
  </si>
  <si>
    <t>PMC24115KL</t>
  </si>
  <si>
    <t>1076.5</t>
  </si>
  <si>
    <t>86</t>
  </si>
  <si>
    <t>10.99</t>
  </si>
  <si>
    <t>B1B-2737</t>
  </si>
  <si>
    <t>05748967041005</t>
  </si>
  <si>
    <t>PMC31949KL</t>
  </si>
  <si>
    <t>1090.0</t>
  </si>
  <si>
    <t>83</t>
  </si>
  <si>
    <t>10.61</t>
  </si>
  <si>
    <t>B1B-2944</t>
  </si>
  <si>
    <t>05748968872</t>
  </si>
  <si>
    <t>05748968872001</t>
  </si>
  <si>
    <t>150.7</t>
  </si>
  <si>
    <t>50105</t>
  </si>
  <si>
    <t>05748968872002</t>
  </si>
  <si>
    <t>52305</t>
  </si>
  <si>
    <t>05748968872003</t>
  </si>
  <si>
    <t>52102</t>
  </si>
  <si>
    <t>05748973260</t>
  </si>
  <si>
    <t>05748973260001</t>
  </si>
  <si>
    <t>237.1</t>
  </si>
  <si>
    <t>62009</t>
  </si>
  <si>
    <t>05748982603</t>
  </si>
  <si>
    <t>05748982603001</t>
  </si>
  <si>
    <t>05748982603002</t>
  </si>
  <si>
    <t>05748983550</t>
  </si>
  <si>
    <t>05748983550001</t>
  </si>
  <si>
    <t>36.0</t>
  </si>
  <si>
    <t>52103</t>
  </si>
  <si>
    <t>05749010290</t>
  </si>
  <si>
    <t>05749010290001</t>
  </si>
  <si>
    <t>P3403</t>
  </si>
  <si>
    <t>05749016575</t>
  </si>
  <si>
    <t>05749016575001</t>
  </si>
  <si>
    <t>PMC20325KL</t>
  </si>
  <si>
    <t>1787.0</t>
  </si>
  <si>
    <t>97</t>
  </si>
  <si>
    <t>B1C-2142</t>
  </si>
  <si>
    <t>05749021151</t>
  </si>
  <si>
    <t>05749021151001</t>
  </si>
  <si>
    <t>R2301</t>
  </si>
  <si>
    <t>05749021184</t>
  </si>
  <si>
    <t>05749021184001</t>
  </si>
  <si>
    <t>M3104</t>
  </si>
  <si>
    <t>05749043525004</t>
  </si>
  <si>
    <t>1229.1</t>
  </si>
  <si>
    <t>HLC075</t>
  </si>
  <si>
    <t>Internal error occurs when AWB is listed in capture AWB .</t>
  </si>
  <si>
    <t>05749043525005</t>
  </si>
  <si>
    <t>1120.3</t>
  </si>
  <si>
    <t>05749051133</t>
  </si>
  <si>
    <t>05749051133001</t>
  </si>
  <si>
    <t>05749051133002</t>
  </si>
  <si>
    <t>05749056803</t>
  </si>
  <si>
    <t>05749056803001</t>
  </si>
  <si>
    <t>HLC002</t>
  </si>
  <si>
    <t>05749056836</t>
  </si>
  <si>
    <t>05749056836001</t>
  </si>
  <si>
    <t>HLC013</t>
  </si>
  <si>
    <t>05749056873</t>
  </si>
  <si>
    <t>05749056873001</t>
  </si>
  <si>
    <t>M4402</t>
  </si>
  <si>
    <t>05749067955</t>
  </si>
  <si>
    <t>05749067955001</t>
  </si>
  <si>
    <t>165.5</t>
  </si>
  <si>
    <t>05749067955002</t>
  </si>
  <si>
    <t>51111</t>
  </si>
  <si>
    <t>05749069425</t>
  </si>
  <si>
    <t>05749069425001</t>
  </si>
  <si>
    <t>05749069425002</t>
  </si>
  <si>
    <t>16101</t>
  </si>
  <si>
    <t>05749069425003</t>
  </si>
  <si>
    <t>05749077674</t>
  </si>
  <si>
    <t>05749077674001</t>
  </si>
  <si>
    <t>213.3</t>
  </si>
  <si>
    <t>N3101</t>
  </si>
  <si>
    <t>05749077674002</t>
  </si>
  <si>
    <t>M4104</t>
  </si>
  <si>
    <t>05749077674003</t>
  </si>
  <si>
    <t>M7303</t>
  </si>
  <si>
    <t>05749077696</t>
  </si>
  <si>
    <t>05749077696001</t>
  </si>
  <si>
    <t>139.7</t>
  </si>
  <si>
    <t>RFK28</t>
  </si>
  <si>
    <t>05749077696002</t>
  </si>
  <si>
    <t>139.8</t>
  </si>
  <si>
    <t>05749077696003</t>
  </si>
  <si>
    <t>05749077696004</t>
  </si>
  <si>
    <t>05749079914</t>
  </si>
  <si>
    <t>05749079914001</t>
  </si>
  <si>
    <t>LNZ</t>
  </si>
  <si>
    <t>05749091512</t>
  </si>
  <si>
    <t>05749091512001</t>
  </si>
  <si>
    <t>5.0</t>
  </si>
  <si>
    <t>05749109992001</t>
  </si>
  <si>
    <t>1.4</t>
  </si>
  <si>
    <t>05749130653</t>
  </si>
  <si>
    <t>05749130653001</t>
  </si>
  <si>
    <t>RFK04</t>
  </si>
  <si>
    <t>Internal error occurs when 'As is execute' is clicked . </t>
  </si>
  <si>
    <t>05749130664</t>
  </si>
  <si>
    <t>05749130664001</t>
  </si>
  <si>
    <t>26.0</t>
  </si>
  <si>
    <t>S1403</t>
  </si>
  <si>
    <t>05749130675</t>
  </si>
  <si>
    <t>05749130675001</t>
  </si>
  <si>
    <t>49103</t>
  </si>
  <si>
    <t>05749130701</t>
  </si>
  <si>
    <t>05749130701001</t>
  </si>
  <si>
    <t>29.0</t>
  </si>
  <si>
    <t>S3002</t>
  </si>
  <si>
    <t>05749153333</t>
  </si>
  <si>
    <t>05749153333002</t>
  </si>
  <si>
    <t>AKE03562AF</t>
  </si>
  <si>
    <t>866.0</t>
  </si>
  <si>
    <t>43</t>
  </si>
  <si>
    <t>3.21</t>
  </si>
  <si>
    <t>05749153333001</t>
  </si>
  <si>
    <t>05766769485</t>
  </si>
  <si>
    <t>05766769485001</t>
  </si>
  <si>
    <t>2.71</t>
  </si>
  <si>
    <t>RFK25</t>
  </si>
  <si>
    <t>05766769485002</t>
  </si>
  <si>
    <t>05766769485003</t>
  </si>
  <si>
    <t>05770805722</t>
  </si>
  <si>
    <t>05770805722001</t>
  </si>
  <si>
    <t>AKE04561AF</t>
  </si>
  <si>
    <t>GFR-FR002</t>
  </si>
  <si>
    <t>05771252996</t>
  </si>
  <si>
    <t>05771252996001</t>
  </si>
  <si>
    <t>96.7</t>
  </si>
  <si>
    <t>LLC11</t>
  </si>
  <si>
    <t>05771253335</t>
  </si>
  <si>
    <t>05771253335001</t>
  </si>
  <si>
    <t>220.9</t>
  </si>
  <si>
    <t>R7001</t>
  </si>
  <si>
    <t>05771253335002</t>
  </si>
  <si>
    <t>147.2</t>
  </si>
  <si>
    <t>05771288394</t>
  </si>
  <si>
    <t>05771288394001</t>
  </si>
  <si>
    <t>265.0</t>
  </si>
  <si>
    <t>53012</t>
  </si>
  <si>
    <t>05771302453</t>
  </si>
  <si>
    <t>05771302453001</t>
  </si>
  <si>
    <t>59108</t>
  </si>
  <si>
    <t>05771324746</t>
  </si>
  <si>
    <t>05771324746001</t>
  </si>
  <si>
    <t>05771324746002</t>
  </si>
  <si>
    <t>61106</t>
  </si>
  <si>
    <t>05771333290052</t>
  </si>
  <si>
    <t>373.9</t>
  </si>
  <si>
    <t>05771521446</t>
  </si>
  <si>
    <t>05771521446001</t>
  </si>
  <si>
    <t>05771761933</t>
  </si>
  <si>
    <t>05771761933001</t>
  </si>
  <si>
    <t>303.0</t>
  </si>
  <si>
    <t>05771772396</t>
  </si>
  <si>
    <t>05771772396001</t>
  </si>
  <si>
    <t>HLC161</t>
  </si>
  <si>
    <t>PAG14450KL</t>
  </si>
  <si>
    <t>843.7</t>
  </si>
  <si>
    <t>3.44</t>
  </si>
  <si>
    <t>B2A-4927</t>
  </si>
  <si>
    <t>05787402571</t>
  </si>
  <si>
    <t>05787402571001</t>
  </si>
  <si>
    <t>05787402571002</t>
  </si>
  <si>
    <t>05787402571003</t>
  </si>
  <si>
    <t>05787402571004</t>
  </si>
  <si>
    <t>05787402571005</t>
  </si>
  <si>
    <t>05790415345</t>
  </si>
  <si>
    <t>05790415345001</t>
  </si>
  <si>
    <t>HAWB finalized manually and No Booking information</t>
  </si>
  <si>
    <t>05791539906</t>
  </si>
  <si>
    <t>05791539906001</t>
  </si>
  <si>
    <t>POA</t>
  </si>
  <si>
    <t>49105</t>
  </si>
  <si>
    <t>05791539906002</t>
  </si>
  <si>
    <t>110.6</t>
  </si>
  <si>
    <t>S6103</t>
  </si>
  <si>
    <t>05797570314</t>
  </si>
  <si>
    <t>05797570314001</t>
  </si>
  <si>
    <t>20.0</t>
  </si>
  <si>
    <t>934</t>
  </si>
  <si>
    <t>05797570325</t>
  </si>
  <si>
    <t>05797570325001</t>
  </si>
  <si>
    <t>05797570336</t>
  </si>
  <si>
    <t>05797570336001</t>
  </si>
  <si>
    <t>R2403</t>
  </si>
  <si>
    <t>07400498212</t>
  </si>
  <si>
    <t>07400498212001</t>
  </si>
  <si>
    <t>135.3</t>
  </si>
  <si>
    <t>07400891844</t>
  </si>
  <si>
    <t>07400891844001</t>
  </si>
  <si>
    <t>07446547476</t>
  </si>
  <si>
    <t>07446547476001</t>
  </si>
  <si>
    <t>P3103</t>
  </si>
  <si>
    <t>07461643330</t>
  </si>
  <si>
    <t>07461643330001</t>
  </si>
  <si>
    <t>DAR</t>
  </si>
  <si>
    <t>50401</t>
  </si>
  <si>
    <t>07461643352</t>
  </si>
  <si>
    <t>07461643352001</t>
  </si>
  <si>
    <t>846.0</t>
  </si>
  <si>
    <t>95012</t>
  </si>
  <si>
    <t>07461643352002</t>
  </si>
  <si>
    <t>2.74</t>
  </si>
  <si>
    <t>95014</t>
  </si>
  <si>
    <t>07461960986</t>
  </si>
  <si>
    <t>07461960986001</t>
  </si>
  <si>
    <t>07462107404</t>
  </si>
  <si>
    <t>07462107404001</t>
  </si>
  <si>
    <t>421.3</t>
  </si>
  <si>
    <t>50101</t>
  </si>
  <si>
    <t>07462107404002</t>
  </si>
  <si>
    <t>07462107404003</t>
  </si>
  <si>
    <t>07462357315</t>
  </si>
  <si>
    <t>07462357315002</t>
  </si>
  <si>
    <t>Error as SLAC pieces is less than stated pieces</t>
  </si>
  <si>
    <t>07462360653</t>
  </si>
  <si>
    <t>07462360653001</t>
  </si>
  <si>
    <t>07462635790</t>
  </si>
  <si>
    <t>07462635790001</t>
  </si>
  <si>
    <t>55011</t>
  </si>
  <si>
    <t>07462635790004</t>
  </si>
  <si>
    <t>55107</t>
  </si>
  <si>
    <t>07462659822</t>
  </si>
  <si>
    <t>07462659822001</t>
  </si>
  <si>
    <t>84.5</t>
  </si>
  <si>
    <t>PEN</t>
  </si>
  <si>
    <t>07462915543</t>
  </si>
  <si>
    <t>07462915543001</t>
  </si>
  <si>
    <t>158.0</t>
  </si>
  <si>
    <t>KUL</t>
  </si>
  <si>
    <t>07462918693</t>
  </si>
  <si>
    <t>07462918693001</t>
  </si>
  <si>
    <t>82.1</t>
  </si>
  <si>
    <t>LHE</t>
  </si>
  <si>
    <t>07462918693002</t>
  </si>
  <si>
    <t>07462918693003</t>
  </si>
  <si>
    <t>109.4</t>
  </si>
  <si>
    <t>07462918995</t>
  </si>
  <si>
    <t>07462918995001</t>
  </si>
  <si>
    <t>72002</t>
  </si>
  <si>
    <t>07463066043</t>
  </si>
  <si>
    <t>07463066043001</t>
  </si>
  <si>
    <t>475.0</t>
  </si>
  <si>
    <t>N6104</t>
  </si>
  <si>
    <t>07463066043002</t>
  </si>
  <si>
    <t>N6103</t>
  </si>
  <si>
    <t>00655206981</t>
  </si>
  <si>
    <t>00655206981001</t>
  </si>
  <si>
    <t>HLC016</t>
  </si>
  <si>
    <t>3.3</t>
  </si>
  <si>
    <t>00655207003</t>
  </si>
  <si>
    <t>00655207003001</t>
  </si>
  <si>
    <t>E9200</t>
  </si>
  <si>
    <t>05703062323</t>
  </si>
  <si>
    <t>05703062323001</t>
  </si>
  <si>
    <t>05704792546</t>
  </si>
  <si>
    <t>05704792546001</t>
  </si>
  <si>
    <t>65.0</t>
  </si>
  <si>
    <t>05705184734</t>
  </si>
  <si>
    <t>05705184734001</t>
  </si>
  <si>
    <t>104.5</t>
  </si>
  <si>
    <t>05705184734002</t>
  </si>
  <si>
    <t>RFK20</t>
  </si>
  <si>
    <t>05705184734003</t>
  </si>
  <si>
    <t>05705184734004</t>
  </si>
  <si>
    <t>05705186005</t>
  </si>
  <si>
    <t>05705186005001</t>
  </si>
  <si>
    <t>PAG10537AF</t>
  </si>
  <si>
    <t>B1B-3012</t>
  </si>
  <si>
    <t>05705189472</t>
  </si>
  <si>
    <t>05705189472001</t>
  </si>
  <si>
    <t>PMC73373AF</t>
  </si>
  <si>
    <t>1169.0</t>
  </si>
  <si>
    <t>78</t>
  </si>
  <si>
    <t>3.81</t>
  </si>
  <si>
    <t>9926</t>
  </si>
  <si>
    <t>B2A-5123</t>
  </si>
  <si>
    <t>05705191351</t>
  </si>
  <si>
    <t>05705191351001</t>
  </si>
  <si>
    <t>98.6</t>
  </si>
  <si>
    <t>2.64</t>
  </si>
  <si>
    <t>OTP</t>
  </si>
  <si>
    <t>52106</t>
  </si>
  <si>
    <t>05705191351002</t>
  </si>
  <si>
    <t>14.1</t>
  </si>
  <si>
    <t>49308</t>
  </si>
  <si>
    <t>05705191351003</t>
  </si>
  <si>
    <t>M6101</t>
  </si>
  <si>
    <t>05705191351004</t>
  </si>
  <si>
    <t>49003</t>
  </si>
  <si>
    <t>05705191395</t>
  </si>
  <si>
    <t>05705191395001</t>
  </si>
  <si>
    <t>PMC93362DL</t>
  </si>
  <si>
    <t>RIC</t>
  </si>
  <si>
    <t>B2C-5741</t>
  </si>
  <si>
    <t>05705192611</t>
  </si>
  <si>
    <t>05705192611001</t>
  </si>
  <si>
    <t>12.1</t>
  </si>
  <si>
    <t>05705197511</t>
  </si>
  <si>
    <t>05705197511001</t>
  </si>
  <si>
    <t>05705197511002</t>
  </si>
  <si>
    <t>05705201556</t>
  </si>
  <si>
    <t>05705201556001</t>
  </si>
  <si>
    <t>PMC06038AF</t>
  </si>
  <si>
    <t>831.0</t>
  </si>
  <si>
    <t>3.13</t>
  </si>
  <si>
    <t>BRT-2333</t>
  </si>
  <si>
    <t>05705211091</t>
  </si>
  <si>
    <t>05705211091002</t>
  </si>
  <si>
    <t>PMC75531AF</t>
  </si>
  <si>
    <t>3928.0</t>
  </si>
  <si>
    <t>B2A-5133</t>
  </si>
  <si>
    <t>05705218150</t>
  </si>
  <si>
    <t>05705218150001</t>
  </si>
  <si>
    <t>197.2</t>
  </si>
  <si>
    <t>58311</t>
  </si>
  <si>
    <t>05705219830</t>
  </si>
  <si>
    <t>05705219830001</t>
  </si>
  <si>
    <t>141.3</t>
  </si>
  <si>
    <t>264</t>
  </si>
  <si>
    <t>E8200</t>
  </si>
  <si>
    <t>05705219830002</t>
  </si>
  <si>
    <t>05705219830003</t>
  </si>
  <si>
    <t>141.4</t>
  </si>
  <si>
    <t>05705220471</t>
  </si>
  <si>
    <t>05705220471001</t>
  </si>
  <si>
    <t>157.3</t>
  </si>
  <si>
    <t>662</t>
  </si>
  <si>
    <t>C1011</t>
  </si>
  <si>
    <t>05705220471002</t>
  </si>
  <si>
    <t>C1404</t>
  </si>
  <si>
    <t>05705220471003</t>
  </si>
  <si>
    <t>157.4</t>
  </si>
  <si>
    <t>C1302</t>
  </si>
  <si>
    <t>05705225172</t>
  </si>
  <si>
    <t>05705225172001</t>
  </si>
  <si>
    <t>PAG01316DL</t>
  </si>
  <si>
    <t>507.5</t>
  </si>
  <si>
    <t>05705225172002</t>
  </si>
  <si>
    <t>05705225172003</t>
  </si>
  <si>
    <t>05705225172004</t>
  </si>
  <si>
    <t>05705240314</t>
  </si>
  <si>
    <t>05705240314001</t>
  </si>
  <si>
    <t>434.0</t>
  </si>
  <si>
    <t>HLC046</t>
  </si>
  <si>
    <t>05705242801002</t>
  </si>
  <si>
    <t>OD2OUI</t>
  </si>
  <si>
    <t>05705242801003</t>
  </si>
  <si>
    <t>05705242801004</t>
  </si>
  <si>
    <t>05705243162</t>
  </si>
  <si>
    <t>05705243162001</t>
  </si>
  <si>
    <t>R3303</t>
  </si>
  <si>
    <t>05705248106</t>
  </si>
  <si>
    <t>05705248106001</t>
  </si>
  <si>
    <t>220.7</t>
  </si>
  <si>
    <t>05705248106002</t>
  </si>
  <si>
    <t>662.2</t>
  </si>
  <si>
    <t>05705248106003</t>
  </si>
  <si>
    <t>05705285862</t>
  </si>
  <si>
    <t>05705285862002</t>
  </si>
  <si>
    <t>52009</t>
  </si>
  <si>
    <t>05705285906</t>
  </si>
  <si>
    <t>05705285906001</t>
  </si>
  <si>
    <t>Y6013</t>
  </si>
  <si>
    <t>05705289900</t>
  </si>
  <si>
    <t>05705289900001</t>
  </si>
  <si>
    <t>2.78</t>
  </si>
  <si>
    <t>05705290250</t>
  </si>
  <si>
    <t>05705290250001</t>
  </si>
  <si>
    <t>05705290250002</t>
  </si>
  <si>
    <t>05705290294</t>
  </si>
  <si>
    <t>05705290294001</t>
  </si>
  <si>
    <t>05705290294002</t>
  </si>
  <si>
    <t>05705293245</t>
  </si>
  <si>
    <t>05705293245001</t>
  </si>
  <si>
    <t>34.7</t>
  </si>
  <si>
    <t>05705293245002</t>
  </si>
  <si>
    <t>104.3</t>
  </si>
  <si>
    <t>49401</t>
  </si>
  <si>
    <t>05705306836</t>
  </si>
  <si>
    <t>05705306836001</t>
  </si>
  <si>
    <t>M3403</t>
  </si>
  <si>
    <t>05705307396</t>
  </si>
  <si>
    <t>05705307396001</t>
  </si>
  <si>
    <t>3.36</t>
  </si>
  <si>
    <t>05705323581</t>
  </si>
  <si>
    <t>05705323581001</t>
  </si>
  <si>
    <t>779.3</t>
  </si>
  <si>
    <t>53011</t>
  </si>
  <si>
    <t>05705323581002</t>
  </si>
  <si>
    <t>54011</t>
  </si>
  <si>
    <t>05705323581003</t>
  </si>
  <si>
    <t>779.4</t>
  </si>
  <si>
    <t>52011</t>
  </si>
  <si>
    <t>05705325040</t>
  </si>
  <si>
    <t>05705325040001</t>
  </si>
  <si>
    <t>553.0</t>
  </si>
  <si>
    <t>05705325040002</t>
  </si>
  <si>
    <t>05705325040003</t>
  </si>
  <si>
    <t>05705329063</t>
  </si>
  <si>
    <t>05705329063001</t>
  </si>
  <si>
    <t>456.0</t>
  </si>
  <si>
    <t>05705340753</t>
  </si>
  <si>
    <t>05705340753001</t>
  </si>
  <si>
    <t>R4403</t>
  </si>
  <si>
    <t>05705344382</t>
  </si>
  <si>
    <t>05705344382001</t>
  </si>
  <si>
    <t>XE9999</t>
  </si>
  <si>
    <t>05705352454</t>
  </si>
  <si>
    <t>05705352454001</t>
  </si>
  <si>
    <t>96.0</t>
  </si>
  <si>
    <t>05705354112</t>
  </si>
  <si>
    <t>05705354112001</t>
  </si>
  <si>
    <t>64101</t>
  </si>
  <si>
    <t>05705372150</t>
  </si>
  <si>
    <t>05705372150001</t>
  </si>
  <si>
    <t>49303</t>
  </si>
  <si>
    <t>05705372194</t>
  </si>
  <si>
    <t>05705372194001</t>
  </si>
  <si>
    <t>05705372253</t>
  </si>
  <si>
    <t>05705372253001</t>
  </si>
  <si>
    <t>P5403</t>
  </si>
  <si>
    <t>05705372264</t>
  </si>
  <si>
    <t>05705372264001</t>
  </si>
  <si>
    <t>50110</t>
  </si>
  <si>
    <t>05705372275</t>
  </si>
  <si>
    <t>05705372275001</t>
  </si>
  <si>
    <t>05705372301</t>
  </si>
  <si>
    <t>05705372301001</t>
  </si>
  <si>
    <t>05705393356</t>
  </si>
  <si>
    <t>05705393356001</t>
  </si>
  <si>
    <t>27.0</t>
  </si>
  <si>
    <t>638</t>
  </si>
  <si>
    <t>AUH</t>
  </si>
  <si>
    <t>64001</t>
  </si>
  <si>
    <t>05705395246</t>
  </si>
  <si>
    <t>05705395246001</t>
  </si>
  <si>
    <t>XKH05027AF</t>
  </si>
  <si>
    <t>7302</t>
  </si>
  <si>
    <t>05708331304</t>
  </si>
  <si>
    <t>05708331304001</t>
  </si>
  <si>
    <t>05709490390</t>
  </si>
  <si>
    <t>05709490390001</t>
  </si>
  <si>
    <t>PMC73236AF</t>
  </si>
  <si>
    <t>746.6</t>
  </si>
  <si>
    <t>B2A-5243</t>
  </si>
  <si>
    <t>05709490390002</t>
  </si>
  <si>
    <t>124.4</t>
  </si>
  <si>
    <t>05710426522</t>
  </si>
  <si>
    <t>05710426522001</t>
  </si>
  <si>
    <t>29.9</t>
  </si>
  <si>
    <t>17006</t>
  </si>
  <si>
    <t>05711468925</t>
  </si>
  <si>
    <t>05711468925001</t>
  </si>
  <si>
    <t>PMC94847DL</t>
  </si>
  <si>
    <t>1659.5</t>
  </si>
  <si>
    <t>4.00</t>
  </si>
  <si>
    <t>B2C-5827</t>
  </si>
  <si>
    <t>05712964136</t>
  </si>
  <si>
    <t>05712964136003</t>
  </si>
  <si>
    <t>93.2</t>
  </si>
  <si>
    <t>05712964136004</t>
  </si>
  <si>
    <t>93.4</t>
  </si>
  <si>
    <t>05712964136005</t>
  </si>
  <si>
    <t>186.7</t>
  </si>
  <si>
    <t>3.27</t>
  </si>
  <si>
    <t>05713002710</t>
  </si>
  <si>
    <t>05713002710001</t>
  </si>
  <si>
    <t>AVI</t>
  </si>
  <si>
    <t>GAV00</t>
  </si>
  <si>
    <t>05713113881</t>
  </si>
  <si>
    <t>05713113881001</t>
  </si>
  <si>
    <t>PMC20770KL</t>
  </si>
  <si>
    <t>1373.5</t>
  </si>
  <si>
    <t>122</t>
  </si>
  <si>
    <t>B2B-4134</t>
  </si>
  <si>
    <t>05713113881002</t>
  </si>
  <si>
    <t>23.6</t>
  </si>
  <si>
    <t>05713113881003</t>
  </si>
  <si>
    <t>67.6</t>
  </si>
  <si>
    <t>AX300</t>
  </si>
  <si>
    <t>05713113881004</t>
  </si>
  <si>
    <t>471.4</t>
  </si>
  <si>
    <t>2.38</t>
  </si>
  <si>
    <t>05713113881005</t>
  </si>
  <si>
    <t>424.3</t>
  </si>
  <si>
    <t>2.14</t>
  </si>
  <si>
    <t>05713113881006</t>
  </si>
  <si>
    <t>PMC08219KL</t>
  </si>
  <si>
    <t>3.77</t>
  </si>
  <si>
    <t>B2A-4744</t>
  </si>
  <si>
    <t>05745732820</t>
  </si>
  <si>
    <t>05745732820001</t>
  </si>
  <si>
    <t>354.5</t>
  </si>
  <si>
    <t>F2006</t>
  </si>
  <si>
    <t>05745732820002</t>
  </si>
  <si>
    <t>F2005</t>
  </si>
  <si>
    <t>05745732820003</t>
  </si>
  <si>
    <t>F2007</t>
  </si>
  <si>
    <t>05745732820004</t>
  </si>
  <si>
    <t>F2004</t>
  </si>
  <si>
    <t>05745857464</t>
  </si>
  <si>
    <t>05745857464001</t>
  </si>
  <si>
    <t>PAG15876KL</t>
  </si>
  <si>
    <t>B1C-2129</t>
  </si>
  <si>
    <t>05746070603</t>
  </si>
  <si>
    <t>05746070603001</t>
  </si>
  <si>
    <t>05746479716</t>
  </si>
  <si>
    <t>05746479716001</t>
  </si>
  <si>
    <t>474.0</t>
  </si>
  <si>
    <t>2.96</t>
  </si>
  <si>
    <t>05747044476</t>
  </si>
  <si>
    <t>05747044476001</t>
  </si>
  <si>
    <t>05747136213051</t>
  </si>
  <si>
    <t>PAG10862AF</t>
  </si>
  <si>
    <t>F86-PI00</t>
  </si>
  <si>
    <t>05747206493002</t>
  </si>
  <si>
    <t>M7302</t>
  </si>
  <si>
    <t>05747206493005</t>
  </si>
  <si>
    <t>05747249823</t>
  </si>
  <si>
    <t>05747249823001</t>
  </si>
  <si>
    <t>161.3</t>
  </si>
  <si>
    <t>05747249823002</t>
  </si>
  <si>
    <t>80.7</t>
  </si>
  <si>
    <t>05747323780</t>
  </si>
  <si>
    <t>05747323780001</t>
  </si>
  <si>
    <t>DPL52655DL</t>
  </si>
  <si>
    <t>KOI-KOI00</t>
  </si>
  <si>
    <t>05747652010009</t>
  </si>
  <si>
    <t>S4103</t>
  </si>
  <si>
    <t>05747730244</t>
  </si>
  <si>
    <t>05747730244001</t>
  </si>
  <si>
    <t>05747825492</t>
  </si>
  <si>
    <t>05747825492001</t>
  </si>
  <si>
    <t>Q3403</t>
  </si>
  <si>
    <t>05747825492002</t>
  </si>
  <si>
    <t>Q2402</t>
  </si>
  <si>
    <t>05747836121</t>
  </si>
  <si>
    <t>05747836121002</t>
  </si>
  <si>
    <t>PMC68677AF</t>
  </si>
  <si>
    <t>2058.5</t>
  </si>
  <si>
    <t>7.64</t>
  </si>
  <si>
    <t>B2A-5332</t>
  </si>
  <si>
    <t>05747847870</t>
  </si>
  <si>
    <t>05747847870001</t>
  </si>
  <si>
    <t>452.0</t>
  </si>
  <si>
    <t>05747866733</t>
  </si>
  <si>
    <t>05747866733001</t>
  </si>
  <si>
    <t>05747904124</t>
  </si>
  <si>
    <t>05747904124003</t>
  </si>
  <si>
    <t>05747907576</t>
  </si>
  <si>
    <t>05747907576001</t>
  </si>
  <si>
    <t>05747912896</t>
  </si>
  <si>
    <t>05747912896001</t>
  </si>
  <si>
    <t>05747990316</t>
  </si>
  <si>
    <t>05747990316002</t>
  </si>
  <si>
    <t>PMC70106AF</t>
  </si>
  <si>
    <t>2000.0</t>
  </si>
  <si>
    <t>B2A-4724</t>
  </si>
  <si>
    <t>05747990316003</t>
  </si>
  <si>
    <t>PMC32164KL</t>
  </si>
  <si>
    <t>B2A-4930</t>
  </si>
  <si>
    <t>05747990316004</t>
  </si>
  <si>
    <t>PMC24334KL</t>
  </si>
  <si>
    <t>3000.0</t>
  </si>
  <si>
    <t>B2A-5134</t>
  </si>
  <si>
    <t>05747990316005</t>
  </si>
  <si>
    <t>DQL16117DL</t>
  </si>
  <si>
    <t>205.7</t>
  </si>
  <si>
    <t>B2A-5318</t>
  </si>
  <si>
    <t>05747990316006</t>
  </si>
  <si>
    <t>DQL15437DL</t>
  </si>
  <si>
    <t>B1C-2425</t>
  </si>
  <si>
    <t>05747995673</t>
  </si>
  <si>
    <t>05747995673001</t>
  </si>
  <si>
    <t>PMC61561AF</t>
  </si>
  <si>
    <t>2522.0</t>
  </si>
  <si>
    <t>336</t>
  </si>
  <si>
    <t>10.11</t>
  </si>
  <si>
    <t>B2A-5238</t>
  </si>
  <si>
    <t>05748001004</t>
  </si>
  <si>
    <t>05748001004001</t>
  </si>
  <si>
    <t>PMC68944AF</t>
  </si>
  <si>
    <t>4212.0</t>
  </si>
  <si>
    <t>10.40</t>
  </si>
  <si>
    <t>PEV</t>
  </si>
  <si>
    <t>PEP</t>
  </si>
  <si>
    <t>B2A-4923</t>
  </si>
  <si>
    <t>05748001004002</t>
  </si>
  <si>
    <t>PMC69099AF</t>
  </si>
  <si>
    <t>05748013416</t>
  </si>
  <si>
    <t>05748013416001</t>
  </si>
  <si>
    <t>05748049422</t>
  </si>
  <si>
    <t>05748049422001</t>
  </si>
  <si>
    <t>R3002</t>
  </si>
  <si>
    <t>05748069103</t>
  </si>
  <si>
    <t>05748069103001</t>
  </si>
  <si>
    <t>05748104895</t>
  </si>
  <si>
    <t>05748104895001</t>
  </si>
  <si>
    <t>05748131694</t>
  </si>
  <si>
    <t>05748131694001</t>
  </si>
  <si>
    <t>28.7</t>
  </si>
  <si>
    <t>05748131694002</t>
  </si>
  <si>
    <t>229.7</t>
  </si>
  <si>
    <t>S7101</t>
  </si>
  <si>
    <t>05748131694003</t>
  </si>
  <si>
    <t>143.6</t>
  </si>
  <si>
    <t>S5104</t>
  </si>
  <si>
    <t>05748147120</t>
  </si>
  <si>
    <t>05748147120001</t>
  </si>
  <si>
    <t>310.0</t>
  </si>
  <si>
    <t>2.28</t>
  </si>
  <si>
    <t>05748214773</t>
  </si>
  <si>
    <t>05748214773001</t>
  </si>
  <si>
    <t>PMC32230KL</t>
  </si>
  <si>
    <t>996.8</t>
  </si>
  <si>
    <t>B1C-2231</t>
  </si>
  <si>
    <t>05748234572002</t>
  </si>
  <si>
    <t>DPL54055DL</t>
  </si>
  <si>
    <t>13.0</t>
  </si>
  <si>
    <t>05748234572004</t>
  </si>
  <si>
    <t>70</t>
  </si>
  <si>
    <t>05748234572005</t>
  </si>
  <si>
    <t>13.1</t>
  </si>
  <si>
    <t>05748234572006</t>
  </si>
  <si>
    <t>39.1</t>
  </si>
  <si>
    <t>48</t>
  </si>
  <si>
    <t>05748234572013</t>
  </si>
  <si>
    <t>71.7</t>
  </si>
  <si>
    <t>88</t>
  </si>
  <si>
    <t>05748277784</t>
  </si>
  <si>
    <t>05748277784001</t>
  </si>
  <si>
    <t>538.0</t>
  </si>
  <si>
    <t>428</t>
  </si>
  <si>
    <t>SJO</t>
  </si>
  <si>
    <t>05748277784002</t>
  </si>
  <si>
    <t>05748320613</t>
  </si>
  <si>
    <t>05748320613001</t>
  </si>
  <si>
    <t>50411</t>
  </si>
  <si>
    <t>05748321490</t>
  </si>
  <si>
    <t>05748321490001</t>
  </si>
  <si>
    <t>305.0</t>
  </si>
  <si>
    <t>54010</t>
  </si>
  <si>
    <t>05748405571</t>
  </si>
  <si>
    <t>05748405571001</t>
  </si>
  <si>
    <t>3.70</t>
  </si>
  <si>
    <t>229</t>
  </si>
  <si>
    <t>05748500804</t>
  </si>
  <si>
    <t>05748500804001</t>
  </si>
  <si>
    <t>433.0</t>
  </si>
  <si>
    <t>05748543633</t>
  </si>
  <si>
    <t>05748543633001</t>
  </si>
  <si>
    <t>05748565215</t>
  </si>
  <si>
    <t>05748565215001</t>
  </si>
  <si>
    <t>PMC72556AF</t>
  </si>
  <si>
    <t>834.6</t>
  </si>
  <si>
    <t>5.01</t>
  </si>
  <si>
    <t>B1B-3043</t>
  </si>
  <si>
    <t>05748590592</t>
  </si>
  <si>
    <t>05748590592001</t>
  </si>
  <si>
    <t>05748590592002</t>
  </si>
  <si>
    <t>773.4</t>
  </si>
  <si>
    <t>05748590592003</t>
  </si>
  <si>
    <t>05748590592004</t>
  </si>
  <si>
    <t>05748602702</t>
  </si>
  <si>
    <t>05748602702001</t>
  </si>
  <si>
    <t>HLC145</t>
  </si>
  <si>
    <t>05748602702002</t>
  </si>
  <si>
    <t>PMC31312KL</t>
  </si>
  <si>
    <t>B2A-5242</t>
  </si>
  <si>
    <t>05748603494</t>
  </si>
  <si>
    <t>05748603494001</t>
  </si>
  <si>
    <t>334.0</t>
  </si>
  <si>
    <t>05748619233</t>
  </si>
  <si>
    <t>05748619233001</t>
  </si>
  <si>
    <t>119.3</t>
  </si>
  <si>
    <t>59405</t>
  </si>
  <si>
    <t>05748619233002</t>
  </si>
  <si>
    <t>59404</t>
  </si>
  <si>
    <t>05748619233003</t>
  </si>
  <si>
    <t>119.4</t>
  </si>
  <si>
    <t>50412</t>
  </si>
  <si>
    <t>05748654292</t>
  </si>
  <si>
    <t>05748654292001</t>
  </si>
  <si>
    <t>11.0</t>
  </si>
  <si>
    <t>05748678921</t>
  </si>
  <si>
    <t>05748678921001</t>
  </si>
  <si>
    <t>PEF</t>
  </si>
  <si>
    <t>F4201</t>
  </si>
  <si>
    <t>05748700912</t>
  </si>
  <si>
    <t>05748700912001</t>
  </si>
  <si>
    <t>AKE11668AF</t>
  </si>
  <si>
    <t>38</t>
  </si>
  <si>
    <t>05748724443</t>
  </si>
  <si>
    <t>05748724443001</t>
  </si>
  <si>
    <t>05748729704</t>
  </si>
  <si>
    <t>05748729704001</t>
  </si>
  <si>
    <t>05748760423002</t>
  </si>
  <si>
    <t>1020.0</t>
  </si>
  <si>
    <t>05748760423004</t>
  </si>
  <si>
    <t>05748798573</t>
  </si>
  <si>
    <t>05748798573004</t>
  </si>
  <si>
    <t>PMC32485KL</t>
  </si>
  <si>
    <t>2760.0</t>
  </si>
  <si>
    <t>120</t>
  </si>
  <si>
    <t>8.10</t>
  </si>
  <si>
    <t>HEG</t>
  </si>
  <si>
    <t>BRT-2334</t>
  </si>
  <si>
    <t>05748799446</t>
  </si>
  <si>
    <t>05748799446001</t>
  </si>
  <si>
    <t>05748810580</t>
  </si>
  <si>
    <t>05748810580001</t>
  </si>
  <si>
    <t>RKN60299PC</t>
  </si>
  <si>
    <t>110.7</t>
  </si>
  <si>
    <t>05748810580002</t>
  </si>
  <si>
    <t>RKN60476PC</t>
  </si>
  <si>
    <t>05748810580003</t>
  </si>
  <si>
    <t>RKN62217PC</t>
  </si>
  <si>
    <t>05748810580004</t>
  </si>
  <si>
    <t>RKN62419PC</t>
  </si>
  <si>
    <t>05748821054</t>
  </si>
  <si>
    <t>05748821054001</t>
  </si>
  <si>
    <t>05748853560</t>
  </si>
  <si>
    <t>05748853560001</t>
  </si>
  <si>
    <t>634.0</t>
  </si>
  <si>
    <t>3.42</t>
  </si>
  <si>
    <t>05748898964</t>
  </si>
  <si>
    <t>05748898964001</t>
  </si>
  <si>
    <t>18.1</t>
  </si>
  <si>
    <t>RRY</t>
  </si>
  <si>
    <t>RRY01</t>
  </si>
  <si>
    <t>05748898964002</t>
  </si>
  <si>
    <t>36.2</t>
  </si>
  <si>
    <t>05748899480</t>
  </si>
  <si>
    <t>05748899480001</t>
  </si>
  <si>
    <t>PAG10063AF</t>
  </si>
  <si>
    <t>153.5</t>
  </si>
  <si>
    <t>F98-PI00</t>
  </si>
  <si>
    <t>05748899480002</t>
  </si>
  <si>
    <t>307.1</t>
  </si>
  <si>
    <t>05748899480003</t>
  </si>
  <si>
    <t>153.6</t>
  </si>
  <si>
    <t>05748899480004</t>
  </si>
  <si>
    <t>05748899480005</t>
  </si>
  <si>
    <t>05748899480006</t>
  </si>
  <si>
    <t>05748899480007</t>
  </si>
  <si>
    <t>05748929285</t>
  </si>
  <si>
    <t>05748929285001</t>
  </si>
  <si>
    <t>05748929613</t>
  </si>
  <si>
    <t>05748929613001</t>
  </si>
  <si>
    <t>R8401</t>
  </si>
  <si>
    <t>05748934896</t>
  </si>
  <si>
    <t>05748934896001</t>
  </si>
  <si>
    <t>PMC67904AF</t>
  </si>
  <si>
    <t>156.7</t>
  </si>
  <si>
    <t>390D</t>
  </si>
  <si>
    <t>B2A-5436</t>
  </si>
  <si>
    <t>05748969056</t>
  </si>
  <si>
    <t>05748969056001</t>
  </si>
  <si>
    <t>6.2</t>
  </si>
  <si>
    <t>59301</t>
  </si>
  <si>
    <t>05748986140</t>
  </si>
  <si>
    <t>05748986140005</t>
  </si>
  <si>
    <t>21</t>
  </si>
  <si>
    <t>N4301</t>
  </si>
  <si>
    <t>05749018966</t>
  </si>
  <si>
    <t>05749018966005</t>
  </si>
  <si>
    <t>42.3</t>
  </si>
  <si>
    <t>05749018966007</t>
  </si>
  <si>
    <t>HLC154</t>
  </si>
  <si>
    <t>05749018966008</t>
  </si>
  <si>
    <t>42.4</t>
  </si>
  <si>
    <t>05749045754</t>
  </si>
  <si>
    <t>05749045754001</t>
  </si>
  <si>
    <t>94011</t>
  </si>
  <si>
    <t>05749045754002</t>
  </si>
  <si>
    <t>94012</t>
  </si>
  <si>
    <t>05749045754003</t>
  </si>
  <si>
    <t>05749052732</t>
  </si>
  <si>
    <t>05749052732001</t>
  </si>
  <si>
    <t>364.0</t>
  </si>
  <si>
    <t>05749089876</t>
  </si>
  <si>
    <t>05749089876001</t>
  </si>
  <si>
    <t>A6825</t>
  </si>
  <si>
    <t>05749091593</t>
  </si>
  <si>
    <t>05749091593001</t>
  </si>
  <si>
    <t>VN407</t>
  </si>
  <si>
    <t>05749109104</t>
  </si>
  <si>
    <t>05749109104001</t>
  </si>
  <si>
    <t>382.0</t>
  </si>
  <si>
    <t>S3102</t>
  </si>
  <si>
    <t>05749110202</t>
  </si>
  <si>
    <t>05749110202001</t>
  </si>
  <si>
    <t>104.0</t>
  </si>
  <si>
    <t>C1301</t>
  </si>
  <si>
    <t>05749114063</t>
  </si>
  <si>
    <t>05749114063001</t>
  </si>
  <si>
    <t>54.3</t>
  </si>
  <si>
    <t>P5402</t>
  </si>
  <si>
    <t>05749114085</t>
  </si>
  <si>
    <t>05749114085001</t>
  </si>
  <si>
    <t>64102</t>
  </si>
  <si>
    <t>05749114096</t>
  </si>
  <si>
    <t>05749114096001</t>
  </si>
  <si>
    <t>05749145751</t>
  </si>
  <si>
    <t>05749145751001</t>
  </si>
  <si>
    <t>208.7</t>
  </si>
  <si>
    <t>FR303</t>
  </si>
  <si>
    <t>05749145751002</t>
  </si>
  <si>
    <t>FR405</t>
  </si>
  <si>
    <t>05749145751003</t>
  </si>
  <si>
    <t>208.6</t>
  </si>
  <si>
    <t>FR301</t>
  </si>
  <si>
    <t>05749150566</t>
  </si>
  <si>
    <t>05749150566001</t>
  </si>
  <si>
    <t>49405</t>
  </si>
  <si>
    <t>05762723032</t>
  </si>
  <si>
    <t>05762723032002</t>
  </si>
  <si>
    <t>445.0</t>
  </si>
  <si>
    <t>7.80</t>
  </si>
  <si>
    <t>05771290166</t>
  </si>
  <si>
    <t>05771290166002</t>
  </si>
  <si>
    <t>PMC62451AF</t>
  </si>
  <si>
    <t>940.0</t>
  </si>
  <si>
    <t>B2A-5025</t>
  </si>
  <si>
    <t>05771290166003</t>
  </si>
  <si>
    <t>PMC72506AF</t>
  </si>
  <si>
    <t>2358.0</t>
  </si>
  <si>
    <t>B2A-5021</t>
  </si>
  <si>
    <t>05771295895</t>
  </si>
  <si>
    <t>05771295895001</t>
  </si>
  <si>
    <t>RAP82203PC</t>
  </si>
  <si>
    <t>466.5</t>
  </si>
  <si>
    <t>GCD-DD05</t>
  </si>
  <si>
    <t>05771295895002</t>
  </si>
  <si>
    <t>RAP82353PC</t>
  </si>
  <si>
    <t>462.0</t>
  </si>
  <si>
    <t>ACE-2030</t>
  </si>
  <si>
    <t>05771317680</t>
  </si>
  <si>
    <t>05771317680001</t>
  </si>
  <si>
    <t>05771487592</t>
  </si>
  <si>
    <t>05771487592001</t>
  </si>
  <si>
    <t>05771487592002</t>
  </si>
  <si>
    <t>05771535391</t>
  </si>
  <si>
    <t>05771535391001</t>
  </si>
  <si>
    <t>587.0</t>
  </si>
  <si>
    <t>50010</t>
  </si>
  <si>
    <t>05771535391002</t>
  </si>
  <si>
    <t>16002</t>
  </si>
  <si>
    <t>05771725964</t>
  </si>
  <si>
    <t>05771725964002</t>
  </si>
  <si>
    <t>PMC64095AF</t>
  </si>
  <si>
    <t>9.30</t>
  </si>
  <si>
    <t>BFR-3514</t>
  </si>
  <si>
    <t>05771738881</t>
  </si>
  <si>
    <t>05771738881001</t>
  </si>
  <si>
    <t>05771739382</t>
  </si>
  <si>
    <t>05771739382001</t>
  </si>
  <si>
    <t>70.8</t>
  </si>
  <si>
    <t>N4102</t>
  </si>
  <si>
    <t>05771739382002</t>
  </si>
  <si>
    <t>122.2</t>
  </si>
  <si>
    <t>N2001</t>
  </si>
  <si>
    <t>05771743335</t>
  </si>
  <si>
    <t>05771743335001</t>
  </si>
  <si>
    <t>P9101</t>
  </si>
  <si>
    <t>05771754535</t>
  </si>
  <si>
    <t>05771754535001</t>
  </si>
  <si>
    <t>PMC32614KL</t>
  </si>
  <si>
    <t>553.3</t>
  </si>
  <si>
    <t>8.15</t>
  </si>
  <si>
    <t>B1C-2538</t>
  </si>
  <si>
    <t>05771754701</t>
  </si>
  <si>
    <t>05771754701002</t>
  </si>
  <si>
    <t>PMC75994AF</t>
  </si>
  <si>
    <t>522.0</t>
  </si>
  <si>
    <t>8.16</t>
  </si>
  <si>
    <t>B1B-3033</t>
  </si>
  <si>
    <t>05771754712</t>
  </si>
  <si>
    <t>05771754712001</t>
  </si>
  <si>
    <t>400.6</t>
  </si>
  <si>
    <t>5.03</t>
  </si>
  <si>
    <t>05771761830</t>
  </si>
  <si>
    <t>05771761830001</t>
  </si>
  <si>
    <t>IND</t>
  </si>
  <si>
    <t>05771763941</t>
  </si>
  <si>
    <t>05771763941001</t>
  </si>
  <si>
    <t>189.5</t>
  </si>
  <si>
    <t>M4003</t>
  </si>
  <si>
    <t>05771763941002</t>
  </si>
  <si>
    <t>M3304</t>
  </si>
  <si>
    <t>05784050551</t>
  </si>
  <si>
    <t>05784050551001</t>
  </si>
  <si>
    <t>DPE48626DL</t>
  </si>
  <si>
    <t>05792269284</t>
  </si>
  <si>
    <t>05792269284001</t>
  </si>
  <si>
    <t>FR406</t>
  </si>
  <si>
    <t>05794302655</t>
  </si>
  <si>
    <t>05794302655001</t>
  </si>
  <si>
    <t>05797569150</t>
  </si>
  <si>
    <t>05797569150004</t>
  </si>
  <si>
    <t>PMC04635DL</t>
  </si>
  <si>
    <t>242.0</t>
  </si>
  <si>
    <t>8.61</t>
  </si>
  <si>
    <t>NCX-4534</t>
  </si>
  <si>
    <t>07459411041003</t>
  </si>
  <si>
    <t>261.3</t>
  </si>
  <si>
    <t>N8103</t>
  </si>
  <si>
    <t>07461594540</t>
  </si>
  <si>
    <t>07461594540001</t>
  </si>
  <si>
    <t>231.0</t>
  </si>
  <si>
    <t>07462241616</t>
  </si>
  <si>
    <t>07462241616001</t>
  </si>
  <si>
    <t>1106.0</t>
  </si>
  <si>
    <t>VCP</t>
  </si>
  <si>
    <t>07462635790002</t>
  </si>
  <si>
    <t>63.0</t>
  </si>
  <si>
    <t>07462635790005</t>
  </si>
  <si>
    <t>07462635790006</t>
  </si>
  <si>
    <t>07462635790007</t>
  </si>
  <si>
    <t>Build Up</t>
  </si>
  <si>
    <t>STRUCTURE</t>
  </si>
  <si>
    <t>OVH1</t>
  </si>
  <si>
    <t>OVH2</t>
  </si>
  <si>
    <t>OVH3</t>
  </si>
  <si>
    <t>OVH4</t>
  </si>
  <si>
    <t>Printed</t>
  </si>
  <si>
    <t>470.0</t>
  </si>
  <si>
    <t>B1A</t>
  </si>
  <si>
    <t>AWB not ready for carriage</t>
  </si>
  <si>
    <t>339.7</t>
  </si>
  <si>
    <t>980.3</t>
  </si>
  <si>
    <t>ULD already assigned to another flight AF0151D / 10Nov2023 at MLH</t>
  </si>
  <si>
    <t>1703.5</t>
  </si>
  <si>
    <t>Assigned pcs/weight greater than available pcs/weight</t>
  </si>
  <si>
    <t>1975.0</t>
  </si>
  <si>
    <t>ULD already assigned to another flight AF0333D / 10Nov2023 at LJU</t>
  </si>
  <si>
    <t>775.0</t>
  </si>
  <si>
    <t>ULD already assigned to another flight AF6941 / 11Nov2023 at AMS</t>
  </si>
  <si>
    <t>3624.2</t>
  </si>
  <si>
    <t>14.12</t>
  </si>
  <si>
    <t>Missing security information hence cannot buildup</t>
  </si>
  <si>
    <t>2294.3</t>
  </si>
  <si>
    <t>5.87</t>
  </si>
  <si>
    <t>861.0</t>
  </si>
  <si>
    <t>802.0</t>
  </si>
  <si>
    <t>2210.0</t>
  </si>
  <si>
    <t>B1B</t>
  </si>
  <si>
    <t>Not ready for Carriage</t>
  </si>
  <si>
    <t>508.9</t>
  </si>
  <si>
    <t>unable to add ULD, Since Uld assigned to another flight</t>
  </si>
  <si>
    <t>4642.0</t>
  </si>
  <si>
    <t>Not ready for Carriage, Security info missing</t>
  </si>
  <si>
    <t>B2A</t>
  </si>
  <si>
    <t>Not ready for carriage</t>
  </si>
  <si>
    <t>3421.5</t>
  </si>
  <si>
    <t>5.55</t>
  </si>
  <si>
    <t>AWB not accepted</t>
  </si>
  <si>
    <t>AWB not in carriage</t>
  </si>
  <si>
    <t>710.0</t>
  </si>
  <si>
    <t>2568.3</t>
  </si>
  <si>
    <t>Security missing infor</t>
  </si>
  <si>
    <t>1109.0</t>
  </si>
  <si>
    <t>5.80</t>
  </si>
  <si>
    <t>Not ready for carraige</t>
  </si>
  <si>
    <t>253.2</t>
  </si>
  <si>
    <t>Error: Unable to buildup due to missing security screening information.</t>
  </si>
  <si>
    <t>1148.0</t>
  </si>
  <si>
    <t>Build up completed</t>
  </si>
  <si>
    <t>2724.0</t>
  </si>
  <si>
    <t>9.91</t>
  </si>
  <si>
    <t>The ULD PMC22237KL is assigned to another flight AF 0005 / 11-Nov-2023 at JFK</t>
  </si>
  <si>
    <t>883.5</t>
  </si>
  <si>
    <t>971.5</t>
  </si>
  <si>
    <t>8.97</t>
  </si>
  <si>
    <t>B2B</t>
  </si>
  <si>
    <t>The ULD PMC32131KL is assigned to another flight AF 0095 / 11-Nov-2023 at MIA</t>
  </si>
  <si>
    <t>588.5</t>
  </si>
  <si>
    <t>9.15</t>
  </si>
  <si>
    <t>566.0</t>
  </si>
  <si>
    <t>1082.0</t>
  </si>
  <si>
    <t>1413.0</t>
  </si>
  <si>
    <t>13.64</t>
  </si>
  <si>
    <t>B1C</t>
  </si>
  <si>
    <t>1372.4</t>
  </si>
  <si>
    <t>824.8</t>
  </si>
  <si>
    <t>9.40</t>
  </si>
  <si>
    <t>3918.5</t>
  </si>
  <si>
    <t>12.17</t>
  </si>
  <si>
    <t>381.3</t>
  </si>
  <si>
    <t>582.6</t>
  </si>
  <si>
    <t>1062.0</t>
  </si>
  <si>
    <t>RCD</t>
  </si>
  <si>
    <t>AWB not ready for carraige</t>
  </si>
  <si>
    <t>1686.0</t>
  </si>
  <si>
    <t>H20</t>
  </si>
  <si>
    <t>2293.0</t>
  </si>
  <si>
    <t>B2C</t>
  </si>
  <si>
    <t>The ULD PMC63518AF is assigned to another flight AF 0333D / 10-Nov-2023 at LJU</t>
  </si>
  <si>
    <t>908.0</t>
  </si>
  <si>
    <t>The ULD PMC21487MP is assigned to another flight AF 6941 / 11-Nov-2023 at AMS</t>
  </si>
  <si>
    <t>5980.0</t>
  </si>
  <si>
    <t>05711449115</t>
  </si>
  <si>
    <t>The ULD PMC24114KL is assigned to another flight AF 0961D / 10-Nov-2023 at FMO</t>
  </si>
  <si>
    <t>1897.6</t>
  </si>
  <si>
    <t>3.69</t>
  </si>
  <si>
    <t>Not able to build up more than 1 pc</t>
  </si>
  <si>
    <t>1682.0</t>
  </si>
  <si>
    <t>493.0</t>
  </si>
  <si>
    <t>733.0</t>
  </si>
  <si>
    <t>B2D</t>
  </si>
  <si>
    <t>ULD already assigned to another flight AF0153 / 11Nov2023 at BKK</t>
  </si>
  <si>
    <t>508.8</t>
  </si>
  <si>
    <t>Able to add and buildup complete</t>
  </si>
  <si>
    <t>5490.0</t>
  </si>
  <si>
    <t>The ULD PMC66303AF is assigned to another flight AF 0961D / 10-Nov-2023 at FMO</t>
  </si>
  <si>
    <t>1574.3</t>
  </si>
  <si>
    <t>Error: Unable to buildup due to missing security screening information</t>
  </si>
  <si>
    <t>1794.0</t>
  </si>
  <si>
    <t>NCX</t>
  </si>
  <si>
    <t>3105.0</t>
  </si>
  <si>
    <t>The assigned weight cannot be greater than the available weight for the AWB 057-97568914 , AWB 057-97568914 is already assigned to ULD</t>
  </si>
  <si>
    <t>1603.0</t>
  </si>
  <si>
    <t>1402.5</t>
  </si>
  <si>
    <t>11.43</t>
  </si>
  <si>
    <t>1290.0</t>
  </si>
  <si>
    <t>7.23</t>
  </si>
  <si>
    <t>1572.5</t>
  </si>
  <si>
    <t>2733.8</t>
  </si>
  <si>
    <t>725.0</t>
  </si>
  <si>
    <t>523.8</t>
  </si>
  <si>
    <t>2408.0</t>
  </si>
  <si>
    <t>992.0</t>
  </si>
  <si>
    <t>UMC68569AF</t>
  </si>
  <si>
    <t>B1A-3244</t>
  </si>
  <si>
    <t>1211.0</t>
  </si>
  <si>
    <t>5017.0</t>
  </si>
  <si>
    <t>1079.4</t>
  </si>
  <si>
    <t>3256.9</t>
  </si>
  <si>
    <t>589.0</t>
  </si>
  <si>
    <t>654.0</t>
  </si>
  <si>
    <t>2846.1</t>
  </si>
  <si>
    <t>794.0</t>
  </si>
  <si>
    <t>748.0</t>
  </si>
  <si>
    <t>1140.0</t>
  </si>
  <si>
    <t>2618.0</t>
  </si>
  <si>
    <t>2814.0</t>
  </si>
  <si>
    <t>2177.0</t>
  </si>
  <si>
    <t>778.0</t>
  </si>
  <si>
    <t>PAG14786KL</t>
  </si>
  <si>
    <t>B2A-5033</t>
  </si>
  <si>
    <t>1678.0</t>
  </si>
  <si>
    <t>2227.0</t>
  </si>
  <si>
    <t>12.76</t>
  </si>
  <si>
    <t>830.0</t>
  </si>
  <si>
    <t>728.6</t>
  </si>
  <si>
    <t>4619.0</t>
  </si>
  <si>
    <t>5139.0</t>
  </si>
  <si>
    <t>1036.1</t>
  </si>
  <si>
    <t>1313.0</t>
  </si>
  <si>
    <t>1286.2</t>
  </si>
  <si>
    <t>4.83</t>
  </si>
  <si>
    <t>2348.7</t>
  </si>
  <si>
    <t>1567.0</t>
  </si>
  <si>
    <t>1332.0</t>
  </si>
  <si>
    <t>2343.0</t>
  </si>
  <si>
    <t>PMC73646AF</t>
  </si>
  <si>
    <t>1692.0</t>
  </si>
  <si>
    <t>2.88</t>
  </si>
  <si>
    <t>B2A-5328</t>
  </si>
  <si>
    <t>690.0</t>
  </si>
  <si>
    <t>1110.0</t>
  </si>
  <si>
    <t>4.53</t>
  </si>
  <si>
    <t>PMC67390AF</t>
  </si>
  <si>
    <t>B2A-4643</t>
  </si>
  <si>
    <t>ZAZ</t>
  </si>
  <si>
    <t>670D</t>
  </si>
  <si>
    <t>PMC21491KL</t>
  </si>
  <si>
    <t>B2A-4642</t>
  </si>
  <si>
    <t>PMC75709AF</t>
  </si>
  <si>
    <t>2355.2</t>
  </si>
  <si>
    <t>10.64</t>
  </si>
  <si>
    <t>B2A-4711</t>
  </si>
  <si>
    <t>1613.0</t>
  </si>
  <si>
    <t>8.40</t>
  </si>
  <si>
    <t>2111.3</t>
  </si>
  <si>
    <t>2117.3</t>
  </si>
  <si>
    <t>930.8</t>
  </si>
  <si>
    <t>1973.6</t>
  </si>
  <si>
    <t>2561.0</t>
  </si>
  <si>
    <t>2321.0</t>
  </si>
  <si>
    <t>2671.7</t>
  </si>
  <si>
    <t>7.89</t>
  </si>
  <si>
    <t>2746.0</t>
  </si>
  <si>
    <t>1025.0</t>
  </si>
  <si>
    <t>PAG15760KL</t>
  </si>
  <si>
    <t>B2A-4741</t>
  </si>
  <si>
    <t>1848.0</t>
  </si>
  <si>
    <t>1268.8</t>
  </si>
  <si>
    <t>2348.8</t>
  </si>
  <si>
    <t>832.4</t>
  </si>
  <si>
    <t>1129.0</t>
  </si>
  <si>
    <t>1103.2</t>
  </si>
  <si>
    <t>1968.0</t>
  </si>
  <si>
    <t>1036.0</t>
  </si>
  <si>
    <t>1118.0</t>
  </si>
  <si>
    <t>1053.0</t>
  </si>
  <si>
    <t>2280.0</t>
  </si>
  <si>
    <t>2301.0</t>
  </si>
  <si>
    <t>525.0</t>
  </si>
  <si>
    <t>2694.0</t>
  </si>
  <si>
    <t>BFR</t>
  </si>
  <si>
    <t>436.4</t>
  </si>
  <si>
    <t>693.0</t>
  </si>
  <si>
    <t>SOR</t>
  </si>
  <si>
    <t>3229.0</t>
  </si>
  <si>
    <t>2069.0</t>
  </si>
  <si>
    <t>1729.2</t>
  </si>
  <si>
    <t>1154.0</t>
  </si>
  <si>
    <t>1411.7</t>
  </si>
  <si>
    <t>1037.7</t>
  </si>
  <si>
    <t>880.0</t>
  </si>
  <si>
    <t>352.8</t>
  </si>
  <si>
    <t>T13</t>
  </si>
  <si>
    <t>1412.3</t>
  </si>
  <si>
    <t>10.23</t>
  </si>
  <si>
    <t>2526.0</t>
  </si>
  <si>
    <t>CAP</t>
  </si>
  <si>
    <t>233.0</t>
  </si>
  <si>
    <t>3350.0</t>
  </si>
  <si>
    <t>1496.5</t>
  </si>
  <si>
    <t>1809.0</t>
  </si>
  <si>
    <t>1610.0</t>
  </si>
  <si>
    <t>1107.0</t>
  </si>
  <si>
    <t>2040.2</t>
  </si>
  <si>
    <t>ACT</t>
  </si>
  <si>
    <t>1770.0</t>
  </si>
  <si>
    <t>1432.9</t>
  </si>
  <si>
    <t>765.0</t>
  </si>
  <si>
    <t>PMC66208AF</t>
  </si>
  <si>
    <t>B2C-5731</t>
  </si>
  <si>
    <t>441.1</t>
  </si>
  <si>
    <t>1621.0</t>
  </si>
  <si>
    <t>634.3</t>
  </si>
  <si>
    <t>3025.0</t>
  </si>
  <si>
    <t>314.7</t>
  </si>
  <si>
    <t>1515.0</t>
  </si>
  <si>
    <t>1241.0</t>
  </si>
  <si>
    <t>763.0</t>
  </si>
  <si>
    <t>1445.2</t>
  </si>
  <si>
    <t>1825.8</t>
  </si>
  <si>
    <t>947.8</t>
  </si>
  <si>
    <t>404.0</t>
  </si>
  <si>
    <t>1399.8</t>
  </si>
  <si>
    <t>721.7</t>
  </si>
  <si>
    <t>BRT</t>
  </si>
  <si>
    <t>944.6</t>
  </si>
  <si>
    <t>6.98</t>
  </si>
  <si>
    <t>632.0</t>
  </si>
  <si>
    <t>856.6</t>
  </si>
  <si>
    <t>827.0</t>
  </si>
  <si>
    <t>15.40</t>
  </si>
  <si>
    <t>2632.0</t>
  </si>
  <si>
    <t>2468.0</t>
  </si>
  <si>
    <t>2168.5</t>
  </si>
  <si>
    <t>1644.4</t>
  </si>
  <si>
    <t>7.30</t>
  </si>
  <si>
    <t>B2A-4732</t>
  </si>
  <si>
    <t>1890.0</t>
  </si>
  <si>
    <t>9.39</t>
  </si>
  <si>
    <t>266.7</t>
  </si>
  <si>
    <t>4322.0</t>
  </si>
  <si>
    <t>1339.3</t>
  </si>
  <si>
    <t>15.37</t>
  </si>
  <si>
    <t>B2A-5139</t>
  </si>
  <si>
    <t>PMC28299KL</t>
  </si>
  <si>
    <t>2637.1</t>
  </si>
  <si>
    <t>7.09</t>
  </si>
  <si>
    <t>B2A-4921</t>
  </si>
  <si>
    <t>51.9</t>
  </si>
  <si>
    <t>1121.8</t>
  </si>
  <si>
    <t>PMC28090KL</t>
  </si>
  <si>
    <t>888.0</t>
  </si>
  <si>
    <t>8.06</t>
  </si>
  <si>
    <t>B2A-4727</t>
  </si>
  <si>
    <t>2209.3</t>
  </si>
  <si>
    <t>4.92</t>
  </si>
  <si>
    <t>B2A-4728</t>
  </si>
  <si>
    <t>3084.0</t>
  </si>
  <si>
    <t>2.68</t>
  </si>
  <si>
    <t>1279.0</t>
  </si>
  <si>
    <t>PMC94792DL</t>
  </si>
  <si>
    <t>1277.2</t>
  </si>
  <si>
    <t>6.43</t>
  </si>
  <si>
    <t>B2A-4721</t>
  </si>
  <si>
    <t>4038.0</t>
  </si>
  <si>
    <t>3110.0</t>
  </si>
  <si>
    <t>2110.0</t>
  </si>
  <si>
    <t>315.7</t>
  </si>
  <si>
    <t>1483.5</t>
  </si>
  <si>
    <t>2870.5</t>
  </si>
  <si>
    <t>10.13</t>
  </si>
  <si>
    <t>1106.8</t>
  </si>
  <si>
    <t>663.3</t>
  </si>
  <si>
    <t>424.9</t>
  </si>
  <si>
    <t>2.83</t>
  </si>
  <si>
    <t>PMC64942AF</t>
  </si>
  <si>
    <t>GMC</t>
  </si>
  <si>
    <t>GMC-0000</t>
  </si>
  <si>
    <t>PMC32980KL</t>
  </si>
  <si>
    <t>1562.0</t>
  </si>
  <si>
    <t>1566.5</t>
  </si>
  <si>
    <t>GCD</t>
  </si>
  <si>
    <t>744.2</t>
  </si>
  <si>
    <t>5.50</t>
  </si>
  <si>
    <t>KOI</t>
  </si>
  <si>
    <t>169.7</t>
  </si>
  <si>
    <t>367.0</t>
  </si>
  <si>
    <t>2870.0</t>
  </si>
  <si>
    <t>1341.6</t>
  </si>
  <si>
    <t>LAT Error Messages</t>
  </si>
  <si>
    <t>(Tous)</t>
  </si>
  <si>
    <t>Nombre de Observation</t>
  </si>
  <si>
    <t>Nombre de Observation2</t>
  </si>
  <si>
    <t>Somme de Nb Repetition</t>
  </si>
  <si>
    <t>Somme de Nb Repetition2</t>
  </si>
  <si>
    <t>Got error like No MRN or French customs information available against the awb</t>
  </si>
  <si>
    <t>Total général</t>
  </si>
  <si>
    <t>Rehearsal 2 Follow Up</t>
  </si>
  <si>
    <t>Coming from Pelican</t>
  </si>
  <si>
    <t>Pelican Extraction
AWBs Level</t>
  </si>
  <si>
    <t>Export Air France</t>
  </si>
  <si>
    <t>Transit Air France</t>
  </si>
  <si>
    <t>Total</t>
  </si>
  <si>
    <t>Pelican Extraction n°1 (D-2)</t>
  </si>
  <si>
    <t>Pelican Extraction n°2 (D-2)</t>
  </si>
  <si>
    <t>Pelican Extraction n°3 (D-1)</t>
  </si>
  <si>
    <t>Pelican Extraction n°3 (D-1) - 3.1</t>
  </si>
  <si>
    <t>Pelican Extraction n°3 (D-1) - 3.2</t>
  </si>
  <si>
    <t>Pelican Extraction n°3 (D-1) - 3.3</t>
  </si>
  <si>
    <t>vs 752</t>
  </si>
  <si>
    <t>Pelican Extraction
Storage Unit Level</t>
  </si>
  <si>
    <t>vs 877</t>
  </si>
  <si>
    <t>Documentary Acceptance</t>
  </si>
  <si>
    <t>Pelican Extraction 1 / Scenarios
AWBs Level</t>
  </si>
  <si>
    <t>Received</t>
  </si>
  <si>
    <t>Passed Automated Ratio</t>
  </si>
  <si>
    <t>Overall Passed Ratio</t>
  </si>
  <si>
    <t>Completion Rate</t>
  </si>
  <si>
    <t>S1U01_Export Local Acceptance_Loose</t>
  </si>
  <si>
    <t>S1U02_Export Local Acceptance_ULD and/or BUP (both)</t>
  </si>
  <si>
    <t>S1U04_Export Local Acceptance_DG</t>
  </si>
  <si>
    <t>S2U01_Transit Acceptance / Outstation = iCargo_Loose</t>
  </si>
  <si>
    <t>S2U02_Transit Acceptance / Outstation = iCargo_ULD and/or BUP (both)</t>
  </si>
  <si>
    <t>S2U04_Transit Acceptance / Outstation = iCargo_DG with iCargo Oustation</t>
  </si>
  <si>
    <t>S3U01_Transit Acceptance / Outstation = NT iCargo_Loose</t>
  </si>
  <si>
    <t>S3U02_Transit Acceptance / Outstation = NT iCargo_ULD and/or BUP (both)</t>
  </si>
  <si>
    <t>S3U04_Transit Acceptance / Outstation = NT iCargo_DG with iCargo Oustation</t>
  </si>
  <si>
    <t>Pelican Extraction 2 / Scenarios
AWBs Level</t>
  </si>
  <si>
    <t>Pelican Extraction 3-1 / Scenarios
AWBs Level</t>
  </si>
  <si>
    <t>Pelican Extraction 3-2 / Scenarios
AWBs Level</t>
  </si>
  <si>
    <t>Pelican Extraction 3-3 / Scenarios
AWBs Level</t>
  </si>
  <si>
    <t>Pelican Extraction OVERALL / Scenarios
AWBs Level</t>
  </si>
  <si>
    <t>Physical</t>
  </si>
  <si>
    <t>846 processed</t>
  </si>
  <si>
    <t>PreTest Rehearsal 2</t>
  </si>
  <si>
    <t>Defect</t>
  </si>
  <si>
    <t>Description</t>
  </si>
  <si>
    <t xml:space="preserve">AWBs not executed at the documentary acceptance level in case of Transit </t>
  </si>
  <si>
    <t>DGR Goods not present in AWBs error message occuring in OPR026 while there is a the AWB, see ABWS : 057-04791710 , 057-49027020</t>
  </si>
  <si>
    <t>HAWBs pcs more important than MAWB : 057-48860921, 057-49096353
057-48860921: MAWB PCS is 3 and HAWB is 179 PCS</t>
  </si>
  <si>
    <t>n°</t>
  </si>
  <si>
    <t>Use case</t>
  </si>
  <si>
    <t>ABWs</t>
  </si>
  <si>
    <t>DG Export Local</t>
  </si>
  <si>
    <t>057-04791710</t>
  </si>
  <si>
    <t>KO</t>
  </si>
  <si>
    <t>057-49027020</t>
  </si>
  <si>
    <t>057-48898500</t>
  </si>
  <si>
    <t>OK in Cafeed
Securisation done 
Documentary acceptance done in iCargo
Physical acceptance done in iCargo
Build Up</t>
  </si>
  <si>
    <t>DG Transit</t>
  </si>
  <si>
    <t>all AWBs</t>
  </si>
  <si>
    <t xml:space="preserve">Export </t>
  </si>
  <si>
    <t xml:space="preserve">057-49096353
</t>
  </si>
  <si>
    <t>057-48860921</t>
  </si>
  <si>
    <t>057-05258654</t>
  </si>
  <si>
    <t>LTA </t>
  </si>
  <si>
    <t>CIE</t>
  </si>
  <si>
    <t>FLT</t>
  </si>
  <si>
    <t>Departure Date</t>
  </si>
  <si>
    <t>Dest</t>
  </si>
  <si>
    <t>SCH1</t>
  </si>
  <si>
    <t>SCH2</t>
  </si>
  <si>
    <t>SCH3</t>
  </si>
  <si>
    <t>SCH4</t>
  </si>
  <si>
    <t>SCH5</t>
  </si>
  <si>
    <t>Volume</t>
  </si>
  <si>
    <t>SU ID</t>
  </si>
  <si>
    <t>Location</t>
  </si>
  <si>
    <t>Remarks</t>
  </si>
  <si>
    <t>AF174M</t>
  </si>
  <si>
    <t>Not Executed</t>
  </si>
  <si>
    <t>Gap MAWH / HAWB. Double check with Pelican</t>
  </si>
  <si>
    <t>AF670</t>
  </si>
  <si>
    <t>AF330M</t>
  </si>
  <si>
    <t>Not executed FZB missing</t>
  </si>
  <si>
    <t>02T-0000</t>
  </si>
  <si>
    <t>Transit
FBL missing
Screen &amp; block processed manually</t>
  </si>
  <si>
    <t>Not executed xCSN</t>
  </si>
  <si>
    <t>AF0000</t>
  </si>
  <si>
    <t>AF972</t>
  </si>
  <si>
    <t>GSA</t>
  </si>
  <si>
    <t>AF528</t>
  </si>
  <si>
    <t>AF928</t>
  </si>
  <si>
    <t>IBS - 28/09 Report status</t>
  </si>
  <si>
    <r>
      <t xml:space="preserve">Total AWBs with Status as “Executed” and Flight number present in the sheet= </t>
    </r>
    <r>
      <rPr>
        <b/>
        <sz val="11"/>
        <color theme="1"/>
        <rFont val="Calibri"/>
        <family val="2"/>
        <scheme val="minor"/>
      </rPr>
      <t>52 AWBs</t>
    </r>
  </si>
  <si>
    <t>Acceptance</t>
  </si>
  <si>
    <t>Reason: AWB is not executed</t>
  </si>
  <si>
    <t>Acceptance:  34 out of 52 AWBs executed via automation scripts .. others are of block cases which was done Manually.  However, automation execution also can discuss in the meeting</t>
  </si>
  <si>
    <t>Print</t>
  </si>
  <si>
    <t>15 Printed only once after 3 attempts [Reason: Some issues in the middleware. Seems it is now fine, Vishnu is checking this now]</t>
  </si>
  <si>
    <t>Build up</t>
  </si>
  <si>
    <t>Planned Build up</t>
  </si>
  <si>
    <t>BKD missing. Lying list build-up</t>
  </si>
  <si>
    <t>Added directly. AWB not present in planned or Lying list</t>
  </si>
  <si>
    <t>Export manifest Req failed 504 error</t>
  </si>
  <si>
    <t>Flight does not exist</t>
  </si>
  <si>
    <t>need an incident item to follow up</t>
  </si>
  <si>
    <t>Flight date not specified in the sheet</t>
  </si>
  <si>
    <t>AWB not executed</t>
  </si>
  <si>
    <t>ISHC_PARAM_ID</t>
  </si>
  <si>
    <t>SCODE</t>
  </si>
  <si>
    <t>IDANGEROUS</t>
  </si>
  <si>
    <t>SDESCRIPTION</t>
  </si>
  <si>
    <t>INOTOC</t>
  </si>
  <si>
    <t>IPRIORITY</t>
  </si>
  <si>
    <t>IAWB</t>
  </si>
  <si>
    <t>IPCS</t>
  </si>
  <si>
    <t>IWEIGHT</t>
  </si>
  <si>
    <t>IDESCRIPTION</t>
  </si>
  <si>
    <t>IDIMENSIONS</t>
  </si>
  <si>
    <t>IDIMENSIONS_D</t>
  </si>
  <si>
    <t>ITEMPERATURE</t>
  </si>
  <si>
    <t>IVENTILATION</t>
  </si>
  <si>
    <t>IFAMILY</t>
  </si>
  <si>
    <t>IDECEASED</t>
  </si>
  <si>
    <t>IDECEASED_D</t>
  </si>
  <si>
    <t>IBIG_REF</t>
  </si>
  <si>
    <t>IBIG_REF_D</t>
  </si>
  <si>
    <t>IWEIGHT_HIDDEN</t>
  </si>
  <si>
    <t>IPEL_AUTO_CREATE_SL</t>
  </si>
  <si>
    <t>IAIRLINE_ID</t>
  </si>
  <si>
    <t>SAIRLINE_CODE</t>
  </si>
  <si>
    <t>IREFERENTIAL</t>
  </si>
  <si>
    <t>ACTIVE TEMP CONTROLLED SYSTEM (BAT. OPER)</t>
  </si>
  <si>
    <t>ALI</t>
  </si>
  <si>
    <t>ALM</t>
  </si>
  <si>
    <t>ACTIVE TEMP CONTROLLED SYSTEM (DRY ICE OPER)</t>
  </si>
  <si>
    <t>AM</t>
  </si>
  <si>
    <t>BCB</t>
  </si>
  <si>
    <t>CZ</t>
  </si>
  <si>
    <t>RBM</t>
  </si>
  <si>
    <t>KQ</t>
  </si>
  <si>
    <t>RCL</t>
  </si>
  <si>
    <t>MB</t>
  </si>
  <si>
    <t>ME</t>
  </si>
  <si>
    <t>POI</t>
  </si>
  <si>
    <t>RCX</t>
  </si>
  <si>
    <t>MK</t>
  </si>
  <si>
    <t>ACTIVE TEMPERATURE CONTROLLED SYSTEM (ENVIROTAINER)</t>
  </si>
  <si>
    <t>RO</t>
  </si>
  <si>
    <t>XK</t>
  </si>
  <si>
    <t>REX</t>
  </si>
  <si>
    <t>RFS</t>
  </si>
  <si>
    <t>RFW</t>
  </si>
  <si>
    <t>RGX</t>
  </si>
  <si>
    <t>RIS</t>
  </si>
  <si>
    <t>RLI</t>
  </si>
  <si>
    <t>AC ON GROUND URGENT SPARES #</t>
  </si>
  <si>
    <t>ROP</t>
  </si>
  <si>
    <t>AZ</t>
  </si>
  <si>
    <t>ROX</t>
  </si>
  <si>
    <t>RPG</t>
  </si>
  <si>
    <t>RRE</t>
  </si>
  <si>
    <t>RRW</t>
  </si>
  <si>
    <t>MD</t>
  </si>
  <si>
    <t>RSB</t>
  </si>
  <si>
    <t>URGENT SPARE PARTS FOR AIRCRAFT ON GROUND</t>
  </si>
  <si>
    <t>MU</t>
  </si>
  <si>
    <t>RXB</t>
  </si>
  <si>
    <t>RXC</t>
  </si>
  <si>
    <t>RXD</t>
  </si>
  <si>
    <t>APT</t>
  </si>
  <si>
    <t>RXE</t>
  </si>
  <si>
    <t>RXG</t>
  </si>
  <si>
    <t>RXS</t>
  </si>
  <si>
    <t>ART</t>
  </si>
  <si>
    <t>ATT</t>
  </si>
  <si>
    <t>GOODS ATTACHED TO AWB</t>
  </si>
  <si>
    <t>AVA</t>
  </si>
  <si>
    <t>AVB</t>
  </si>
  <si>
    <t>AVC</t>
  </si>
  <si>
    <t>AVD</t>
  </si>
  <si>
    <t>AVE</t>
  </si>
  <si>
    <t>HORSES #</t>
  </si>
  <si>
    <t>AVF</t>
  </si>
  <si>
    <t>LIVETROPICAL FISH #</t>
  </si>
  <si>
    <t>AVG</t>
  </si>
  <si>
    <t>LIVE ANIMALS GENERAL #</t>
  </si>
  <si>
    <t>AVK</t>
  </si>
  <si>
    <t>KOI FISH CARP #</t>
  </si>
  <si>
    <t>AVL</t>
  </si>
  <si>
    <t>LIVE ANIMALS COOL #</t>
  </si>
  <si>
    <t>AVM</t>
  </si>
  <si>
    <t>PIGS #</t>
  </si>
  <si>
    <t>AVP</t>
  </si>
  <si>
    <t>AVX</t>
  </si>
  <si>
    <t>DAY-OLD CHICKENS #</t>
  </si>
  <si>
    <t>BAL</t>
  </si>
  <si>
    <t>BED</t>
  </si>
  <si>
    <t>BEH</t>
  </si>
  <si>
    <t>BPO</t>
  </si>
  <si>
    <t>BABY PULTRY LESS THAN 72 HOURS</t>
  </si>
  <si>
    <t>BULK UNITIZATION PROGRAM</t>
  </si>
  <si>
    <t>CARGO AIRCRAFT ONLY #</t>
  </si>
  <si>
    <t>CE</t>
  </si>
  <si>
    <t>CAT</t>
  </si>
  <si>
    <t>CARGO ATTENDANT ACCOMPANYING SHPT</t>
  </si>
  <si>
    <t>CGO</t>
  </si>
  <si>
    <t>CIC</t>
  </si>
  <si>
    <t>CARGO LOADED IN CABIN</t>
  </si>
  <si>
    <t>CLA</t>
  </si>
  <si>
    <t>COL LOADED IN AFT HOLD CARGO NEEDING COOL/COLD STORAGE #</t>
  </si>
  <si>
    <t>COI</t>
  </si>
  <si>
    <t>COL WITH ISO BLANKET</t>
  </si>
  <si>
    <t>CARGO NEEDING COOL/COLD STORAGE #</t>
  </si>
  <si>
    <t>COOL GOOD</t>
  </si>
  <si>
    <t>COM</t>
  </si>
  <si>
    <t>COU</t>
  </si>
  <si>
    <t>COURIER</t>
  </si>
  <si>
    <t>CRI</t>
  </si>
  <si>
    <t>CRT WITH ISO BLANKET</t>
  </si>
  <si>
    <t>CSU</t>
  </si>
  <si>
    <t>DHC</t>
  </si>
  <si>
    <t>DOC</t>
  </si>
  <si>
    <t>DTA</t>
  </si>
  <si>
    <t>E-FREIGHT CONSIGNMENT WITH  ACCOMPANYING PAPER DOCUMENTS</t>
  </si>
  <si>
    <t>E FREIGHT SHPT WITH ACCOMPANYING DOCS</t>
  </si>
  <si>
    <t>FOODSTUFFS (EXCEPT MEAT/FISH)  #</t>
  </si>
  <si>
    <t>E-FREIGHT CONSIGNMENT WITH NO ACCOMPANYING PAPER DOCUMENTS</t>
  </si>
  <si>
    <t>E FREIGHT SHPT WITH NO ACCOMPANYING DOCS</t>
  </si>
  <si>
    <t>CONSIGNMENT ESTABLISHED WITH AN ELECTRONICALLY CONCLUDED CAR</t>
  </si>
  <si>
    <t>EIC</t>
  </si>
  <si>
    <t>EQUIP IN COMP FOR CIC</t>
  </si>
  <si>
    <t>ELD</t>
  </si>
  <si>
    <t>PALLET STACK</t>
  </si>
  <si>
    <t>LITHIUM ION BATTERIES EXCEPTED</t>
  </si>
  <si>
    <t>EXCEPTED LITHIUM ION BATTERIES CONT. IN OR WITH EQUIPMENT</t>
  </si>
  <si>
    <t>LITHIUM ION BATTERIES IN EXCEPTED QUANTITIES</t>
  </si>
  <si>
    <t>LITHIUM ION BATTERIES EXCEPTED #</t>
  </si>
  <si>
    <t>LITHIUM METAL BATTERIES EXCEPTED</t>
  </si>
  <si>
    <t>EXCEPTED LITHIUM METAL BATTERIES CONT. IN OR WITH EQUIPMENT</t>
  </si>
  <si>
    <t>LITHIUM METAL BATTERIES IN EXCEPTED QUANTITIES</t>
  </si>
  <si>
    <t>LITHIUM METAL BATTERIES EXCEPT #</t>
  </si>
  <si>
    <t>EMS</t>
  </si>
  <si>
    <t>CONTROL ROOM TEMPERATURE 2C TO 25C</t>
  </si>
  <si>
    <t>EXP</t>
  </si>
  <si>
    <t>EXQ</t>
  </si>
  <si>
    <t>EXCEPTED QUANTITIES</t>
  </si>
  <si>
    <t>FAK</t>
  </si>
  <si>
    <t>FAM</t>
  </si>
  <si>
    <t>FIL</t>
  </si>
  <si>
    <t>UNDEVELOPED FILMS #</t>
  </si>
  <si>
    <t>FKT</t>
  </si>
  <si>
    <t>FRAGILE GOODS</t>
  </si>
  <si>
    <t>FRG</t>
  </si>
  <si>
    <t>FRI</t>
  </si>
  <si>
    <t>FROZEN GOODS SUBJECT TO VETERINARY/PHYTOSANITARY INSPECTION</t>
  </si>
  <si>
    <t>FRO</t>
  </si>
  <si>
    <t>FROZEN PERISHABLE #</t>
  </si>
  <si>
    <t>FROZEN PERISHABLE</t>
  </si>
  <si>
    <t>FROZEN GOODS</t>
  </si>
  <si>
    <t>FRZ</t>
  </si>
  <si>
    <t>FROZEN GOODS -20 C</t>
  </si>
  <si>
    <t>GLF</t>
  </si>
  <si>
    <t>GOG</t>
  </si>
  <si>
    <t>GOH</t>
  </si>
  <si>
    <t>GVT</t>
  </si>
  <si>
    <t>HATCHING EGGS #</t>
  </si>
  <si>
    <t>HRC</t>
  </si>
  <si>
    <t>HUMAN REMAINS CREMATED #</t>
  </si>
  <si>
    <t>HUM</t>
  </si>
  <si>
    <t>HUMAN REMAINS IN COFFINS #</t>
  </si>
  <si>
    <t>HUN</t>
  </si>
  <si>
    <t>HUNTING TROPHIES</t>
  </si>
  <si>
    <t>DRY ICE (SHIPMENT) #</t>
  </si>
  <si>
    <t>IY</t>
  </si>
  <si>
    <t>LHO</t>
  </si>
  <si>
    <t>LIVING HUMAN ORGANS/I.H.O.P #</t>
  </si>
  <si>
    <t>LIC</t>
  </si>
  <si>
    <t>LICENSE REQUIRED</t>
  </si>
  <si>
    <t>LIT</t>
  </si>
  <si>
    <t>MAGNETIZED MATERIALS #</t>
  </si>
  <si>
    <t>MAL</t>
  </si>
  <si>
    <t>MAIL</t>
  </si>
  <si>
    <t>MED</t>
  </si>
  <si>
    <t>MUW</t>
  </si>
  <si>
    <t>NWP</t>
  </si>
  <si>
    <t>NEWSPAPER</t>
  </si>
  <si>
    <t>OBX</t>
  </si>
  <si>
    <t>OBNOXIOUS LOAD #</t>
  </si>
  <si>
    <t>OFF</t>
  </si>
  <si>
    <t>PEA</t>
  </si>
  <si>
    <t>PEC</t>
  </si>
  <si>
    <t>PERISHABLE COOLING #</t>
  </si>
  <si>
    <t>PERISHABLE FLOWERS #</t>
  </si>
  <si>
    <t>PEM</t>
  </si>
  <si>
    <t>MEAT #</t>
  </si>
  <si>
    <t>FRUITS/VEGETABLES #</t>
  </si>
  <si>
    <t>PERISHABLE (EXCEPT PEF/PEM/PES) #</t>
  </si>
  <si>
    <t>SEAFOOD/ FISH - HUMAN CONSUMPTION #</t>
  </si>
  <si>
    <t>CARGO PRODUCING WATER VAPOUR #</t>
  </si>
  <si>
    <t>PHARMACEUTICAL PRODUCT</t>
  </si>
  <si>
    <t>PIP</t>
  </si>
  <si>
    <t>POSTAL MAIL</t>
  </si>
  <si>
    <t>PRI</t>
  </si>
  <si>
    <t>QBG</t>
  </si>
  <si>
    <t>COURER BAG</t>
  </si>
  <si>
    <t>QRT</t>
  </si>
  <si>
    <t>QUICK RAMP TRANSFER</t>
  </si>
  <si>
    <t>REGULATED LITHIUM ION CELLS AND BATTERY UN3480</t>
  </si>
  <si>
    <t>REGULATED LITHIUM METAL CELLS AND BATTERY UN3090</t>
  </si>
  <si>
    <t>CRYOGENIC LIQUIDS #</t>
  </si>
  <si>
    <t>CORROSIVE #</t>
  </si>
  <si>
    <t>BIOLOGICAL SUBSTANCE CATEGORY B #</t>
  </si>
  <si>
    <t>DANGEROUS GOODS IN EXCEPTED QUANTITIES  #</t>
  </si>
  <si>
    <t>FLAMMABLE GAS #</t>
  </si>
  <si>
    <t>FLAMMABLE LIQUID #</t>
  </si>
  <si>
    <t>FLAMMABLE SOLID #</t>
  </si>
  <si>
    <t>DANGEROUS WHEN WET #</t>
  </si>
  <si>
    <t>INFECTIOUS SUBSTANCE #</t>
  </si>
  <si>
    <t>LITHIUM ION BATTERIES CONTAINED IN OR WITH EQUIPMENT</t>
  </si>
  <si>
    <t>LITHIUM METAL BATTERIES CONTAINED IN OR WITH EQUIPMENT</t>
  </si>
  <si>
    <t>MISC. DANGEROUS GOODS #</t>
  </si>
  <si>
    <t>NON FLAMMABLE GAS #</t>
  </si>
  <si>
    <t>ORGANIC PEROXIDE #</t>
  </si>
  <si>
    <t>OXIDIZER #</t>
  </si>
  <si>
    <t>POISON #</t>
  </si>
  <si>
    <t>TOXIC GAS #</t>
  </si>
  <si>
    <t>RADIOACTIVE MATERIAL, EXCEPTED PACKAGE #</t>
  </si>
  <si>
    <t>RADIOACTIVE - WHITE #</t>
  </si>
  <si>
    <t>RADIOACTIVE YELLOW #</t>
  </si>
  <si>
    <t>POLYMERIC BEADS #</t>
  </si>
  <si>
    <t>SPONTANEOUSLY COMBUSTIBLE #</t>
  </si>
  <si>
    <t>EXPLOSIVE 1.4B #</t>
  </si>
  <si>
    <t>EXPLOSIVE 1.4C #</t>
  </si>
  <si>
    <t>ESPLOSIVE 1.4D #</t>
  </si>
  <si>
    <t>EXPLOSIVE 1.4E #</t>
  </si>
  <si>
    <t>EXPLOSIVE 1.4G</t>
  </si>
  <si>
    <t>EXPLOSIVE 1.4S #</t>
  </si>
  <si>
    <t>SCO</t>
  </si>
  <si>
    <t>CARGO SECURE FOR CARGO AIRCRAFT ONLY</t>
  </si>
  <si>
    <t>SHL</t>
  </si>
  <si>
    <t>DRUG TO SAVE HUMAN LIVE</t>
  </si>
  <si>
    <t>SAVE HUMAN LIFE</t>
  </si>
  <si>
    <t>SPF</t>
  </si>
  <si>
    <t>LABORATORY ANIMALS</t>
  </si>
  <si>
    <t>SPS</t>
  </si>
  <si>
    <t>SMALL PARCEL SERVICE</t>
  </si>
  <si>
    <t>CARGO SECURE FOR PASSENGER AND CARGO AIRCRAFT</t>
  </si>
  <si>
    <t>SUR</t>
  </si>
  <si>
    <t>SVC</t>
  </si>
  <si>
    <t>SERVICE CARGO</t>
  </si>
  <si>
    <t>SWP</t>
  </si>
  <si>
    <t>SPORTING WEAPON</t>
  </si>
  <si>
    <t>TRU</t>
  </si>
  <si>
    <t>THRU UNIT</t>
  </si>
  <si>
    <t>UPS</t>
  </si>
  <si>
    <t>USA</t>
  </si>
  <si>
    <t>USB</t>
  </si>
  <si>
    <t>VALUABLE GOODS #</t>
  </si>
  <si>
    <t>VIP</t>
  </si>
  <si>
    <t>VERY IMPORTANT CARGO</t>
  </si>
  <si>
    <t>VOL</t>
  </si>
  <si>
    <t>VULNERABLE CARGO</t>
  </si>
  <si>
    <t>WAM</t>
  </si>
  <si>
    <t>WEA</t>
  </si>
  <si>
    <t>WET</t>
  </si>
  <si>
    <t>WET MAT. NOT WATERTIGHT #</t>
  </si>
  <si>
    <t>QFA</t>
  </si>
  <si>
    <t>WRO</t>
  </si>
  <si>
    <t>OUA</t>
  </si>
  <si>
    <t>BKO</t>
  </si>
  <si>
    <t>CKY</t>
  </si>
  <si>
    <t>CFE</t>
  </si>
  <si>
    <t>SDQ</t>
  </si>
  <si>
    <t>NIM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</si>
</sst>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"/>
    <numFmt numFmtId="165" formatCode="0.0%"/>
  </numFmts>
  <fonts count="37"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</font>
    <font>
      <b/>
      <sz val="8"/>
      <color theme="0"/>
      <name val="Segoe UI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</font>
    <font>
      <sz val="9"/>
      <color rgb="FF000000"/>
      <name val="Arial"/>
      <family val="2"/>
    </font>
    <font>
      <u/>
      <sz val="9"/>
      <color theme="10"/>
      <name val="Arial"/>
      <family val="2"/>
    </font>
    <font>
      <sz val="9"/>
      <color theme="1"/>
      <name val="Arial"/>
      <family val="2"/>
    </font>
    <font>
      <u/>
      <sz val="9"/>
      <color rgb="FF000000"/>
      <name val="Arial"/>
      <family val="2"/>
    </font>
    <font>
      <b/>
      <sz val="11"/>
      <color theme="0"/>
      <name val="Calibri"/>
      <family val="2"/>
    </font>
    <font>
      <sz val="9"/>
      <color rgb="FF2E2A34"/>
      <name val="Arial"/>
      <family val="2"/>
    </font>
    <font>
      <sz val="9"/>
      <color rgb="FFFF0000"/>
      <name val="Arial"/>
      <family val="2"/>
    </font>
    <font>
      <sz val="11"/>
      <color theme="0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2"/>
      <color theme="0"/>
      <name val="Arial"/>
      <family val="2"/>
    </font>
    <font>
      <b/>
      <sz val="11"/>
      <color rgb="FF000000"/>
      <name val="Calibri"/>
      <family val="2"/>
    </font>
    <font>
      <b/>
      <sz val="12"/>
      <color theme="1"/>
      <name val="Arial"/>
      <family val="2"/>
    </font>
    <font>
      <sz val="11"/>
      <color rgb="FF000000"/>
      <name val="Calibri"/>
      <family val="2"/>
    </font>
    <font>
      <i/>
      <sz val="10"/>
      <color theme="1"/>
      <name val="Arial"/>
      <family val="2"/>
    </font>
    <font>
      <sz val="10"/>
      <color rgb="FF000000"/>
      <name val="Arial"/>
      <family val="2"/>
    </font>
    <font>
      <sz val="9"/>
      <color rgb="FF212529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4F9FF"/>
        <bgColor indexed="64"/>
      </patternFill>
    </fill>
    <fill>
      <patternFill patternType="solid">
        <fgColor rgb="FFD8E6FE"/>
        <bgColor indexed="64"/>
      </patternFill>
    </fill>
    <fill>
      <patternFill patternType="solid">
        <fgColor rgb="FF0070C0"/>
        <bgColor theme="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theme="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FF99FF"/>
        <bgColor theme="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theme="4"/>
      </patternFill>
    </fill>
    <fill>
      <patternFill patternType="solid">
        <fgColor theme="2" tint="-0.89999084444715716"/>
        <bgColor theme="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0.34998626667073579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9D08E"/>
        <bgColor rgb="FF000000"/>
      </patternFill>
    </fill>
    <fill>
      <patternFill patternType="solid">
        <fgColor rgb="FFB4C6E7"/>
        <bgColor rgb="FF000000"/>
      </patternFill>
    </fill>
    <fill>
      <patternFill patternType="solid">
        <fgColor rgb="FFFFFF00"/>
        <bgColor theme="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DF0E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1"/>
        <bgColor theme="4"/>
      </patternFill>
    </fill>
  </fills>
  <borders count="13">
    <border>
      <left/>
      <right/>
      <top/>
      <bottom/>
      <diagonal/>
    </border>
    <border>
      <left/>
      <right/>
      <top/>
      <bottom style="medium">
        <color rgb="FFA6B8D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4472C4"/>
      </left>
      <right/>
      <top style="thin">
        <color rgb="FF4472C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23" fillId="0" borderId="0"/>
    <xf numFmtId="9" fontId="26" fillId="0" borderId="0" applyFont="0" applyFill="0" applyBorder="0" applyAlignment="0" applyProtection="0"/>
  </cellStyleXfs>
  <cellXfs count="161">
    <xf numFmtId="0" fontId="0" fillId="0" borderId="0" xfId="0"/>
    <xf numFmtId="0" fontId="0" fillId="2" borderId="0" xfId="0" applyFill="1"/>
    <xf numFmtId="0" fontId="3" fillId="0" borderId="2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left" vertical="center" wrapText="1"/>
    </xf>
    <xf numFmtId="0" fontId="8" fillId="2" borderId="0" xfId="1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1" fillId="6" borderId="1" xfId="0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horizontal="left" vertical="center" wrapText="1"/>
    </xf>
    <xf numFmtId="0" fontId="10" fillId="2" borderId="0" xfId="1" applyFont="1" applyFill="1" applyBorder="1" applyAlignment="1">
      <alignment horizontal="left" vertical="center" wrapText="1"/>
    </xf>
    <xf numFmtId="0" fontId="9" fillId="2" borderId="0" xfId="0" applyFont="1" applyFill="1"/>
    <xf numFmtId="0" fontId="4" fillId="3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22" fontId="7" fillId="2" borderId="0" xfId="0" applyNumberFormat="1" applyFont="1" applyFill="1" applyAlignment="1">
      <alignment horizontal="left" vertical="center" wrapText="1"/>
    </xf>
    <xf numFmtId="0" fontId="0" fillId="0" borderId="0" xfId="0" applyAlignment="1">
      <alignment horizontal="left" vertical="center" indent="1"/>
    </xf>
    <xf numFmtId="0" fontId="11" fillId="4" borderId="4" xfId="0" applyFont="1" applyFill="1" applyBorder="1" applyAlignment="1">
      <alignment horizontal="center" vertical="top"/>
    </xf>
    <xf numFmtId="0" fontId="7" fillId="2" borderId="5" xfId="0" applyFont="1" applyFill="1" applyBorder="1" applyAlignment="1">
      <alignment horizontal="left" vertical="center" wrapText="1"/>
    </xf>
    <xf numFmtId="0" fontId="12" fillId="0" borderId="0" xfId="0" applyFont="1"/>
    <xf numFmtId="0" fontId="13" fillId="2" borderId="0" xfId="0" applyFont="1" applyFill="1"/>
    <xf numFmtId="0" fontId="14" fillId="4" borderId="0" xfId="0" applyFont="1" applyFill="1"/>
    <xf numFmtId="0" fontId="15" fillId="0" borderId="0" xfId="0" applyFont="1"/>
    <xf numFmtId="0" fontId="17" fillId="0" borderId="0" xfId="0" applyFont="1"/>
    <xf numFmtId="0" fontId="0" fillId="0" borderId="0" xfId="0" applyAlignment="1">
      <alignment horizontal="left" vertical="center" indent="2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0" fontId="18" fillId="0" borderId="0" xfId="0" applyFont="1"/>
    <xf numFmtId="0" fontId="16" fillId="0" borderId="0" xfId="0" applyFont="1"/>
    <xf numFmtId="0" fontId="19" fillId="0" borderId="0" xfId="0" applyFont="1"/>
    <xf numFmtId="0" fontId="6" fillId="2" borderId="0" xfId="0" applyFont="1" applyFill="1"/>
    <xf numFmtId="0" fontId="5" fillId="8" borderId="3" xfId="0" applyFont="1" applyFill="1" applyBorder="1" applyAlignment="1">
      <alignment horizontal="center" vertical="top"/>
    </xf>
    <xf numFmtId="0" fontId="22" fillId="11" borderId="3" xfId="0" applyFont="1" applyFill="1" applyBorder="1" applyAlignment="1">
      <alignment horizontal="center" vertical="top"/>
    </xf>
    <xf numFmtId="0" fontId="22" fillId="14" borderId="3" xfId="0" applyFont="1" applyFill="1" applyBorder="1" applyAlignment="1">
      <alignment horizontal="center" vertical="top"/>
    </xf>
    <xf numFmtId="0" fontId="22" fillId="16" borderId="3" xfId="0" applyFont="1" applyFill="1" applyBorder="1" applyAlignment="1">
      <alignment horizontal="center" vertical="top"/>
    </xf>
    <xf numFmtId="0" fontId="3" fillId="14" borderId="4" xfId="0" applyFont="1" applyFill="1" applyBorder="1" applyAlignment="1">
      <alignment horizontal="center" vertical="top"/>
    </xf>
    <xf numFmtId="0" fontId="3" fillId="16" borderId="4" xfId="0" applyFont="1" applyFill="1" applyBorder="1" applyAlignment="1">
      <alignment horizontal="center" vertical="top"/>
    </xf>
    <xf numFmtId="0" fontId="3" fillId="2" borderId="7" xfId="0" applyFont="1" applyFill="1" applyBorder="1" applyAlignment="1">
      <alignment horizontal="center" vertical="top"/>
    </xf>
    <xf numFmtId="0" fontId="11" fillId="17" borderId="4" xfId="0" applyFont="1" applyFill="1" applyBorder="1" applyAlignment="1">
      <alignment horizontal="center" vertical="top" wrapText="1"/>
    </xf>
    <xf numFmtId="0" fontId="23" fillId="19" borderId="0" xfId="2" applyFill="1" applyAlignment="1">
      <alignment vertical="top" wrapText="1"/>
    </xf>
    <xf numFmtId="0" fontId="23" fillId="2" borderId="0" xfId="2" applyFill="1"/>
    <xf numFmtId="0" fontId="24" fillId="2" borderId="0" xfId="2" applyFont="1" applyFill="1" applyAlignment="1">
      <alignment horizontal="right" vertical="top"/>
    </xf>
    <xf numFmtId="0" fontId="23" fillId="2" borderId="0" xfId="2" applyFill="1" applyAlignment="1">
      <alignment vertical="top"/>
    </xf>
    <xf numFmtId="0" fontId="6" fillId="20" borderId="0" xfId="0" applyFont="1" applyFill="1" applyAlignment="1">
      <alignment vertical="center" wrapText="1"/>
    </xf>
    <xf numFmtId="0" fontId="6" fillId="21" borderId="0" xfId="0" applyFont="1" applyFill="1"/>
    <xf numFmtId="0" fontId="6" fillId="22" borderId="0" xfId="0" applyFont="1" applyFill="1"/>
    <xf numFmtId="0" fontId="6" fillId="23" borderId="0" xfId="0" applyFont="1" applyFill="1"/>
    <xf numFmtId="0" fontId="14" fillId="19" borderId="0" xfId="2" applyFont="1" applyFill="1" applyAlignment="1">
      <alignment vertical="top" wrapText="1"/>
    </xf>
    <xf numFmtId="0" fontId="6" fillId="2" borderId="2" xfId="0" applyFont="1" applyFill="1" applyBorder="1"/>
    <xf numFmtId="0" fontId="5" fillId="20" borderId="2" xfId="0" applyFont="1" applyFill="1" applyBorder="1"/>
    <xf numFmtId="0" fontId="6" fillId="2" borderId="0" xfId="0" applyFont="1" applyFill="1" applyAlignment="1">
      <alignment horizontal="left"/>
    </xf>
    <xf numFmtId="0" fontId="6" fillId="2" borderId="0" xfId="0" applyFont="1" applyFill="1" applyAlignment="1">
      <alignment wrapText="1"/>
    </xf>
    <xf numFmtId="0" fontId="23" fillId="26" borderId="0" xfId="2" applyFill="1" applyAlignment="1">
      <alignment vertical="top"/>
    </xf>
    <xf numFmtId="0" fontId="28" fillId="27" borderId="0" xfId="0" applyFont="1" applyFill="1"/>
    <xf numFmtId="0" fontId="28" fillId="0" borderId="0" xfId="0" applyFont="1"/>
    <xf numFmtId="0" fontId="28" fillId="28" borderId="0" xfId="0" applyFont="1" applyFill="1"/>
    <xf numFmtId="0" fontId="29" fillId="21" borderId="0" xfId="0" applyFont="1" applyFill="1"/>
    <xf numFmtId="0" fontId="29" fillId="22" borderId="0" xfId="0" applyFont="1" applyFill="1"/>
    <xf numFmtId="0" fontId="5" fillId="24" borderId="3" xfId="0" applyFont="1" applyFill="1" applyBorder="1" applyAlignment="1">
      <alignment horizontal="center" vertical="top" wrapText="1"/>
    </xf>
    <xf numFmtId="0" fontId="23" fillId="26" borderId="8" xfId="2" applyFill="1" applyBorder="1" applyAlignment="1">
      <alignment vertical="top"/>
    </xf>
    <xf numFmtId="0" fontId="23" fillId="26" borderId="9" xfId="2" applyFill="1" applyBorder="1" applyAlignment="1">
      <alignment vertical="top"/>
    </xf>
    <xf numFmtId="0" fontId="22" fillId="29" borderId="3" xfId="0" applyFont="1" applyFill="1" applyBorder="1" applyAlignment="1">
      <alignment horizontal="center" vertical="top" wrapText="1"/>
    </xf>
    <xf numFmtId="0" fontId="6" fillId="2" borderId="0" xfId="0" applyFont="1" applyFill="1" applyAlignment="1">
      <alignment horizontal="center"/>
    </xf>
    <xf numFmtId="0" fontId="6" fillId="2" borderId="0" xfId="0" applyFont="1" applyFill="1" applyAlignment="1">
      <alignment vertical="top"/>
    </xf>
    <xf numFmtId="0" fontId="6" fillId="2" borderId="0" xfId="0" applyFont="1" applyFill="1" applyAlignment="1">
      <alignment vertical="top" wrapText="1"/>
    </xf>
    <xf numFmtId="0" fontId="30" fillId="20" borderId="0" xfId="0" applyFont="1" applyFill="1" applyAlignment="1">
      <alignment vertical="center"/>
    </xf>
    <xf numFmtId="0" fontId="6" fillId="3" borderId="0" xfId="0" applyFont="1" applyFill="1" applyAlignment="1">
      <alignment vertical="top"/>
    </xf>
    <xf numFmtId="0" fontId="6" fillId="3" borderId="0" xfId="0" applyFont="1" applyFill="1" applyAlignment="1">
      <alignment vertical="top" wrapText="1"/>
    </xf>
    <xf numFmtId="0" fontId="6" fillId="3" borderId="0" xfId="0" applyFont="1" applyFill="1"/>
    <xf numFmtId="0" fontId="6" fillId="30" borderId="0" xfId="0" applyFont="1" applyFill="1"/>
    <xf numFmtId="0" fontId="6" fillId="31" borderId="0" xfId="0" applyFont="1" applyFill="1" applyAlignment="1">
      <alignment vertical="top"/>
    </xf>
    <xf numFmtId="0" fontId="6" fillId="33" borderId="0" xfId="0" applyFont="1" applyFill="1"/>
    <xf numFmtId="0" fontId="6" fillId="34" borderId="0" xfId="0" applyFont="1" applyFill="1"/>
    <xf numFmtId="0" fontId="29" fillId="35" borderId="0" xfId="0" applyFont="1" applyFill="1" applyAlignment="1">
      <alignment vertical="top" wrapText="1"/>
    </xf>
    <xf numFmtId="0" fontId="27" fillId="37" borderId="0" xfId="0" applyFont="1" applyFill="1" applyAlignment="1">
      <alignment vertical="center"/>
    </xf>
    <xf numFmtId="0" fontId="6" fillId="0" borderId="0" xfId="0" applyFont="1"/>
    <xf numFmtId="0" fontId="31" fillId="38" borderId="0" xfId="0" applyFont="1" applyFill="1" applyAlignment="1">
      <alignment horizontal="center" vertical="center"/>
    </xf>
    <xf numFmtId="0" fontId="31" fillId="39" borderId="0" xfId="0" applyFont="1" applyFill="1" applyAlignment="1">
      <alignment horizontal="center" vertical="center"/>
    </xf>
    <xf numFmtId="0" fontId="31" fillId="40" borderId="0" xfId="0" applyFont="1" applyFill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6" fillId="41" borderId="0" xfId="0" applyFont="1" applyFill="1"/>
    <xf numFmtId="0" fontId="6" fillId="42" borderId="0" xfId="0" applyFont="1" applyFill="1"/>
    <xf numFmtId="1" fontId="6" fillId="2" borderId="0" xfId="0" applyNumberFormat="1" applyFont="1" applyFill="1" applyAlignment="1">
      <alignment vertical="top"/>
    </xf>
    <xf numFmtId="164" fontId="6" fillId="2" borderId="0" xfId="0" applyNumberFormat="1" applyFont="1" applyFill="1" applyAlignment="1">
      <alignment horizontal="left"/>
    </xf>
    <xf numFmtId="0" fontId="32" fillId="2" borderId="0" xfId="0" applyFont="1" applyFill="1"/>
    <xf numFmtId="0" fontId="6" fillId="2" borderId="0" xfId="0" applyFont="1" applyFill="1" applyAlignment="1">
      <alignment horizontal="left" vertical="center"/>
    </xf>
    <xf numFmtId="0" fontId="6" fillId="20" borderId="0" xfId="0" applyFont="1" applyFill="1" applyAlignment="1">
      <alignment vertical="top"/>
    </xf>
    <xf numFmtId="0" fontId="6" fillId="20" borderId="0" xfId="0" applyFont="1" applyFill="1" applyAlignment="1">
      <alignment vertical="top" wrapText="1"/>
    </xf>
    <xf numFmtId="0" fontId="29" fillId="25" borderId="0" xfId="0" applyFont="1" applyFill="1" applyAlignment="1">
      <alignment vertical="top"/>
    </xf>
    <xf numFmtId="2" fontId="6" fillId="31" borderId="0" xfId="0" applyNumberFormat="1" applyFont="1" applyFill="1" applyAlignment="1">
      <alignment vertical="top"/>
    </xf>
    <xf numFmtId="2" fontId="6" fillId="31" borderId="0" xfId="0" applyNumberFormat="1" applyFont="1" applyFill="1" applyAlignment="1">
      <alignment horizontal="right" vertical="top"/>
    </xf>
    <xf numFmtId="0" fontId="6" fillId="32" borderId="0" xfId="0" applyFont="1" applyFill="1" applyAlignment="1">
      <alignment vertical="top"/>
    </xf>
    <xf numFmtId="1" fontId="6" fillId="32" borderId="0" xfId="0" applyNumberFormat="1" applyFont="1" applyFill="1" applyAlignment="1">
      <alignment horizontal="right" vertical="top"/>
    </xf>
    <xf numFmtId="0" fontId="6" fillId="32" borderId="0" xfId="0" applyFont="1" applyFill="1" applyAlignment="1">
      <alignment vertical="top" wrapText="1"/>
    </xf>
    <xf numFmtId="49" fontId="6" fillId="32" borderId="0" xfId="0" applyNumberFormat="1" applyFont="1" applyFill="1" applyAlignment="1">
      <alignment vertical="top"/>
    </xf>
    <xf numFmtId="49" fontId="6" fillId="31" borderId="0" xfId="0" applyNumberFormat="1" applyFont="1" applyFill="1" applyAlignment="1">
      <alignment vertical="top"/>
    </xf>
    <xf numFmtId="0" fontId="6" fillId="31" borderId="0" xfId="0" applyFont="1" applyFill="1" applyAlignment="1">
      <alignment horizontal="right" vertical="top"/>
    </xf>
    <xf numFmtId="0" fontId="6" fillId="32" borderId="0" xfId="0" applyFont="1" applyFill="1" applyAlignment="1">
      <alignment horizontal="right" vertical="top"/>
    </xf>
    <xf numFmtId="14" fontId="6" fillId="2" borderId="0" xfId="0" applyNumberFormat="1" applyFont="1" applyFill="1"/>
    <xf numFmtId="1" fontId="6" fillId="30" borderId="0" xfId="0" applyNumberFormat="1" applyFont="1" applyFill="1" applyAlignment="1">
      <alignment vertical="top"/>
    </xf>
    <xf numFmtId="1" fontId="6" fillId="30" borderId="0" xfId="0" applyNumberFormat="1" applyFont="1" applyFill="1"/>
    <xf numFmtId="9" fontId="6" fillId="30" borderId="0" xfId="3" applyFont="1" applyFill="1"/>
    <xf numFmtId="0" fontId="5" fillId="12" borderId="0" xfId="0" applyFont="1" applyFill="1" applyAlignment="1">
      <alignment horizontal="center" vertical="center"/>
    </xf>
    <xf numFmtId="0" fontId="6" fillId="10" borderId="0" xfId="0" applyFont="1" applyFill="1" applyAlignment="1">
      <alignment horizontal="center" vertical="center" wrapText="1"/>
    </xf>
    <xf numFmtId="0" fontId="3" fillId="24" borderId="4" xfId="0" applyFont="1" applyFill="1" applyBorder="1" applyAlignment="1">
      <alignment horizontal="center" vertical="top" wrapText="1"/>
    </xf>
    <xf numFmtId="14" fontId="6" fillId="2" borderId="0" xfId="0" applyNumberFormat="1" applyFont="1" applyFill="1" applyAlignment="1">
      <alignment horizontal="center"/>
    </xf>
    <xf numFmtId="0" fontId="6" fillId="43" borderId="0" xfId="0" applyFont="1" applyFill="1"/>
    <xf numFmtId="0" fontId="29" fillId="33" borderId="0" xfId="0" applyFont="1" applyFill="1" applyAlignment="1">
      <alignment vertical="top" wrapText="1"/>
    </xf>
    <xf numFmtId="0" fontId="6" fillId="30" borderId="0" xfId="0" applyFont="1" applyFill="1" applyAlignment="1">
      <alignment vertical="top"/>
    </xf>
    <xf numFmtId="9" fontId="6" fillId="2" borderId="0" xfId="3" applyFont="1" applyFill="1"/>
    <xf numFmtId="1" fontId="6" fillId="2" borderId="0" xfId="0" applyNumberFormat="1" applyFont="1" applyFill="1"/>
    <xf numFmtId="0" fontId="29" fillId="34" borderId="0" xfId="0" applyFont="1" applyFill="1" applyAlignment="1">
      <alignment vertical="top" wrapText="1"/>
    </xf>
    <xf numFmtId="0" fontId="6" fillId="4" borderId="0" xfId="0" applyFont="1" applyFill="1" applyAlignment="1">
      <alignment vertical="top" wrapText="1"/>
    </xf>
    <xf numFmtId="10" fontId="0" fillId="2" borderId="0" xfId="0" applyNumberFormat="1" applyFill="1"/>
    <xf numFmtId="0" fontId="0" fillId="44" borderId="0" xfId="0" applyFill="1"/>
    <xf numFmtId="10" fontId="0" fillId="44" borderId="0" xfId="0" applyNumberFormat="1" applyFill="1"/>
    <xf numFmtId="0" fontId="0" fillId="20" borderId="0" xfId="0" applyFill="1"/>
    <xf numFmtId="0" fontId="6" fillId="2" borderId="2" xfId="0" applyFont="1" applyFill="1" applyBorder="1" applyAlignment="1">
      <alignment wrapText="1"/>
    </xf>
    <xf numFmtId="0" fontId="6" fillId="2" borderId="2" xfId="0" applyFont="1" applyFill="1" applyBorder="1" applyAlignment="1">
      <alignment vertical="center"/>
    </xf>
    <xf numFmtId="49" fontId="6" fillId="2" borderId="0" xfId="0" applyNumberFormat="1" applyFont="1" applyFill="1"/>
    <xf numFmtId="0" fontId="33" fillId="0" borderId="0" xfId="0" applyFont="1"/>
    <xf numFmtId="0" fontId="6" fillId="13" borderId="0" xfId="0" applyFont="1" applyFill="1" applyAlignment="1">
      <alignment horizontal="center" vertical="center" wrapText="1"/>
    </xf>
    <xf numFmtId="2" fontId="0" fillId="2" borderId="0" xfId="0" applyNumberFormat="1" applyFill="1"/>
    <xf numFmtId="2" fontId="0" fillId="44" borderId="0" xfId="0" applyNumberFormat="1" applyFill="1"/>
    <xf numFmtId="0" fontId="0" fillId="32" borderId="0" xfId="0" applyFill="1"/>
    <xf numFmtId="10" fontId="0" fillId="32" borderId="0" xfId="0" applyNumberFormat="1" applyFill="1"/>
    <xf numFmtId="0" fontId="22" fillId="14" borderId="3" xfId="0" applyFont="1" applyFill="1" applyBorder="1" applyAlignment="1">
      <alignment horizontal="center" vertical="top" wrapText="1"/>
    </xf>
    <xf numFmtId="49" fontId="33" fillId="2" borderId="0" xfId="0" applyNumberFormat="1" applyFont="1" applyFill="1"/>
    <xf numFmtId="49" fontId="33" fillId="45" borderId="0" xfId="0" applyNumberFormat="1" applyFont="1" applyFill="1"/>
    <xf numFmtId="165" fontId="6" fillId="2" borderId="0" xfId="3" applyNumberFormat="1" applyFont="1" applyFill="1"/>
    <xf numFmtId="165" fontId="6" fillId="2" borderId="0" xfId="0" applyNumberFormat="1" applyFont="1" applyFill="1" applyAlignment="1">
      <alignment vertical="top"/>
    </xf>
    <xf numFmtId="165" fontId="6" fillId="2" borderId="0" xfId="0" applyNumberFormat="1" applyFont="1" applyFill="1"/>
    <xf numFmtId="165" fontId="6" fillId="30" borderId="0" xfId="3" applyNumberFormat="1" applyFont="1" applyFill="1"/>
    <xf numFmtId="165" fontId="6" fillId="30" borderId="0" xfId="0" applyNumberFormat="1" applyFont="1" applyFill="1" applyAlignment="1">
      <alignment vertical="top"/>
    </xf>
    <xf numFmtId="0" fontId="34" fillId="31" borderId="0" xfId="0" applyFont="1" applyFill="1"/>
    <xf numFmtId="0" fontId="34" fillId="31" borderId="0" xfId="0" applyFont="1" applyFill="1" applyAlignment="1">
      <alignment vertical="top"/>
    </xf>
    <xf numFmtId="1" fontId="34" fillId="31" borderId="0" xfId="0" applyNumberFormat="1" applyFont="1" applyFill="1" applyAlignment="1">
      <alignment vertical="top"/>
    </xf>
    <xf numFmtId="1" fontId="34" fillId="31" borderId="0" xfId="0" applyNumberFormat="1" applyFont="1" applyFill="1"/>
    <xf numFmtId="9" fontId="6" fillId="2" borderId="0" xfId="3" applyFont="1" applyFill="1" applyAlignment="1">
      <alignment vertical="top"/>
    </xf>
    <xf numFmtId="0" fontId="35" fillId="0" borderId="12" xfId="0" applyFont="1" applyBorder="1"/>
    <xf numFmtId="0" fontId="35" fillId="47" borderId="12" xfId="0" applyFont="1" applyFill="1" applyBorder="1"/>
    <xf numFmtId="0" fontId="35" fillId="46" borderId="12" xfId="0" applyFont="1" applyFill="1" applyBorder="1"/>
    <xf numFmtId="0" fontId="33" fillId="0" borderId="12" xfId="0" applyFont="1" applyBorder="1" applyAlignment="1">
      <alignment wrapText="1"/>
    </xf>
    <xf numFmtId="0" fontId="36" fillId="0" borderId="12" xfId="0" applyFont="1" applyBorder="1" applyAlignment="1">
      <alignment wrapText="1"/>
    </xf>
    <xf numFmtId="0" fontId="5" fillId="48" borderId="3" xfId="0" applyFont="1" applyFill="1" applyBorder="1" applyAlignment="1">
      <alignment horizontal="center" vertical="top"/>
    </xf>
    <xf numFmtId="0" fontId="35" fillId="0" borderId="12" xfId="0" applyFont="1" applyBorder="1" applyAlignment="1">
      <alignment wrapText="1"/>
    </xf>
    <xf numFmtId="0" fontId="25" fillId="2" borderId="0" xfId="0" applyFont="1" applyFill="1" applyAlignment="1">
      <alignment horizontal="left"/>
    </xf>
    <xf numFmtId="0" fontId="27" fillId="2" borderId="10" xfId="0" applyFont="1" applyFill="1" applyBorder="1" applyAlignment="1">
      <alignment horizontal="left" wrapText="1"/>
    </xf>
    <xf numFmtId="0" fontId="27" fillId="2" borderId="11" xfId="0" applyFont="1" applyFill="1" applyBorder="1" applyAlignment="1">
      <alignment horizontal="left" wrapText="1"/>
    </xf>
    <xf numFmtId="0" fontId="27" fillId="36" borderId="0" xfId="0" applyFont="1" applyFill="1" applyAlignment="1">
      <alignment horizontal="center" vertical="center" wrapText="1"/>
    </xf>
    <xf numFmtId="0" fontId="6" fillId="9" borderId="0" xfId="0" applyFont="1" applyFill="1" applyAlignment="1">
      <alignment horizontal="center" vertical="center"/>
    </xf>
    <xf numFmtId="0" fontId="6" fillId="13" borderId="0" xfId="0" applyFont="1" applyFill="1" applyAlignment="1">
      <alignment horizontal="center" vertical="center" wrapText="1"/>
    </xf>
    <xf numFmtId="0" fontId="5" fillId="12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6" fillId="15" borderId="0" xfId="0" applyFont="1" applyFill="1" applyAlignment="1">
      <alignment horizontal="center" vertical="center"/>
    </xf>
    <xf numFmtId="0" fontId="6" fillId="10" borderId="0" xfId="0" applyFont="1" applyFill="1" applyAlignment="1">
      <alignment horizontal="center" vertical="center" wrapText="1"/>
    </xf>
    <xf numFmtId="0" fontId="21" fillId="9" borderId="6" xfId="0" applyFont="1" applyFill="1" applyBorder="1" applyAlignment="1">
      <alignment horizontal="center" vertical="center"/>
    </xf>
    <xf numFmtId="0" fontId="21" fillId="10" borderId="0" xfId="0" applyFont="1" applyFill="1" applyAlignment="1">
      <alignment horizontal="center" vertical="center" wrapText="1"/>
    </xf>
    <xf numFmtId="0" fontId="21" fillId="13" borderId="0" xfId="0" applyFont="1" applyFill="1" applyAlignment="1">
      <alignment horizontal="center" vertical="center" wrapText="1"/>
    </xf>
    <xf numFmtId="0" fontId="5" fillId="18" borderId="0" xfId="0" applyFont="1" applyFill="1" applyAlignment="1">
      <alignment horizontal="center" vertical="center"/>
    </xf>
    <xf numFmtId="0" fontId="27" fillId="37" borderId="0" xfId="0" applyFont="1" applyFill="1" applyAlignment="1">
      <alignment horizontal="center" vertical="center"/>
    </xf>
    <xf numFmtId="0" fontId="5" fillId="20" borderId="0" xfId="0" applyFont="1" applyFill="1" applyAlignment="1">
      <alignment horizontal="center" vertical="center"/>
    </xf>
    <xf numFmtId="0" fontId="32" fillId="2" borderId="0" xfId="0" applyFont="1" applyFill="1" applyAlignment="1">
      <alignment horizontal="left"/>
    </xf>
  </cellXfs>
  <cellStyles count="4">
    <cellStyle name="Hyperlink" xfId="1" builtinId="8"/>
    <cellStyle name="Normal" xfId="0" builtinId="0"/>
    <cellStyle name="Normal 2" xfId="2"/>
    <cellStyle name="Percent" xfId="3" builtinId="5"/>
  </cellStyles>
  <dxfs count="26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ill>
        <patternFill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ill>
        <patternFill patternType="solid">
          <fgColor indexed="64"/>
          <bgColor theme="1"/>
        </patternFill>
      </fill>
      <alignment horizontal="general" vertical="top" textRotation="0" wrapText="1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5" tint="0.79998168889431442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3"/>
        </patternFill>
      </fill>
      <alignment horizontal="general" vertical="top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0"/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%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%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%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%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%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%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%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%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%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4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%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%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0.0%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4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 patternType="solid">
          <bgColor theme="1" tint="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ont>
        <color theme="2" tint="-0.24994659260841701"/>
      </font>
      <fill>
        <patternFill>
          <bgColor theme="6" tint="0.79998168889431442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 patternType="solid">
          <fgColor indexed="64"/>
          <bgColor theme="9" tint="0.39997558519241921"/>
        </patternFill>
      </fill>
    </dxf>
    <dxf>
      <fill>
        <patternFill patternType="solid">
          <fgColor indexed="64"/>
          <bgColor theme="9" tint="0.39997558519241921"/>
        </patternFill>
      </fill>
    </dxf>
    <dxf>
      <fill>
        <patternFill patternType="solid">
          <fgColor indexed="64"/>
          <bgColor theme="9" tint="0.39997558519241921"/>
        </patternFill>
      </fill>
    </dxf>
    <dxf>
      <fill>
        <patternFill patternType="solid">
          <fgColor indexed="64"/>
          <bgColor theme="9" tint="0.39997558519241921"/>
        </patternFill>
      </fill>
    </dxf>
    <dxf>
      <fill>
        <patternFill patternType="solid">
          <fgColor indexed="64"/>
          <bgColor theme="9" tint="0.39997558519241921"/>
        </patternFill>
      </fill>
    </dxf>
    <dxf>
      <fill>
        <patternFill patternType="solid">
          <fgColor indexed="64"/>
          <bgColor theme="9" tint="0.39997558519241921"/>
        </patternFill>
      </fill>
    </dxf>
    <dxf>
      <numFmt numFmtId="2" formatCode="0.00"/>
    </dxf>
    <dxf>
      <fill>
        <patternFill patternType="solid">
          <fgColor indexed="64"/>
          <bgColor theme="3"/>
        </patternFill>
      </fill>
    </dxf>
    <dxf>
      <fill>
        <patternFill patternType="solid">
          <fgColor indexed="64"/>
          <bgColor theme="3"/>
        </patternFill>
      </fill>
    </dxf>
    <dxf>
      <fill>
        <patternFill patternType="solid">
          <fgColor indexed="64"/>
          <bgColor theme="7"/>
        </patternFill>
      </fill>
    </dxf>
    <dxf>
      <fill>
        <patternFill patternType="solid">
          <fgColor indexed="64"/>
          <bgColor theme="7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0" formatCode="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9" formatCode="dd/mm/yyyy"/>
      <fill>
        <patternFill patternType="solid">
          <fgColor indexed="64"/>
          <bgColor theme="0"/>
        </patternFill>
      </fill>
      <alignment horizontal="center" textRotation="0" indent="0" justifyLastLine="0" shrinkToFit="0" readingOrder="0"/>
    </dxf>
    <dxf>
      <border outline="0"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rgb="FF0070C0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theme="3"/>
        </patternFill>
      </fill>
      <alignment horizontal="general" vertical="center" textRotation="0" wrapText="1" indent="0" justifyLastLine="0" shrinkToFit="0" readingOrder="0"/>
    </dxf>
    <dxf>
      <fill>
        <patternFill>
          <bgColor theme="8" tint="0.59996337778862885"/>
        </patternFill>
      </fill>
    </dxf>
    <dxf>
      <fill>
        <patternFill>
          <bgColor rgb="FFCCCC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fill>
        <patternFill patternType="solid">
          <fgColor indexed="64"/>
          <bgColor theme="0"/>
        </patternFill>
      </fill>
    </dxf>
    <dxf>
      <font>
        <strike val="0"/>
        <outline val="0"/>
        <shadow val="0"/>
        <vertAlign val="baseline"/>
        <sz val="9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vertAlign val="baseline"/>
        <sz val="9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vertAlign val="baseline"/>
        <sz val="9"/>
        <color rgb="FF000000"/>
        <name val="Arial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9"/>
        <name val="Arial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</dxf>
    <dxf>
      <font>
        <strike val="0"/>
        <outline val="0"/>
        <shadow val="0"/>
        <vertAlign val="baseline"/>
        <sz val="9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vertAlign val="baseline"/>
        <sz val="9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vertAlign val="baseline"/>
        <sz val="9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vertAlign val="baseline"/>
        <sz val="9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vertAlign val="baseline"/>
        <sz val="9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vertAlign val="baseline"/>
        <sz val="9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vertAlign val="baseline"/>
        <sz val="9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vertAlign val="baseline"/>
        <sz val="9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vertAlign val="baseline"/>
        <sz val="9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vertAlign val="baseline"/>
        <sz val="9"/>
        <name val="Arial"/>
        <scheme val="none"/>
      </font>
      <fill>
        <patternFill>
          <fgColor indexed="64"/>
          <bgColor theme="0"/>
        </patternFill>
      </fill>
    </dxf>
    <dxf>
      <font>
        <strike val="0"/>
        <outline val="0"/>
        <shadow val="0"/>
        <vertAlign val="baseline"/>
        <sz val="9"/>
        <name val="Arial"/>
        <scheme val="none"/>
      </font>
      <fill>
        <patternFill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Segoe UI"/>
        <scheme val="none"/>
      </font>
      <fill>
        <patternFill patternType="solid">
          <fgColor indexed="64"/>
          <bgColor theme="4"/>
        </patternFill>
      </fill>
      <alignment horizontal="left" vertical="center" textRotation="0" wrapText="1" indent="0" justifyLastLine="0" shrinkToFit="0" readingOrder="0"/>
      <border diagonalUp="0" diagonalDown="0" outline="0">
        <left style="medium">
          <color rgb="FFA6B8D8"/>
        </left>
        <right style="medium">
          <color rgb="FFA6B8D8"/>
        </right>
        <top/>
        <bottom/>
      </border>
    </dxf>
  </dxfs>
  <tableStyles count="0" defaultTableStyle="TableStyleMedium2" defaultPivotStyle="PivotStyleLight16"/>
  <colors>
    <mruColors>
      <color rgb="FFFDF0E9"/>
      <color rgb="FFFFFFCC"/>
      <color rgb="FFFFCCFF"/>
      <color rgb="FFFF99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_rels/activeX122.xml.rels><?xml version="1.0" encoding="UTF-8" standalone="yes"?>
<Relationships xmlns="http://schemas.openxmlformats.org/package/2006/relationships"><Relationship Id="rId1" Type="http://schemas.microsoft.com/office/2006/relationships/activeXControlBinary" Target="activeX122.bin"/></Relationships>
</file>

<file path=xl/activeX/_rels/activeX123.xml.rels><?xml version="1.0" encoding="UTF-8" standalone="yes"?>
<Relationships xmlns="http://schemas.openxmlformats.org/package/2006/relationships"><Relationship Id="rId1" Type="http://schemas.microsoft.com/office/2006/relationships/activeXControlBinary" Target="activeX123.bin"/></Relationships>
</file>

<file path=xl/activeX/_rels/activeX124.xml.rels><?xml version="1.0" encoding="UTF-8" standalone="yes"?>
<Relationships xmlns="http://schemas.openxmlformats.org/package/2006/relationships"><Relationship Id="rId1" Type="http://schemas.microsoft.com/office/2006/relationships/activeXControlBinary" Target="activeX124.bin"/></Relationships>
</file>

<file path=xl/activeX/_rels/activeX125.xml.rels><?xml version="1.0" encoding="UTF-8" standalone="yes"?>
<Relationships xmlns="http://schemas.openxmlformats.org/package/2006/relationships"><Relationship Id="rId1" Type="http://schemas.microsoft.com/office/2006/relationships/activeXControlBinary" Target="activeX125.bin"/></Relationships>
</file>

<file path=xl/activeX/_rels/activeX126.xml.rels><?xml version="1.0" encoding="UTF-8" standalone="yes"?>
<Relationships xmlns="http://schemas.openxmlformats.org/package/2006/relationships"><Relationship Id="rId1" Type="http://schemas.microsoft.com/office/2006/relationships/activeXControlBinary" Target="activeX126.bin"/></Relationships>
</file>

<file path=xl/activeX/_rels/activeX127.xml.rels><?xml version="1.0" encoding="UTF-8" standalone="yes"?>
<Relationships xmlns="http://schemas.openxmlformats.org/package/2006/relationships"><Relationship Id="rId1" Type="http://schemas.microsoft.com/office/2006/relationships/activeXControlBinary" Target="activeX127.bin"/></Relationships>
</file>

<file path=xl/activeX/_rels/activeX128.xml.rels><?xml version="1.0" encoding="UTF-8" standalone="yes"?>
<Relationships xmlns="http://schemas.openxmlformats.org/package/2006/relationships"><Relationship Id="rId1" Type="http://schemas.microsoft.com/office/2006/relationships/activeXControlBinary" Target="activeX128.bin"/></Relationships>
</file>

<file path=xl/activeX/_rels/activeX129.xml.rels><?xml version="1.0" encoding="UTF-8" standalone="yes"?>
<Relationships xmlns="http://schemas.openxmlformats.org/package/2006/relationships"><Relationship Id="rId1" Type="http://schemas.microsoft.com/office/2006/relationships/activeXControlBinary" Target="activeX129.bin"/></Relationships>
</file>

<file path=xl/activeX/_rels/activeX130.xml.rels><?xml version="1.0" encoding="UTF-8" standalone="yes"?>
<Relationships xmlns="http://schemas.openxmlformats.org/package/2006/relationships"><Relationship Id="rId1" Type="http://schemas.microsoft.com/office/2006/relationships/activeXControlBinary" Target="activeX130.bin"/></Relationships>
</file>

<file path=xl/activeX/_rels/activeX131.xml.rels><?xml version="1.0" encoding="UTF-8" standalone="yes"?>
<Relationships xmlns="http://schemas.openxmlformats.org/package/2006/relationships"><Relationship Id="rId1" Type="http://schemas.microsoft.com/office/2006/relationships/activeXControlBinary" Target="activeX131.bin"/></Relationships>
</file>

<file path=xl/activeX/_rels/activeX132.xml.rels><?xml version="1.0" encoding="UTF-8" standalone="yes"?>
<Relationships xmlns="http://schemas.openxmlformats.org/package/2006/relationships"><Relationship Id="rId1" Type="http://schemas.microsoft.com/office/2006/relationships/activeXControlBinary" Target="activeX132.bin"/></Relationships>
</file>

<file path=xl/activeX/_rels/activeX133.xml.rels><?xml version="1.0" encoding="UTF-8" standalone="yes"?>
<Relationships xmlns="http://schemas.openxmlformats.org/package/2006/relationships"><Relationship Id="rId1" Type="http://schemas.microsoft.com/office/2006/relationships/activeXControlBinary" Target="activeX133.bin"/></Relationships>
</file>

<file path=xl/activeX/_rels/activeX134.xml.rels><?xml version="1.0" encoding="UTF-8" standalone="yes"?>
<Relationships xmlns="http://schemas.openxmlformats.org/package/2006/relationships"><Relationship Id="rId1" Type="http://schemas.microsoft.com/office/2006/relationships/activeXControlBinary" Target="activeX134.bin"/></Relationships>
</file>

<file path=xl/activeX/_rels/activeX135.xml.rels><?xml version="1.0" encoding="UTF-8" standalone="yes"?>
<Relationships xmlns="http://schemas.openxmlformats.org/package/2006/relationships"><Relationship Id="rId1" Type="http://schemas.microsoft.com/office/2006/relationships/activeXControlBinary" Target="activeX135.bin"/></Relationships>
</file>

<file path=xl/activeX/_rels/activeX136.xml.rels><?xml version="1.0" encoding="UTF-8" standalone="yes"?>
<Relationships xmlns="http://schemas.openxmlformats.org/package/2006/relationships"><Relationship Id="rId1" Type="http://schemas.microsoft.com/office/2006/relationships/activeXControlBinary" Target="activeX136.bin"/></Relationships>
</file>

<file path=xl/activeX/_rels/activeX137.xml.rels><?xml version="1.0" encoding="UTF-8" standalone="yes"?>
<Relationships xmlns="http://schemas.openxmlformats.org/package/2006/relationships"><Relationship Id="rId1" Type="http://schemas.microsoft.com/office/2006/relationships/activeXControlBinary" Target="activeX137.bin"/></Relationships>
</file>

<file path=xl/activeX/_rels/activeX138.xml.rels><?xml version="1.0" encoding="UTF-8" standalone="yes"?>
<Relationships xmlns="http://schemas.openxmlformats.org/package/2006/relationships"><Relationship Id="rId1" Type="http://schemas.microsoft.com/office/2006/relationships/activeXControlBinary" Target="activeX138.bin"/></Relationships>
</file>

<file path=xl/activeX/_rels/activeX139.xml.rels><?xml version="1.0" encoding="UTF-8" standalone="yes"?>
<Relationships xmlns="http://schemas.openxmlformats.org/package/2006/relationships"><Relationship Id="rId1" Type="http://schemas.microsoft.com/office/2006/relationships/activeXControlBinary" Target="activeX139.bin"/></Relationships>
</file>

<file path=xl/activeX/_rels/activeX140.xml.rels><?xml version="1.0" encoding="UTF-8" standalone="yes"?>
<Relationships xmlns="http://schemas.openxmlformats.org/package/2006/relationships"><Relationship Id="rId1" Type="http://schemas.microsoft.com/office/2006/relationships/activeXControlBinary" Target="activeX140.bin"/></Relationships>
</file>

<file path=xl/activeX/_rels/activeX141.xml.rels><?xml version="1.0" encoding="UTF-8" standalone="yes"?>
<Relationships xmlns="http://schemas.openxmlformats.org/package/2006/relationships"><Relationship Id="rId1" Type="http://schemas.microsoft.com/office/2006/relationships/activeXControlBinary" Target="activeX141.bin"/></Relationships>
</file>

<file path=xl/activeX/_rels/activeX142.xml.rels><?xml version="1.0" encoding="UTF-8" standalone="yes"?>
<Relationships xmlns="http://schemas.openxmlformats.org/package/2006/relationships"><Relationship Id="rId1" Type="http://schemas.microsoft.com/office/2006/relationships/activeXControlBinary" Target="activeX142.bin"/></Relationships>
</file>

<file path=xl/activeX/_rels/activeX143.xml.rels><?xml version="1.0" encoding="UTF-8" standalone="yes"?>
<Relationships xmlns="http://schemas.openxmlformats.org/package/2006/relationships"><Relationship Id="rId1" Type="http://schemas.microsoft.com/office/2006/relationships/activeXControlBinary" Target="activeX143.bin"/></Relationships>
</file>

<file path=xl/activeX/_rels/activeX144.xml.rels><?xml version="1.0" encoding="UTF-8" standalone="yes"?>
<Relationships xmlns="http://schemas.openxmlformats.org/package/2006/relationships"><Relationship Id="rId1" Type="http://schemas.microsoft.com/office/2006/relationships/activeXControlBinary" Target="activeX144.bin"/></Relationships>
</file>

<file path=xl/activeX/_rels/activeX145.xml.rels><?xml version="1.0" encoding="UTF-8" standalone="yes"?>
<Relationships xmlns="http://schemas.openxmlformats.org/package/2006/relationships"><Relationship Id="rId1" Type="http://schemas.microsoft.com/office/2006/relationships/activeXControlBinary" Target="activeX145.bin"/></Relationships>
</file>

<file path=xl/activeX/_rels/activeX146.xml.rels><?xml version="1.0" encoding="UTF-8" standalone="yes"?>
<Relationships xmlns="http://schemas.openxmlformats.org/package/2006/relationships"><Relationship Id="rId1" Type="http://schemas.microsoft.com/office/2006/relationships/activeXControlBinary" Target="activeX146.bin"/></Relationships>
</file>

<file path=xl/activeX/_rels/activeX147.xml.rels><?xml version="1.0" encoding="UTF-8" standalone="yes"?>
<Relationships xmlns="http://schemas.openxmlformats.org/package/2006/relationships"><Relationship Id="rId1" Type="http://schemas.microsoft.com/office/2006/relationships/activeXControlBinary" Target="activeX147.bin"/></Relationships>
</file>

<file path=xl/activeX/_rels/activeX148.xml.rels><?xml version="1.0" encoding="UTF-8" standalone="yes"?>
<Relationships xmlns="http://schemas.openxmlformats.org/package/2006/relationships"><Relationship Id="rId1" Type="http://schemas.microsoft.com/office/2006/relationships/activeXControlBinary" Target="activeX148.bin"/></Relationships>
</file>

<file path=xl/activeX/_rels/activeX149.xml.rels><?xml version="1.0" encoding="UTF-8" standalone="yes"?>
<Relationships xmlns="http://schemas.openxmlformats.org/package/2006/relationships"><Relationship Id="rId1" Type="http://schemas.microsoft.com/office/2006/relationships/activeXControlBinary" Target="activeX149.bin"/></Relationships>
</file>

<file path=xl/activeX/_rels/activeX150.xml.rels><?xml version="1.0" encoding="UTF-8" standalone="yes"?>
<Relationships xmlns="http://schemas.openxmlformats.org/package/2006/relationships"><Relationship Id="rId1" Type="http://schemas.microsoft.com/office/2006/relationships/activeXControlBinary" Target="activeX150.bin"/></Relationships>
</file>

<file path=xl/activeX/_rels/activeX151.xml.rels><?xml version="1.0" encoding="UTF-8" standalone="yes"?>
<Relationships xmlns="http://schemas.openxmlformats.org/package/2006/relationships"><Relationship Id="rId1" Type="http://schemas.microsoft.com/office/2006/relationships/activeXControlBinary" Target="activeX151.bin"/></Relationships>
</file>

<file path=xl/activeX/_rels/activeX152.xml.rels><?xml version="1.0" encoding="UTF-8" standalone="yes"?>
<Relationships xmlns="http://schemas.openxmlformats.org/package/2006/relationships"><Relationship Id="rId1" Type="http://schemas.microsoft.com/office/2006/relationships/activeXControlBinary" Target="activeX152.bin"/></Relationships>
</file>

<file path=xl/activeX/_rels/activeX153.xml.rels><?xml version="1.0" encoding="UTF-8" standalone="yes"?>
<Relationships xmlns="http://schemas.openxmlformats.org/package/2006/relationships"><Relationship Id="rId1" Type="http://schemas.microsoft.com/office/2006/relationships/activeXControlBinary" Target="activeX153.bin"/></Relationships>
</file>

<file path=xl/activeX/_rels/activeX154.xml.rels><?xml version="1.0" encoding="UTF-8" standalone="yes"?>
<Relationships xmlns="http://schemas.openxmlformats.org/package/2006/relationships"><Relationship Id="rId1" Type="http://schemas.microsoft.com/office/2006/relationships/activeXControlBinary" Target="activeX154.bin"/></Relationships>
</file>

<file path=xl/activeX/_rels/activeX155.xml.rels><?xml version="1.0" encoding="UTF-8" standalone="yes"?>
<Relationships xmlns="http://schemas.openxmlformats.org/package/2006/relationships"><Relationship Id="rId1" Type="http://schemas.microsoft.com/office/2006/relationships/activeXControlBinary" Target="activeX155.bin"/></Relationships>
</file>

<file path=xl/activeX/_rels/activeX156.xml.rels><?xml version="1.0" encoding="UTF-8" standalone="yes"?>
<Relationships xmlns="http://schemas.openxmlformats.org/package/2006/relationships"><Relationship Id="rId1" Type="http://schemas.microsoft.com/office/2006/relationships/activeXControlBinary" Target="activeX156.bin"/></Relationships>
</file>

<file path=xl/activeX/_rels/activeX157.xml.rels><?xml version="1.0" encoding="UTF-8" standalone="yes"?>
<Relationships xmlns="http://schemas.openxmlformats.org/package/2006/relationships"><Relationship Id="rId1" Type="http://schemas.microsoft.com/office/2006/relationships/activeXControlBinary" Target="activeX157.bin"/></Relationships>
</file>

<file path=xl/activeX/_rels/activeX158.xml.rels><?xml version="1.0" encoding="UTF-8" standalone="yes"?>
<Relationships xmlns="http://schemas.openxmlformats.org/package/2006/relationships"><Relationship Id="rId1" Type="http://schemas.microsoft.com/office/2006/relationships/activeXControlBinary" Target="activeX158.bin"/></Relationships>
</file>

<file path=xl/activeX/_rels/activeX159.xml.rels><?xml version="1.0" encoding="UTF-8" standalone="yes"?>
<Relationships xmlns="http://schemas.openxmlformats.org/package/2006/relationships"><Relationship Id="rId1" Type="http://schemas.microsoft.com/office/2006/relationships/activeXControlBinary" Target="activeX159.bin"/></Relationships>
</file>

<file path=xl/activeX/_rels/activeX160.xml.rels><?xml version="1.0" encoding="UTF-8" standalone="yes"?>
<Relationships xmlns="http://schemas.openxmlformats.org/package/2006/relationships"><Relationship Id="rId1" Type="http://schemas.microsoft.com/office/2006/relationships/activeXControlBinary" Target="activeX160.bin"/></Relationships>
</file>

<file path=xl/activeX/_rels/activeX161.xml.rels><?xml version="1.0" encoding="UTF-8" standalone="yes"?>
<Relationships xmlns="http://schemas.openxmlformats.org/package/2006/relationships"><Relationship Id="rId1" Type="http://schemas.microsoft.com/office/2006/relationships/activeXControlBinary" Target="activeX161.bin"/></Relationships>
</file>

<file path=xl/activeX/_rels/activeX162.xml.rels><?xml version="1.0" encoding="UTF-8" standalone="yes"?>
<Relationships xmlns="http://schemas.openxmlformats.org/package/2006/relationships"><Relationship Id="rId1" Type="http://schemas.microsoft.com/office/2006/relationships/activeXControlBinary" Target="activeX162.bin"/></Relationships>
</file>

<file path=xl/activeX/_rels/activeX163.xml.rels><?xml version="1.0" encoding="UTF-8" standalone="yes"?>
<Relationships xmlns="http://schemas.openxmlformats.org/package/2006/relationships"><Relationship Id="rId1" Type="http://schemas.microsoft.com/office/2006/relationships/activeXControlBinary" Target="activeX163.bin"/></Relationships>
</file>

<file path=xl/activeX/_rels/activeX164.xml.rels><?xml version="1.0" encoding="UTF-8" standalone="yes"?>
<Relationships xmlns="http://schemas.openxmlformats.org/package/2006/relationships"><Relationship Id="rId1" Type="http://schemas.microsoft.com/office/2006/relationships/activeXControlBinary" Target="activeX164.bin"/></Relationships>
</file>

<file path=xl/activeX/_rels/activeX165.xml.rels><?xml version="1.0" encoding="UTF-8" standalone="yes"?>
<Relationships xmlns="http://schemas.openxmlformats.org/package/2006/relationships"><Relationship Id="rId1" Type="http://schemas.microsoft.com/office/2006/relationships/activeXControlBinary" Target="activeX165.bin"/></Relationships>
</file>

<file path=xl/activeX/_rels/activeX166.xml.rels><?xml version="1.0" encoding="UTF-8" standalone="yes"?>
<Relationships xmlns="http://schemas.openxmlformats.org/package/2006/relationships"><Relationship Id="rId1" Type="http://schemas.microsoft.com/office/2006/relationships/activeXControlBinary" Target="activeX166.bin"/></Relationships>
</file>

<file path=xl/activeX/_rels/activeX167.xml.rels><?xml version="1.0" encoding="UTF-8" standalone="yes"?>
<Relationships xmlns="http://schemas.openxmlformats.org/package/2006/relationships"><Relationship Id="rId1" Type="http://schemas.microsoft.com/office/2006/relationships/activeXControlBinary" Target="activeX167.bin"/></Relationships>
</file>

<file path=xl/activeX/_rels/activeX168.xml.rels><?xml version="1.0" encoding="UTF-8" standalone="yes"?>
<Relationships xmlns="http://schemas.openxmlformats.org/package/2006/relationships"><Relationship Id="rId1" Type="http://schemas.microsoft.com/office/2006/relationships/activeXControlBinary" Target="activeX168.bin"/></Relationships>
</file>

<file path=xl/activeX/_rels/activeX169.xml.rels><?xml version="1.0" encoding="UTF-8" standalone="yes"?>
<Relationships xmlns="http://schemas.openxmlformats.org/package/2006/relationships"><Relationship Id="rId1" Type="http://schemas.microsoft.com/office/2006/relationships/activeXControlBinary" Target="activeX169.bin"/></Relationships>
</file>

<file path=xl/activeX/_rels/activeX170.xml.rels><?xml version="1.0" encoding="UTF-8" standalone="yes"?>
<Relationships xmlns="http://schemas.openxmlformats.org/package/2006/relationships"><Relationship Id="rId1" Type="http://schemas.microsoft.com/office/2006/relationships/activeXControlBinary" Target="activeX170.bin"/></Relationships>
</file>

<file path=xl/activeX/_rels/activeX171.xml.rels><?xml version="1.0" encoding="UTF-8" standalone="yes"?>
<Relationships xmlns="http://schemas.openxmlformats.org/package/2006/relationships"><Relationship Id="rId1" Type="http://schemas.microsoft.com/office/2006/relationships/activeXControlBinary" Target="activeX171.bin"/></Relationships>
</file>

<file path=xl/activeX/_rels/activeX172.xml.rels><?xml version="1.0" encoding="UTF-8" standalone="yes"?>
<Relationships xmlns="http://schemas.openxmlformats.org/package/2006/relationships"><Relationship Id="rId1" Type="http://schemas.microsoft.com/office/2006/relationships/activeXControlBinary" Target="activeX172.bin"/></Relationships>
</file>

<file path=xl/activeX/_rels/activeX173.xml.rels><?xml version="1.0" encoding="UTF-8" standalone="yes"?>
<Relationships xmlns="http://schemas.openxmlformats.org/package/2006/relationships"><Relationship Id="rId1" Type="http://schemas.microsoft.com/office/2006/relationships/activeXControlBinary" Target="activeX173.bin"/></Relationships>
</file>

<file path=xl/activeX/_rels/activeX174.xml.rels><?xml version="1.0" encoding="UTF-8" standalone="yes"?>
<Relationships xmlns="http://schemas.openxmlformats.org/package/2006/relationships"><Relationship Id="rId1" Type="http://schemas.microsoft.com/office/2006/relationships/activeXControlBinary" Target="activeX174.bin"/></Relationships>
</file>

<file path=xl/activeX/_rels/activeX175.xml.rels><?xml version="1.0" encoding="UTF-8" standalone="yes"?>
<Relationships xmlns="http://schemas.openxmlformats.org/package/2006/relationships"><Relationship Id="rId1" Type="http://schemas.microsoft.com/office/2006/relationships/activeXControlBinary" Target="activeX175.bin"/></Relationships>
</file>

<file path=xl/activeX/_rels/activeX176.xml.rels><?xml version="1.0" encoding="UTF-8" standalone="yes"?>
<Relationships xmlns="http://schemas.openxmlformats.org/package/2006/relationships"><Relationship Id="rId1" Type="http://schemas.microsoft.com/office/2006/relationships/activeXControlBinary" Target="activeX176.bin"/></Relationships>
</file>

<file path=xl/activeX/_rels/activeX177.xml.rels><?xml version="1.0" encoding="UTF-8" standalone="yes"?>
<Relationships xmlns="http://schemas.openxmlformats.org/package/2006/relationships"><Relationship Id="rId1" Type="http://schemas.microsoft.com/office/2006/relationships/activeXControlBinary" Target="activeX177.bin"/></Relationships>
</file>

<file path=xl/activeX/_rels/activeX178.xml.rels><?xml version="1.0" encoding="UTF-8" standalone="yes"?>
<Relationships xmlns="http://schemas.openxmlformats.org/package/2006/relationships"><Relationship Id="rId1" Type="http://schemas.microsoft.com/office/2006/relationships/activeXControlBinary" Target="activeX178.bin"/></Relationships>
</file>

<file path=xl/activeX/_rels/activeX179.xml.rels><?xml version="1.0" encoding="UTF-8" standalone="yes"?>
<Relationships xmlns="http://schemas.openxmlformats.org/package/2006/relationships"><Relationship Id="rId1" Type="http://schemas.microsoft.com/office/2006/relationships/activeXControlBinary" Target="activeX179.bin"/></Relationships>
</file>

<file path=xl/activeX/_rels/activeX180.xml.rels><?xml version="1.0" encoding="UTF-8" standalone="yes"?>
<Relationships xmlns="http://schemas.openxmlformats.org/package/2006/relationships"><Relationship Id="rId1" Type="http://schemas.microsoft.com/office/2006/relationships/activeXControlBinary" Target="activeX180.bin"/></Relationships>
</file>

<file path=xl/activeX/_rels/activeX181.xml.rels><?xml version="1.0" encoding="UTF-8" standalone="yes"?>
<Relationships xmlns="http://schemas.openxmlformats.org/package/2006/relationships"><Relationship Id="rId1" Type="http://schemas.microsoft.com/office/2006/relationships/activeXControlBinary" Target="activeX181.bin"/></Relationships>
</file>

<file path=xl/activeX/_rels/activeX182.xml.rels><?xml version="1.0" encoding="UTF-8" standalone="yes"?>
<Relationships xmlns="http://schemas.openxmlformats.org/package/2006/relationships"><Relationship Id="rId1" Type="http://schemas.microsoft.com/office/2006/relationships/activeXControlBinary" Target="activeX182.bin"/></Relationships>
</file>

<file path=xl/activeX/_rels/activeX183.xml.rels><?xml version="1.0" encoding="UTF-8" standalone="yes"?>
<Relationships xmlns="http://schemas.openxmlformats.org/package/2006/relationships"><Relationship Id="rId1" Type="http://schemas.microsoft.com/office/2006/relationships/activeXControlBinary" Target="activeX183.bin"/></Relationships>
</file>

<file path=xl/activeX/_rels/activeX184.xml.rels><?xml version="1.0" encoding="UTF-8" standalone="yes"?>
<Relationships xmlns="http://schemas.openxmlformats.org/package/2006/relationships"><Relationship Id="rId1" Type="http://schemas.microsoft.com/office/2006/relationships/activeXControlBinary" Target="activeX184.bin"/></Relationships>
</file>

<file path=xl/activeX/_rels/activeX185.xml.rels><?xml version="1.0" encoding="UTF-8" standalone="yes"?>
<Relationships xmlns="http://schemas.openxmlformats.org/package/2006/relationships"><Relationship Id="rId1" Type="http://schemas.microsoft.com/office/2006/relationships/activeXControlBinary" Target="activeX185.bin"/></Relationships>
</file>

<file path=xl/activeX/_rels/activeX186.xml.rels><?xml version="1.0" encoding="UTF-8" standalone="yes"?>
<Relationships xmlns="http://schemas.openxmlformats.org/package/2006/relationships"><Relationship Id="rId1" Type="http://schemas.microsoft.com/office/2006/relationships/activeXControlBinary" Target="activeX186.bin"/></Relationships>
</file>

<file path=xl/activeX/_rels/activeX187.xml.rels><?xml version="1.0" encoding="UTF-8" standalone="yes"?>
<Relationships xmlns="http://schemas.openxmlformats.org/package/2006/relationships"><Relationship Id="rId1" Type="http://schemas.microsoft.com/office/2006/relationships/activeXControlBinary" Target="activeX187.bin"/></Relationships>
</file>

<file path=xl/activeX/_rels/activeX188.xml.rels><?xml version="1.0" encoding="UTF-8" standalone="yes"?>
<Relationships xmlns="http://schemas.openxmlformats.org/package/2006/relationships"><Relationship Id="rId1" Type="http://schemas.microsoft.com/office/2006/relationships/activeXControlBinary" Target="activeX188.bin"/></Relationships>
</file>

<file path=xl/activeX/_rels/activeX189.xml.rels><?xml version="1.0" encoding="UTF-8" standalone="yes"?>
<Relationships xmlns="http://schemas.openxmlformats.org/package/2006/relationships"><Relationship Id="rId1" Type="http://schemas.microsoft.com/office/2006/relationships/activeXControlBinary" Target="activeX189.bin"/></Relationships>
</file>

<file path=xl/activeX/_rels/activeX190.xml.rels><?xml version="1.0" encoding="UTF-8" standalone="yes"?>
<Relationships xmlns="http://schemas.openxmlformats.org/package/2006/relationships"><Relationship Id="rId1" Type="http://schemas.microsoft.com/office/2006/relationships/activeXControlBinary" Target="activeX190.bin"/></Relationships>
</file>

<file path=xl/activeX/_rels/activeX191.xml.rels><?xml version="1.0" encoding="UTF-8" standalone="yes"?>
<Relationships xmlns="http://schemas.openxmlformats.org/package/2006/relationships"><Relationship Id="rId1" Type="http://schemas.microsoft.com/office/2006/relationships/activeXControlBinary" Target="activeX191.bin"/></Relationships>
</file>

<file path=xl/activeX/_rels/activeX192.xml.rels><?xml version="1.0" encoding="UTF-8" standalone="yes"?>
<Relationships xmlns="http://schemas.openxmlformats.org/package/2006/relationships"><Relationship Id="rId1" Type="http://schemas.microsoft.com/office/2006/relationships/activeXControlBinary" Target="activeX192.bin"/></Relationships>
</file>

<file path=xl/activeX/_rels/activeX193.xml.rels><?xml version="1.0" encoding="UTF-8" standalone="yes"?>
<Relationships xmlns="http://schemas.openxmlformats.org/package/2006/relationships"><Relationship Id="rId1" Type="http://schemas.microsoft.com/office/2006/relationships/activeXControlBinary" Target="activeX193.bin"/></Relationships>
</file>

<file path=xl/activeX/_rels/activeX194.xml.rels><?xml version="1.0" encoding="UTF-8" standalone="yes"?>
<Relationships xmlns="http://schemas.openxmlformats.org/package/2006/relationships"><Relationship Id="rId1" Type="http://schemas.microsoft.com/office/2006/relationships/activeXControlBinary" Target="activeX194.bin"/></Relationships>
</file>

<file path=xl/activeX/_rels/activeX195.xml.rels><?xml version="1.0" encoding="UTF-8" standalone="yes"?>
<Relationships xmlns="http://schemas.openxmlformats.org/package/2006/relationships"><Relationship Id="rId1" Type="http://schemas.microsoft.com/office/2006/relationships/activeXControlBinary" Target="activeX195.bin"/></Relationships>
</file>

<file path=xl/activeX/_rels/activeX196.xml.rels><?xml version="1.0" encoding="UTF-8" standalone="yes"?>
<Relationships xmlns="http://schemas.openxmlformats.org/package/2006/relationships"><Relationship Id="rId1" Type="http://schemas.microsoft.com/office/2006/relationships/activeXControlBinary" Target="activeX196.bin"/></Relationships>
</file>

<file path=xl/activeX/_rels/activeX197.xml.rels><?xml version="1.0" encoding="UTF-8" standalone="yes"?>
<Relationships xmlns="http://schemas.openxmlformats.org/package/2006/relationships"><Relationship Id="rId1" Type="http://schemas.microsoft.com/office/2006/relationships/activeXControlBinary" Target="activeX197.bin"/></Relationships>
</file>

<file path=xl/activeX/_rels/activeX198.xml.rels><?xml version="1.0" encoding="UTF-8" standalone="yes"?>
<Relationships xmlns="http://schemas.openxmlformats.org/package/2006/relationships"><Relationship Id="rId1" Type="http://schemas.microsoft.com/office/2006/relationships/activeXControlBinary" Target="activeX198.bin"/></Relationships>
</file>

<file path=xl/activeX/_rels/activeX199.xml.rels><?xml version="1.0" encoding="UTF-8" standalone="yes"?>
<Relationships xmlns="http://schemas.openxmlformats.org/package/2006/relationships"><Relationship Id="rId1" Type="http://schemas.microsoft.com/office/2006/relationships/activeXControlBinary" Target="activeX199.bin"/></Relationships>
</file>

<file path=xl/activeX/_rels/activeX200.xml.rels><?xml version="1.0" encoding="UTF-8" standalone="yes"?>
<Relationships xmlns="http://schemas.openxmlformats.org/package/2006/relationships"><Relationship Id="rId1" Type="http://schemas.microsoft.com/office/2006/relationships/activeXControlBinary" Target="activeX200.bin"/></Relationships>
</file>

<file path=xl/activeX/_rels/activeX201.xml.rels><?xml version="1.0" encoding="UTF-8" standalone="yes"?>
<Relationships xmlns="http://schemas.openxmlformats.org/package/2006/relationships"><Relationship Id="rId1" Type="http://schemas.microsoft.com/office/2006/relationships/activeXControlBinary" Target="activeX201.bin"/></Relationships>
</file>

<file path=xl/activeX/_rels/activeX202.xml.rels><?xml version="1.0" encoding="UTF-8" standalone="yes"?>
<Relationships xmlns="http://schemas.openxmlformats.org/package/2006/relationships"><Relationship Id="rId1" Type="http://schemas.microsoft.com/office/2006/relationships/activeXControlBinary" Target="activeX202.bin"/></Relationships>
</file>

<file path=xl/activeX/_rels/activeX203.xml.rels><?xml version="1.0" encoding="UTF-8" standalone="yes"?>
<Relationships xmlns="http://schemas.openxmlformats.org/package/2006/relationships"><Relationship Id="rId1" Type="http://schemas.microsoft.com/office/2006/relationships/activeXControlBinary" Target="activeX203.bin"/></Relationships>
</file>

<file path=xl/activeX/_rels/activeX204.xml.rels><?xml version="1.0" encoding="UTF-8" standalone="yes"?>
<Relationships xmlns="http://schemas.openxmlformats.org/package/2006/relationships"><Relationship Id="rId1" Type="http://schemas.microsoft.com/office/2006/relationships/activeXControlBinary" Target="activeX204.bin"/></Relationships>
</file>

<file path=xl/activeX/_rels/activeX205.xml.rels><?xml version="1.0" encoding="UTF-8" standalone="yes"?>
<Relationships xmlns="http://schemas.openxmlformats.org/package/2006/relationships"><Relationship Id="rId1" Type="http://schemas.microsoft.com/office/2006/relationships/activeXControlBinary" Target="activeX205.bin"/></Relationships>
</file>

<file path=xl/activeX/_rels/activeX206.xml.rels><?xml version="1.0" encoding="UTF-8" standalone="yes"?>
<Relationships xmlns="http://schemas.openxmlformats.org/package/2006/relationships"><Relationship Id="rId1" Type="http://schemas.microsoft.com/office/2006/relationships/activeXControlBinary" Target="activeX206.bin"/></Relationships>
</file>

<file path=xl/activeX/_rels/activeX207.xml.rels><?xml version="1.0" encoding="UTF-8" standalone="yes"?>
<Relationships xmlns="http://schemas.openxmlformats.org/package/2006/relationships"><Relationship Id="rId1" Type="http://schemas.microsoft.com/office/2006/relationships/activeXControlBinary" Target="activeX207.bin"/></Relationships>
</file>

<file path=xl/activeX/_rels/activeX208.xml.rels><?xml version="1.0" encoding="UTF-8" standalone="yes"?>
<Relationships xmlns="http://schemas.openxmlformats.org/package/2006/relationships"><Relationship Id="rId1" Type="http://schemas.microsoft.com/office/2006/relationships/activeXControlBinary" Target="activeX208.bin"/></Relationships>
</file>

<file path=xl/activeX/_rels/activeX209.xml.rels><?xml version="1.0" encoding="UTF-8" standalone="yes"?>
<Relationships xmlns="http://schemas.openxmlformats.org/package/2006/relationships"><Relationship Id="rId1" Type="http://schemas.microsoft.com/office/2006/relationships/activeXControlBinary" Target="activeX209.bin"/></Relationships>
</file>

<file path=xl/activeX/_rels/activeX210.xml.rels><?xml version="1.0" encoding="UTF-8" standalone="yes"?>
<Relationships xmlns="http://schemas.openxmlformats.org/package/2006/relationships"><Relationship Id="rId1" Type="http://schemas.microsoft.com/office/2006/relationships/activeXControlBinary" Target="activeX210.bin"/></Relationships>
</file>

<file path=xl/activeX/_rels/activeX211.xml.rels><?xml version="1.0" encoding="UTF-8" standalone="yes"?>
<Relationships xmlns="http://schemas.openxmlformats.org/package/2006/relationships"><Relationship Id="rId1" Type="http://schemas.microsoft.com/office/2006/relationships/activeXControlBinary" Target="activeX211.bin"/></Relationships>
</file>

<file path=xl/activeX/_rels/activeX212.xml.rels><?xml version="1.0" encoding="UTF-8" standalone="yes"?>
<Relationships xmlns="http://schemas.openxmlformats.org/package/2006/relationships"><Relationship Id="rId1" Type="http://schemas.microsoft.com/office/2006/relationships/activeXControlBinary" Target="activeX212.bin"/></Relationships>
</file>

<file path=xl/activeX/_rels/activeX213.xml.rels><?xml version="1.0" encoding="UTF-8" standalone="yes"?>
<Relationships xmlns="http://schemas.openxmlformats.org/package/2006/relationships"><Relationship Id="rId1" Type="http://schemas.microsoft.com/office/2006/relationships/activeXControlBinary" Target="activeX213.bin"/></Relationships>
</file>

<file path=xl/activeX/_rels/activeX214.xml.rels><?xml version="1.0" encoding="UTF-8" standalone="yes"?>
<Relationships xmlns="http://schemas.openxmlformats.org/package/2006/relationships"><Relationship Id="rId1" Type="http://schemas.microsoft.com/office/2006/relationships/activeXControlBinary" Target="activeX214.bin"/></Relationships>
</file>

<file path=xl/activeX/_rels/activeX215.xml.rels><?xml version="1.0" encoding="UTF-8" standalone="yes"?>
<Relationships xmlns="http://schemas.openxmlformats.org/package/2006/relationships"><Relationship Id="rId1" Type="http://schemas.microsoft.com/office/2006/relationships/activeXControlBinary" Target="activeX215.bin"/></Relationships>
</file>

<file path=xl/activeX/_rels/activeX216.xml.rels><?xml version="1.0" encoding="UTF-8" standalone="yes"?>
<Relationships xmlns="http://schemas.openxmlformats.org/package/2006/relationships"><Relationship Id="rId1" Type="http://schemas.microsoft.com/office/2006/relationships/activeXControlBinary" Target="activeX216.bin"/></Relationships>
</file>

<file path=xl/activeX/_rels/activeX217.xml.rels><?xml version="1.0" encoding="UTF-8" standalone="yes"?>
<Relationships xmlns="http://schemas.openxmlformats.org/package/2006/relationships"><Relationship Id="rId1" Type="http://schemas.microsoft.com/office/2006/relationships/activeXControlBinary" Target="activeX217.bin"/></Relationships>
</file>

<file path=xl/activeX/_rels/activeX218.xml.rels><?xml version="1.0" encoding="UTF-8" standalone="yes"?>
<Relationships xmlns="http://schemas.openxmlformats.org/package/2006/relationships"><Relationship Id="rId1" Type="http://schemas.microsoft.com/office/2006/relationships/activeXControlBinary" Target="activeX218.bin"/></Relationships>
</file>

<file path=xl/activeX/_rels/activeX219.xml.rels><?xml version="1.0" encoding="UTF-8" standalone="yes"?>
<Relationships xmlns="http://schemas.openxmlformats.org/package/2006/relationships"><Relationship Id="rId1" Type="http://schemas.microsoft.com/office/2006/relationships/activeXControlBinary" Target="activeX219.bin"/></Relationships>
</file>

<file path=xl/activeX/_rels/activeX220.xml.rels><?xml version="1.0" encoding="UTF-8" standalone="yes"?>
<Relationships xmlns="http://schemas.openxmlformats.org/package/2006/relationships"><Relationship Id="rId1" Type="http://schemas.microsoft.com/office/2006/relationships/activeXControlBinary" Target="activeX220.bin"/></Relationships>
</file>

<file path=xl/activeX/_rels/activeX221.xml.rels><?xml version="1.0" encoding="UTF-8" standalone="yes"?>
<Relationships xmlns="http://schemas.openxmlformats.org/package/2006/relationships"><Relationship Id="rId1" Type="http://schemas.microsoft.com/office/2006/relationships/activeXControlBinary" Target="activeX221.bin"/></Relationships>
</file>

<file path=xl/activeX/_rels/activeX222.xml.rels><?xml version="1.0" encoding="UTF-8" standalone="yes"?>
<Relationships xmlns="http://schemas.openxmlformats.org/package/2006/relationships"><Relationship Id="rId1" Type="http://schemas.microsoft.com/office/2006/relationships/activeXControlBinary" Target="activeX222.bin"/></Relationships>
</file>

<file path=xl/activeX/_rels/activeX223.xml.rels><?xml version="1.0" encoding="UTF-8" standalone="yes"?>
<Relationships xmlns="http://schemas.openxmlformats.org/package/2006/relationships"><Relationship Id="rId1" Type="http://schemas.microsoft.com/office/2006/relationships/activeXControlBinary" Target="activeX223.bin"/></Relationships>
</file>

<file path=xl/activeX/_rels/activeX224.xml.rels><?xml version="1.0" encoding="UTF-8" standalone="yes"?>
<Relationships xmlns="http://schemas.openxmlformats.org/package/2006/relationships"><Relationship Id="rId1" Type="http://schemas.microsoft.com/office/2006/relationships/activeXControlBinary" Target="activeX224.bin"/></Relationships>
</file>

<file path=xl/activeX/_rels/activeX225.xml.rels><?xml version="1.0" encoding="UTF-8" standalone="yes"?>
<Relationships xmlns="http://schemas.openxmlformats.org/package/2006/relationships"><Relationship Id="rId1" Type="http://schemas.microsoft.com/office/2006/relationships/activeXControlBinary" Target="activeX225.bin"/></Relationships>
</file>

<file path=xl/activeX/_rels/activeX226.xml.rels><?xml version="1.0" encoding="UTF-8" standalone="yes"?>
<Relationships xmlns="http://schemas.openxmlformats.org/package/2006/relationships"><Relationship Id="rId1" Type="http://schemas.microsoft.com/office/2006/relationships/activeXControlBinary" Target="activeX226.bin"/></Relationships>
</file>

<file path=xl/activeX/_rels/activeX227.xml.rels><?xml version="1.0" encoding="UTF-8" standalone="yes"?>
<Relationships xmlns="http://schemas.openxmlformats.org/package/2006/relationships"><Relationship Id="rId1" Type="http://schemas.microsoft.com/office/2006/relationships/activeXControlBinary" Target="activeX227.bin"/></Relationships>
</file>

<file path=xl/activeX/_rels/activeX228.xml.rels><?xml version="1.0" encoding="UTF-8" standalone="yes"?>
<Relationships xmlns="http://schemas.openxmlformats.org/package/2006/relationships"><Relationship Id="rId1" Type="http://schemas.microsoft.com/office/2006/relationships/activeXControlBinary" Target="activeX228.bin"/></Relationships>
</file>

<file path=xl/activeX/_rels/activeX229.xml.rels><?xml version="1.0" encoding="UTF-8" standalone="yes"?>
<Relationships xmlns="http://schemas.openxmlformats.org/package/2006/relationships"><Relationship Id="rId1" Type="http://schemas.microsoft.com/office/2006/relationships/activeXControlBinary" Target="activeX229.bin"/></Relationships>
</file>

<file path=xl/activeX/_rels/activeX230.xml.rels><?xml version="1.0" encoding="UTF-8" standalone="yes"?>
<Relationships xmlns="http://schemas.openxmlformats.org/package/2006/relationships"><Relationship Id="rId1" Type="http://schemas.microsoft.com/office/2006/relationships/activeXControlBinary" Target="activeX230.bin"/></Relationships>
</file>

<file path=xl/activeX/_rels/activeX231.xml.rels><?xml version="1.0" encoding="UTF-8" standalone="yes"?>
<Relationships xmlns="http://schemas.openxmlformats.org/package/2006/relationships"><Relationship Id="rId1" Type="http://schemas.microsoft.com/office/2006/relationships/activeXControlBinary" Target="activeX231.bin"/></Relationships>
</file>

<file path=xl/activeX/_rels/activeX232.xml.rels><?xml version="1.0" encoding="UTF-8" standalone="yes"?>
<Relationships xmlns="http://schemas.openxmlformats.org/package/2006/relationships"><Relationship Id="rId1" Type="http://schemas.microsoft.com/office/2006/relationships/activeXControlBinary" Target="activeX232.bin"/></Relationships>
</file>

<file path=xl/activeX/_rels/activeX233.xml.rels><?xml version="1.0" encoding="UTF-8" standalone="yes"?>
<Relationships xmlns="http://schemas.openxmlformats.org/package/2006/relationships"><Relationship Id="rId1" Type="http://schemas.microsoft.com/office/2006/relationships/activeXControlBinary" Target="activeX233.bin"/></Relationships>
</file>

<file path=xl/activeX/_rels/activeX234.xml.rels><?xml version="1.0" encoding="UTF-8" standalone="yes"?>
<Relationships xmlns="http://schemas.openxmlformats.org/package/2006/relationships"><Relationship Id="rId1" Type="http://schemas.microsoft.com/office/2006/relationships/activeXControlBinary" Target="activeX234.bin"/></Relationships>
</file>

<file path=xl/activeX/_rels/activeX235.xml.rels><?xml version="1.0" encoding="UTF-8" standalone="yes"?>
<Relationships xmlns="http://schemas.openxmlformats.org/package/2006/relationships"><Relationship Id="rId1" Type="http://schemas.microsoft.com/office/2006/relationships/activeXControlBinary" Target="activeX235.bin"/></Relationships>
</file>

<file path=xl/activeX/_rels/activeX236.xml.rels><?xml version="1.0" encoding="UTF-8" standalone="yes"?>
<Relationships xmlns="http://schemas.openxmlformats.org/package/2006/relationships"><Relationship Id="rId1" Type="http://schemas.microsoft.com/office/2006/relationships/activeXControlBinary" Target="activeX236.bin"/></Relationships>
</file>

<file path=xl/activeX/_rels/activeX237.xml.rels><?xml version="1.0" encoding="UTF-8" standalone="yes"?>
<Relationships xmlns="http://schemas.openxmlformats.org/package/2006/relationships"><Relationship Id="rId1" Type="http://schemas.microsoft.com/office/2006/relationships/activeXControlBinary" Target="activeX237.bin"/></Relationships>
</file>

<file path=xl/activeX/_rels/activeX238.xml.rels><?xml version="1.0" encoding="UTF-8" standalone="yes"?>
<Relationships xmlns="http://schemas.openxmlformats.org/package/2006/relationships"><Relationship Id="rId1" Type="http://schemas.microsoft.com/office/2006/relationships/activeXControlBinary" Target="activeX238.bin"/></Relationships>
</file>

<file path=xl/activeX/_rels/activeX239.xml.rels><?xml version="1.0" encoding="UTF-8" standalone="yes"?>
<Relationships xmlns="http://schemas.openxmlformats.org/package/2006/relationships"><Relationship Id="rId1" Type="http://schemas.microsoft.com/office/2006/relationships/activeXControlBinary" Target="activeX239.bin"/></Relationships>
</file>

<file path=xl/activeX/_rels/activeX240.xml.rels><?xml version="1.0" encoding="UTF-8" standalone="yes"?>
<Relationships xmlns="http://schemas.openxmlformats.org/package/2006/relationships"><Relationship Id="rId1" Type="http://schemas.microsoft.com/office/2006/relationships/activeXControlBinary" Target="activeX240.bin"/></Relationships>
</file>

<file path=xl/activeX/_rels/activeX241.xml.rels><?xml version="1.0" encoding="UTF-8" standalone="yes"?>
<Relationships xmlns="http://schemas.openxmlformats.org/package/2006/relationships"><Relationship Id="rId1" Type="http://schemas.microsoft.com/office/2006/relationships/activeXControlBinary" Target="activeX241.bin"/></Relationships>
</file>

<file path=xl/activeX/_rels/activeX242.xml.rels><?xml version="1.0" encoding="UTF-8" standalone="yes"?>
<Relationships xmlns="http://schemas.openxmlformats.org/package/2006/relationships"><Relationship Id="rId1" Type="http://schemas.microsoft.com/office/2006/relationships/activeXControlBinary" Target="activeX242.bin"/></Relationships>
</file>

<file path=xl/activeX/_rels/activeX243.xml.rels><?xml version="1.0" encoding="UTF-8" standalone="yes"?>
<Relationships xmlns="http://schemas.openxmlformats.org/package/2006/relationships"><Relationship Id="rId1" Type="http://schemas.microsoft.com/office/2006/relationships/activeXControlBinary" Target="activeX243.bin"/></Relationships>
</file>

<file path=xl/activeX/_rels/activeX244.xml.rels><?xml version="1.0" encoding="UTF-8" standalone="yes"?>
<Relationships xmlns="http://schemas.openxmlformats.org/package/2006/relationships"><Relationship Id="rId1" Type="http://schemas.microsoft.com/office/2006/relationships/activeXControlBinary" Target="activeX244.bin"/></Relationships>
</file>

<file path=xl/activeX/_rels/activeX245.xml.rels><?xml version="1.0" encoding="UTF-8" standalone="yes"?>
<Relationships xmlns="http://schemas.openxmlformats.org/package/2006/relationships"><Relationship Id="rId1" Type="http://schemas.microsoft.com/office/2006/relationships/activeXControlBinary" Target="activeX245.bin"/></Relationships>
</file>

<file path=xl/activeX/_rels/activeX246.xml.rels><?xml version="1.0" encoding="UTF-8" standalone="yes"?>
<Relationships xmlns="http://schemas.openxmlformats.org/package/2006/relationships"><Relationship Id="rId1" Type="http://schemas.microsoft.com/office/2006/relationships/activeXControlBinary" Target="activeX246.bin"/></Relationships>
</file>

<file path=xl/activeX/_rels/activeX247.xml.rels><?xml version="1.0" encoding="UTF-8" standalone="yes"?>
<Relationships xmlns="http://schemas.openxmlformats.org/package/2006/relationships"><Relationship Id="rId1" Type="http://schemas.microsoft.com/office/2006/relationships/activeXControlBinary" Target="activeX247.bin"/></Relationships>
</file>

<file path=xl/activeX/_rels/activeX248.xml.rels><?xml version="1.0" encoding="UTF-8" standalone="yes"?>
<Relationships xmlns="http://schemas.openxmlformats.org/package/2006/relationships"><Relationship Id="rId1" Type="http://schemas.microsoft.com/office/2006/relationships/activeXControlBinary" Target="activeX248.bin"/></Relationships>
</file>

<file path=xl/activeX/_rels/activeX249.xml.rels><?xml version="1.0" encoding="UTF-8" standalone="yes"?>
<Relationships xmlns="http://schemas.openxmlformats.org/package/2006/relationships"><Relationship Id="rId1" Type="http://schemas.microsoft.com/office/2006/relationships/activeXControlBinary" Target="activeX249.bin"/></Relationships>
</file>

<file path=xl/activeX/_rels/activeX250.xml.rels><?xml version="1.0" encoding="UTF-8" standalone="yes"?>
<Relationships xmlns="http://schemas.openxmlformats.org/package/2006/relationships"><Relationship Id="rId1" Type="http://schemas.microsoft.com/office/2006/relationships/activeXControlBinary" Target="activeX250.bin"/></Relationships>
</file>

<file path=xl/activeX/_rels/activeX251.xml.rels><?xml version="1.0" encoding="UTF-8" standalone="yes"?>
<Relationships xmlns="http://schemas.openxmlformats.org/package/2006/relationships"><Relationship Id="rId1" Type="http://schemas.microsoft.com/office/2006/relationships/activeXControlBinary" Target="activeX251.bin"/></Relationships>
</file>

<file path=xl/activeX/_rels/activeX252.xml.rels><?xml version="1.0" encoding="UTF-8" standalone="yes"?>
<Relationships xmlns="http://schemas.openxmlformats.org/package/2006/relationships"><Relationship Id="rId1" Type="http://schemas.microsoft.com/office/2006/relationships/activeXControlBinary" Target="activeX252.bin"/></Relationships>
</file>

<file path=xl/activeX/_rels/activeX253.xml.rels><?xml version="1.0" encoding="UTF-8" standalone="yes"?>
<Relationships xmlns="http://schemas.openxmlformats.org/package/2006/relationships"><Relationship Id="rId1" Type="http://schemas.microsoft.com/office/2006/relationships/activeXControlBinary" Target="activeX253.bin"/></Relationships>
</file>

<file path=xl/activeX/_rels/activeX254.xml.rels><?xml version="1.0" encoding="UTF-8" standalone="yes"?>
<Relationships xmlns="http://schemas.openxmlformats.org/package/2006/relationships"><Relationship Id="rId1" Type="http://schemas.microsoft.com/office/2006/relationships/activeXControlBinary" Target="activeX254.bin"/></Relationships>
</file>

<file path=xl/activeX/_rels/activeX255.xml.rels><?xml version="1.0" encoding="UTF-8" standalone="yes"?>
<Relationships xmlns="http://schemas.openxmlformats.org/package/2006/relationships"><Relationship Id="rId1" Type="http://schemas.microsoft.com/office/2006/relationships/activeXControlBinary" Target="activeX255.bin"/></Relationships>
</file>

<file path=xl/activeX/_rels/activeX256.xml.rels><?xml version="1.0" encoding="UTF-8" standalone="yes"?>
<Relationships xmlns="http://schemas.openxmlformats.org/package/2006/relationships"><Relationship Id="rId1" Type="http://schemas.microsoft.com/office/2006/relationships/activeXControlBinary" Target="activeX256.bin"/></Relationships>
</file>

<file path=xl/activeX/_rels/activeX257.xml.rels><?xml version="1.0" encoding="UTF-8" standalone="yes"?>
<Relationships xmlns="http://schemas.openxmlformats.org/package/2006/relationships"><Relationship Id="rId1" Type="http://schemas.microsoft.com/office/2006/relationships/activeXControlBinary" Target="activeX257.bin"/></Relationships>
</file>

<file path=xl/activeX/_rels/activeX258.xml.rels><?xml version="1.0" encoding="UTF-8" standalone="yes"?>
<Relationships xmlns="http://schemas.openxmlformats.org/package/2006/relationships"><Relationship Id="rId1" Type="http://schemas.microsoft.com/office/2006/relationships/activeXControlBinary" Target="activeX258.bin"/></Relationships>
</file>

<file path=xl/activeX/_rels/activeX259.xml.rels><?xml version="1.0" encoding="UTF-8" standalone="yes"?>
<Relationships xmlns="http://schemas.openxmlformats.org/package/2006/relationships"><Relationship Id="rId1" Type="http://schemas.microsoft.com/office/2006/relationships/activeXControlBinary" Target="activeX259.bin"/></Relationships>
</file>

<file path=xl/activeX/_rels/activeX260.xml.rels><?xml version="1.0" encoding="UTF-8" standalone="yes"?>
<Relationships xmlns="http://schemas.openxmlformats.org/package/2006/relationships"><Relationship Id="rId1" Type="http://schemas.microsoft.com/office/2006/relationships/activeXControlBinary" Target="activeX260.bin"/></Relationships>
</file>

<file path=xl/activeX/_rels/activeX261.xml.rels><?xml version="1.0" encoding="UTF-8" standalone="yes"?>
<Relationships xmlns="http://schemas.openxmlformats.org/package/2006/relationships"><Relationship Id="rId1" Type="http://schemas.microsoft.com/office/2006/relationships/activeXControlBinary" Target="activeX261.bin"/></Relationships>
</file>

<file path=xl/activeX/_rels/activeX262.xml.rels><?xml version="1.0" encoding="UTF-8" standalone="yes"?>
<Relationships xmlns="http://schemas.openxmlformats.org/package/2006/relationships"><Relationship Id="rId1" Type="http://schemas.microsoft.com/office/2006/relationships/activeXControlBinary" Target="activeX262.bin"/></Relationships>
</file>

<file path=xl/activeX/_rels/activeX263.xml.rels><?xml version="1.0" encoding="UTF-8" standalone="yes"?>
<Relationships xmlns="http://schemas.openxmlformats.org/package/2006/relationships"><Relationship Id="rId1" Type="http://schemas.microsoft.com/office/2006/relationships/activeXControlBinary" Target="activeX263.bin"/></Relationships>
</file>

<file path=xl/activeX/_rels/activeX264.xml.rels><?xml version="1.0" encoding="UTF-8" standalone="yes"?>
<Relationships xmlns="http://schemas.openxmlformats.org/package/2006/relationships"><Relationship Id="rId1" Type="http://schemas.microsoft.com/office/2006/relationships/activeXControlBinary" Target="activeX264.bin"/></Relationships>
</file>

<file path=xl/activeX/_rels/activeX265.xml.rels><?xml version="1.0" encoding="UTF-8" standalone="yes"?>
<Relationships xmlns="http://schemas.openxmlformats.org/package/2006/relationships"><Relationship Id="rId1" Type="http://schemas.microsoft.com/office/2006/relationships/activeXControlBinary" Target="activeX265.bin"/></Relationships>
</file>

<file path=xl/activeX/_rels/activeX266.xml.rels><?xml version="1.0" encoding="UTF-8" standalone="yes"?>
<Relationships xmlns="http://schemas.openxmlformats.org/package/2006/relationships"><Relationship Id="rId1" Type="http://schemas.microsoft.com/office/2006/relationships/activeXControlBinary" Target="activeX266.bin"/></Relationships>
</file>

<file path=xl/activeX/_rels/activeX267.xml.rels><?xml version="1.0" encoding="UTF-8" standalone="yes"?>
<Relationships xmlns="http://schemas.openxmlformats.org/package/2006/relationships"><Relationship Id="rId1" Type="http://schemas.microsoft.com/office/2006/relationships/activeXControlBinary" Target="activeX267.bin"/></Relationships>
</file>

<file path=xl/activeX/_rels/activeX268.xml.rels><?xml version="1.0" encoding="UTF-8" standalone="yes"?>
<Relationships xmlns="http://schemas.openxmlformats.org/package/2006/relationships"><Relationship Id="rId1" Type="http://schemas.microsoft.com/office/2006/relationships/activeXControlBinary" Target="activeX268.bin"/></Relationships>
</file>

<file path=xl/activeX/_rels/activeX269.xml.rels><?xml version="1.0" encoding="UTF-8" standalone="yes"?>
<Relationships xmlns="http://schemas.openxmlformats.org/package/2006/relationships"><Relationship Id="rId1" Type="http://schemas.microsoft.com/office/2006/relationships/activeXControlBinary" Target="activeX269.bin"/></Relationships>
</file>

<file path=xl/activeX/_rels/activeX270.xml.rels><?xml version="1.0" encoding="UTF-8" standalone="yes"?>
<Relationships xmlns="http://schemas.openxmlformats.org/package/2006/relationships"><Relationship Id="rId1" Type="http://schemas.microsoft.com/office/2006/relationships/activeXControlBinary" Target="activeX270.bin"/></Relationships>
</file>

<file path=xl/activeX/_rels/activeX271.xml.rels><?xml version="1.0" encoding="UTF-8" standalone="yes"?>
<Relationships xmlns="http://schemas.openxmlformats.org/package/2006/relationships"><Relationship Id="rId1" Type="http://schemas.microsoft.com/office/2006/relationships/activeXControlBinary" Target="activeX271.bin"/></Relationships>
</file>

<file path=xl/activeX/_rels/activeX272.xml.rels><?xml version="1.0" encoding="UTF-8" standalone="yes"?>
<Relationships xmlns="http://schemas.openxmlformats.org/package/2006/relationships"><Relationship Id="rId1" Type="http://schemas.microsoft.com/office/2006/relationships/activeXControlBinary" Target="activeX272.bin"/></Relationships>
</file>

<file path=xl/activeX/_rels/activeX273.xml.rels><?xml version="1.0" encoding="UTF-8" standalone="yes"?>
<Relationships xmlns="http://schemas.openxmlformats.org/package/2006/relationships"><Relationship Id="rId1" Type="http://schemas.microsoft.com/office/2006/relationships/activeXControlBinary" Target="activeX273.bin"/></Relationships>
</file>

<file path=xl/activeX/_rels/activeX274.xml.rels><?xml version="1.0" encoding="UTF-8" standalone="yes"?>
<Relationships xmlns="http://schemas.openxmlformats.org/package/2006/relationships"><Relationship Id="rId1" Type="http://schemas.microsoft.com/office/2006/relationships/activeXControlBinary" Target="activeX274.bin"/></Relationships>
</file>

<file path=xl/activeX/_rels/activeX275.xml.rels><?xml version="1.0" encoding="UTF-8" standalone="yes"?>
<Relationships xmlns="http://schemas.openxmlformats.org/package/2006/relationships"><Relationship Id="rId1" Type="http://schemas.microsoft.com/office/2006/relationships/activeXControlBinary" Target="activeX275.bin"/></Relationships>
</file>

<file path=xl/activeX/_rels/activeX276.xml.rels><?xml version="1.0" encoding="UTF-8" standalone="yes"?>
<Relationships xmlns="http://schemas.openxmlformats.org/package/2006/relationships"><Relationship Id="rId1" Type="http://schemas.microsoft.com/office/2006/relationships/activeXControlBinary" Target="activeX276.bin"/></Relationships>
</file>

<file path=xl/activeX/_rels/activeX277.xml.rels><?xml version="1.0" encoding="UTF-8" standalone="yes"?>
<Relationships xmlns="http://schemas.openxmlformats.org/package/2006/relationships"><Relationship Id="rId1" Type="http://schemas.microsoft.com/office/2006/relationships/activeXControlBinary" Target="activeX277.bin"/></Relationships>
</file>

<file path=xl/activeX/_rels/activeX278.xml.rels><?xml version="1.0" encoding="UTF-8" standalone="yes"?>
<Relationships xmlns="http://schemas.openxmlformats.org/package/2006/relationships"><Relationship Id="rId1" Type="http://schemas.microsoft.com/office/2006/relationships/activeXControlBinary" Target="activeX278.bin"/></Relationships>
</file>

<file path=xl/activeX/_rels/activeX279.xml.rels><?xml version="1.0" encoding="UTF-8" standalone="yes"?>
<Relationships xmlns="http://schemas.openxmlformats.org/package/2006/relationships"><Relationship Id="rId1" Type="http://schemas.microsoft.com/office/2006/relationships/activeXControlBinary" Target="activeX279.bin"/></Relationships>
</file>

<file path=xl/activeX/_rels/activeX280.xml.rels><?xml version="1.0" encoding="UTF-8" standalone="yes"?>
<Relationships xmlns="http://schemas.openxmlformats.org/package/2006/relationships"><Relationship Id="rId1" Type="http://schemas.microsoft.com/office/2006/relationships/activeXControlBinary" Target="activeX280.bin"/></Relationships>
</file>

<file path=xl/activeX/_rels/activeX281.xml.rels><?xml version="1.0" encoding="UTF-8" standalone="yes"?>
<Relationships xmlns="http://schemas.openxmlformats.org/package/2006/relationships"><Relationship Id="rId1" Type="http://schemas.microsoft.com/office/2006/relationships/activeXControlBinary" Target="activeX281.bin"/></Relationships>
</file>

<file path=xl/activeX/_rels/activeX282.xml.rels><?xml version="1.0" encoding="UTF-8" standalone="yes"?>
<Relationships xmlns="http://schemas.openxmlformats.org/package/2006/relationships"><Relationship Id="rId1" Type="http://schemas.microsoft.com/office/2006/relationships/activeXControlBinary" Target="activeX282.bin"/></Relationships>
</file>

<file path=xl/activeX/_rels/activeX283.xml.rels><?xml version="1.0" encoding="UTF-8" standalone="yes"?>
<Relationships xmlns="http://schemas.openxmlformats.org/package/2006/relationships"><Relationship Id="rId1" Type="http://schemas.microsoft.com/office/2006/relationships/activeXControlBinary" Target="activeX283.bin"/></Relationships>
</file>

<file path=xl/activeX/_rels/activeX284.xml.rels><?xml version="1.0" encoding="UTF-8" standalone="yes"?>
<Relationships xmlns="http://schemas.openxmlformats.org/package/2006/relationships"><Relationship Id="rId1" Type="http://schemas.microsoft.com/office/2006/relationships/activeXControlBinary" Target="activeX284.bin"/></Relationships>
</file>

<file path=xl/activeX/_rels/activeX285.xml.rels><?xml version="1.0" encoding="UTF-8" standalone="yes"?>
<Relationships xmlns="http://schemas.openxmlformats.org/package/2006/relationships"><Relationship Id="rId1" Type="http://schemas.microsoft.com/office/2006/relationships/activeXControlBinary" Target="activeX285.bin"/></Relationships>
</file>

<file path=xl/activeX/_rels/activeX286.xml.rels><?xml version="1.0" encoding="UTF-8" standalone="yes"?>
<Relationships xmlns="http://schemas.openxmlformats.org/package/2006/relationships"><Relationship Id="rId1" Type="http://schemas.microsoft.com/office/2006/relationships/activeXControlBinary" Target="activeX286.bin"/></Relationships>
</file>

<file path=xl/activeX/_rels/activeX287.xml.rels><?xml version="1.0" encoding="UTF-8" standalone="yes"?>
<Relationships xmlns="http://schemas.openxmlformats.org/package/2006/relationships"><Relationship Id="rId1" Type="http://schemas.microsoft.com/office/2006/relationships/activeXControlBinary" Target="activeX287.bin"/></Relationships>
</file>

<file path=xl/activeX/_rels/activeX288.xml.rels><?xml version="1.0" encoding="UTF-8" standalone="yes"?>
<Relationships xmlns="http://schemas.openxmlformats.org/package/2006/relationships"><Relationship Id="rId1" Type="http://schemas.microsoft.com/office/2006/relationships/activeXControlBinary" Target="activeX288.bin"/></Relationships>
</file>

<file path=xl/activeX/_rels/activeX289.xml.rels><?xml version="1.0" encoding="UTF-8" standalone="yes"?>
<Relationships xmlns="http://schemas.openxmlformats.org/package/2006/relationships"><Relationship Id="rId1" Type="http://schemas.microsoft.com/office/2006/relationships/activeXControlBinary" Target="activeX289.bin"/></Relationships>
</file>

<file path=xl/activeX/_rels/activeX290.xml.rels><?xml version="1.0" encoding="UTF-8" standalone="yes"?>
<Relationships xmlns="http://schemas.openxmlformats.org/package/2006/relationships"><Relationship Id="rId1" Type="http://schemas.microsoft.com/office/2006/relationships/activeXControlBinary" Target="activeX290.bin"/></Relationships>
</file>

<file path=xl/activeX/_rels/activeX291.xml.rels><?xml version="1.0" encoding="UTF-8" standalone="yes"?>
<Relationships xmlns="http://schemas.openxmlformats.org/package/2006/relationships"><Relationship Id="rId1" Type="http://schemas.microsoft.com/office/2006/relationships/activeXControlBinary" Target="activeX291.bin"/></Relationships>
</file>

<file path=xl/activeX/_rels/activeX292.xml.rels><?xml version="1.0" encoding="UTF-8" standalone="yes"?>
<Relationships xmlns="http://schemas.openxmlformats.org/package/2006/relationships"><Relationship Id="rId1" Type="http://schemas.microsoft.com/office/2006/relationships/activeXControlBinary" Target="activeX292.bin"/></Relationships>
</file>

<file path=xl/activeX/_rels/activeX293.xml.rels><?xml version="1.0" encoding="UTF-8" standalone="yes"?>
<Relationships xmlns="http://schemas.openxmlformats.org/package/2006/relationships"><Relationship Id="rId1" Type="http://schemas.microsoft.com/office/2006/relationships/activeXControlBinary" Target="activeX293.bin"/></Relationships>
</file>

<file path=xl/activeX/_rels/activeX294.xml.rels><?xml version="1.0" encoding="UTF-8" standalone="yes"?>
<Relationships xmlns="http://schemas.openxmlformats.org/package/2006/relationships"><Relationship Id="rId1" Type="http://schemas.microsoft.com/office/2006/relationships/activeXControlBinary" Target="activeX294.bin"/></Relationships>
</file>

<file path=xl/activeX/_rels/activeX295.xml.rels><?xml version="1.0" encoding="UTF-8" standalone="yes"?>
<Relationships xmlns="http://schemas.openxmlformats.org/package/2006/relationships"><Relationship Id="rId1" Type="http://schemas.microsoft.com/office/2006/relationships/activeXControlBinary" Target="activeX295.bin"/></Relationships>
</file>

<file path=xl/activeX/_rels/activeX296.xml.rels><?xml version="1.0" encoding="UTF-8" standalone="yes"?>
<Relationships xmlns="http://schemas.openxmlformats.org/package/2006/relationships"><Relationship Id="rId1" Type="http://schemas.microsoft.com/office/2006/relationships/activeXControlBinary" Target="activeX296.bin"/></Relationships>
</file>

<file path=xl/activeX/_rels/activeX297.xml.rels><?xml version="1.0" encoding="UTF-8" standalone="yes"?>
<Relationships xmlns="http://schemas.openxmlformats.org/package/2006/relationships"><Relationship Id="rId1" Type="http://schemas.microsoft.com/office/2006/relationships/activeXControlBinary" Target="activeX297.bin"/></Relationships>
</file>

<file path=xl/activeX/_rels/activeX298.xml.rels><?xml version="1.0" encoding="UTF-8" standalone="yes"?>
<Relationships xmlns="http://schemas.openxmlformats.org/package/2006/relationships"><Relationship Id="rId1" Type="http://schemas.microsoft.com/office/2006/relationships/activeXControlBinary" Target="activeX298.bin"/></Relationships>
</file>

<file path=xl/activeX/_rels/activeX299.xml.rels><?xml version="1.0" encoding="UTF-8" standalone="yes"?>
<Relationships xmlns="http://schemas.openxmlformats.org/package/2006/relationships"><Relationship Id="rId1" Type="http://schemas.microsoft.com/office/2006/relationships/activeXControlBinary" Target="activeX299.bin"/></Relationships>
</file>

<file path=xl/activeX/_rels/activeX300.xml.rels><?xml version="1.0" encoding="UTF-8" standalone="yes"?>
<Relationships xmlns="http://schemas.openxmlformats.org/package/2006/relationships"><Relationship Id="rId1" Type="http://schemas.microsoft.com/office/2006/relationships/activeXControlBinary" Target="activeX300.bin"/></Relationships>
</file>

<file path=xl/activeX/_rels/activeX301.xml.rels><?xml version="1.0" encoding="UTF-8" standalone="yes"?>
<Relationships xmlns="http://schemas.openxmlformats.org/package/2006/relationships"><Relationship Id="rId1" Type="http://schemas.microsoft.com/office/2006/relationships/activeXControlBinary" Target="activeX301.bin"/></Relationships>
</file>

<file path=xl/activeX/_rels/activeX302.xml.rels><?xml version="1.0" encoding="UTF-8" standalone="yes"?>
<Relationships xmlns="http://schemas.openxmlformats.org/package/2006/relationships"><Relationship Id="rId1" Type="http://schemas.microsoft.com/office/2006/relationships/activeXControlBinary" Target="activeX302.bin"/></Relationships>
</file>

<file path=xl/activeX/_rels/activeX303.xml.rels><?xml version="1.0" encoding="UTF-8" standalone="yes"?>
<Relationships xmlns="http://schemas.openxmlformats.org/package/2006/relationships"><Relationship Id="rId1" Type="http://schemas.microsoft.com/office/2006/relationships/activeXControlBinary" Target="activeX303.bin"/></Relationships>
</file>

<file path=xl/activeX/_rels/activeX304.xml.rels><?xml version="1.0" encoding="UTF-8" standalone="yes"?>
<Relationships xmlns="http://schemas.openxmlformats.org/package/2006/relationships"><Relationship Id="rId1" Type="http://schemas.microsoft.com/office/2006/relationships/activeXControlBinary" Target="activeX304.bin"/></Relationships>
</file>

<file path=xl/activeX/_rels/activeX305.xml.rels><?xml version="1.0" encoding="UTF-8" standalone="yes"?>
<Relationships xmlns="http://schemas.openxmlformats.org/package/2006/relationships"><Relationship Id="rId1" Type="http://schemas.microsoft.com/office/2006/relationships/activeXControlBinary" Target="activeX305.bin"/></Relationships>
</file>

<file path=xl/activeX/_rels/activeX306.xml.rels><?xml version="1.0" encoding="UTF-8" standalone="yes"?>
<Relationships xmlns="http://schemas.openxmlformats.org/package/2006/relationships"><Relationship Id="rId1" Type="http://schemas.microsoft.com/office/2006/relationships/activeXControlBinary" Target="activeX306.bin"/></Relationships>
</file>

<file path=xl/activeX/_rels/activeX307.xml.rels><?xml version="1.0" encoding="UTF-8" standalone="yes"?>
<Relationships xmlns="http://schemas.openxmlformats.org/package/2006/relationships"><Relationship Id="rId1" Type="http://schemas.microsoft.com/office/2006/relationships/activeXControlBinary" Target="activeX307.bin"/></Relationships>
</file>

<file path=xl/activeX/_rels/activeX308.xml.rels><?xml version="1.0" encoding="UTF-8" standalone="yes"?>
<Relationships xmlns="http://schemas.openxmlformats.org/package/2006/relationships"><Relationship Id="rId1" Type="http://schemas.microsoft.com/office/2006/relationships/activeXControlBinary" Target="activeX308.bin"/></Relationships>
</file>

<file path=xl/activeX/_rels/activeX309.xml.rels><?xml version="1.0" encoding="UTF-8" standalone="yes"?>
<Relationships xmlns="http://schemas.openxmlformats.org/package/2006/relationships"><Relationship Id="rId1" Type="http://schemas.microsoft.com/office/2006/relationships/activeXControlBinary" Target="activeX309.bin"/></Relationships>
</file>

<file path=xl/activeX/_rels/activeX310.xml.rels><?xml version="1.0" encoding="UTF-8" standalone="yes"?>
<Relationships xmlns="http://schemas.openxmlformats.org/package/2006/relationships"><Relationship Id="rId1" Type="http://schemas.microsoft.com/office/2006/relationships/activeXControlBinary" Target="activeX310.bin"/></Relationships>
</file>

<file path=xl/activeX/_rels/activeX311.xml.rels><?xml version="1.0" encoding="UTF-8" standalone="yes"?>
<Relationships xmlns="http://schemas.openxmlformats.org/package/2006/relationships"><Relationship Id="rId1" Type="http://schemas.microsoft.com/office/2006/relationships/activeXControlBinary" Target="activeX311.bin"/></Relationships>
</file>

<file path=xl/activeX/_rels/activeX312.xml.rels><?xml version="1.0" encoding="UTF-8" standalone="yes"?>
<Relationships xmlns="http://schemas.openxmlformats.org/package/2006/relationships"><Relationship Id="rId1" Type="http://schemas.microsoft.com/office/2006/relationships/activeXControlBinary" Target="activeX312.bin"/></Relationships>
</file>

<file path=xl/activeX/_rels/activeX313.xml.rels><?xml version="1.0" encoding="UTF-8" standalone="yes"?>
<Relationships xmlns="http://schemas.openxmlformats.org/package/2006/relationships"><Relationship Id="rId1" Type="http://schemas.microsoft.com/office/2006/relationships/activeXControlBinary" Target="activeX313.bin"/></Relationships>
</file>

<file path=xl/activeX/_rels/activeX314.xml.rels><?xml version="1.0" encoding="UTF-8" standalone="yes"?>
<Relationships xmlns="http://schemas.openxmlformats.org/package/2006/relationships"><Relationship Id="rId1" Type="http://schemas.microsoft.com/office/2006/relationships/activeXControlBinary" Target="activeX314.bin"/></Relationships>
</file>

<file path=xl/activeX/_rels/activeX315.xml.rels><?xml version="1.0" encoding="UTF-8" standalone="yes"?>
<Relationships xmlns="http://schemas.openxmlformats.org/package/2006/relationships"><Relationship Id="rId1" Type="http://schemas.microsoft.com/office/2006/relationships/activeXControlBinary" Target="activeX315.bin"/></Relationships>
</file>

<file path=xl/activeX/_rels/activeX316.xml.rels><?xml version="1.0" encoding="UTF-8" standalone="yes"?>
<Relationships xmlns="http://schemas.openxmlformats.org/package/2006/relationships"><Relationship Id="rId1" Type="http://schemas.microsoft.com/office/2006/relationships/activeXControlBinary" Target="activeX316.bin"/></Relationships>
</file>

<file path=xl/activeX/_rels/activeX317.xml.rels><?xml version="1.0" encoding="UTF-8" standalone="yes"?>
<Relationships xmlns="http://schemas.openxmlformats.org/package/2006/relationships"><Relationship Id="rId1" Type="http://schemas.microsoft.com/office/2006/relationships/activeXControlBinary" Target="activeX317.bin"/></Relationships>
</file>

<file path=xl/activeX/_rels/activeX318.xml.rels><?xml version="1.0" encoding="UTF-8" standalone="yes"?>
<Relationships xmlns="http://schemas.openxmlformats.org/package/2006/relationships"><Relationship Id="rId1" Type="http://schemas.microsoft.com/office/2006/relationships/activeXControlBinary" Target="activeX318.bin"/></Relationships>
</file>

<file path=xl/activeX/_rels/activeX319.xml.rels><?xml version="1.0" encoding="UTF-8" standalone="yes"?>
<Relationships xmlns="http://schemas.openxmlformats.org/package/2006/relationships"><Relationship Id="rId1" Type="http://schemas.microsoft.com/office/2006/relationships/activeXControlBinary" Target="activeX319.bin"/></Relationships>
</file>

<file path=xl/activeX/_rels/activeX320.xml.rels><?xml version="1.0" encoding="UTF-8" standalone="yes"?>
<Relationships xmlns="http://schemas.openxmlformats.org/package/2006/relationships"><Relationship Id="rId1" Type="http://schemas.microsoft.com/office/2006/relationships/activeXControlBinary" Target="activeX320.bin"/></Relationships>
</file>

<file path=xl/activeX/_rels/activeX321.xml.rels><?xml version="1.0" encoding="UTF-8" standalone="yes"?>
<Relationships xmlns="http://schemas.openxmlformats.org/package/2006/relationships"><Relationship Id="rId1" Type="http://schemas.microsoft.com/office/2006/relationships/activeXControlBinary" Target="activeX321.bin"/></Relationships>
</file>

<file path=xl/activeX/_rels/activeX322.xml.rels><?xml version="1.0" encoding="UTF-8" standalone="yes"?>
<Relationships xmlns="http://schemas.openxmlformats.org/package/2006/relationships"><Relationship Id="rId1" Type="http://schemas.microsoft.com/office/2006/relationships/activeXControlBinary" Target="activeX322.bin"/></Relationships>
</file>

<file path=xl/activeX/_rels/activeX323.xml.rels><?xml version="1.0" encoding="UTF-8" standalone="yes"?>
<Relationships xmlns="http://schemas.openxmlformats.org/package/2006/relationships"><Relationship Id="rId1" Type="http://schemas.microsoft.com/office/2006/relationships/activeXControlBinary" Target="activeX323.bin"/></Relationships>
</file>

<file path=xl/activeX/_rels/activeX324.xml.rels><?xml version="1.0" encoding="UTF-8" standalone="yes"?>
<Relationships xmlns="http://schemas.openxmlformats.org/package/2006/relationships"><Relationship Id="rId1" Type="http://schemas.microsoft.com/office/2006/relationships/activeXControlBinary" Target="activeX324.bin"/></Relationships>
</file>

<file path=xl/activeX/_rels/activeX325.xml.rels><?xml version="1.0" encoding="UTF-8" standalone="yes"?>
<Relationships xmlns="http://schemas.openxmlformats.org/package/2006/relationships"><Relationship Id="rId1" Type="http://schemas.microsoft.com/office/2006/relationships/activeXControlBinary" Target="activeX325.bin"/></Relationships>
</file>

<file path=xl/activeX/_rels/activeX326.xml.rels><?xml version="1.0" encoding="UTF-8" standalone="yes"?>
<Relationships xmlns="http://schemas.openxmlformats.org/package/2006/relationships"><Relationship Id="rId1" Type="http://schemas.microsoft.com/office/2006/relationships/activeXControlBinary" Target="activeX326.bin"/></Relationships>
</file>

<file path=xl/activeX/_rels/activeX327.xml.rels><?xml version="1.0" encoding="UTF-8" standalone="yes"?>
<Relationships xmlns="http://schemas.openxmlformats.org/package/2006/relationships"><Relationship Id="rId1" Type="http://schemas.microsoft.com/office/2006/relationships/activeXControlBinary" Target="activeX327.bin"/></Relationships>
</file>

<file path=xl/activeX/_rels/activeX328.xml.rels><?xml version="1.0" encoding="UTF-8" standalone="yes"?>
<Relationships xmlns="http://schemas.openxmlformats.org/package/2006/relationships"><Relationship Id="rId1" Type="http://schemas.microsoft.com/office/2006/relationships/activeXControlBinary" Target="activeX328.bin"/></Relationships>
</file>

<file path=xl/activeX/_rels/activeX329.xml.rels><?xml version="1.0" encoding="UTF-8" standalone="yes"?>
<Relationships xmlns="http://schemas.openxmlformats.org/package/2006/relationships"><Relationship Id="rId1" Type="http://schemas.microsoft.com/office/2006/relationships/activeXControlBinary" Target="activeX329.bin"/></Relationships>
</file>

<file path=xl/activeX/_rels/activeX330.xml.rels><?xml version="1.0" encoding="UTF-8" standalone="yes"?>
<Relationships xmlns="http://schemas.openxmlformats.org/package/2006/relationships"><Relationship Id="rId1" Type="http://schemas.microsoft.com/office/2006/relationships/activeXControlBinary" Target="activeX330.bin"/></Relationships>
</file>

<file path=xl/activeX/_rels/activeX331.xml.rels><?xml version="1.0" encoding="UTF-8" standalone="yes"?>
<Relationships xmlns="http://schemas.openxmlformats.org/package/2006/relationships"><Relationship Id="rId1" Type="http://schemas.microsoft.com/office/2006/relationships/activeXControlBinary" Target="activeX331.bin"/></Relationships>
</file>

<file path=xl/activeX/_rels/activeX332.xml.rels><?xml version="1.0" encoding="UTF-8" standalone="yes"?>
<Relationships xmlns="http://schemas.openxmlformats.org/package/2006/relationships"><Relationship Id="rId1" Type="http://schemas.microsoft.com/office/2006/relationships/activeXControlBinary" Target="activeX332.bin"/></Relationships>
</file>

<file path=xl/activeX/_rels/activeX333.xml.rels><?xml version="1.0" encoding="UTF-8" standalone="yes"?>
<Relationships xmlns="http://schemas.openxmlformats.org/package/2006/relationships"><Relationship Id="rId1" Type="http://schemas.microsoft.com/office/2006/relationships/activeXControlBinary" Target="activeX333.bin"/></Relationships>
</file>

<file path=xl/activeX/_rels/activeX334.xml.rels><?xml version="1.0" encoding="UTF-8" standalone="yes"?>
<Relationships xmlns="http://schemas.openxmlformats.org/package/2006/relationships"><Relationship Id="rId1" Type="http://schemas.microsoft.com/office/2006/relationships/activeXControlBinary" Target="activeX334.bin"/></Relationships>
</file>

<file path=xl/activeX/_rels/activeX335.xml.rels><?xml version="1.0" encoding="UTF-8" standalone="yes"?>
<Relationships xmlns="http://schemas.openxmlformats.org/package/2006/relationships"><Relationship Id="rId1" Type="http://schemas.microsoft.com/office/2006/relationships/activeXControlBinary" Target="activeX335.bin"/></Relationships>
</file>

<file path=xl/activeX/_rels/activeX336.xml.rels><?xml version="1.0" encoding="UTF-8" standalone="yes"?>
<Relationships xmlns="http://schemas.openxmlformats.org/package/2006/relationships"><Relationship Id="rId1" Type="http://schemas.microsoft.com/office/2006/relationships/activeXControlBinary" Target="activeX336.bin"/></Relationships>
</file>

<file path=xl/activeX/_rels/activeX337.xml.rels><?xml version="1.0" encoding="UTF-8" standalone="yes"?>
<Relationships xmlns="http://schemas.openxmlformats.org/package/2006/relationships"><Relationship Id="rId1" Type="http://schemas.microsoft.com/office/2006/relationships/activeXControlBinary" Target="activeX337.bin"/></Relationships>
</file>

<file path=xl/activeX/_rels/activeX338.xml.rels><?xml version="1.0" encoding="UTF-8" standalone="yes"?>
<Relationships xmlns="http://schemas.openxmlformats.org/package/2006/relationships"><Relationship Id="rId1" Type="http://schemas.microsoft.com/office/2006/relationships/activeXControlBinary" Target="activeX338.bin"/></Relationships>
</file>

<file path=xl/activeX/_rels/activeX339.xml.rels><?xml version="1.0" encoding="UTF-8" standalone="yes"?>
<Relationships xmlns="http://schemas.openxmlformats.org/package/2006/relationships"><Relationship Id="rId1" Type="http://schemas.microsoft.com/office/2006/relationships/activeXControlBinary" Target="activeX339.bin"/></Relationships>
</file>

<file path=xl/activeX/_rels/activeX340.xml.rels><?xml version="1.0" encoding="UTF-8" standalone="yes"?>
<Relationships xmlns="http://schemas.openxmlformats.org/package/2006/relationships"><Relationship Id="rId1" Type="http://schemas.microsoft.com/office/2006/relationships/activeXControlBinary" Target="activeX340.bin"/></Relationships>
</file>

<file path=xl/activeX/_rels/activeX341.xml.rels><?xml version="1.0" encoding="UTF-8" standalone="yes"?>
<Relationships xmlns="http://schemas.openxmlformats.org/package/2006/relationships"><Relationship Id="rId1" Type="http://schemas.microsoft.com/office/2006/relationships/activeXControlBinary" Target="activeX341.bin"/></Relationships>
</file>

<file path=xl/activeX/_rels/activeX342.xml.rels><?xml version="1.0" encoding="UTF-8" standalone="yes"?>
<Relationships xmlns="http://schemas.openxmlformats.org/package/2006/relationships"><Relationship Id="rId1" Type="http://schemas.microsoft.com/office/2006/relationships/activeXControlBinary" Target="activeX342.bin"/></Relationships>
</file>

<file path=xl/activeX/_rels/activeX343.xml.rels><?xml version="1.0" encoding="UTF-8" standalone="yes"?>
<Relationships xmlns="http://schemas.openxmlformats.org/package/2006/relationships"><Relationship Id="rId1" Type="http://schemas.microsoft.com/office/2006/relationships/activeXControlBinary" Target="activeX343.bin"/></Relationships>
</file>

<file path=xl/activeX/_rels/activeX344.xml.rels><?xml version="1.0" encoding="UTF-8" standalone="yes"?>
<Relationships xmlns="http://schemas.openxmlformats.org/package/2006/relationships"><Relationship Id="rId1" Type="http://schemas.microsoft.com/office/2006/relationships/activeXControlBinary" Target="activeX344.bin"/></Relationships>
</file>

<file path=xl/activeX/_rels/activeX345.xml.rels><?xml version="1.0" encoding="UTF-8" standalone="yes"?>
<Relationships xmlns="http://schemas.openxmlformats.org/package/2006/relationships"><Relationship Id="rId1" Type="http://schemas.microsoft.com/office/2006/relationships/activeXControlBinary" Target="activeX345.bin"/></Relationships>
</file>

<file path=xl/activeX/_rels/activeX346.xml.rels><?xml version="1.0" encoding="UTF-8" standalone="yes"?>
<Relationships xmlns="http://schemas.openxmlformats.org/package/2006/relationships"><Relationship Id="rId1" Type="http://schemas.microsoft.com/office/2006/relationships/activeXControlBinary" Target="activeX346.bin"/></Relationships>
</file>

<file path=xl/activeX/_rels/activeX347.xml.rels><?xml version="1.0" encoding="UTF-8" standalone="yes"?>
<Relationships xmlns="http://schemas.openxmlformats.org/package/2006/relationships"><Relationship Id="rId1" Type="http://schemas.microsoft.com/office/2006/relationships/activeXControlBinary" Target="activeX347.bin"/></Relationships>
</file>

<file path=xl/activeX/_rels/activeX348.xml.rels><?xml version="1.0" encoding="UTF-8" standalone="yes"?>
<Relationships xmlns="http://schemas.openxmlformats.org/package/2006/relationships"><Relationship Id="rId1" Type="http://schemas.microsoft.com/office/2006/relationships/activeXControlBinary" Target="activeX348.bin"/></Relationships>
</file>

<file path=xl/activeX/_rels/activeX349.xml.rels><?xml version="1.0" encoding="UTF-8" standalone="yes"?>
<Relationships xmlns="http://schemas.openxmlformats.org/package/2006/relationships"><Relationship Id="rId1" Type="http://schemas.microsoft.com/office/2006/relationships/activeXControlBinary" Target="activeX349.bin"/></Relationships>
</file>

<file path=xl/activeX/_rels/activeX350.xml.rels><?xml version="1.0" encoding="UTF-8" standalone="yes"?>
<Relationships xmlns="http://schemas.openxmlformats.org/package/2006/relationships"><Relationship Id="rId1" Type="http://schemas.microsoft.com/office/2006/relationships/activeXControlBinary" Target="activeX350.bin"/></Relationships>
</file>

<file path=xl/activeX/_rels/activeX351.xml.rels><?xml version="1.0" encoding="UTF-8" standalone="yes"?>
<Relationships xmlns="http://schemas.openxmlformats.org/package/2006/relationships"><Relationship Id="rId1" Type="http://schemas.microsoft.com/office/2006/relationships/activeXControlBinary" Target="activeX351.bin"/></Relationships>
</file>

<file path=xl/activeX/_rels/activeX352.xml.rels><?xml version="1.0" encoding="UTF-8" standalone="yes"?>
<Relationships xmlns="http://schemas.openxmlformats.org/package/2006/relationships"><Relationship Id="rId1" Type="http://schemas.microsoft.com/office/2006/relationships/activeXControlBinary" Target="activeX352.bin"/></Relationships>
</file>

<file path=xl/activeX/_rels/activeX353.xml.rels><?xml version="1.0" encoding="UTF-8" standalone="yes"?>
<Relationships xmlns="http://schemas.openxmlformats.org/package/2006/relationships"><Relationship Id="rId1" Type="http://schemas.microsoft.com/office/2006/relationships/activeXControlBinary" Target="activeX353.bin"/></Relationships>
</file>

<file path=xl/activeX/_rels/activeX354.xml.rels><?xml version="1.0" encoding="UTF-8" standalone="yes"?>
<Relationships xmlns="http://schemas.openxmlformats.org/package/2006/relationships"><Relationship Id="rId1" Type="http://schemas.microsoft.com/office/2006/relationships/activeXControlBinary" Target="activeX354.bin"/></Relationships>
</file>

<file path=xl/activeX/_rels/activeX355.xml.rels><?xml version="1.0" encoding="UTF-8" standalone="yes"?>
<Relationships xmlns="http://schemas.openxmlformats.org/package/2006/relationships"><Relationship Id="rId1" Type="http://schemas.microsoft.com/office/2006/relationships/activeXControlBinary" Target="activeX355.bin"/></Relationships>
</file>

<file path=xl/activeX/_rels/activeX356.xml.rels><?xml version="1.0" encoding="UTF-8" standalone="yes"?>
<Relationships xmlns="http://schemas.openxmlformats.org/package/2006/relationships"><Relationship Id="rId1" Type="http://schemas.microsoft.com/office/2006/relationships/activeXControlBinary" Target="activeX356.bin"/></Relationships>
</file>

<file path=xl/activeX/_rels/activeX357.xml.rels><?xml version="1.0" encoding="UTF-8" standalone="yes"?>
<Relationships xmlns="http://schemas.openxmlformats.org/package/2006/relationships"><Relationship Id="rId1" Type="http://schemas.microsoft.com/office/2006/relationships/activeXControlBinary" Target="activeX357.bin"/></Relationships>
</file>

<file path=xl/activeX/_rels/activeX358.xml.rels><?xml version="1.0" encoding="UTF-8" standalone="yes"?>
<Relationships xmlns="http://schemas.openxmlformats.org/package/2006/relationships"><Relationship Id="rId1" Type="http://schemas.microsoft.com/office/2006/relationships/activeXControlBinary" Target="activeX358.bin"/></Relationships>
</file>

<file path=xl/activeX/_rels/activeX359.xml.rels><?xml version="1.0" encoding="UTF-8" standalone="yes"?>
<Relationships xmlns="http://schemas.openxmlformats.org/package/2006/relationships"><Relationship Id="rId1" Type="http://schemas.microsoft.com/office/2006/relationships/activeXControlBinary" Target="activeX359.bin"/></Relationships>
</file>

<file path=xl/activeX/_rels/activeX360.xml.rels><?xml version="1.0" encoding="UTF-8" standalone="yes"?>
<Relationships xmlns="http://schemas.openxmlformats.org/package/2006/relationships"><Relationship Id="rId1" Type="http://schemas.microsoft.com/office/2006/relationships/activeXControlBinary" Target="activeX360.bin"/></Relationships>
</file>

<file path=xl/activeX/_rels/activeX361.xml.rels><?xml version="1.0" encoding="UTF-8" standalone="yes"?>
<Relationships xmlns="http://schemas.openxmlformats.org/package/2006/relationships"><Relationship Id="rId1" Type="http://schemas.microsoft.com/office/2006/relationships/activeXControlBinary" Target="activeX361.bin"/></Relationships>
</file>

<file path=xl/activeX/_rels/activeX362.xml.rels><?xml version="1.0" encoding="UTF-8" standalone="yes"?>
<Relationships xmlns="http://schemas.openxmlformats.org/package/2006/relationships"><Relationship Id="rId1" Type="http://schemas.microsoft.com/office/2006/relationships/activeXControlBinary" Target="activeX362.bin"/></Relationships>
</file>

<file path=xl/activeX/_rels/activeX363.xml.rels><?xml version="1.0" encoding="UTF-8" standalone="yes"?>
<Relationships xmlns="http://schemas.openxmlformats.org/package/2006/relationships"><Relationship Id="rId1" Type="http://schemas.microsoft.com/office/2006/relationships/activeXControlBinary" Target="activeX363.bin"/></Relationships>
</file>

<file path=xl/activeX/_rels/activeX364.xml.rels><?xml version="1.0" encoding="UTF-8" standalone="yes"?>
<Relationships xmlns="http://schemas.openxmlformats.org/package/2006/relationships"><Relationship Id="rId1" Type="http://schemas.microsoft.com/office/2006/relationships/activeXControlBinary" Target="activeX364.bin"/></Relationships>
</file>

<file path=xl/activeX/_rels/activeX365.xml.rels><?xml version="1.0" encoding="UTF-8" standalone="yes"?>
<Relationships xmlns="http://schemas.openxmlformats.org/package/2006/relationships"><Relationship Id="rId1" Type="http://schemas.microsoft.com/office/2006/relationships/activeXControlBinary" Target="activeX365.bin"/></Relationships>
</file>

<file path=xl/activeX/_rels/activeX366.xml.rels><?xml version="1.0" encoding="UTF-8" standalone="yes"?>
<Relationships xmlns="http://schemas.openxmlformats.org/package/2006/relationships"><Relationship Id="rId1" Type="http://schemas.microsoft.com/office/2006/relationships/activeXControlBinary" Target="activeX366.bin"/></Relationships>
</file>

<file path=xl/activeX/_rels/activeX367.xml.rels><?xml version="1.0" encoding="UTF-8" standalone="yes"?>
<Relationships xmlns="http://schemas.openxmlformats.org/package/2006/relationships"><Relationship Id="rId1" Type="http://schemas.microsoft.com/office/2006/relationships/activeXControlBinary" Target="activeX367.bin"/></Relationships>
</file>

<file path=xl/activeX/_rels/activeX368.xml.rels><?xml version="1.0" encoding="UTF-8" standalone="yes"?>
<Relationships xmlns="http://schemas.openxmlformats.org/package/2006/relationships"><Relationship Id="rId1" Type="http://schemas.microsoft.com/office/2006/relationships/activeXControlBinary" Target="activeX368.bin"/></Relationships>
</file>

<file path=xl/activeX/_rels/activeX369.xml.rels><?xml version="1.0" encoding="UTF-8" standalone="yes"?>
<Relationships xmlns="http://schemas.openxmlformats.org/package/2006/relationships"><Relationship Id="rId1" Type="http://schemas.microsoft.com/office/2006/relationships/activeXControlBinary" Target="activeX369.bin"/></Relationships>
</file>

<file path=xl/activeX/_rels/activeX370.xml.rels><?xml version="1.0" encoding="UTF-8" standalone="yes"?>
<Relationships xmlns="http://schemas.openxmlformats.org/package/2006/relationships"><Relationship Id="rId1" Type="http://schemas.microsoft.com/office/2006/relationships/activeXControlBinary" Target="activeX370.bin"/></Relationships>
</file>

<file path=xl/activeX/_rels/activeX371.xml.rels><?xml version="1.0" encoding="UTF-8" standalone="yes"?>
<Relationships xmlns="http://schemas.openxmlformats.org/package/2006/relationships"><Relationship Id="rId1" Type="http://schemas.microsoft.com/office/2006/relationships/activeXControlBinary" Target="activeX371.bin"/></Relationships>
</file>

<file path=xl/activeX/_rels/activeX372.xml.rels><?xml version="1.0" encoding="UTF-8" standalone="yes"?>
<Relationships xmlns="http://schemas.openxmlformats.org/package/2006/relationships"><Relationship Id="rId1" Type="http://schemas.microsoft.com/office/2006/relationships/activeXControlBinary" Target="activeX372.bin"/></Relationships>
</file>

<file path=xl/activeX/_rels/activeX373.xml.rels><?xml version="1.0" encoding="UTF-8" standalone="yes"?>
<Relationships xmlns="http://schemas.openxmlformats.org/package/2006/relationships"><Relationship Id="rId1" Type="http://schemas.microsoft.com/office/2006/relationships/activeXControlBinary" Target="activeX373.bin"/></Relationships>
</file>

<file path=xl/activeX/_rels/activeX374.xml.rels><?xml version="1.0" encoding="UTF-8" standalone="yes"?>
<Relationships xmlns="http://schemas.openxmlformats.org/package/2006/relationships"><Relationship Id="rId1" Type="http://schemas.microsoft.com/office/2006/relationships/activeXControlBinary" Target="activeX374.bin"/></Relationships>
</file>

<file path=xl/activeX/_rels/activeX375.xml.rels><?xml version="1.0" encoding="UTF-8" standalone="yes"?>
<Relationships xmlns="http://schemas.openxmlformats.org/package/2006/relationships"><Relationship Id="rId1" Type="http://schemas.microsoft.com/office/2006/relationships/activeXControlBinary" Target="activeX375.bin"/></Relationships>
</file>

<file path=xl/activeX/_rels/activeX376.xml.rels><?xml version="1.0" encoding="UTF-8" standalone="yes"?>
<Relationships xmlns="http://schemas.openxmlformats.org/package/2006/relationships"><Relationship Id="rId1" Type="http://schemas.microsoft.com/office/2006/relationships/activeXControlBinary" Target="activeX376.bin"/></Relationships>
</file>

<file path=xl/activeX/_rels/activeX377.xml.rels><?xml version="1.0" encoding="UTF-8" standalone="yes"?>
<Relationships xmlns="http://schemas.openxmlformats.org/package/2006/relationships"><Relationship Id="rId1" Type="http://schemas.microsoft.com/office/2006/relationships/activeXControlBinary" Target="activeX377.bin"/></Relationships>
</file>

<file path=xl/activeX/_rels/activeX378.xml.rels><?xml version="1.0" encoding="UTF-8" standalone="yes"?>
<Relationships xmlns="http://schemas.openxmlformats.org/package/2006/relationships"><Relationship Id="rId1" Type="http://schemas.microsoft.com/office/2006/relationships/activeXControlBinary" Target="activeX378.bin"/></Relationships>
</file>

<file path=xl/activeX/_rels/activeX379.xml.rels><?xml version="1.0" encoding="UTF-8" standalone="yes"?>
<Relationships xmlns="http://schemas.openxmlformats.org/package/2006/relationships"><Relationship Id="rId1" Type="http://schemas.microsoft.com/office/2006/relationships/activeXControlBinary" Target="activeX379.bin"/></Relationships>
</file>

<file path=xl/activeX/_rels/activeX380.xml.rels><?xml version="1.0" encoding="UTF-8" standalone="yes"?>
<Relationships xmlns="http://schemas.openxmlformats.org/package/2006/relationships"><Relationship Id="rId1" Type="http://schemas.microsoft.com/office/2006/relationships/activeXControlBinary" Target="activeX380.bin"/></Relationships>
</file>

<file path=xl/activeX/_rels/activeX381.xml.rels><?xml version="1.0" encoding="UTF-8" standalone="yes"?>
<Relationships xmlns="http://schemas.openxmlformats.org/package/2006/relationships"><Relationship Id="rId1" Type="http://schemas.microsoft.com/office/2006/relationships/activeXControlBinary" Target="activeX381.bin"/></Relationships>
</file>

<file path=xl/activeX/_rels/activeX382.xml.rels><?xml version="1.0" encoding="UTF-8" standalone="yes"?>
<Relationships xmlns="http://schemas.openxmlformats.org/package/2006/relationships"><Relationship Id="rId1" Type="http://schemas.microsoft.com/office/2006/relationships/activeXControlBinary" Target="activeX382.bin"/></Relationships>
</file>

<file path=xl/activeX/_rels/activeX383.xml.rels><?xml version="1.0" encoding="UTF-8" standalone="yes"?>
<Relationships xmlns="http://schemas.openxmlformats.org/package/2006/relationships"><Relationship Id="rId1" Type="http://schemas.microsoft.com/office/2006/relationships/activeXControlBinary" Target="activeX383.bin"/></Relationships>
</file>

<file path=xl/activeX/_rels/activeX384.xml.rels><?xml version="1.0" encoding="UTF-8" standalone="yes"?>
<Relationships xmlns="http://schemas.openxmlformats.org/package/2006/relationships"><Relationship Id="rId1" Type="http://schemas.microsoft.com/office/2006/relationships/activeXControlBinary" Target="activeX384.bin"/></Relationships>
</file>

<file path=xl/activeX/_rels/activeX385.xml.rels><?xml version="1.0" encoding="UTF-8" standalone="yes"?>
<Relationships xmlns="http://schemas.openxmlformats.org/package/2006/relationships"><Relationship Id="rId1" Type="http://schemas.microsoft.com/office/2006/relationships/activeXControlBinary" Target="activeX385.bin"/></Relationships>
</file>

<file path=xl/activeX/_rels/activeX386.xml.rels><?xml version="1.0" encoding="UTF-8" standalone="yes"?>
<Relationships xmlns="http://schemas.openxmlformats.org/package/2006/relationships"><Relationship Id="rId1" Type="http://schemas.microsoft.com/office/2006/relationships/activeXControlBinary" Target="activeX386.bin"/></Relationships>
</file>

<file path=xl/activeX/_rels/activeX387.xml.rels><?xml version="1.0" encoding="UTF-8" standalone="yes"?>
<Relationships xmlns="http://schemas.openxmlformats.org/package/2006/relationships"><Relationship Id="rId1" Type="http://schemas.microsoft.com/office/2006/relationships/activeXControlBinary" Target="activeX387.bin"/></Relationships>
</file>

<file path=xl/activeX/_rels/activeX388.xml.rels><?xml version="1.0" encoding="UTF-8" standalone="yes"?>
<Relationships xmlns="http://schemas.openxmlformats.org/package/2006/relationships"><Relationship Id="rId1" Type="http://schemas.microsoft.com/office/2006/relationships/activeXControlBinary" Target="activeX388.bin"/></Relationships>
</file>

<file path=xl/activeX/_rels/activeX389.xml.rels><?xml version="1.0" encoding="UTF-8" standalone="yes"?>
<Relationships xmlns="http://schemas.openxmlformats.org/package/2006/relationships"><Relationship Id="rId1" Type="http://schemas.microsoft.com/office/2006/relationships/activeXControlBinary" Target="activeX389.bin"/></Relationships>
</file>

<file path=xl/activeX/_rels/activeX390.xml.rels><?xml version="1.0" encoding="UTF-8" standalone="yes"?>
<Relationships xmlns="http://schemas.openxmlformats.org/package/2006/relationships"><Relationship Id="rId1" Type="http://schemas.microsoft.com/office/2006/relationships/activeXControlBinary" Target="activeX390.bin"/></Relationships>
</file>

<file path=xl/activeX/_rels/activeX391.xml.rels><?xml version="1.0" encoding="UTF-8" standalone="yes"?>
<Relationships xmlns="http://schemas.openxmlformats.org/package/2006/relationships"><Relationship Id="rId1" Type="http://schemas.microsoft.com/office/2006/relationships/activeXControlBinary" Target="activeX391.bin"/></Relationships>
</file>

<file path=xl/activeX/_rels/activeX392.xml.rels><?xml version="1.0" encoding="UTF-8" standalone="yes"?>
<Relationships xmlns="http://schemas.openxmlformats.org/package/2006/relationships"><Relationship Id="rId1" Type="http://schemas.microsoft.com/office/2006/relationships/activeXControlBinary" Target="activeX392.bin"/></Relationships>
</file>

<file path=xl/activeX/_rels/activeX393.xml.rels><?xml version="1.0" encoding="UTF-8" standalone="yes"?>
<Relationships xmlns="http://schemas.openxmlformats.org/package/2006/relationships"><Relationship Id="rId1" Type="http://schemas.microsoft.com/office/2006/relationships/activeXControlBinary" Target="activeX393.bin"/></Relationships>
</file>

<file path=xl/activeX/_rels/activeX394.xml.rels><?xml version="1.0" encoding="UTF-8" standalone="yes"?>
<Relationships xmlns="http://schemas.openxmlformats.org/package/2006/relationships"><Relationship Id="rId1" Type="http://schemas.microsoft.com/office/2006/relationships/activeXControlBinary" Target="activeX394.bin"/></Relationships>
</file>

<file path=xl/activeX/_rels/activeX395.xml.rels><?xml version="1.0" encoding="UTF-8" standalone="yes"?>
<Relationships xmlns="http://schemas.openxmlformats.org/package/2006/relationships"><Relationship Id="rId1" Type="http://schemas.microsoft.com/office/2006/relationships/activeXControlBinary" Target="activeX395.bin"/></Relationships>
</file>

<file path=xl/activeX/_rels/activeX396.xml.rels><?xml version="1.0" encoding="UTF-8" standalone="yes"?>
<Relationships xmlns="http://schemas.openxmlformats.org/package/2006/relationships"><Relationship Id="rId1" Type="http://schemas.microsoft.com/office/2006/relationships/activeXControlBinary" Target="activeX396.bin"/></Relationships>
</file>

<file path=xl/activeX/_rels/activeX397.xml.rels><?xml version="1.0" encoding="UTF-8" standalone="yes"?>
<Relationships xmlns="http://schemas.openxmlformats.org/package/2006/relationships"><Relationship Id="rId1" Type="http://schemas.microsoft.com/office/2006/relationships/activeXControlBinary" Target="activeX397.bin"/></Relationships>
</file>

<file path=xl/activeX/_rels/activeX398.xml.rels><?xml version="1.0" encoding="UTF-8" standalone="yes"?>
<Relationships xmlns="http://schemas.openxmlformats.org/package/2006/relationships"><Relationship Id="rId1" Type="http://schemas.microsoft.com/office/2006/relationships/activeXControlBinary" Target="activeX398.bin"/></Relationships>
</file>

<file path=xl/activeX/_rels/activeX399.xml.rels><?xml version="1.0" encoding="UTF-8" standalone="yes"?>
<Relationships xmlns="http://schemas.openxmlformats.org/package/2006/relationships"><Relationship Id="rId1" Type="http://schemas.microsoft.com/office/2006/relationships/activeXControlBinary" Target="activeX399.bin"/></Relationships>
</file>

<file path=xl/activeX/_rels/activeX400.xml.rels><?xml version="1.0" encoding="UTF-8" standalone="yes"?>
<Relationships xmlns="http://schemas.openxmlformats.org/package/2006/relationships"><Relationship Id="rId1" Type="http://schemas.microsoft.com/office/2006/relationships/activeXControlBinary" Target="activeX400.bin"/></Relationships>
</file>

<file path=xl/activeX/_rels/activeX401.xml.rels><?xml version="1.0" encoding="UTF-8" standalone="yes"?>
<Relationships xmlns="http://schemas.openxmlformats.org/package/2006/relationships"><Relationship Id="rId1" Type="http://schemas.microsoft.com/office/2006/relationships/activeXControlBinary" Target="activeX401.bin"/></Relationships>
</file>

<file path=xl/activeX/_rels/activeX402.xml.rels><?xml version="1.0" encoding="UTF-8" standalone="yes"?>
<Relationships xmlns="http://schemas.openxmlformats.org/package/2006/relationships"><Relationship Id="rId1" Type="http://schemas.microsoft.com/office/2006/relationships/activeXControlBinary" Target="activeX402.bin"/></Relationships>
</file>

<file path=xl/activeX/_rels/activeX403.xml.rels><?xml version="1.0" encoding="UTF-8" standalone="yes"?>
<Relationships xmlns="http://schemas.openxmlformats.org/package/2006/relationships"><Relationship Id="rId1" Type="http://schemas.microsoft.com/office/2006/relationships/activeXControlBinary" Target="activeX403.bin"/></Relationships>
</file>

<file path=xl/activeX/_rels/activeX404.xml.rels><?xml version="1.0" encoding="UTF-8" standalone="yes"?>
<Relationships xmlns="http://schemas.openxmlformats.org/package/2006/relationships"><Relationship Id="rId1" Type="http://schemas.microsoft.com/office/2006/relationships/activeXControlBinary" Target="activeX404.bin"/></Relationships>
</file>

<file path=xl/activeX/_rels/activeX405.xml.rels><?xml version="1.0" encoding="UTF-8" standalone="yes"?>
<Relationships xmlns="http://schemas.openxmlformats.org/package/2006/relationships"><Relationship Id="rId1" Type="http://schemas.microsoft.com/office/2006/relationships/activeXControlBinary" Target="activeX405.bin"/></Relationships>
</file>

<file path=xl/activeX/_rels/activeX406.xml.rels><?xml version="1.0" encoding="UTF-8" standalone="yes"?>
<Relationships xmlns="http://schemas.openxmlformats.org/package/2006/relationships"><Relationship Id="rId1" Type="http://schemas.microsoft.com/office/2006/relationships/activeXControlBinary" Target="activeX406.bin"/></Relationships>
</file>

<file path=xl/activeX/_rels/activeX407.xml.rels><?xml version="1.0" encoding="UTF-8" standalone="yes"?>
<Relationships xmlns="http://schemas.openxmlformats.org/package/2006/relationships"><Relationship Id="rId1" Type="http://schemas.microsoft.com/office/2006/relationships/activeXControlBinary" Target="activeX407.bin"/></Relationships>
</file>

<file path=xl/activeX/_rels/activeX408.xml.rels><?xml version="1.0" encoding="UTF-8" standalone="yes"?>
<Relationships xmlns="http://schemas.openxmlformats.org/package/2006/relationships"><Relationship Id="rId1" Type="http://schemas.microsoft.com/office/2006/relationships/activeXControlBinary" Target="activeX408.bin"/></Relationships>
</file>

<file path=xl/activeX/_rels/activeX409.xml.rels><?xml version="1.0" encoding="UTF-8" standalone="yes"?>
<Relationships xmlns="http://schemas.openxmlformats.org/package/2006/relationships"><Relationship Id="rId1" Type="http://schemas.microsoft.com/office/2006/relationships/activeXControlBinary" Target="activeX409.bin"/></Relationships>
</file>

<file path=xl/activeX/_rels/activeX410.xml.rels><?xml version="1.0" encoding="UTF-8" standalone="yes"?>
<Relationships xmlns="http://schemas.openxmlformats.org/package/2006/relationships"><Relationship Id="rId1" Type="http://schemas.microsoft.com/office/2006/relationships/activeXControlBinary" Target="activeX410.bin"/></Relationships>
</file>

<file path=xl/activeX/_rels/activeX411.xml.rels><?xml version="1.0" encoding="UTF-8" standalone="yes"?>
<Relationships xmlns="http://schemas.openxmlformats.org/package/2006/relationships"><Relationship Id="rId1" Type="http://schemas.microsoft.com/office/2006/relationships/activeXControlBinary" Target="activeX411.bin"/></Relationships>
</file>

<file path=xl/activeX/_rels/activeX412.xml.rels><?xml version="1.0" encoding="UTF-8" standalone="yes"?>
<Relationships xmlns="http://schemas.openxmlformats.org/package/2006/relationships"><Relationship Id="rId1" Type="http://schemas.microsoft.com/office/2006/relationships/activeXControlBinary" Target="activeX412.bin"/></Relationships>
</file>

<file path=xl/activeX/_rels/activeX413.xml.rels><?xml version="1.0" encoding="UTF-8" standalone="yes"?>
<Relationships xmlns="http://schemas.openxmlformats.org/package/2006/relationships"><Relationship Id="rId1" Type="http://schemas.microsoft.com/office/2006/relationships/activeXControlBinary" Target="activeX413.bin"/></Relationships>
</file>

<file path=xl/activeX/_rels/activeX414.xml.rels><?xml version="1.0" encoding="UTF-8" standalone="yes"?>
<Relationships xmlns="http://schemas.openxmlformats.org/package/2006/relationships"><Relationship Id="rId1" Type="http://schemas.microsoft.com/office/2006/relationships/activeXControlBinary" Target="activeX414.bin"/></Relationships>
</file>

<file path=xl/activeX/_rels/activeX415.xml.rels><?xml version="1.0" encoding="UTF-8" standalone="yes"?>
<Relationships xmlns="http://schemas.openxmlformats.org/package/2006/relationships"><Relationship Id="rId1" Type="http://schemas.microsoft.com/office/2006/relationships/activeXControlBinary" Target="activeX415.bin"/></Relationships>
</file>

<file path=xl/activeX/_rels/activeX416.xml.rels><?xml version="1.0" encoding="UTF-8" standalone="yes"?>
<Relationships xmlns="http://schemas.openxmlformats.org/package/2006/relationships"><Relationship Id="rId1" Type="http://schemas.microsoft.com/office/2006/relationships/activeXControlBinary" Target="activeX416.bin"/></Relationships>
</file>

<file path=xl/activeX/_rels/activeX417.xml.rels><?xml version="1.0" encoding="UTF-8" standalone="yes"?>
<Relationships xmlns="http://schemas.openxmlformats.org/package/2006/relationships"><Relationship Id="rId1" Type="http://schemas.microsoft.com/office/2006/relationships/activeXControlBinary" Target="activeX417.bin"/></Relationships>
</file>

<file path=xl/activeX/_rels/activeX418.xml.rels><?xml version="1.0" encoding="UTF-8" standalone="yes"?>
<Relationships xmlns="http://schemas.openxmlformats.org/package/2006/relationships"><Relationship Id="rId1" Type="http://schemas.microsoft.com/office/2006/relationships/activeXControlBinary" Target="activeX418.bin"/></Relationships>
</file>

<file path=xl/activeX/_rels/activeX419.xml.rels><?xml version="1.0" encoding="UTF-8" standalone="yes"?>
<Relationships xmlns="http://schemas.openxmlformats.org/package/2006/relationships"><Relationship Id="rId1" Type="http://schemas.microsoft.com/office/2006/relationships/activeXControlBinary" Target="activeX419.bin"/></Relationships>
</file>

<file path=xl/activeX/_rels/activeX420.xml.rels><?xml version="1.0" encoding="UTF-8" standalone="yes"?>
<Relationships xmlns="http://schemas.openxmlformats.org/package/2006/relationships"><Relationship Id="rId1" Type="http://schemas.microsoft.com/office/2006/relationships/activeXControlBinary" Target="activeX420.bin"/></Relationships>
</file>

<file path=xl/activeX/_rels/activeX421.xml.rels><?xml version="1.0" encoding="UTF-8" standalone="yes"?>
<Relationships xmlns="http://schemas.openxmlformats.org/package/2006/relationships"><Relationship Id="rId1" Type="http://schemas.microsoft.com/office/2006/relationships/activeXControlBinary" Target="activeX421.bin"/></Relationships>
</file>

<file path=xl/activeX/_rels/activeX422.xml.rels><?xml version="1.0" encoding="UTF-8" standalone="yes"?>
<Relationships xmlns="http://schemas.openxmlformats.org/package/2006/relationships"><Relationship Id="rId1" Type="http://schemas.microsoft.com/office/2006/relationships/activeXControlBinary" Target="activeX422.bin"/></Relationships>
</file>

<file path=xl/activeX/_rels/activeX423.xml.rels><?xml version="1.0" encoding="UTF-8" standalone="yes"?>
<Relationships xmlns="http://schemas.openxmlformats.org/package/2006/relationships"><Relationship Id="rId1" Type="http://schemas.microsoft.com/office/2006/relationships/activeXControlBinary" Target="activeX423.bin"/></Relationships>
</file>

<file path=xl/activeX/_rels/activeX424.xml.rels><?xml version="1.0" encoding="UTF-8" standalone="yes"?>
<Relationships xmlns="http://schemas.openxmlformats.org/package/2006/relationships"><Relationship Id="rId1" Type="http://schemas.microsoft.com/office/2006/relationships/activeXControlBinary" Target="activeX424.bin"/></Relationships>
</file>

<file path=xl/activeX/_rels/activeX425.xml.rels><?xml version="1.0" encoding="UTF-8" standalone="yes"?>
<Relationships xmlns="http://schemas.openxmlformats.org/package/2006/relationships"><Relationship Id="rId1" Type="http://schemas.microsoft.com/office/2006/relationships/activeXControlBinary" Target="activeX425.bin"/></Relationships>
</file>

<file path=xl/activeX/_rels/activeX426.xml.rels><?xml version="1.0" encoding="UTF-8" standalone="yes"?>
<Relationships xmlns="http://schemas.openxmlformats.org/package/2006/relationships"><Relationship Id="rId1" Type="http://schemas.microsoft.com/office/2006/relationships/activeXControlBinary" Target="activeX426.bin"/></Relationships>
</file>

<file path=xl/activeX/_rels/activeX427.xml.rels><?xml version="1.0" encoding="UTF-8" standalone="yes"?>
<Relationships xmlns="http://schemas.openxmlformats.org/package/2006/relationships"><Relationship Id="rId1" Type="http://schemas.microsoft.com/office/2006/relationships/activeXControlBinary" Target="activeX427.bin"/></Relationships>
</file>

<file path=xl/activeX/_rels/activeX428.xml.rels><?xml version="1.0" encoding="UTF-8" standalone="yes"?>
<Relationships xmlns="http://schemas.openxmlformats.org/package/2006/relationships"><Relationship Id="rId1" Type="http://schemas.microsoft.com/office/2006/relationships/activeXControlBinary" Target="activeX428.bin"/></Relationships>
</file>

<file path=xl/activeX/_rels/activeX429.xml.rels><?xml version="1.0" encoding="UTF-8" standalone="yes"?>
<Relationships xmlns="http://schemas.openxmlformats.org/package/2006/relationships"><Relationship Id="rId1" Type="http://schemas.microsoft.com/office/2006/relationships/activeXControlBinary" Target="activeX429.bin"/></Relationships>
</file>

<file path=xl/activeX/_rels/activeX430.xml.rels><?xml version="1.0" encoding="UTF-8" standalone="yes"?>
<Relationships xmlns="http://schemas.openxmlformats.org/package/2006/relationships"><Relationship Id="rId1" Type="http://schemas.microsoft.com/office/2006/relationships/activeXControlBinary" Target="activeX430.bin"/></Relationships>
</file>

<file path=xl/activeX/_rels/activeX431.xml.rels><?xml version="1.0" encoding="UTF-8" standalone="yes"?>
<Relationships xmlns="http://schemas.openxmlformats.org/package/2006/relationships"><Relationship Id="rId1" Type="http://schemas.microsoft.com/office/2006/relationships/activeXControlBinary" Target="activeX431.bin"/></Relationships>
</file>

<file path=xl/activeX/_rels/activeX432.xml.rels><?xml version="1.0" encoding="UTF-8" standalone="yes"?>
<Relationships xmlns="http://schemas.openxmlformats.org/package/2006/relationships"><Relationship Id="rId1" Type="http://schemas.microsoft.com/office/2006/relationships/activeXControlBinary" Target="activeX432.bin"/></Relationships>
</file>

<file path=xl/activeX/_rels/activeX433.xml.rels><?xml version="1.0" encoding="UTF-8" standalone="yes"?>
<Relationships xmlns="http://schemas.openxmlformats.org/package/2006/relationships"><Relationship Id="rId1" Type="http://schemas.microsoft.com/office/2006/relationships/activeXControlBinary" Target="activeX433.bin"/></Relationships>
</file>

<file path=xl/activeX/_rels/activeX434.xml.rels><?xml version="1.0" encoding="UTF-8" standalone="yes"?>
<Relationships xmlns="http://schemas.openxmlformats.org/package/2006/relationships"><Relationship Id="rId1" Type="http://schemas.microsoft.com/office/2006/relationships/activeXControlBinary" Target="activeX434.bin"/></Relationships>
</file>

<file path=xl/activeX/_rels/activeX435.xml.rels><?xml version="1.0" encoding="UTF-8" standalone="yes"?>
<Relationships xmlns="http://schemas.openxmlformats.org/package/2006/relationships"><Relationship Id="rId1" Type="http://schemas.microsoft.com/office/2006/relationships/activeXControlBinary" Target="activeX435.bin"/></Relationships>
</file>

<file path=xl/activeX/_rels/activeX436.xml.rels><?xml version="1.0" encoding="UTF-8" standalone="yes"?>
<Relationships xmlns="http://schemas.openxmlformats.org/package/2006/relationships"><Relationship Id="rId1" Type="http://schemas.microsoft.com/office/2006/relationships/activeXControlBinary" Target="activeX436.bin"/></Relationships>
</file>

<file path=xl/activeX/_rels/activeX437.xml.rels><?xml version="1.0" encoding="UTF-8" standalone="yes"?>
<Relationships xmlns="http://schemas.openxmlformats.org/package/2006/relationships"><Relationship Id="rId1" Type="http://schemas.microsoft.com/office/2006/relationships/activeXControlBinary" Target="activeX437.bin"/></Relationships>
</file>

<file path=xl/activeX/_rels/activeX438.xml.rels><?xml version="1.0" encoding="UTF-8" standalone="yes"?>
<Relationships xmlns="http://schemas.openxmlformats.org/package/2006/relationships"><Relationship Id="rId1" Type="http://schemas.microsoft.com/office/2006/relationships/activeXControlBinary" Target="activeX438.bin"/></Relationships>
</file>

<file path=xl/activeX/_rels/activeX439.xml.rels><?xml version="1.0" encoding="UTF-8" standalone="yes"?>
<Relationships xmlns="http://schemas.openxmlformats.org/package/2006/relationships"><Relationship Id="rId1" Type="http://schemas.microsoft.com/office/2006/relationships/activeXControlBinary" Target="activeX439.bin"/></Relationships>
</file>

<file path=xl/activeX/_rels/activeX440.xml.rels><?xml version="1.0" encoding="UTF-8" standalone="yes"?>
<Relationships xmlns="http://schemas.openxmlformats.org/package/2006/relationships"><Relationship Id="rId1" Type="http://schemas.microsoft.com/office/2006/relationships/activeXControlBinary" Target="activeX440.bin"/></Relationships>
</file>

<file path=xl/activeX/_rels/activeX441.xml.rels><?xml version="1.0" encoding="UTF-8" standalone="yes"?>
<Relationships xmlns="http://schemas.openxmlformats.org/package/2006/relationships"><Relationship Id="rId1" Type="http://schemas.microsoft.com/office/2006/relationships/activeXControlBinary" Target="activeX441.bin"/></Relationships>
</file>

<file path=xl/activeX/_rels/activeX442.xml.rels><?xml version="1.0" encoding="UTF-8" standalone="yes"?>
<Relationships xmlns="http://schemas.openxmlformats.org/package/2006/relationships"><Relationship Id="rId1" Type="http://schemas.microsoft.com/office/2006/relationships/activeXControlBinary" Target="activeX442.bin"/></Relationships>
</file>

<file path=xl/activeX/_rels/activeX443.xml.rels><?xml version="1.0" encoding="UTF-8" standalone="yes"?>
<Relationships xmlns="http://schemas.openxmlformats.org/package/2006/relationships"><Relationship Id="rId1" Type="http://schemas.microsoft.com/office/2006/relationships/activeXControlBinary" Target="activeX443.bin"/></Relationships>
</file>

<file path=xl/activeX/_rels/activeX444.xml.rels><?xml version="1.0" encoding="UTF-8" standalone="yes"?>
<Relationships xmlns="http://schemas.openxmlformats.org/package/2006/relationships"><Relationship Id="rId1" Type="http://schemas.microsoft.com/office/2006/relationships/activeXControlBinary" Target="activeX444.bin"/></Relationships>
</file>

<file path=xl/activeX/_rels/activeX445.xml.rels><?xml version="1.0" encoding="UTF-8" standalone="yes"?>
<Relationships xmlns="http://schemas.openxmlformats.org/package/2006/relationships"><Relationship Id="rId1" Type="http://schemas.microsoft.com/office/2006/relationships/activeXControlBinary" Target="activeX445.bin"/></Relationships>
</file>

<file path=xl/activeX/_rels/activeX446.xml.rels><?xml version="1.0" encoding="UTF-8" standalone="yes"?>
<Relationships xmlns="http://schemas.openxmlformats.org/package/2006/relationships"><Relationship Id="rId1" Type="http://schemas.microsoft.com/office/2006/relationships/activeXControlBinary" Target="activeX446.bin"/></Relationships>
</file>

<file path=xl/activeX/_rels/activeX447.xml.rels><?xml version="1.0" encoding="UTF-8" standalone="yes"?>
<Relationships xmlns="http://schemas.openxmlformats.org/package/2006/relationships"><Relationship Id="rId1" Type="http://schemas.microsoft.com/office/2006/relationships/activeXControlBinary" Target="activeX447.bin"/></Relationships>
</file>

<file path=xl/activeX/_rels/activeX448.xml.rels><?xml version="1.0" encoding="UTF-8" standalone="yes"?>
<Relationships xmlns="http://schemas.openxmlformats.org/package/2006/relationships"><Relationship Id="rId1" Type="http://schemas.microsoft.com/office/2006/relationships/activeXControlBinary" Target="activeX448.bin"/></Relationships>
</file>

<file path=xl/activeX/_rels/activeX449.xml.rels><?xml version="1.0" encoding="UTF-8" standalone="yes"?>
<Relationships xmlns="http://schemas.openxmlformats.org/package/2006/relationships"><Relationship Id="rId1" Type="http://schemas.microsoft.com/office/2006/relationships/activeXControlBinary" Target="activeX449.bin"/></Relationships>
</file>

<file path=xl/activeX/_rels/activeX450.xml.rels><?xml version="1.0" encoding="UTF-8" standalone="yes"?>
<Relationships xmlns="http://schemas.openxmlformats.org/package/2006/relationships"><Relationship Id="rId1" Type="http://schemas.microsoft.com/office/2006/relationships/activeXControlBinary" Target="activeX450.bin"/></Relationships>
</file>

<file path=xl/activeX/_rels/activeX451.xml.rels><?xml version="1.0" encoding="UTF-8" standalone="yes"?>
<Relationships xmlns="http://schemas.openxmlformats.org/package/2006/relationships"><Relationship Id="rId1" Type="http://schemas.microsoft.com/office/2006/relationships/activeXControlBinary" Target="activeX451.bin"/></Relationships>
</file>

<file path=xl/activeX/_rels/activeX452.xml.rels><?xml version="1.0" encoding="UTF-8" standalone="yes"?>
<Relationships xmlns="http://schemas.openxmlformats.org/package/2006/relationships"><Relationship Id="rId1" Type="http://schemas.microsoft.com/office/2006/relationships/activeXControlBinary" Target="activeX452.bin"/></Relationships>
</file>

<file path=xl/activeX/_rels/activeX453.xml.rels><?xml version="1.0" encoding="UTF-8" standalone="yes"?>
<Relationships xmlns="http://schemas.openxmlformats.org/package/2006/relationships"><Relationship Id="rId1" Type="http://schemas.microsoft.com/office/2006/relationships/activeXControlBinary" Target="activeX453.bin"/></Relationships>
</file>

<file path=xl/activeX/_rels/activeX454.xml.rels><?xml version="1.0" encoding="UTF-8" standalone="yes"?>
<Relationships xmlns="http://schemas.openxmlformats.org/package/2006/relationships"><Relationship Id="rId1" Type="http://schemas.microsoft.com/office/2006/relationships/activeXControlBinary" Target="activeX454.bin"/></Relationships>
</file>

<file path=xl/activeX/_rels/activeX455.xml.rels><?xml version="1.0" encoding="UTF-8" standalone="yes"?>
<Relationships xmlns="http://schemas.openxmlformats.org/package/2006/relationships"><Relationship Id="rId1" Type="http://schemas.microsoft.com/office/2006/relationships/activeXControlBinary" Target="activeX455.bin"/></Relationships>
</file>

<file path=xl/activeX/_rels/activeX456.xml.rels><?xml version="1.0" encoding="UTF-8" standalone="yes"?>
<Relationships xmlns="http://schemas.openxmlformats.org/package/2006/relationships"><Relationship Id="rId1" Type="http://schemas.microsoft.com/office/2006/relationships/activeXControlBinary" Target="activeX456.bin"/></Relationships>
</file>

<file path=xl/activeX/_rels/activeX457.xml.rels><?xml version="1.0" encoding="UTF-8" standalone="yes"?>
<Relationships xmlns="http://schemas.openxmlformats.org/package/2006/relationships"><Relationship Id="rId1" Type="http://schemas.microsoft.com/office/2006/relationships/activeXControlBinary" Target="activeX457.bin"/></Relationships>
</file>

<file path=xl/activeX/_rels/activeX458.xml.rels><?xml version="1.0" encoding="UTF-8" standalone="yes"?>
<Relationships xmlns="http://schemas.openxmlformats.org/package/2006/relationships"><Relationship Id="rId1" Type="http://schemas.microsoft.com/office/2006/relationships/activeXControlBinary" Target="activeX458.bin"/></Relationships>
</file>

<file path=xl/activeX/_rels/activeX459.xml.rels><?xml version="1.0" encoding="UTF-8" standalone="yes"?>
<Relationships xmlns="http://schemas.openxmlformats.org/package/2006/relationships"><Relationship Id="rId1" Type="http://schemas.microsoft.com/office/2006/relationships/activeXControlBinary" Target="activeX459.bin"/></Relationships>
</file>

<file path=xl/activeX/_rels/activeX460.xml.rels><?xml version="1.0" encoding="UTF-8" standalone="yes"?>
<Relationships xmlns="http://schemas.openxmlformats.org/package/2006/relationships"><Relationship Id="rId1" Type="http://schemas.microsoft.com/office/2006/relationships/activeXControlBinary" Target="activeX460.bin"/></Relationships>
</file>

<file path=xl/activeX/_rels/activeX461.xml.rels><?xml version="1.0" encoding="UTF-8" standalone="yes"?>
<Relationships xmlns="http://schemas.openxmlformats.org/package/2006/relationships"><Relationship Id="rId1" Type="http://schemas.microsoft.com/office/2006/relationships/activeXControlBinary" Target="activeX461.bin"/></Relationships>
</file>

<file path=xl/activeX/_rels/activeX462.xml.rels><?xml version="1.0" encoding="UTF-8" standalone="yes"?>
<Relationships xmlns="http://schemas.openxmlformats.org/package/2006/relationships"><Relationship Id="rId1" Type="http://schemas.microsoft.com/office/2006/relationships/activeXControlBinary" Target="activeX462.bin"/></Relationships>
</file>

<file path=xl/activeX/_rels/activeX463.xml.rels><?xml version="1.0" encoding="UTF-8" standalone="yes"?>
<Relationships xmlns="http://schemas.openxmlformats.org/package/2006/relationships"><Relationship Id="rId1" Type="http://schemas.microsoft.com/office/2006/relationships/activeXControlBinary" Target="activeX463.bin"/></Relationships>
</file>

<file path=xl/activeX/_rels/activeX464.xml.rels><?xml version="1.0" encoding="UTF-8" standalone="yes"?>
<Relationships xmlns="http://schemas.openxmlformats.org/package/2006/relationships"><Relationship Id="rId1" Type="http://schemas.microsoft.com/office/2006/relationships/activeXControlBinary" Target="activeX464.bin"/></Relationships>
</file>

<file path=xl/activeX/_rels/activeX465.xml.rels><?xml version="1.0" encoding="UTF-8" standalone="yes"?>
<Relationships xmlns="http://schemas.openxmlformats.org/package/2006/relationships"><Relationship Id="rId1" Type="http://schemas.microsoft.com/office/2006/relationships/activeXControlBinary" Target="activeX465.bin"/></Relationships>
</file>

<file path=xl/activeX/_rels/activeX466.xml.rels><?xml version="1.0" encoding="UTF-8" standalone="yes"?>
<Relationships xmlns="http://schemas.openxmlformats.org/package/2006/relationships"><Relationship Id="rId1" Type="http://schemas.microsoft.com/office/2006/relationships/activeXControlBinary" Target="activeX466.bin"/></Relationships>
</file>

<file path=xl/activeX/_rels/activeX467.xml.rels><?xml version="1.0" encoding="UTF-8" standalone="yes"?>
<Relationships xmlns="http://schemas.openxmlformats.org/package/2006/relationships"><Relationship Id="rId1" Type="http://schemas.microsoft.com/office/2006/relationships/activeXControlBinary" Target="activeX467.bin"/></Relationships>
</file>

<file path=xl/activeX/_rels/activeX468.xml.rels><?xml version="1.0" encoding="UTF-8" standalone="yes"?>
<Relationships xmlns="http://schemas.openxmlformats.org/package/2006/relationships"><Relationship Id="rId1" Type="http://schemas.microsoft.com/office/2006/relationships/activeXControlBinary" Target="activeX468.bin"/></Relationships>
</file>

<file path=xl/activeX/_rels/activeX469.xml.rels><?xml version="1.0" encoding="UTF-8" standalone="yes"?>
<Relationships xmlns="http://schemas.openxmlformats.org/package/2006/relationships"><Relationship Id="rId1" Type="http://schemas.microsoft.com/office/2006/relationships/activeXControlBinary" Target="activeX469.bin"/></Relationships>
</file>

<file path=xl/activeX/_rels/activeX470.xml.rels><?xml version="1.0" encoding="UTF-8" standalone="yes"?>
<Relationships xmlns="http://schemas.openxmlformats.org/package/2006/relationships"><Relationship Id="rId1" Type="http://schemas.microsoft.com/office/2006/relationships/activeXControlBinary" Target="activeX470.bin"/></Relationships>
</file>

<file path=xl/activeX/_rels/activeX471.xml.rels><?xml version="1.0" encoding="UTF-8" standalone="yes"?>
<Relationships xmlns="http://schemas.openxmlformats.org/package/2006/relationships"><Relationship Id="rId1" Type="http://schemas.microsoft.com/office/2006/relationships/activeXControlBinary" Target="activeX471.bin"/></Relationships>
</file>

<file path=xl/activeX/_rels/activeX472.xml.rels><?xml version="1.0" encoding="UTF-8" standalone="yes"?>
<Relationships xmlns="http://schemas.openxmlformats.org/package/2006/relationships"><Relationship Id="rId1" Type="http://schemas.microsoft.com/office/2006/relationships/activeXControlBinary" Target="activeX472.bin"/></Relationships>
</file>

<file path=xl/activeX/_rels/activeX473.xml.rels><?xml version="1.0" encoding="UTF-8" standalone="yes"?>
<Relationships xmlns="http://schemas.openxmlformats.org/package/2006/relationships"><Relationship Id="rId1" Type="http://schemas.microsoft.com/office/2006/relationships/activeXControlBinary" Target="activeX473.bin"/></Relationships>
</file>

<file path=xl/activeX/_rels/activeX474.xml.rels><?xml version="1.0" encoding="UTF-8" standalone="yes"?>
<Relationships xmlns="http://schemas.openxmlformats.org/package/2006/relationships"><Relationship Id="rId1" Type="http://schemas.microsoft.com/office/2006/relationships/activeXControlBinary" Target="activeX474.bin"/></Relationships>
</file>

<file path=xl/activeX/_rels/activeX475.xml.rels><?xml version="1.0" encoding="UTF-8" standalone="yes"?>
<Relationships xmlns="http://schemas.openxmlformats.org/package/2006/relationships"><Relationship Id="rId1" Type="http://schemas.microsoft.com/office/2006/relationships/activeXControlBinary" Target="activeX475.bin"/></Relationships>
</file>

<file path=xl/activeX/_rels/activeX476.xml.rels><?xml version="1.0" encoding="UTF-8" standalone="yes"?>
<Relationships xmlns="http://schemas.openxmlformats.org/package/2006/relationships"><Relationship Id="rId1" Type="http://schemas.microsoft.com/office/2006/relationships/activeXControlBinary" Target="activeX476.bin"/></Relationships>
</file>

<file path=xl/activeX/_rels/activeX477.xml.rels><?xml version="1.0" encoding="UTF-8" standalone="yes"?>
<Relationships xmlns="http://schemas.openxmlformats.org/package/2006/relationships"><Relationship Id="rId1" Type="http://schemas.microsoft.com/office/2006/relationships/activeXControlBinary" Target="activeX477.bin"/></Relationships>
</file>

<file path=xl/activeX/_rels/activeX478.xml.rels><?xml version="1.0" encoding="UTF-8" standalone="yes"?>
<Relationships xmlns="http://schemas.openxmlformats.org/package/2006/relationships"><Relationship Id="rId1" Type="http://schemas.microsoft.com/office/2006/relationships/activeXControlBinary" Target="activeX478.bin"/></Relationships>
</file>

<file path=xl/activeX/_rels/activeX479.xml.rels><?xml version="1.0" encoding="UTF-8" standalone="yes"?>
<Relationships xmlns="http://schemas.openxmlformats.org/package/2006/relationships"><Relationship Id="rId1" Type="http://schemas.microsoft.com/office/2006/relationships/activeXControlBinary" Target="activeX479.bin"/></Relationships>
</file>

<file path=xl/activeX/_rels/activeX480.xml.rels><?xml version="1.0" encoding="UTF-8" standalone="yes"?>
<Relationships xmlns="http://schemas.openxmlformats.org/package/2006/relationships"><Relationship Id="rId1" Type="http://schemas.microsoft.com/office/2006/relationships/activeXControlBinary" Target="activeX480.bin"/></Relationships>
</file>

<file path=xl/activeX/_rels/activeX481.xml.rels><?xml version="1.0" encoding="UTF-8" standalone="yes"?>
<Relationships xmlns="http://schemas.openxmlformats.org/package/2006/relationships"><Relationship Id="rId1" Type="http://schemas.microsoft.com/office/2006/relationships/activeXControlBinary" Target="activeX481.bin"/></Relationships>
</file>

<file path=xl/activeX/_rels/activeX482.xml.rels><?xml version="1.0" encoding="UTF-8" standalone="yes"?>
<Relationships xmlns="http://schemas.openxmlformats.org/package/2006/relationships"><Relationship Id="rId1" Type="http://schemas.microsoft.com/office/2006/relationships/activeXControlBinary" Target="activeX482.bin"/></Relationships>
</file>

<file path=xl/activeX/_rels/activeX483.xml.rels><?xml version="1.0" encoding="UTF-8" standalone="yes"?>
<Relationships xmlns="http://schemas.openxmlformats.org/package/2006/relationships"><Relationship Id="rId1" Type="http://schemas.microsoft.com/office/2006/relationships/activeXControlBinary" Target="activeX483.bin"/></Relationships>
</file>

<file path=xl/activeX/_rels/activeX484.xml.rels><?xml version="1.0" encoding="UTF-8" standalone="yes"?>
<Relationships xmlns="http://schemas.openxmlformats.org/package/2006/relationships"><Relationship Id="rId1" Type="http://schemas.microsoft.com/office/2006/relationships/activeXControlBinary" Target="activeX484.bin"/></Relationships>
</file>

<file path=xl/activeX/_rels/activeX485.xml.rels><?xml version="1.0" encoding="UTF-8" standalone="yes"?>
<Relationships xmlns="http://schemas.openxmlformats.org/package/2006/relationships"><Relationship Id="rId1" Type="http://schemas.microsoft.com/office/2006/relationships/activeXControlBinary" Target="activeX485.bin"/></Relationships>
</file>

<file path=xl/activeX/_rels/activeX486.xml.rels><?xml version="1.0" encoding="UTF-8" standalone="yes"?>
<Relationships xmlns="http://schemas.openxmlformats.org/package/2006/relationships"><Relationship Id="rId1" Type="http://schemas.microsoft.com/office/2006/relationships/activeXControlBinary" Target="activeX486.bin"/></Relationships>
</file>

<file path=xl/activeX/_rels/activeX487.xml.rels><?xml version="1.0" encoding="UTF-8" standalone="yes"?>
<Relationships xmlns="http://schemas.openxmlformats.org/package/2006/relationships"><Relationship Id="rId1" Type="http://schemas.microsoft.com/office/2006/relationships/activeXControlBinary" Target="activeX487.bin"/></Relationships>
</file>

<file path=xl/activeX/_rels/activeX488.xml.rels><?xml version="1.0" encoding="UTF-8" standalone="yes"?>
<Relationships xmlns="http://schemas.openxmlformats.org/package/2006/relationships"><Relationship Id="rId1" Type="http://schemas.microsoft.com/office/2006/relationships/activeXControlBinary" Target="activeX488.bin"/></Relationships>
</file>

<file path=xl/activeX/_rels/activeX489.xml.rels><?xml version="1.0" encoding="UTF-8" standalone="yes"?>
<Relationships xmlns="http://schemas.openxmlformats.org/package/2006/relationships"><Relationship Id="rId1" Type="http://schemas.microsoft.com/office/2006/relationships/activeXControlBinary" Target="activeX489.bin"/></Relationships>
</file>

<file path=xl/activeX/_rels/activeX490.xml.rels><?xml version="1.0" encoding="UTF-8" standalone="yes"?>
<Relationships xmlns="http://schemas.openxmlformats.org/package/2006/relationships"><Relationship Id="rId1" Type="http://schemas.microsoft.com/office/2006/relationships/activeXControlBinary" Target="activeX490.bin"/></Relationships>
</file>

<file path=xl/activeX/_rels/activeX491.xml.rels><?xml version="1.0" encoding="UTF-8" standalone="yes"?>
<Relationships xmlns="http://schemas.openxmlformats.org/package/2006/relationships"><Relationship Id="rId1" Type="http://schemas.microsoft.com/office/2006/relationships/activeXControlBinary" Target="activeX491.bin"/></Relationships>
</file>

<file path=xl/activeX/_rels/activeX492.xml.rels><?xml version="1.0" encoding="UTF-8" standalone="yes"?>
<Relationships xmlns="http://schemas.openxmlformats.org/package/2006/relationships"><Relationship Id="rId1" Type="http://schemas.microsoft.com/office/2006/relationships/activeXControlBinary" Target="activeX492.bin"/></Relationships>
</file>

<file path=xl/activeX/_rels/activeX493.xml.rels><?xml version="1.0" encoding="UTF-8" standalone="yes"?>
<Relationships xmlns="http://schemas.openxmlformats.org/package/2006/relationships"><Relationship Id="rId1" Type="http://schemas.microsoft.com/office/2006/relationships/activeXControlBinary" Target="activeX493.bin"/></Relationships>
</file>

<file path=xl/activeX/_rels/activeX494.xml.rels><?xml version="1.0" encoding="UTF-8" standalone="yes"?>
<Relationships xmlns="http://schemas.openxmlformats.org/package/2006/relationships"><Relationship Id="rId1" Type="http://schemas.microsoft.com/office/2006/relationships/activeXControlBinary" Target="activeX494.bin"/></Relationships>
</file>

<file path=xl/activeX/_rels/activeX495.xml.rels><?xml version="1.0" encoding="UTF-8" standalone="yes"?>
<Relationships xmlns="http://schemas.openxmlformats.org/package/2006/relationships"><Relationship Id="rId1" Type="http://schemas.microsoft.com/office/2006/relationships/activeXControlBinary" Target="activeX495.bin"/></Relationships>
</file>

<file path=xl/activeX/_rels/activeX496.xml.rels><?xml version="1.0" encoding="UTF-8" standalone="yes"?>
<Relationships xmlns="http://schemas.openxmlformats.org/package/2006/relationships"><Relationship Id="rId1" Type="http://schemas.microsoft.com/office/2006/relationships/activeXControlBinary" Target="activeX496.bin"/></Relationships>
</file>

<file path=xl/activeX/_rels/activeX497.xml.rels><?xml version="1.0" encoding="UTF-8" standalone="yes"?>
<Relationships xmlns="http://schemas.openxmlformats.org/package/2006/relationships"><Relationship Id="rId1" Type="http://schemas.microsoft.com/office/2006/relationships/activeXControlBinary" Target="activeX497.bin"/></Relationships>
</file>

<file path=xl/activeX/_rels/activeX498.xml.rels><?xml version="1.0" encoding="UTF-8" standalone="yes"?>
<Relationships xmlns="http://schemas.openxmlformats.org/package/2006/relationships"><Relationship Id="rId1" Type="http://schemas.microsoft.com/office/2006/relationships/activeXControlBinary" Target="activeX498.bin"/></Relationships>
</file>

<file path=xl/activeX/_rels/activeX499.xml.rels><?xml version="1.0" encoding="UTF-8" standalone="yes"?>
<Relationships xmlns="http://schemas.openxmlformats.org/package/2006/relationships"><Relationship Id="rId1" Type="http://schemas.microsoft.com/office/2006/relationships/activeXControlBinary" Target="activeX499.bin"/></Relationships>
</file>

<file path=xl/activeX/_rels/activeX500.xml.rels><?xml version="1.0" encoding="UTF-8" standalone="yes"?>
<Relationships xmlns="http://schemas.openxmlformats.org/package/2006/relationships"><Relationship Id="rId1" Type="http://schemas.microsoft.com/office/2006/relationships/activeXControlBinary" Target="activeX500.bin"/></Relationships>
</file>

<file path=xl/activeX/_rels/activeX501.xml.rels><?xml version="1.0" encoding="UTF-8" standalone="yes"?>
<Relationships xmlns="http://schemas.openxmlformats.org/package/2006/relationships"><Relationship Id="rId1" Type="http://schemas.microsoft.com/office/2006/relationships/activeXControlBinary" Target="activeX501.bin"/></Relationships>
</file>

<file path=xl/activeX/_rels/activeX502.xml.rels><?xml version="1.0" encoding="UTF-8" standalone="yes"?>
<Relationships xmlns="http://schemas.openxmlformats.org/package/2006/relationships"><Relationship Id="rId1" Type="http://schemas.microsoft.com/office/2006/relationships/activeXControlBinary" Target="activeX502.bin"/></Relationships>
</file>

<file path=xl/activeX/_rels/activeX503.xml.rels><?xml version="1.0" encoding="UTF-8" standalone="yes"?>
<Relationships xmlns="http://schemas.openxmlformats.org/package/2006/relationships"><Relationship Id="rId1" Type="http://schemas.microsoft.com/office/2006/relationships/activeXControlBinary" Target="activeX503.bin"/></Relationships>
</file>

<file path=xl/activeX/_rels/activeX504.xml.rels><?xml version="1.0" encoding="UTF-8" standalone="yes"?>
<Relationships xmlns="http://schemas.openxmlformats.org/package/2006/relationships"><Relationship Id="rId1" Type="http://schemas.microsoft.com/office/2006/relationships/activeXControlBinary" Target="activeX504.bin"/></Relationships>
</file>

<file path=xl/activeX/_rels/activeX505.xml.rels><?xml version="1.0" encoding="UTF-8" standalone="yes"?>
<Relationships xmlns="http://schemas.openxmlformats.org/package/2006/relationships"><Relationship Id="rId1" Type="http://schemas.microsoft.com/office/2006/relationships/activeXControlBinary" Target="activeX505.bin"/></Relationships>
</file>

<file path=xl/activeX/_rels/activeX506.xml.rels><?xml version="1.0" encoding="UTF-8" standalone="yes"?>
<Relationships xmlns="http://schemas.openxmlformats.org/package/2006/relationships"><Relationship Id="rId1" Type="http://schemas.microsoft.com/office/2006/relationships/activeXControlBinary" Target="activeX506.bin"/></Relationships>
</file>

<file path=xl/activeX/_rels/activeX507.xml.rels><?xml version="1.0" encoding="UTF-8" standalone="yes"?>
<Relationships xmlns="http://schemas.openxmlformats.org/package/2006/relationships"><Relationship Id="rId1" Type="http://schemas.microsoft.com/office/2006/relationships/activeXControlBinary" Target="activeX507.bin"/></Relationships>
</file>

<file path=xl/activeX/_rels/activeX508.xml.rels><?xml version="1.0" encoding="UTF-8" standalone="yes"?>
<Relationships xmlns="http://schemas.openxmlformats.org/package/2006/relationships"><Relationship Id="rId1" Type="http://schemas.microsoft.com/office/2006/relationships/activeXControlBinary" Target="activeX508.bin"/></Relationships>
</file>

<file path=xl/activeX/_rels/activeX509.xml.rels><?xml version="1.0" encoding="UTF-8" standalone="yes"?>
<Relationships xmlns="http://schemas.openxmlformats.org/package/2006/relationships"><Relationship Id="rId1" Type="http://schemas.microsoft.com/office/2006/relationships/activeXControlBinary" Target="activeX509.bin"/></Relationships>
</file>

<file path=xl/activeX/_rels/activeX510.xml.rels><?xml version="1.0" encoding="UTF-8" standalone="yes"?>
<Relationships xmlns="http://schemas.openxmlformats.org/package/2006/relationships"><Relationship Id="rId1" Type="http://schemas.microsoft.com/office/2006/relationships/activeXControlBinary" Target="activeX510.bin"/></Relationships>
</file>

<file path=xl/activeX/_rels/activeX511.xml.rels><?xml version="1.0" encoding="UTF-8" standalone="yes"?>
<Relationships xmlns="http://schemas.openxmlformats.org/package/2006/relationships"><Relationship Id="rId1" Type="http://schemas.microsoft.com/office/2006/relationships/activeXControlBinary" Target="activeX511.bin"/></Relationships>
</file>

<file path=xl/activeX/_rels/activeX512.xml.rels><?xml version="1.0" encoding="UTF-8" standalone="yes"?>
<Relationships xmlns="http://schemas.openxmlformats.org/package/2006/relationships"><Relationship Id="rId1" Type="http://schemas.microsoft.com/office/2006/relationships/activeXControlBinary" Target="activeX512.bin"/></Relationships>
</file>

<file path=xl/activeX/_rels/activeX513.xml.rels><?xml version="1.0" encoding="UTF-8" standalone="yes"?>
<Relationships xmlns="http://schemas.openxmlformats.org/package/2006/relationships"><Relationship Id="rId1" Type="http://schemas.microsoft.com/office/2006/relationships/activeXControlBinary" Target="activeX513.bin"/></Relationships>
</file>

<file path=xl/activeX/_rels/activeX514.xml.rels><?xml version="1.0" encoding="UTF-8" standalone="yes"?>
<Relationships xmlns="http://schemas.openxmlformats.org/package/2006/relationships"><Relationship Id="rId1" Type="http://schemas.microsoft.com/office/2006/relationships/activeXControlBinary" Target="activeX514.bin"/></Relationships>
</file>

<file path=xl/activeX/_rels/activeX515.xml.rels><?xml version="1.0" encoding="UTF-8" standalone="yes"?>
<Relationships xmlns="http://schemas.openxmlformats.org/package/2006/relationships"><Relationship Id="rId1" Type="http://schemas.microsoft.com/office/2006/relationships/activeXControlBinary" Target="activeX515.bin"/></Relationships>
</file>

<file path=xl/activeX/_rels/activeX516.xml.rels><?xml version="1.0" encoding="UTF-8" standalone="yes"?>
<Relationships xmlns="http://schemas.openxmlformats.org/package/2006/relationships"><Relationship Id="rId1" Type="http://schemas.microsoft.com/office/2006/relationships/activeXControlBinary" Target="activeX516.bin"/></Relationships>
</file>

<file path=xl/activeX/_rels/activeX517.xml.rels><?xml version="1.0" encoding="UTF-8" standalone="yes"?>
<Relationships xmlns="http://schemas.openxmlformats.org/package/2006/relationships"><Relationship Id="rId1" Type="http://schemas.microsoft.com/office/2006/relationships/activeXControlBinary" Target="activeX517.bin"/></Relationships>
</file>

<file path=xl/activeX/_rels/activeX518.xml.rels><?xml version="1.0" encoding="UTF-8" standalone="yes"?>
<Relationships xmlns="http://schemas.openxmlformats.org/package/2006/relationships"><Relationship Id="rId1" Type="http://schemas.microsoft.com/office/2006/relationships/activeXControlBinary" Target="activeX518.bin"/></Relationships>
</file>

<file path=xl/activeX/_rels/activeX519.xml.rels><?xml version="1.0" encoding="UTF-8" standalone="yes"?>
<Relationships xmlns="http://schemas.openxmlformats.org/package/2006/relationships"><Relationship Id="rId1" Type="http://schemas.microsoft.com/office/2006/relationships/activeXControlBinary" Target="activeX519.bin"/></Relationships>
</file>

<file path=xl/activeX/_rels/activeX520.xml.rels><?xml version="1.0" encoding="UTF-8" standalone="yes"?>
<Relationships xmlns="http://schemas.openxmlformats.org/package/2006/relationships"><Relationship Id="rId1" Type="http://schemas.microsoft.com/office/2006/relationships/activeXControlBinary" Target="activeX520.bin"/></Relationships>
</file>

<file path=xl/activeX/_rels/activeX521.xml.rels><?xml version="1.0" encoding="UTF-8" standalone="yes"?>
<Relationships xmlns="http://schemas.openxmlformats.org/package/2006/relationships"><Relationship Id="rId1" Type="http://schemas.microsoft.com/office/2006/relationships/activeXControlBinary" Target="activeX521.bin"/></Relationships>
</file>

<file path=xl/activeX/_rels/activeX522.xml.rels><?xml version="1.0" encoding="UTF-8" standalone="yes"?>
<Relationships xmlns="http://schemas.openxmlformats.org/package/2006/relationships"><Relationship Id="rId1" Type="http://schemas.microsoft.com/office/2006/relationships/activeXControlBinary" Target="activeX522.bin"/></Relationships>
</file>

<file path=xl/activeX/_rels/activeX523.xml.rels><?xml version="1.0" encoding="UTF-8" standalone="yes"?>
<Relationships xmlns="http://schemas.openxmlformats.org/package/2006/relationships"><Relationship Id="rId1" Type="http://schemas.microsoft.com/office/2006/relationships/activeXControlBinary" Target="activeX523.bin"/></Relationships>
</file>

<file path=xl/activeX/_rels/activeX524.xml.rels><?xml version="1.0" encoding="UTF-8" standalone="yes"?>
<Relationships xmlns="http://schemas.openxmlformats.org/package/2006/relationships"><Relationship Id="rId1" Type="http://schemas.microsoft.com/office/2006/relationships/activeXControlBinary" Target="activeX524.bin"/></Relationships>
</file>

<file path=xl/activeX/_rels/activeX525.xml.rels><?xml version="1.0" encoding="UTF-8" standalone="yes"?>
<Relationships xmlns="http://schemas.openxmlformats.org/package/2006/relationships"><Relationship Id="rId1" Type="http://schemas.microsoft.com/office/2006/relationships/activeXControlBinary" Target="activeX525.bin"/></Relationships>
</file>

<file path=xl/activeX/_rels/activeX526.xml.rels><?xml version="1.0" encoding="UTF-8" standalone="yes"?>
<Relationships xmlns="http://schemas.openxmlformats.org/package/2006/relationships"><Relationship Id="rId1" Type="http://schemas.microsoft.com/office/2006/relationships/activeXControlBinary" Target="activeX526.bin"/></Relationships>
</file>

<file path=xl/activeX/_rels/activeX527.xml.rels><?xml version="1.0" encoding="UTF-8" standalone="yes"?>
<Relationships xmlns="http://schemas.openxmlformats.org/package/2006/relationships"><Relationship Id="rId1" Type="http://schemas.microsoft.com/office/2006/relationships/activeXControlBinary" Target="activeX527.bin"/></Relationships>
</file>

<file path=xl/activeX/_rels/activeX528.xml.rels><?xml version="1.0" encoding="UTF-8" standalone="yes"?>
<Relationships xmlns="http://schemas.openxmlformats.org/package/2006/relationships"><Relationship Id="rId1" Type="http://schemas.microsoft.com/office/2006/relationships/activeXControlBinary" Target="activeX528.bin"/></Relationships>
</file>

<file path=xl/activeX/_rels/activeX529.xml.rels><?xml version="1.0" encoding="UTF-8" standalone="yes"?>
<Relationships xmlns="http://schemas.openxmlformats.org/package/2006/relationships"><Relationship Id="rId1" Type="http://schemas.microsoft.com/office/2006/relationships/activeXControlBinary" Target="activeX529.bin"/></Relationships>
</file>

<file path=xl/activeX/_rels/activeX530.xml.rels><?xml version="1.0" encoding="UTF-8" standalone="yes"?>
<Relationships xmlns="http://schemas.openxmlformats.org/package/2006/relationships"><Relationship Id="rId1" Type="http://schemas.microsoft.com/office/2006/relationships/activeXControlBinary" Target="activeX530.bin"/></Relationships>
</file>

<file path=xl/activeX/_rels/activeX531.xml.rels><?xml version="1.0" encoding="UTF-8" standalone="yes"?>
<Relationships xmlns="http://schemas.openxmlformats.org/package/2006/relationships"><Relationship Id="rId1" Type="http://schemas.microsoft.com/office/2006/relationships/activeXControlBinary" Target="activeX531.bin"/></Relationships>
</file>

<file path=xl/activeX/_rels/activeX532.xml.rels><?xml version="1.0" encoding="UTF-8" standalone="yes"?>
<Relationships xmlns="http://schemas.openxmlformats.org/package/2006/relationships"><Relationship Id="rId1" Type="http://schemas.microsoft.com/office/2006/relationships/activeXControlBinary" Target="activeX532.bin"/></Relationships>
</file>

<file path=xl/activeX/_rels/activeX533.xml.rels><?xml version="1.0" encoding="UTF-8" standalone="yes"?>
<Relationships xmlns="http://schemas.openxmlformats.org/package/2006/relationships"><Relationship Id="rId1" Type="http://schemas.microsoft.com/office/2006/relationships/activeXControlBinary" Target="activeX533.bin"/></Relationships>
</file>

<file path=xl/activeX/_rels/activeX534.xml.rels><?xml version="1.0" encoding="UTF-8" standalone="yes"?>
<Relationships xmlns="http://schemas.openxmlformats.org/package/2006/relationships"><Relationship Id="rId1" Type="http://schemas.microsoft.com/office/2006/relationships/activeXControlBinary" Target="activeX534.bin"/></Relationships>
</file>

<file path=xl/activeX/_rels/activeX535.xml.rels><?xml version="1.0" encoding="UTF-8" standalone="yes"?>
<Relationships xmlns="http://schemas.openxmlformats.org/package/2006/relationships"><Relationship Id="rId1" Type="http://schemas.microsoft.com/office/2006/relationships/activeXControlBinary" Target="activeX535.bin"/></Relationships>
</file>

<file path=xl/activeX/_rels/activeX536.xml.rels><?xml version="1.0" encoding="UTF-8" standalone="yes"?>
<Relationships xmlns="http://schemas.openxmlformats.org/package/2006/relationships"><Relationship Id="rId1" Type="http://schemas.microsoft.com/office/2006/relationships/activeXControlBinary" Target="activeX536.bin"/></Relationships>
</file>

<file path=xl/activeX/_rels/activeX537.xml.rels><?xml version="1.0" encoding="UTF-8" standalone="yes"?>
<Relationships xmlns="http://schemas.openxmlformats.org/package/2006/relationships"><Relationship Id="rId1" Type="http://schemas.microsoft.com/office/2006/relationships/activeXControlBinary" Target="activeX537.bin"/></Relationships>
</file>

<file path=xl/activeX/_rels/activeX538.xml.rels><?xml version="1.0" encoding="UTF-8" standalone="yes"?>
<Relationships xmlns="http://schemas.openxmlformats.org/package/2006/relationships"><Relationship Id="rId1" Type="http://schemas.microsoft.com/office/2006/relationships/activeXControlBinary" Target="activeX538.bin"/></Relationships>
</file>

<file path=xl/activeX/_rels/activeX539.xml.rels><?xml version="1.0" encoding="UTF-8" standalone="yes"?>
<Relationships xmlns="http://schemas.openxmlformats.org/package/2006/relationships"><Relationship Id="rId1" Type="http://schemas.microsoft.com/office/2006/relationships/activeXControlBinary" Target="activeX539.bin"/></Relationships>
</file>

<file path=xl/activeX/_rels/activeX540.xml.rels><?xml version="1.0" encoding="UTF-8" standalone="yes"?>
<Relationships xmlns="http://schemas.openxmlformats.org/package/2006/relationships"><Relationship Id="rId1" Type="http://schemas.microsoft.com/office/2006/relationships/activeXControlBinary" Target="activeX540.bin"/></Relationships>
</file>

<file path=xl/activeX/_rels/activeX541.xml.rels><?xml version="1.0" encoding="UTF-8" standalone="yes"?>
<Relationships xmlns="http://schemas.openxmlformats.org/package/2006/relationships"><Relationship Id="rId1" Type="http://schemas.microsoft.com/office/2006/relationships/activeXControlBinary" Target="activeX541.bin"/></Relationships>
</file>

<file path=xl/activeX/_rels/activeX542.xml.rels><?xml version="1.0" encoding="UTF-8" standalone="yes"?>
<Relationships xmlns="http://schemas.openxmlformats.org/package/2006/relationships"><Relationship Id="rId1" Type="http://schemas.microsoft.com/office/2006/relationships/activeXControlBinary" Target="activeX542.bin"/></Relationships>
</file>

<file path=xl/activeX/_rels/activeX543.xml.rels><?xml version="1.0" encoding="UTF-8" standalone="yes"?>
<Relationships xmlns="http://schemas.openxmlformats.org/package/2006/relationships"><Relationship Id="rId1" Type="http://schemas.microsoft.com/office/2006/relationships/activeXControlBinary" Target="activeX543.bin"/></Relationships>
</file>

<file path=xl/activeX/_rels/activeX544.xml.rels><?xml version="1.0" encoding="UTF-8" standalone="yes"?>
<Relationships xmlns="http://schemas.openxmlformats.org/package/2006/relationships"><Relationship Id="rId1" Type="http://schemas.microsoft.com/office/2006/relationships/activeXControlBinary" Target="activeX544.bin"/></Relationships>
</file>

<file path=xl/activeX/_rels/activeX545.xml.rels><?xml version="1.0" encoding="UTF-8" standalone="yes"?>
<Relationships xmlns="http://schemas.openxmlformats.org/package/2006/relationships"><Relationship Id="rId1" Type="http://schemas.microsoft.com/office/2006/relationships/activeXControlBinary" Target="activeX545.bin"/></Relationships>
</file>

<file path=xl/activeX/_rels/activeX546.xml.rels><?xml version="1.0" encoding="UTF-8" standalone="yes"?>
<Relationships xmlns="http://schemas.openxmlformats.org/package/2006/relationships"><Relationship Id="rId1" Type="http://schemas.microsoft.com/office/2006/relationships/activeXControlBinary" Target="activeX546.bin"/></Relationships>
</file>

<file path=xl/activeX/_rels/activeX547.xml.rels><?xml version="1.0" encoding="UTF-8" standalone="yes"?>
<Relationships xmlns="http://schemas.openxmlformats.org/package/2006/relationships"><Relationship Id="rId1" Type="http://schemas.microsoft.com/office/2006/relationships/activeXControlBinary" Target="activeX547.bin"/></Relationships>
</file>

<file path=xl/activeX/_rels/activeX548.xml.rels><?xml version="1.0" encoding="UTF-8" standalone="yes"?>
<Relationships xmlns="http://schemas.openxmlformats.org/package/2006/relationships"><Relationship Id="rId1" Type="http://schemas.microsoft.com/office/2006/relationships/activeXControlBinary" Target="activeX548.bin"/></Relationships>
</file>

<file path=xl/activeX/_rels/activeX549.xml.rels><?xml version="1.0" encoding="UTF-8" standalone="yes"?>
<Relationships xmlns="http://schemas.openxmlformats.org/package/2006/relationships"><Relationship Id="rId1" Type="http://schemas.microsoft.com/office/2006/relationships/activeXControlBinary" Target="activeX549.bin"/></Relationships>
</file>

<file path=xl/activeX/_rels/activeX550.xml.rels><?xml version="1.0" encoding="UTF-8" standalone="yes"?>
<Relationships xmlns="http://schemas.openxmlformats.org/package/2006/relationships"><Relationship Id="rId1" Type="http://schemas.microsoft.com/office/2006/relationships/activeXControlBinary" Target="activeX550.bin"/></Relationships>
</file>

<file path=xl/activeX/_rels/activeX551.xml.rels><?xml version="1.0" encoding="UTF-8" standalone="yes"?>
<Relationships xmlns="http://schemas.openxmlformats.org/package/2006/relationships"><Relationship Id="rId1" Type="http://schemas.microsoft.com/office/2006/relationships/activeXControlBinary" Target="activeX551.bin"/></Relationships>
</file>

<file path=xl/activeX/_rels/activeX552.xml.rels><?xml version="1.0" encoding="UTF-8" standalone="yes"?>
<Relationships xmlns="http://schemas.openxmlformats.org/package/2006/relationships"><Relationship Id="rId1" Type="http://schemas.microsoft.com/office/2006/relationships/activeXControlBinary" Target="activeX552.bin"/></Relationships>
</file>

<file path=xl/activeX/_rels/activeX553.xml.rels><?xml version="1.0" encoding="UTF-8" standalone="yes"?>
<Relationships xmlns="http://schemas.openxmlformats.org/package/2006/relationships"><Relationship Id="rId1" Type="http://schemas.microsoft.com/office/2006/relationships/activeXControlBinary" Target="activeX553.bin"/></Relationships>
</file>

<file path=xl/activeX/_rels/activeX554.xml.rels><?xml version="1.0" encoding="UTF-8" standalone="yes"?>
<Relationships xmlns="http://schemas.openxmlformats.org/package/2006/relationships"><Relationship Id="rId1" Type="http://schemas.microsoft.com/office/2006/relationships/activeXControlBinary" Target="activeX554.bin"/></Relationships>
</file>

<file path=xl/activeX/_rels/activeX555.xml.rels><?xml version="1.0" encoding="UTF-8" standalone="yes"?>
<Relationships xmlns="http://schemas.openxmlformats.org/package/2006/relationships"><Relationship Id="rId1" Type="http://schemas.microsoft.com/office/2006/relationships/activeXControlBinary" Target="activeX555.bin"/></Relationships>
</file>

<file path=xl/activeX/_rels/activeX556.xml.rels><?xml version="1.0" encoding="UTF-8" standalone="yes"?>
<Relationships xmlns="http://schemas.openxmlformats.org/package/2006/relationships"><Relationship Id="rId1" Type="http://schemas.microsoft.com/office/2006/relationships/activeXControlBinary" Target="activeX556.bin"/></Relationships>
</file>

<file path=xl/activeX/_rels/activeX557.xml.rels><?xml version="1.0" encoding="UTF-8" standalone="yes"?>
<Relationships xmlns="http://schemas.openxmlformats.org/package/2006/relationships"><Relationship Id="rId1" Type="http://schemas.microsoft.com/office/2006/relationships/activeXControlBinary" Target="activeX557.bin"/></Relationships>
</file>

<file path=xl/activeX/_rels/activeX558.xml.rels><?xml version="1.0" encoding="UTF-8" standalone="yes"?>
<Relationships xmlns="http://schemas.openxmlformats.org/package/2006/relationships"><Relationship Id="rId1" Type="http://schemas.microsoft.com/office/2006/relationships/activeXControlBinary" Target="activeX558.bin"/></Relationships>
</file>

<file path=xl/activeX/_rels/activeX559.xml.rels><?xml version="1.0" encoding="UTF-8" standalone="yes"?>
<Relationships xmlns="http://schemas.openxmlformats.org/package/2006/relationships"><Relationship Id="rId1" Type="http://schemas.microsoft.com/office/2006/relationships/activeXControlBinary" Target="activeX559.bin"/></Relationships>
</file>

<file path=xl/activeX/_rels/activeX560.xml.rels><?xml version="1.0" encoding="UTF-8" standalone="yes"?>
<Relationships xmlns="http://schemas.openxmlformats.org/package/2006/relationships"><Relationship Id="rId1" Type="http://schemas.microsoft.com/office/2006/relationships/activeXControlBinary" Target="activeX560.bin"/></Relationships>
</file>

<file path=xl/activeX/_rels/activeX561.xml.rels><?xml version="1.0" encoding="UTF-8" standalone="yes"?>
<Relationships xmlns="http://schemas.openxmlformats.org/package/2006/relationships"><Relationship Id="rId1" Type="http://schemas.microsoft.com/office/2006/relationships/activeXControlBinary" Target="activeX561.bin"/></Relationships>
</file>

<file path=xl/activeX/_rels/activeX562.xml.rels><?xml version="1.0" encoding="UTF-8" standalone="yes"?>
<Relationships xmlns="http://schemas.openxmlformats.org/package/2006/relationships"><Relationship Id="rId1" Type="http://schemas.microsoft.com/office/2006/relationships/activeXControlBinary" Target="activeX562.bin"/></Relationships>
</file>

<file path=xl/activeX/_rels/activeX563.xml.rels><?xml version="1.0" encoding="UTF-8" standalone="yes"?>
<Relationships xmlns="http://schemas.openxmlformats.org/package/2006/relationships"><Relationship Id="rId1" Type="http://schemas.microsoft.com/office/2006/relationships/activeXControlBinary" Target="activeX563.bin"/></Relationships>
</file>

<file path=xl/activeX/_rels/activeX564.xml.rels><?xml version="1.0" encoding="UTF-8" standalone="yes"?>
<Relationships xmlns="http://schemas.openxmlformats.org/package/2006/relationships"><Relationship Id="rId1" Type="http://schemas.microsoft.com/office/2006/relationships/activeXControlBinary" Target="activeX564.bin"/></Relationships>
</file>

<file path=xl/activeX/_rels/activeX565.xml.rels><?xml version="1.0" encoding="UTF-8" standalone="yes"?>
<Relationships xmlns="http://schemas.openxmlformats.org/package/2006/relationships"><Relationship Id="rId1" Type="http://schemas.microsoft.com/office/2006/relationships/activeXControlBinary" Target="activeX565.bin"/></Relationships>
</file>

<file path=xl/activeX/_rels/activeX566.xml.rels><?xml version="1.0" encoding="UTF-8" standalone="yes"?>
<Relationships xmlns="http://schemas.openxmlformats.org/package/2006/relationships"><Relationship Id="rId1" Type="http://schemas.microsoft.com/office/2006/relationships/activeXControlBinary" Target="activeX566.bin"/></Relationships>
</file>

<file path=xl/activeX/_rels/activeX567.xml.rels><?xml version="1.0" encoding="UTF-8" standalone="yes"?>
<Relationships xmlns="http://schemas.openxmlformats.org/package/2006/relationships"><Relationship Id="rId1" Type="http://schemas.microsoft.com/office/2006/relationships/activeXControlBinary" Target="activeX567.bin"/></Relationships>
</file>

<file path=xl/activeX/_rels/activeX568.xml.rels><?xml version="1.0" encoding="UTF-8" standalone="yes"?>
<Relationships xmlns="http://schemas.openxmlformats.org/package/2006/relationships"><Relationship Id="rId1" Type="http://schemas.microsoft.com/office/2006/relationships/activeXControlBinary" Target="activeX568.bin"/></Relationships>
</file>

<file path=xl/activeX/_rels/activeX569.xml.rels><?xml version="1.0" encoding="UTF-8" standalone="yes"?>
<Relationships xmlns="http://schemas.openxmlformats.org/package/2006/relationships"><Relationship Id="rId1" Type="http://schemas.microsoft.com/office/2006/relationships/activeXControlBinary" Target="activeX569.bin"/></Relationships>
</file>

<file path=xl/activeX/_rels/activeX570.xml.rels><?xml version="1.0" encoding="UTF-8" standalone="yes"?>
<Relationships xmlns="http://schemas.openxmlformats.org/package/2006/relationships"><Relationship Id="rId1" Type="http://schemas.microsoft.com/office/2006/relationships/activeXControlBinary" Target="activeX570.bin"/></Relationships>
</file>

<file path=xl/activeX/_rels/activeX571.xml.rels><?xml version="1.0" encoding="UTF-8" standalone="yes"?>
<Relationships xmlns="http://schemas.openxmlformats.org/package/2006/relationships"><Relationship Id="rId1" Type="http://schemas.microsoft.com/office/2006/relationships/activeXControlBinary" Target="activeX571.bin"/></Relationships>
</file>

<file path=xl/activeX/_rels/activeX572.xml.rels><?xml version="1.0" encoding="UTF-8" standalone="yes"?>
<Relationships xmlns="http://schemas.openxmlformats.org/package/2006/relationships"><Relationship Id="rId1" Type="http://schemas.microsoft.com/office/2006/relationships/activeXControlBinary" Target="activeX572.bin"/></Relationships>
</file>

<file path=xl/activeX/_rels/activeX573.xml.rels><?xml version="1.0" encoding="UTF-8" standalone="yes"?>
<Relationships xmlns="http://schemas.openxmlformats.org/package/2006/relationships"><Relationship Id="rId1" Type="http://schemas.microsoft.com/office/2006/relationships/activeXControlBinary" Target="activeX573.bin"/></Relationships>
</file>

<file path=xl/activeX/_rels/activeX574.xml.rels><?xml version="1.0" encoding="UTF-8" standalone="yes"?>
<Relationships xmlns="http://schemas.openxmlformats.org/package/2006/relationships"><Relationship Id="rId1" Type="http://schemas.microsoft.com/office/2006/relationships/activeXControlBinary" Target="activeX574.bin"/></Relationships>
</file>

<file path=xl/activeX/_rels/activeX575.xml.rels><?xml version="1.0" encoding="UTF-8" standalone="yes"?>
<Relationships xmlns="http://schemas.openxmlformats.org/package/2006/relationships"><Relationship Id="rId1" Type="http://schemas.microsoft.com/office/2006/relationships/activeXControlBinary" Target="activeX575.bin"/></Relationships>
</file>

<file path=xl/activeX/_rels/activeX576.xml.rels><?xml version="1.0" encoding="UTF-8" standalone="yes"?>
<Relationships xmlns="http://schemas.openxmlformats.org/package/2006/relationships"><Relationship Id="rId1" Type="http://schemas.microsoft.com/office/2006/relationships/activeXControlBinary" Target="activeX576.bin"/></Relationships>
</file>

<file path=xl/activeX/_rels/activeX577.xml.rels><?xml version="1.0" encoding="UTF-8" standalone="yes"?>
<Relationships xmlns="http://schemas.openxmlformats.org/package/2006/relationships"><Relationship Id="rId1" Type="http://schemas.microsoft.com/office/2006/relationships/activeXControlBinary" Target="activeX577.bin"/></Relationships>
</file>

<file path=xl/activeX/_rels/activeX578.xml.rels><?xml version="1.0" encoding="UTF-8" standalone="yes"?>
<Relationships xmlns="http://schemas.openxmlformats.org/package/2006/relationships"><Relationship Id="rId1" Type="http://schemas.microsoft.com/office/2006/relationships/activeXControlBinary" Target="activeX578.bin"/></Relationships>
</file>

<file path=xl/activeX/_rels/activeX579.xml.rels><?xml version="1.0" encoding="UTF-8" standalone="yes"?>
<Relationships xmlns="http://schemas.openxmlformats.org/package/2006/relationships"><Relationship Id="rId1" Type="http://schemas.microsoft.com/office/2006/relationships/activeXControlBinary" Target="activeX579.bin"/></Relationships>
</file>

<file path=xl/activeX/_rels/activeX580.xml.rels><?xml version="1.0" encoding="UTF-8" standalone="yes"?>
<Relationships xmlns="http://schemas.openxmlformats.org/package/2006/relationships"><Relationship Id="rId1" Type="http://schemas.microsoft.com/office/2006/relationships/activeXControlBinary" Target="activeX580.bin"/></Relationships>
</file>

<file path=xl/activeX/_rels/activeX581.xml.rels><?xml version="1.0" encoding="UTF-8" standalone="yes"?>
<Relationships xmlns="http://schemas.openxmlformats.org/package/2006/relationships"><Relationship Id="rId1" Type="http://schemas.microsoft.com/office/2006/relationships/activeXControlBinary" Target="activeX581.bin"/></Relationships>
</file>

<file path=xl/activeX/_rels/activeX582.xml.rels><?xml version="1.0" encoding="UTF-8" standalone="yes"?>
<Relationships xmlns="http://schemas.openxmlformats.org/package/2006/relationships"><Relationship Id="rId1" Type="http://schemas.microsoft.com/office/2006/relationships/activeXControlBinary" Target="activeX582.bin"/></Relationships>
</file>

<file path=xl/activeX/_rels/activeX583.xml.rels><?xml version="1.0" encoding="UTF-8" standalone="yes"?>
<Relationships xmlns="http://schemas.openxmlformats.org/package/2006/relationships"><Relationship Id="rId1" Type="http://schemas.microsoft.com/office/2006/relationships/activeXControlBinary" Target="activeX583.bin"/></Relationships>
</file>

<file path=xl/activeX/_rels/activeX584.xml.rels><?xml version="1.0" encoding="UTF-8" standalone="yes"?>
<Relationships xmlns="http://schemas.openxmlformats.org/package/2006/relationships"><Relationship Id="rId1" Type="http://schemas.microsoft.com/office/2006/relationships/activeXControlBinary" Target="activeX584.bin"/></Relationships>
</file>

<file path=xl/activeX/_rels/activeX585.xml.rels><?xml version="1.0" encoding="UTF-8" standalone="yes"?>
<Relationships xmlns="http://schemas.openxmlformats.org/package/2006/relationships"><Relationship Id="rId1" Type="http://schemas.microsoft.com/office/2006/relationships/activeXControlBinary" Target="activeX585.bin"/></Relationships>
</file>

<file path=xl/activeX/_rels/activeX586.xml.rels><?xml version="1.0" encoding="UTF-8" standalone="yes"?>
<Relationships xmlns="http://schemas.openxmlformats.org/package/2006/relationships"><Relationship Id="rId1" Type="http://schemas.microsoft.com/office/2006/relationships/activeXControlBinary" Target="activeX586.bin"/></Relationships>
</file>

<file path=xl/activeX/_rels/activeX587.xml.rels><?xml version="1.0" encoding="UTF-8" standalone="yes"?>
<Relationships xmlns="http://schemas.openxmlformats.org/package/2006/relationships"><Relationship Id="rId1" Type="http://schemas.microsoft.com/office/2006/relationships/activeXControlBinary" Target="activeX587.bin"/></Relationships>
</file>

<file path=xl/activeX/_rels/activeX588.xml.rels><?xml version="1.0" encoding="UTF-8" standalone="yes"?>
<Relationships xmlns="http://schemas.openxmlformats.org/package/2006/relationships"><Relationship Id="rId1" Type="http://schemas.microsoft.com/office/2006/relationships/activeXControlBinary" Target="activeX588.bin"/></Relationships>
</file>

<file path=xl/activeX/_rels/activeX589.xml.rels><?xml version="1.0" encoding="UTF-8" standalone="yes"?>
<Relationships xmlns="http://schemas.openxmlformats.org/package/2006/relationships"><Relationship Id="rId1" Type="http://schemas.microsoft.com/office/2006/relationships/activeXControlBinary" Target="activeX589.bin"/></Relationships>
</file>

<file path=xl/activeX/_rels/activeX590.xml.rels><?xml version="1.0" encoding="UTF-8" standalone="yes"?>
<Relationships xmlns="http://schemas.openxmlformats.org/package/2006/relationships"><Relationship Id="rId1" Type="http://schemas.microsoft.com/office/2006/relationships/activeXControlBinary" Target="activeX590.bin"/></Relationships>
</file>

<file path=xl/activeX/_rels/activeX591.xml.rels><?xml version="1.0" encoding="UTF-8" standalone="yes"?>
<Relationships xmlns="http://schemas.openxmlformats.org/package/2006/relationships"><Relationship Id="rId1" Type="http://schemas.microsoft.com/office/2006/relationships/activeXControlBinary" Target="activeX591.bin"/></Relationships>
</file>

<file path=xl/activeX/_rels/activeX592.xml.rels><?xml version="1.0" encoding="UTF-8" standalone="yes"?>
<Relationships xmlns="http://schemas.openxmlformats.org/package/2006/relationships"><Relationship Id="rId1" Type="http://schemas.microsoft.com/office/2006/relationships/activeXControlBinary" Target="activeX592.bin"/></Relationships>
</file>

<file path=xl/activeX/_rels/activeX593.xml.rels><?xml version="1.0" encoding="UTF-8" standalone="yes"?>
<Relationships xmlns="http://schemas.openxmlformats.org/package/2006/relationships"><Relationship Id="rId1" Type="http://schemas.microsoft.com/office/2006/relationships/activeXControlBinary" Target="activeX593.bin"/></Relationships>
</file>

<file path=xl/activeX/_rels/activeX594.xml.rels><?xml version="1.0" encoding="UTF-8" standalone="yes"?>
<Relationships xmlns="http://schemas.openxmlformats.org/package/2006/relationships"><Relationship Id="rId1" Type="http://schemas.microsoft.com/office/2006/relationships/activeXControlBinary" Target="activeX594.bin"/></Relationships>
</file>

<file path=xl/activeX/_rels/activeX595.xml.rels><?xml version="1.0" encoding="UTF-8" standalone="yes"?>
<Relationships xmlns="http://schemas.openxmlformats.org/package/2006/relationships"><Relationship Id="rId1" Type="http://schemas.microsoft.com/office/2006/relationships/activeXControlBinary" Target="activeX595.bin"/></Relationships>
</file>

<file path=xl/activeX/_rels/activeX596.xml.rels><?xml version="1.0" encoding="UTF-8" standalone="yes"?>
<Relationships xmlns="http://schemas.openxmlformats.org/package/2006/relationships"><Relationship Id="rId1" Type="http://schemas.microsoft.com/office/2006/relationships/activeXControlBinary" Target="activeX596.bin"/></Relationships>
</file>

<file path=xl/activeX/_rels/activeX597.xml.rels><?xml version="1.0" encoding="UTF-8" standalone="yes"?>
<Relationships xmlns="http://schemas.openxmlformats.org/package/2006/relationships"><Relationship Id="rId1" Type="http://schemas.microsoft.com/office/2006/relationships/activeXControlBinary" Target="activeX597.bin"/></Relationships>
</file>

<file path=xl/activeX/_rels/activeX598.xml.rels><?xml version="1.0" encoding="UTF-8" standalone="yes"?>
<Relationships xmlns="http://schemas.openxmlformats.org/package/2006/relationships"><Relationship Id="rId1" Type="http://schemas.microsoft.com/office/2006/relationships/activeXControlBinary" Target="activeX598.bin"/></Relationships>
</file>

<file path=xl/activeX/_rels/activeX599.xml.rels><?xml version="1.0" encoding="UTF-8" standalone="yes"?>
<Relationships xmlns="http://schemas.openxmlformats.org/package/2006/relationships"><Relationship Id="rId1" Type="http://schemas.microsoft.com/office/2006/relationships/activeXControlBinary" Target="activeX599.bin"/></Relationships>
</file>

<file path=xl/activeX/_rels/activeX600.xml.rels><?xml version="1.0" encoding="UTF-8" standalone="yes"?>
<Relationships xmlns="http://schemas.openxmlformats.org/package/2006/relationships"><Relationship Id="rId1" Type="http://schemas.microsoft.com/office/2006/relationships/activeXControlBinary" Target="activeX600.bin"/></Relationships>
</file>

<file path=xl/activeX/_rels/activeX601.xml.rels><?xml version="1.0" encoding="UTF-8" standalone="yes"?>
<Relationships xmlns="http://schemas.openxmlformats.org/package/2006/relationships"><Relationship Id="rId1" Type="http://schemas.microsoft.com/office/2006/relationships/activeXControlBinary" Target="activeX601.bin"/></Relationships>
</file>

<file path=xl/activeX/_rels/activeX602.xml.rels><?xml version="1.0" encoding="UTF-8" standalone="yes"?>
<Relationships xmlns="http://schemas.openxmlformats.org/package/2006/relationships"><Relationship Id="rId1" Type="http://schemas.microsoft.com/office/2006/relationships/activeXControlBinary" Target="activeX602.bin"/></Relationships>
</file>

<file path=xl/activeX/_rels/activeX603.xml.rels><?xml version="1.0" encoding="UTF-8" standalone="yes"?>
<Relationships xmlns="http://schemas.openxmlformats.org/package/2006/relationships"><Relationship Id="rId1" Type="http://schemas.microsoft.com/office/2006/relationships/activeXControlBinary" Target="activeX603.bin"/></Relationships>
</file>

<file path=xl/activeX/_rels/activeX604.xml.rels><?xml version="1.0" encoding="UTF-8" standalone="yes"?>
<Relationships xmlns="http://schemas.openxmlformats.org/package/2006/relationships"><Relationship Id="rId1" Type="http://schemas.microsoft.com/office/2006/relationships/activeXControlBinary" Target="activeX604.bin"/></Relationships>
</file>

<file path=xl/activeX/_rels/activeX605.xml.rels><?xml version="1.0" encoding="UTF-8" standalone="yes"?>
<Relationships xmlns="http://schemas.openxmlformats.org/package/2006/relationships"><Relationship Id="rId1" Type="http://schemas.microsoft.com/office/2006/relationships/activeXControlBinary" Target="activeX605.bin"/></Relationships>
</file>

<file path=xl/activeX/_rels/activeX606.xml.rels><?xml version="1.0" encoding="UTF-8" standalone="yes"?>
<Relationships xmlns="http://schemas.openxmlformats.org/package/2006/relationships"><Relationship Id="rId1" Type="http://schemas.microsoft.com/office/2006/relationships/activeXControlBinary" Target="activeX606.bin"/></Relationships>
</file>

<file path=xl/activeX/_rels/activeX607.xml.rels><?xml version="1.0" encoding="UTF-8" standalone="yes"?>
<Relationships xmlns="http://schemas.openxmlformats.org/package/2006/relationships"><Relationship Id="rId1" Type="http://schemas.microsoft.com/office/2006/relationships/activeXControlBinary" Target="activeX607.bin"/></Relationships>
</file>

<file path=xl/activeX/_rels/activeX608.xml.rels><?xml version="1.0" encoding="UTF-8" standalone="yes"?>
<Relationships xmlns="http://schemas.openxmlformats.org/package/2006/relationships"><Relationship Id="rId1" Type="http://schemas.microsoft.com/office/2006/relationships/activeXControlBinary" Target="activeX608.bin"/></Relationships>
</file>

<file path=xl/activeX/_rels/activeX609.xml.rels><?xml version="1.0" encoding="UTF-8" standalone="yes"?>
<Relationships xmlns="http://schemas.openxmlformats.org/package/2006/relationships"><Relationship Id="rId1" Type="http://schemas.microsoft.com/office/2006/relationships/activeXControlBinary" Target="activeX609.bin"/></Relationships>
</file>

<file path=xl/activeX/_rels/activeX610.xml.rels><?xml version="1.0" encoding="UTF-8" standalone="yes"?>
<Relationships xmlns="http://schemas.openxmlformats.org/package/2006/relationships"><Relationship Id="rId1" Type="http://schemas.microsoft.com/office/2006/relationships/activeXControlBinary" Target="activeX610.bin"/></Relationships>
</file>

<file path=xl/activeX/_rels/activeX611.xml.rels><?xml version="1.0" encoding="UTF-8" standalone="yes"?>
<Relationships xmlns="http://schemas.openxmlformats.org/package/2006/relationships"><Relationship Id="rId1" Type="http://schemas.microsoft.com/office/2006/relationships/activeXControlBinary" Target="activeX611.bin"/></Relationships>
</file>

<file path=xl/activeX/_rels/activeX612.xml.rels><?xml version="1.0" encoding="UTF-8" standalone="yes"?>
<Relationships xmlns="http://schemas.openxmlformats.org/package/2006/relationships"><Relationship Id="rId1" Type="http://schemas.microsoft.com/office/2006/relationships/activeXControlBinary" Target="activeX612.bin"/></Relationships>
</file>

<file path=xl/activeX/_rels/activeX613.xml.rels><?xml version="1.0" encoding="UTF-8" standalone="yes"?>
<Relationships xmlns="http://schemas.openxmlformats.org/package/2006/relationships"><Relationship Id="rId1" Type="http://schemas.microsoft.com/office/2006/relationships/activeXControlBinary" Target="activeX613.bin"/></Relationships>
</file>

<file path=xl/activeX/_rels/activeX614.xml.rels><?xml version="1.0" encoding="UTF-8" standalone="yes"?>
<Relationships xmlns="http://schemas.openxmlformats.org/package/2006/relationships"><Relationship Id="rId1" Type="http://schemas.microsoft.com/office/2006/relationships/activeXControlBinary" Target="activeX614.bin"/></Relationships>
</file>

<file path=xl/activeX/_rels/activeX615.xml.rels><?xml version="1.0" encoding="UTF-8" standalone="yes"?>
<Relationships xmlns="http://schemas.openxmlformats.org/package/2006/relationships"><Relationship Id="rId1" Type="http://schemas.microsoft.com/office/2006/relationships/activeXControlBinary" Target="activeX615.bin"/></Relationships>
</file>

<file path=xl/activeX/_rels/activeX616.xml.rels><?xml version="1.0" encoding="UTF-8" standalone="yes"?>
<Relationships xmlns="http://schemas.openxmlformats.org/package/2006/relationships"><Relationship Id="rId1" Type="http://schemas.microsoft.com/office/2006/relationships/activeXControlBinary" Target="activeX616.bin"/></Relationships>
</file>

<file path=xl/activeX/_rels/activeX617.xml.rels><?xml version="1.0" encoding="UTF-8" standalone="yes"?>
<Relationships xmlns="http://schemas.openxmlformats.org/package/2006/relationships"><Relationship Id="rId1" Type="http://schemas.microsoft.com/office/2006/relationships/activeXControlBinary" Target="activeX617.bin"/></Relationships>
</file>

<file path=xl/activeX/_rels/activeX618.xml.rels><?xml version="1.0" encoding="UTF-8" standalone="yes"?>
<Relationships xmlns="http://schemas.openxmlformats.org/package/2006/relationships"><Relationship Id="rId1" Type="http://schemas.microsoft.com/office/2006/relationships/activeXControlBinary" Target="activeX618.bin"/></Relationships>
</file>

<file path=xl/activeX/_rels/activeX619.xml.rels><?xml version="1.0" encoding="UTF-8" standalone="yes"?>
<Relationships xmlns="http://schemas.openxmlformats.org/package/2006/relationships"><Relationship Id="rId1" Type="http://schemas.microsoft.com/office/2006/relationships/activeXControlBinary" Target="activeX619.bin"/></Relationships>
</file>

<file path=xl/activeX/_rels/activeX620.xml.rels><?xml version="1.0" encoding="UTF-8" standalone="yes"?>
<Relationships xmlns="http://schemas.openxmlformats.org/package/2006/relationships"><Relationship Id="rId1" Type="http://schemas.microsoft.com/office/2006/relationships/activeXControlBinary" Target="activeX620.bin"/></Relationships>
</file>

<file path=xl/activeX/_rels/activeX621.xml.rels><?xml version="1.0" encoding="UTF-8" standalone="yes"?>
<Relationships xmlns="http://schemas.openxmlformats.org/package/2006/relationships"><Relationship Id="rId1" Type="http://schemas.microsoft.com/office/2006/relationships/activeXControlBinary" Target="activeX621.bin"/></Relationships>
</file>

<file path=xl/activeX/_rels/activeX622.xml.rels><?xml version="1.0" encoding="UTF-8" standalone="yes"?>
<Relationships xmlns="http://schemas.openxmlformats.org/package/2006/relationships"><Relationship Id="rId1" Type="http://schemas.microsoft.com/office/2006/relationships/activeXControlBinary" Target="activeX622.bin"/></Relationships>
</file>

<file path=xl/activeX/_rels/activeX623.xml.rels><?xml version="1.0" encoding="UTF-8" standalone="yes"?>
<Relationships xmlns="http://schemas.openxmlformats.org/package/2006/relationships"><Relationship Id="rId1" Type="http://schemas.microsoft.com/office/2006/relationships/activeXControlBinary" Target="activeX623.bin"/></Relationships>
</file>

<file path=xl/activeX/_rels/activeX624.xml.rels><?xml version="1.0" encoding="UTF-8" standalone="yes"?>
<Relationships xmlns="http://schemas.openxmlformats.org/package/2006/relationships"><Relationship Id="rId1" Type="http://schemas.microsoft.com/office/2006/relationships/activeXControlBinary" Target="activeX624.bin"/></Relationships>
</file>

<file path=xl/activeX/_rels/activeX625.xml.rels><?xml version="1.0" encoding="UTF-8" standalone="yes"?>
<Relationships xmlns="http://schemas.openxmlformats.org/package/2006/relationships"><Relationship Id="rId1" Type="http://schemas.microsoft.com/office/2006/relationships/activeXControlBinary" Target="activeX625.bin"/></Relationships>
</file>

<file path=xl/activeX/_rels/activeX626.xml.rels><?xml version="1.0" encoding="UTF-8" standalone="yes"?>
<Relationships xmlns="http://schemas.openxmlformats.org/package/2006/relationships"><Relationship Id="rId1" Type="http://schemas.microsoft.com/office/2006/relationships/activeXControlBinary" Target="activeX626.bin"/></Relationships>
</file>

<file path=xl/activeX/_rels/activeX627.xml.rels><?xml version="1.0" encoding="UTF-8" standalone="yes"?>
<Relationships xmlns="http://schemas.openxmlformats.org/package/2006/relationships"><Relationship Id="rId1" Type="http://schemas.microsoft.com/office/2006/relationships/activeXControlBinary" Target="activeX627.bin"/></Relationships>
</file>

<file path=xl/activeX/_rels/activeX628.xml.rels><?xml version="1.0" encoding="UTF-8" standalone="yes"?>
<Relationships xmlns="http://schemas.openxmlformats.org/package/2006/relationships"><Relationship Id="rId1" Type="http://schemas.microsoft.com/office/2006/relationships/activeXControlBinary" Target="activeX628.bin"/></Relationships>
</file>

<file path=xl/activeX/_rels/activeX629.xml.rels><?xml version="1.0" encoding="UTF-8" standalone="yes"?>
<Relationships xmlns="http://schemas.openxmlformats.org/package/2006/relationships"><Relationship Id="rId1" Type="http://schemas.microsoft.com/office/2006/relationships/activeXControlBinary" Target="activeX629.bin"/></Relationships>
</file>

<file path=xl/activeX/_rels/activeX630.xml.rels><?xml version="1.0" encoding="UTF-8" standalone="yes"?>
<Relationships xmlns="http://schemas.openxmlformats.org/package/2006/relationships"><Relationship Id="rId1" Type="http://schemas.microsoft.com/office/2006/relationships/activeXControlBinary" Target="activeX630.bin"/></Relationships>
</file>

<file path=xl/activeX/_rels/activeX631.xml.rels><?xml version="1.0" encoding="UTF-8" standalone="yes"?>
<Relationships xmlns="http://schemas.openxmlformats.org/package/2006/relationships"><Relationship Id="rId1" Type="http://schemas.microsoft.com/office/2006/relationships/activeXControlBinary" Target="activeX631.bin"/></Relationships>
</file>

<file path=xl/activeX/_rels/activeX632.xml.rels><?xml version="1.0" encoding="UTF-8" standalone="yes"?>
<Relationships xmlns="http://schemas.openxmlformats.org/package/2006/relationships"><Relationship Id="rId1" Type="http://schemas.microsoft.com/office/2006/relationships/activeXControlBinary" Target="activeX632.bin"/></Relationships>
</file>

<file path=xl/activeX/_rels/activeX633.xml.rels><?xml version="1.0" encoding="UTF-8" standalone="yes"?>
<Relationships xmlns="http://schemas.openxmlformats.org/package/2006/relationships"><Relationship Id="rId1" Type="http://schemas.microsoft.com/office/2006/relationships/activeXControlBinary" Target="activeX633.bin"/></Relationships>
</file>

<file path=xl/activeX/_rels/activeX634.xml.rels><?xml version="1.0" encoding="UTF-8" standalone="yes"?>
<Relationships xmlns="http://schemas.openxmlformats.org/package/2006/relationships"><Relationship Id="rId1" Type="http://schemas.microsoft.com/office/2006/relationships/activeXControlBinary" Target="activeX634.bin"/></Relationships>
</file>

<file path=xl/activeX/_rels/activeX635.xml.rels><?xml version="1.0" encoding="UTF-8" standalone="yes"?>
<Relationships xmlns="http://schemas.openxmlformats.org/package/2006/relationships"><Relationship Id="rId1" Type="http://schemas.microsoft.com/office/2006/relationships/activeXControlBinary" Target="activeX635.bin"/></Relationships>
</file>

<file path=xl/activeX/_rels/activeX636.xml.rels><?xml version="1.0" encoding="UTF-8" standalone="yes"?>
<Relationships xmlns="http://schemas.openxmlformats.org/package/2006/relationships"><Relationship Id="rId1" Type="http://schemas.microsoft.com/office/2006/relationships/activeXControlBinary" Target="activeX636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1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3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4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5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6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7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8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9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0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1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2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0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3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73" name="Control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74" name="Control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75" name="Control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76" name="Control 4" hidden="1">
              <a:extLst>
                <a:ext uri="{63B3BB69-23CF-44E3-9099-C40C66FF867C}">
                  <a14:compatExt spid="_x0000_s3076"/>
                </a:ext>
                <a:ext uri="{FF2B5EF4-FFF2-40B4-BE49-F238E27FC236}">
                  <a16:creationId xmlns:a16="http://schemas.microsoft.com/office/drawing/2014/main" id="{00000000-0008-0000-0000-00000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77" name="Control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78" name="Control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79" name="Control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80" name="Control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00000000-0008-0000-0000-00000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81" name="Control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82" name="Control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00000000-0008-0000-0000-00000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83" name="Control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84" name="Control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85" name="Control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86" name="Control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87" name="Control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88" name="Control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89" name="Control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90" name="Control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91" name="Control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92" name="Control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93" name="Control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94" name="Control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95" name="Control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096" name="Control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21" name="Control 49" hidden="1">
              <a:extLst>
                <a:ext uri="{63B3BB69-23CF-44E3-9099-C40C66FF867C}">
                  <a14:compatExt spid="_x0000_s3121"/>
                </a:ext>
                <a:ext uri="{FF2B5EF4-FFF2-40B4-BE49-F238E27FC236}">
                  <a16:creationId xmlns:a16="http://schemas.microsoft.com/office/drawing/2014/main" id="{00000000-0008-0000-0000-00003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22" name="Control 50" hidden="1">
              <a:extLst>
                <a:ext uri="{63B3BB69-23CF-44E3-9099-C40C66FF867C}">
                  <a14:compatExt spid="_x0000_s3122"/>
                </a:ext>
                <a:ext uri="{FF2B5EF4-FFF2-40B4-BE49-F238E27FC236}">
                  <a16:creationId xmlns:a16="http://schemas.microsoft.com/office/drawing/2014/main" id="{00000000-0008-0000-0000-00003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23" name="Control 51" hidden="1">
              <a:extLst>
                <a:ext uri="{63B3BB69-23CF-44E3-9099-C40C66FF867C}">
                  <a14:compatExt spid="_x0000_s3123"/>
                </a:ext>
                <a:ext uri="{FF2B5EF4-FFF2-40B4-BE49-F238E27FC236}">
                  <a16:creationId xmlns:a16="http://schemas.microsoft.com/office/drawing/2014/main" id="{00000000-0008-0000-0000-00003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24" name="Control 52" hidden="1">
              <a:extLst>
                <a:ext uri="{63B3BB69-23CF-44E3-9099-C40C66FF867C}">
                  <a14:compatExt spid="_x0000_s3124"/>
                </a:ext>
                <a:ext uri="{FF2B5EF4-FFF2-40B4-BE49-F238E27FC236}">
                  <a16:creationId xmlns:a16="http://schemas.microsoft.com/office/drawing/2014/main" id="{00000000-0008-0000-0000-00003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25" name="Control 53" hidden="1">
              <a:extLst>
                <a:ext uri="{63B3BB69-23CF-44E3-9099-C40C66FF867C}">
                  <a14:compatExt spid="_x0000_s3125"/>
                </a:ext>
                <a:ext uri="{FF2B5EF4-FFF2-40B4-BE49-F238E27FC236}">
                  <a16:creationId xmlns:a16="http://schemas.microsoft.com/office/drawing/2014/main" id="{00000000-0008-0000-0000-00003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26" name="Control 54" hidden="1">
              <a:extLst>
                <a:ext uri="{63B3BB69-23CF-44E3-9099-C40C66FF867C}">
                  <a14:compatExt spid="_x0000_s3126"/>
                </a:ext>
                <a:ext uri="{FF2B5EF4-FFF2-40B4-BE49-F238E27FC236}">
                  <a16:creationId xmlns:a16="http://schemas.microsoft.com/office/drawing/2014/main" id="{00000000-0008-0000-0000-00003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27" name="Control 55" hidden="1">
              <a:extLst>
                <a:ext uri="{63B3BB69-23CF-44E3-9099-C40C66FF867C}">
                  <a14:compatExt spid="_x0000_s3127"/>
                </a:ext>
                <a:ext uri="{FF2B5EF4-FFF2-40B4-BE49-F238E27FC236}">
                  <a16:creationId xmlns:a16="http://schemas.microsoft.com/office/drawing/2014/main" id="{00000000-0008-0000-0000-00003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28" name="Control 56" hidden="1">
              <a:extLst>
                <a:ext uri="{63B3BB69-23CF-44E3-9099-C40C66FF867C}">
                  <a14:compatExt spid="_x0000_s3128"/>
                </a:ext>
                <a:ext uri="{FF2B5EF4-FFF2-40B4-BE49-F238E27FC236}">
                  <a16:creationId xmlns:a16="http://schemas.microsoft.com/office/drawing/2014/main" id="{00000000-0008-0000-0000-00003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29" name="Control 57" hidden="1">
              <a:extLst>
                <a:ext uri="{63B3BB69-23CF-44E3-9099-C40C66FF867C}">
                  <a14:compatExt spid="_x0000_s3129"/>
                </a:ext>
                <a:ext uri="{FF2B5EF4-FFF2-40B4-BE49-F238E27FC236}">
                  <a16:creationId xmlns:a16="http://schemas.microsoft.com/office/drawing/2014/main" id="{00000000-0008-0000-0000-00003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30" name="Control 58" hidden="1">
              <a:extLst>
                <a:ext uri="{63B3BB69-23CF-44E3-9099-C40C66FF867C}">
                  <a14:compatExt spid="_x0000_s3130"/>
                </a:ext>
                <a:ext uri="{FF2B5EF4-FFF2-40B4-BE49-F238E27FC236}">
                  <a16:creationId xmlns:a16="http://schemas.microsoft.com/office/drawing/2014/main" id="{00000000-0008-0000-0000-00003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31" name="Control 59" hidden="1">
              <a:extLst>
                <a:ext uri="{63B3BB69-23CF-44E3-9099-C40C66FF867C}">
                  <a14:compatExt spid="_x0000_s3131"/>
                </a:ext>
                <a:ext uri="{FF2B5EF4-FFF2-40B4-BE49-F238E27FC236}">
                  <a16:creationId xmlns:a16="http://schemas.microsoft.com/office/drawing/2014/main" id="{00000000-0008-0000-0000-00003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32" name="Control 60" hidden="1">
              <a:extLst>
                <a:ext uri="{63B3BB69-23CF-44E3-9099-C40C66FF867C}">
                  <a14:compatExt spid="_x0000_s3132"/>
                </a:ext>
                <a:ext uri="{FF2B5EF4-FFF2-40B4-BE49-F238E27FC236}">
                  <a16:creationId xmlns:a16="http://schemas.microsoft.com/office/drawing/2014/main" id="{00000000-0008-0000-0000-00003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33" name="Control 61" hidden="1">
              <a:extLst>
                <a:ext uri="{63B3BB69-23CF-44E3-9099-C40C66FF867C}">
                  <a14:compatExt spid="_x0000_s3133"/>
                </a:ext>
                <a:ext uri="{FF2B5EF4-FFF2-40B4-BE49-F238E27FC236}">
                  <a16:creationId xmlns:a16="http://schemas.microsoft.com/office/drawing/2014/main" id="{00000000-0008-0000-0000-00003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34" name="Control 62" hidden="1">
              <a:extLst>
                <a:ext uri="{63B3BB69-23CF-44E3-9099-C40C66FF867C}">
                  <a14:compatExt spid="_x0000_s3134"/>
                </a:ext>
                <a:ext uri="{FF2B5EF4-FFF2-40B4-BE49-F238E27FC236}">
                  <a16:creationId xmlns:a16="http://schemas.microsoft.com/office/drawing/2014/main" id="{00000000-0008-0000-0000-00003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35" name="Control 63" hidden="1">
              <a:extLst>
                <a:ext uri="{63B3BB69-23CF-44E3-9099-C40C66FF867C}">
                  <a14:compatExt spid="_x0000_s3135"/>
                </a:ext>
                <a:ext uri="{FF2B5EF4-FFF2-40B4-BE49-F238E27FC236}">
                  <a16:creationId xmlns:a16="http://schemas.microsoft.com/office/drawing/2014/main" id="{00000000-0008-0000-0000-00003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36" name="Control 64" hidden="1">
              <a:extLst>
                <a:ext uri="{63B3BB69-23CF-44E3-9099-C40C66FF867C}">
                  <a14:compatExt spid="_x0000_s3136"/>
                </a:ext>
                <a:ext uri="{FF2B5EF4-FFF2-40B4-BE49-F238E27FC236}">
                  <a16:creationId xmlns:a16="http://schemas.microsoft.com/office/drawing/2014/main" id="{00000000-0008-0000-0000-00004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37" name="Control 65" hidden="1">
              <a:extLst>
                <a:ext uri="{63B3BB69-23CF-44E3-9099-C40C66FF867C}">
                  <a14:compatExt spid="_x0000_s3137"/>
                </a:ext>
                <a:ext uri="{FF2B5EF4-FFF2-40B4-BE49-F238E27FC236}">
                  <a16:creationId xmlns:a16="http://schemas.microsoft.com/office/drawing/2014/main" id="{00000000-0008-0000-0000-00004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38" name="Control 66" hidden="1">
              <a:extLst>
                <a:ext uri="{63B3BB69-23CF-44E3-9099-C40C66FF867C}">
                  <a14:compatExt spid="_x0000_s3138"/>
                </a:ext>
                <a:ext uri="{FF2B5EF4-FFF2-40B4-BE49-F238E27FC236}">
                  <a16:creationId xmlns:a16="http://schemas.microsoft.com/office/drawing/2014/main" id="{00000000-0008-0000-0000-00004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39" name="Control 67" hidden="1">
              <a:extLst>
                <a:ext uri="{63B3BB69-23CF-44E3-9099-C40C66FF867C}">
                  <a14:compatExt spid="_x0000_s3139"/>
                </a:ext>
                <a:ext uri="{FF2B5EF4-FFF2-40B4-BE49-F238E27FC236}">
                  <a16:creationId xmlns:a16="http://schemas.microsoft.com/office/drawing/2014/main" id="{00000000-0008-0000-0000-00004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40" name="Control 68" hidden="1">
              <a:extLst>
                <a:ext uri="{63B3BB69-23CF-44E3-9099-C40C66FF867C}">
                  <a14:compatExt spid="_x0000_s3140"/>
                </a:ext>
                <a:ext uri="{FF2B5EF4-FFF2-40B4-BE49-F238E27FC236}">
                  <a16:creationId xmlns:a16="http://schemas.microsoft.com/office/drawing/2014/main" id="{00000000-0008-0000-0000-00004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41" name="Control 69" hidden="1">
              <a:extLst>
                <a:ext uri="{63B3BB69-23CF-44E3-9099-C40C66FF867C}">
                  <a14:compatExt spid="_x0000_s3141"/>
                </a:ext>
                <a:ext uri="{FF2B5EF4-FFF2-40B4-BE49-F238E27FC236}">
                  <a16:creationId xmlns:a16="http://schemas.microsoft.com/office/drawing/2014/main" id="{00000000-0008-0000-0000-00004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42" name="Control 70" hidden="1">
              <a:extLst>
                <a:ext uri="{63B3BB69-23CF-44E3-9099-C40C66FF867C}">
                  <a14:compatExt spid="_x0000_s3142"/>
                </a:ext>
                <a:ext uri="{FF2B5EF4-FFF2-40B4-BE49-F238E27FC236}">
                  <a16:creationId xmlns:a16="http://schemas.microsoft.com/office/drawing/2014/main" id="{00000000-0008-0000-0000-00004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43" name="Control 71" hidden="1">
              <a:extLst>
                <a:ext uri="{63B3BB69-23CF-44E3-9099-C40C66FF867C}">
                  <a14:compatExt spid="_x0000_s3143"/>
                </a:ext>
                <a:ext uri="{FF2B5EF4-FFF2-40B4-BE49-F238E27FC236}">
                  <a16:creationId xmlns:a16="http://schemas.microsoft.com/office/drawing/2014/main" id="{00000000-0008-0000-0000-00004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44" name="Control 72" hidden="1">
              <a:extLst>
                <a:ext uri="{63B3BB69-23CF-44E3-9099-C40C66FF867C}">
                  <a14:compatExt spid="_x0000_s3144"/>
                </a:ext>
                <a:ext uri="{FF2B5EF4-FFF2-40B4-BE49-F238E27FC236}">
                  <a16:creationId xmlns:a16="http://schemas.microsoft.com/office/drawing/2014/main" id="{00000000-0008-0000-0000-00004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45" name="Control 73" hidden="1">
              <a:extLst>
                <a:ext uri="{63B3BB69-23CF-44E3-9099-C40C66FF867C}">
                  <a14:compatExt spid="_x0000_s3145"/>
                </a:ext>
                <a:ext uri="{FF2B5EF4-FFF2-40B4-BE49-F238E27FC236}">
                  <a16:creationId xmlns:a16="http://schemas.microsoft.com/office/drawing/2014/main" id="{00000000-0008-0000-0000-00004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46" name="Control 74" hidden="1">
              <a:extLst>
                <a:ext uri="{63B3BB69-23CF-44E3-9099-C40C66FF867C}">
                  <a14:compatExt spid="_x0000_s3146"/>
                </a:ext>
                <a:ext uri="{FF2B5EF4-FFF2-40B4-BE49-F238E27FC236}">
                  <a16:creationId xmlns:a16="http://schemas.microsoft.com/office/drawing/2014/main" id="{00000000-0008-0000-0000-00004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47" name="Control 75" hidden="1">
              <a:extLst>
                <a:ext uri="{63B3BB69-23CF-44E3-9099-C40C66FF867C}">
                  <a14:compatExt spid="_x0000_s3147"/>
                </a:ext>
                <a:ext uri="{FF2B5EF4-FFF2-40B4-BE49-F238E27FC236}">
                  <a16:creationId xmlns:a16="http://schemas.microsoft.com/office/drawing/2014/main" id="{00000000-0008-0000-0000-00004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48" name="Control 76" hidden="1">
              <a:extLst>
                <a:ext uri="{63B3BB69-23CF-44E3-9099-C40C66FF867C}">
                  <a14:compatExt spid="_x0000_s3148"/>
                </a:ext>
                <a:ext uri="{FF2B5EF4-FFF2-40B4-BE49-F238E27FC236}">
                  <a16:creationId xmlns:a16="http://schemas.microsoft.com/office/drawing/2014/main" id="{00000000-0008-0000-0000-00004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49" name="Control 77" hidden="1">
              <a:extLst>
                <a:ext uri="{63B3BB69-23CF-44E3-9099-C40C66FF867C}">
                  <a14:compatExt spid="_x0000_s3149"/>
                </a:ext>
                <a:ext uri="{FF2B5EF4-FFF2-40B4-BE49-F238E27FC236}">
                  <a16:creationId xmlns:a16="http://schemas.microsoft.com/office/drawing/2014/main" id="{00000000-0008-0000-0000-00004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50" name="Control 78" hidden="1">
              <a:extLst>
                <a:ext uri="{63B3BB69-23CF-44E3-9099-C40C66FF867C}">
                  <a14:compatExt spid="_x0000_s3150"/>
                </a:ext>
                <a:ext uri="{FF2B5EF4-FFF2-40B4-BE49-F238E27FC236}">
                  <a16:creationId xmlns:a16="http://schemas.microsoft.com/office/drawing/2014/main" id="{00000000-0008-0000-0000-00004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51" name="Control 79" hidden="1">
              <a:extLst>
                <a:ext uri="{63B3BB69-23CF-44E3-9099-C40C66FF867C}">
                  <a14:compatExt spid="_x0000_s3151"/>
                </a:ext>
                <a:ext uri="{FF2B5EF4-FFF2-40B4-BE49-F238E27FC236}">
                  <a16:creationId xmlns:a16="http://schemas.microsoft.com/office/drawing/2014/main" id="{00000000-0008-0000-0000-00004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52" name="Control 80" hidden="1">
              <a:extLst>
                <a:ext uri="{63B3BB69-23CF-44E3-9099-C40C66FF867C}">
                  <a14:compatExt spid="_x0000_s3152"/>
                </a:ext>
                <a:ext uri="{FF2B5EF4-FFF2-40B4-BE49-F238E27FC236}">
                  <a16:creationId xmlns:a16="http://schemas.microsoft.com/office/drawing/2014/main" id="{00000000-0008-0000-0000-00005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53" name="Control 81" hidden="1">
              <a:extLst>
                <a:ext uri="{63B3BB69-23CF-44E3-9099-C40C66FF867C}">
                  <a14:compatExt spid="_x0000_s3153"/>
                </a:ext>
                <a:ext uri="{FF2B5EF4-FFF2-40B4-BE49-F238E27FC236}">
                  <a16:creationId xmlns:a16="http://schemas.microsoft.com/office/drawing/2014/main" id="{00000000-0008-0000-0000-00005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54" name="Control 82" hidden="1">
              <a:extLst>
                <a:ext uri="{63B3BB69-23CF-44E3-9099-C40C66FF867C}">
                  <a14:compatExt spid="_x0000_s3154"/>
                </a:ext>
                <a:ext uri="{FF2B5EF4-FFF2-40B4-BE49-F238E27FC236}">
                  <a16:creationId xmlns:a16="http://schemas.microsoft.com/office/drawing/2014/main" id="{00000000-0008-0000-0000-00005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55" name="Control 83" hidden="1">
              <a:extLst>
                <a:ext uri="{63B3BB69-23CF-44E3-9099-C40C66FF867C}">
                  <a14:compatExt spid="_x0000_s3155"/>
                </a:ext>
                <a:ext uri="{FF2B5EF4-FFF2-40B4-BE49-F238E27FC236}">
                  <a16:creationId xmlns:a16="http://schemas.microsoft.com/office/drawing/2014/main" id="{00000000-0008-0000-0000-00005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56" name="Control 84" hidden="1">
              <a:extLst>
                <a:ext uri="{63B3BB69-23CF-44E3-9099-C40C66FF867C}">
                  <a14:compatExt spid="_x0000_s3156"/>
                </a:ext>
                <a:ext uri="{FF2B5EF4-FFF2-40B4-BE49-F238E27FC236}">
                  <a16:creationId xmlns:a16="http://schemas.microsoft.com/office/drawing/2014/main" id="{00000000-0008-0000-0000-00005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57" name="Control 85" hidden="1">
              <a:extLst>
                <a:ext uri="{63B3BB69-23CF-44E3-9099-C40C66FF867C}">
                  <a14:compatExt spid="_x0000_s3157"/>
                </a:ext>
                <a:ext uri="{FF2B5EF4-FFF2-40B4-BE49-F238E27FC236}">
                  <a16:creationId xmlns:a16="http://schemas.microsoft.com/office/drawing/2014/main" id="{00000000-0008-0000-0000-00005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58" name="Control 86" hidden="1">
              <a:extLst>
                <a:ext uri="{63B3BB69-23CF-44E3-9099-C40C66FF867C}">
                  <a14:compatExt spid="_x0000_s3158"/>
                </a:ext>
                <a:ext uri="{FF2B5EF4-FFF2-40B4-BE49-F238E27FC236}">
                  <a16:creationId xmlns:a16="http://schemas.microsoft.com/office/drawing/2014/main" id="{00000000-0008-0000-0000-00005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59" name="Control 87" hidden="1">
              <a:extLst>
                <a:ext uri="{63B3BB69-23CF-44E3-9099-C40C66FF867C}">
                  <a14:compatExt spid="_x0000_s3159"/>
                </a:ext>
                <a:ext uri="{FF2B5EF4-FFF2-40B4-BE49-F238E27FC236}">
                  <a16:creationId xmlns:a16="http://schemas.microsoft.com/office/drawing/2014/main" id="{00000000-0008-0000-0000-00005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60" name="Control 88" hidden="1">
              <a:extLst>
                <a:ext uri="{63B3BB69-23CF-44E3-9099-C40C66FF867C}">
                  <a14:compatExt spid="_x0000_s3160"/>
                </a:ext>
                <a:ext uri="{FF2B5EF4-FFF2-40B4-BE49-F238E27FC236}">
                  <a16:creationId xmlns:a16="http://schemas.microsoft.com/office/drawing/2014/main" id="{00000000-0008-0000-0000-00005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61" name="Control 89" hidden="1">
              <a:extLst>
                <a:ext uri="{63B3BB69-23CF-44E3-9099-C40C66FF867C}">
                  <a14:compatExt spid="_x0000_s3161"/>
                </a:ext>
                <a:ext uri="{FF2B5EF4-FFF2-40B4-BE49-F238E27FC236}">
                  <a16:creationId xmlns:a16="http://schemas.microsoft.com/office/drawing/2014/main" id="{00000000-0008-0000-0000-00005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62" name="Control 90" hidden="1">
              <a:extLst>
                <a:ext uri="{63B3BB69-23CF-44E3-9099-C40C66FF867C}">
                  <a14:compatExt spid="_x0000_s3162"/>
                </a:ext>
                <a:ext uri="{FF2B5EF4-FFF2-40B4-BE49-F238E27FC236}">
                  <a16:creationId xmlns:a16="http://schemas.microsoft.com/office/drawing/2014/main" id="{00000000-0008-0000-0000-00005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63" name="Control 91" hidden="1">
              <a:extLst>
                <a:ext uri="{63B3BB69-23CF-44E3-9099-C40C66FF867C}">
                  <a14:compatExt spid="_x0000_s3163"/>
                </a:ext>
                <a:ext uri="{FF2B5EF4-FFF2-40B4-BE49-F238E27FC236}">
                  <a16:creationId xmlns:a16="http://schemas.microsoft.com/office/drawing/2014/main" id="{00000000-0008-0000-0000-00005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64" name="Control 92" hidden="1">
              <a:extLst>
                <a:ext uri="{63B3BB69-23CF-44E3-9099-C40C66FF867C}">
                  <a14:compatExt spid="_x0000_s3164"/>
                </a:ext>
                <a:ext uri="{FF2B5EF4-FFF2-40B4-BE49-F238E27FC236}">
                  <a16:creationId xmlns:a16="http://schemas.microsoft.com/office/drawing/2014/main" id="{00000000-0008-0000-0000-00005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65" name="Control 93" hidden="1">
              <a:extLst>
                <a:ext uri="{63B3BB69-23CF-44E3-9099-C40C66FF867C}">
                  <a14:compatExt spid="_x0000_s3165"/>
                </a:ext>
                <a:ext uri="{FF2B5EF4-FFF2-40B4-BE49-F238E27FC236}">
                  <a16:creationId xmlns:a16="http://schemas.microsoft.com/office/drawing/2014/main" id="{00000000-0008-0000-0000-00005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66" name="Control 94" hidden="1">
              <a:extLst>
                <a:ext uri="{63B3BB69-23CF-44E3-9099-C40C66FF867C}">
                  <a14:compatExt spid="_x0000_s3166"/>
                </a:ext>
                <a:ext uri="{FF2B5EF4-FFF2-40B4-BE49-F238E27FC236}">
                  <a16:creationId xmlns:a16="http://schemas.microsoft.com/office/drawing/2014/main" id="{00000000-0008-0000-0000-00005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67" name="Control 95" hidden="1">
              <a:extLst>
                <a:ext uri="{63B3BB69-23CF-44E3-9099-C40C66FF867C}">
                  <a14:compatExt spid="_x0000_s3167"/>
                </a:ext>
                <a:ext uri="{FF2B5EF4-FFF2-40B4-BE49-F238E27FC236}">
                  <a16:creationId xmlns:a16="http://schemas.microsoft.com/office/drawing/2014/main" id="{00000000-0008-0000-0000-00005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68" name="Control 96" hidden="1">
              <a:extLst>
                <a:ext uri="{63B3BB69-23CF-44E3-9099-C40C66FF867C}">
                  <a14:compatExt spid="_x0000_s3168"/>
                </a:ext>
                <a:ext uri="{FF2B5EF4-FFF2-40B4-BE49-F238E27FC236}">
                  <a16:creationId xmlns:a16="http://schemas.microsoft.com/office/drawing/2014/main" id="{00000000-0008-0000-0000-00006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69" name="Control 97" hidden="1">
              <a:extLst>
                <a:ext uri="{63B3BB69-23CF-44E3-9099-C40C66FF867C}">
                  <a14:compatExt spid="_x0000_s3169"/>
                </a:ext>
                <a:ext uri="{FF2B5EF4-FFF2-40B4-BE49-F238E27FC236}">
                  <a16:creationId xmlns:a16="http://schemas.microsoft.com/office/drawing/2014/main" id="{00000000-0008-0000-0000-00006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70" name="Control 98" hidden="1">
              <a:extLst>
                <a:ext uri="{63B3BB69-23CF-44E3-9099-C40C66FF867C}">
                  <a14:compatExt spid="_x0000_s3170"/>
                </a:ext>
                <a:ext uri="{FF2B5EF4-FFF2-40B4-BE49-F238E27FC236}">
                  <a16:creationId xmlns:a16="http://schemas.microsoft.com/office/drawing/2014/main" id="{00000000-0008-0000-0000-00006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71" name="Control 99" hidden="1">
              <a:extLst>
                <a:ext uri="{63B3BB69-23CF-44E3-9099-C40C66FF867C}">
                  <a14:compatExt spid="_x0000_s3171"/>
                </a:ext>
                <a:ext uri="{FF2B5EF4-FFF2-40B4-BE49-F238E27FC236}">
                  <a16:creationId xmlns:a16="http://schemas.microsoft.com/office/drawing/2014/main" id="{00000000-0008-0000-0000-00006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72" name="Control 100" hidden="1">
              <a:extLst>
                <a:ext uri="{63B3BB69-23CF-44E3-9099-C40C66FF867C}">
                  <a14:compatExt spid="_x0000_s3172"/>
                </a:ext>
                <a:ext uri="{FF2B5EF4-FFF2-40B4-BE49-F238E27FC236}">
                  <a16:creationId xmlns:a16="http://schemas.microsoft.com/office/drawing/2014/main" id="{00000000-0008-0000-0000-00006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73" name="Control 101" hidden="1">
              <a:extLst>
                <a:ext uri="{63B3BB69-23CF-44E3-9099-C40C66FF867C}">
                  <a14:compatExt spid="_x0000_s3173"/>
                </a:ext>
                <a:ext uri="{FF2B5EF4-FFF2-40B4-BE49-F238E27FC236}">
                  <a16:creationId xmlns:a16="http://schemas.microsoft.com/office/drawing/2014/main" id="{00000000-0008-0000-0000-00006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74" name="Control 102" hidden="1">
              <a:extLst>
                <a:ext uri="{63B3BB69-23CF-44E3-9099-C40C66FF867C}">
                  <a14:compatExt spid="_x0000_s3174"/>
                </a:ext>
                <a:ext uri="{FF2B5EF4-FFF2-40B4-BE49-F238E27FC236}">
                  <a16:creationId xmlns:a16="http://schemas.microsoft.com/office/drawing/2014/main" id="{00000000-0008-0000-0000-00006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75" name="Control 103" hidden="1">
              <a:extLst>
                <a:ext uri="{63B3BB69-23CF-44E3-9099-C40C66FF867C}">
                  <a14:compatExt spid="_x0000_s3175"/>
                </a:ext>
                <a:ext uri="{FF2B5EF4-FFF2-40B4-BE49-F238E27FC236}">
                  <a16:creationId xmlns:a16="http://schemas.microsoft.com/office/drawing/2014/main" id="{00000000-0008-0000-0000-00006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76" name="Control 104" hidden="1">
              <a:extLst>
                <a:ext uri="{63B3BB69-23CF-44E3-9099-C40C66FF867C}">
                  <a14:compatExt spid="_x0000_s3176"/>
                </a:ext>
                <a:ext uri="{FF2B5EF4-FFF2-40B4-BE49-F238E27FC236}">
                  <a16:creationId xmlns:a16="http://schemas.microsoft.com/office/drawing/2014/main" id="{00000000-0008-0000-0000-00006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77" name="Control 105" hidden="1">
              <a:extLst>
                <a:ext uri="{63B3BB69-23CF-44E3-9099-C40C66FF867C}">
                  <a14:compatExt spid="_x0000_s3177"/>
                </a:ext>
                <a:ext uri="{FF2B5EF4-FFF2-40B4-BE49-F238E27FC236}">
                  <a16:creationId xmlns:a16="http://schemas.microsoft.com/office/drawing/2014/main" id="{00000000-0008-0000-0000-00006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78" name="Control 106" hidden="1">
              <a:extLst>
                <a:ext uri="{63B3BB69-23CF-44E3-9099-C40C66FF867C}">
                  <a14:compatExt spid="_x0000_s3178"/>
                </a:ext>
                <a:ext uri="{FF2B5EF4-FFF2-40B4-BE49-F238E27FC236}">
                  <a16:creationId xmlns:a16="http://schemas.microsoft.com/office/drawing/2014/main" id="{00000000-0008-0000-0000-00006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79" name="Control 107" hidden="1">
              <a:extLst>
                <a:ext uri="{63B3BB69-23CF-44E3-9099-C40C66FF867C}">
                  <a14:compatExt spid="_x0000_s3179"/>
                </a:ext>
                <a:ext uri="{FF2B5EF4-FFF2-40B4-BE49-F238E27FC236}">
                  <a16:creationId xmlns:a16="http://schemas.microsoft.com/office/drawing/2014/main" id="{00000000-0008-0000-0000-00006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80" name="Control 108" hidden="1">
              <a:extLst>
                <a:ext uri="{63B3BB69-23CF-44E3-9099-C40C66FF867C}">
                  <a14:compatExt spid="_x0000_s3180"/>
                </a:ext>
                <a:ext uri="{FF2B5EF4-FFF2-40B4-BE49-F238E27FC236}">
                  <a16:creationId xmlns:a16="http://schemas.microsoft.com/office/drawing/2014/main" id="{00000000-0008-0000-0000-00006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81" name="Control 109" hidden="1">
              <a:extLst>
                <a:ext uri="{63B3BB69-23CF-44E3-9099-C40C66FF867C}">
                  <a14:compatExt spid="_x0000_s3181"/>
                </a:ext>
                <a:ext uri="{FF2B5EF4-FFF2-40B4-BE49-F238E27FC236}">
                  <a16:creationId xmlns:a16="http://schemas.microsoft.com/office/drawing/2014/main" id="{00000000-0008-0000-0000-00006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82" name="Control 110" hidden="1">
              <a:extLst>
                <a:ext uri="{63B3BB69-23CF-44E3-9099-C40C66FF867C}">
                  <a14:compatExt spid="_x0000_s3182"/>
                </a:ext>
                <a:ext uri="{FF2B5EF4-FFF2-40B4-BE49-F238E27FC236}">
                  <a16:creationId xmlns:a16="http://schemas.microsoft.com/office/drawing/2014/main" id="{00000000-0008-0000-0000-00006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83" name="Control 111" hidden="1">
              <a:extLst>
                <a:ext uri="{63B3BB69-23CF-44E3-9099-C40C66FF867C}">
                  <a14:compatExt spid="_x0000_s3183"/>
                </a:ext>
                <a:ext uri="{FF2B5EF4-FFF2-40B4-BE49-F238E27FC236}">
                  <a16:creationId xmlns:a16="http://schemas.microsoft.com/office/drawing/2014/main" id="{00000000-0008-0000-0000-00006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84" name="Control 112" hidden="1">
              <a:extLst>
                <a:ext uri="{63B3BB69-23CF-44E3-9099-C40C66FF867C}">
                  <a14:compatExt spid="_x0000_s3184"/>
                </a:ext>
                <a:ext uri="{FF2B5EF4-FFF2-40B4-BE49-F238E27FC236}">
                  <a16:creationId xmlns:a16="http://schemas.microsoft.com/office/drawing/2014/main" id="{00000000-0008-0000-0000-00007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85" name="Control 113" hidden="1">
              <a:extLst>
                <a:ext uri="{63B3BB69-23CF-44E3-9099-C40C66FF867C}">
                  <a14:compatExt spid="_x0000_s3185"/>
                </a:ext>
                <a:ext uri="{FF2B5EF4-FFF2-40B4-BE49-F238E27FC236}">
                  <a16:creationId xmlns:a16="http://schemas.microsoft.com/office/drawing/2014/main" id="{00000000-0008-0000-0000-00007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86" name="Control 114" hidden="1">
              <a:extLst>
                <a:ext uri="{63B3BB69-23CF-44E3-9099-C40C66FF867C}">
                  <a14:compatExt spid="_x0000_s3186"/>
                </a:ext>
                <a:ext uri="{FF2B5EF4-FFF2-40B4-BE49-F238E27FC236}">
                  <a16:creationId xmlns:a16="http://schemas.microsoft.com/office/drawing/2014/main" id="{00000000-0008-0000-0000-00007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87" name="Control 115" hidden="1">
              <a:extLst>
                <a:ext uri="{63B3BB69-23CF-44E3-9099-C40C66FF867C}">
                  <a14:compatExt spid="_x0000_s3187"/>
                </a:ext>
                <a:ext uri="{FF2B5EF4-FFF2-40B4-BE49-F238E27FC236}">
                  <a16:creationId xmlns:a16="http://schemas.microsoft.com/office/drawing/2014/main" id="{00000000-0008-0000-0000-00007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88" name="Control 116" hidden="1">
              <a:extLst>
                <a:ext uri="{63B3BB69-23CF-44E3-9099-C40C66FF867C}">
                  <a14:compatExt spid="_x0000_s3188"/>
                </a:ext>
                <a:ext uri="{FF2B5EF4-FFF2-40B4-BE49-F238E27FC236}">
                  <a16:creationId xmlns:a16="http://schemas.microsoft.com/office/drawing/2014/main" id="{00000000-0008-0000-0000-00007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89" name="Control 117" hidden="1">
              <a:extLst>
                <a:ext uri="{63B3BB69-23CF-44E3-9099-C40C66FF867C}">
                  <a14:compatExt spid="_x0000_s3189"/>
                </a:ext>
                <a:ext uri="{FF2B5EF4-FFF2-40B4-BE49-F238E27FC236}">
                  <a16:creationId xmlns:a16="http://schemas.microsoft.com/office/drawing/2014/main" id="{00000000-0008-0000-0000-00007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90" name="Control 118" hidden="1">
              <a:extLst>
                <a:ext uri="{63B3BB69-23CF-44E3-9099-C40C66FF867C}">
                  <a14:compatExt spid="_x0000_s3190"/>
                </a:ext>
                <a:ext uri="{FF2B5EF4-FFF2-40B4-BE49-F238E27FC236}">
                  <a16:creationId xmlns:a16="http://schemas.microsoft.com/office/drawing/2014/main" id="{00000000-0008-0000-0000-00007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91" name="Control 119" hidden="1">
              <a:extLst>
                <a:ext uri="{63B3BB69-23CF-44E3-9099-C40C66FF867C}">
                  <a14:compatExt spid="_x0000_s3191"/>
                </a:ext>
                <a:ext uri="{FF2B5EF4-FFF2-40B4-BE49-F238E27FC236}">
                  <a16:creationId xmlns:a16="http://schemas.microsoft.com/office/drawing/2014/main" id="{00000000-0008-0000-0000-00007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92" name="Control 120" hidden="1">
              <a:extLst>
                <a:ext uri="{63B3BB69-23CF-44E3-9099-C40C66FF867C}">
                  <a14:compatExt spid="_x0000_s3192"/>
                </a:ext>
                <a:ext uri="{FF2B5EF4-FFF2-40B4-BE49-F238E27FC236}">
                  <a16:creationId xmlns:a16="http://schemas.microsoft.com/office/drawing/2014/main" id="{00000000-0008-0000-0000-00007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93" name="Control 121" hidden="1">
              <a:extLst>
                <a:ext uri="{63B3BB69-23CF-44E3-9099-C40C66FF867C}">
                  <a14:compatExt spid="_x0000_s3193"/>
                </a:ext>
                <a:ext uri="{FF2B5EF4-FFF2-40B4-BE49-F238E27FC236}">
                  <a16:creationId xmlns:a16="http://schemas.microsoft.com/office/drawing/2014/main" id="{00000000-0008-0000-0000-00007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94" name="Control 122" hidden="1">
              <a:extLst>
                <a:ext uri="{63B3BB69-23CF-44E3-9099-C40C66FF867C}">
                  <a14:compatExt spid="_x0000_s3194"/>
                </a:ext>
                <a:ext uri="{FF2B5EF4-FFF2-40B4-BE49-F238E27FC236}">
                  <a16:creationId xmlns:a16="http://schemas.microsoft.com/office/drawing/2014/main" id="{00000000-0008-0000-0000-00007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95" name="Control 123" hidden="1">
              <a:extLst>
                <a:ext uri="{63B3BB69-23CF-44E3-9099-C40C66FF867C}">
                  <a14:compatExt spid="_x0000_s3195"/>
                </a:ext>
                <a:ext uri="{FF2B5EF4-FFF2-40B4-BE49-F238E27FC236}">
                  <a16:creationId xmlns:a16="http://schemas.microsoft.com/office/drawing/2014/main" id="{00000000-0008-0000-0000-00007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96" name="Control 124" hidden="1">
              <a:extLst>
                <a:ext uri="{63B3BB69-23CF-44E3-9099-C40C66FF867C}">
                  <a14:compatExt spid="_x0000_s3196"/>
                </a:ext>
                <a:ext uri="{FF2B5EF4-FFF2-40B4-BE49-F238E27FC236}">
                  <a16:creationId xmlns:a16="http://schemas.microsoft.com/office/drawing/2014/main" id="{00000000-0008-0000-0000-00007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97" name="Control 125" hidden="1">
              <a:extLst>
                <a:ext uri="{63B3BB69-23CF-44E3-9099-C40C66FF867C}">
                  <a14:compatExt spid="_x0000_s3197"/>
                </a:ext>
                <a:ext uri="{FF2B5EF4-FFF2-40B4-BE49-F238E27FC236}">
                  <a16:creationId xmlns:a16="http://schemas.microsoft.com/office/drawing/2014/main" id="{00000000-0008-0000-0000-00007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98" name="Control 126" hidden="1">
              <a:extLst>
                <a:ext uri="{63B3BB69-23CF-44E3-9099-C40C66FF867C}">
                  <a14:compatExt spid="_x0000_s3198"/>
                </a:ext>
                <a:ext uri="{FF2B5EF4-FFF2-40B4-BE49-F238E27FC236}">
                  <a16:creationId xmlns:a16="http://schemas.microsoft.com/office/drawing/2014/main" id="{00000000-0008-0000-0000-00007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199" name="Control 127" hidden="1">
              <a:extLst>
                <a:ext uri="{63B3BB69-23CF-44E3-9099-C40C66FF867C}">
                  <a14:compatExt spid="_x0000_s3199"/>
                </a:ext>
                <a:ext uri="{FF2B5EF4-FFF2-40B4-BE49-F238E27FC236}">
                  <a16:creationId xmlns:a16="http://schemas.microsoft.com/office/drawing/2014/main" id="{00000000-0008-0000-0000-00007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00" name="Control 128" hidden="1">
              <a:extLst>
                <a:ext uri="{63B3BB69-23CF-44E3-9099-C40C66FF867C}">
                  <a14:compatExt spid="_x0000_s3200"/>
                </a:ext>
                <a:ext uri="{FF2B5EF4-FFF2-40B4-BE49-F238E27FC236}">
                  <a16:creationId xmlns:a16="http://schemas.microsoft.com/office/drawing/2014/main" id="{00000000-0008-0000-0000-00008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01" name="Control 129" hidden="1">
              <a:extLst>
                <a:ext uri="{63B3BB69-23CF-44E3-9099-C40C66FF867C}">
                  <a14:compatExt spid="_x0000_s3201"/>
                </a:ext>
                <a:ext uri="{FF2B5EF4-FFF2-40B4-BE49-F238E27FC236}">
                  <a16:creationId xmlns:a16="http://schemas.microsoft.com/office/drawing/2014/main" id="{00000000-0008-0000-0000-00008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02" name="Control 130" hidden="1">
              <a:extLst>
                <a:ext uri="{63B3BB69-23CF-44E3-9099-C40C66FF867C}">
                  <a14:compatExt spid="_x0000_s3202"/>
                </a:ext>
                <a:ext uri="{FF2B5EF4-FFF2-40B4-BE49-F238E27FC236}">
                  <a16:creationId xmlns:a16="http://schemas.microsoft.com/office/drawing/2014/main" id="{00000000-0008-0000-0000-00008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03" name="Control 131" hidden="1">
              <a:extLst>
                <a:ext uri="{63B3BB69-23CF-44E3-9099-C40C66FF867C}">
                  <a14:compatExt spid="_x0000_s3203"/>
                </a:ext>
                <a:ext uri="{FF2B5EF4-FFF2-40B4-BE49-F238E27FC236}">
                  <a16:creationId xmlns:a16="http://schemas.microsoft.com/office/drawing/2014/main" id="{00000000-0008-0000-0000-00008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04" name="Control 132" hidden="1">
              <a:extLst>
                <a:ext uri="{63B3BB69-23CF-44E3-9099-C40C66FF867C}">
                  <a14:compatExt spid="_x0000_s3204"/>
                </a:ext>
                <a:ext uri="{FF2B5EF4-FFF2-40B4-BE49-F238E27FC236}">
                  <a16:creationId xmlns:a16="http://schemas.microsoft.com/office/drawing/2014/main" id="{00000000-0008-0000-0000-00008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05" name="Control 133" hidden="1">
              <a:extLst>
                <a:ext uri="{63B3BB69-23CF-44E3-9099-C40C66FF867C}">
                  <a14:compatExt spid="_x0000_s3205"/>
                </a:ext>
                <a:ext uri="{FF2B5EF4-FFF2-40B4-BE49-F238E27FC236}">
                  <a16:creationId xmlns:a16="http://schemas.microsoft.com/office/drawing/2014/main" id="{00000000-0008-0000-0000-00008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06" name="Control 134" hidden="1">
              <a:extLst>
                <a:ext uri="{63B3BB69-23CF-44E3-9099-C40C66FF867C}">
                  <a14:compatExt spid="_x0000_s3206"/>
                </a:ext>
                <a:ext uri="{FF2B5EF4-FFF2-40B4-BE49-F238E27FC236}">
                  <a16:creationId xmlns:a16="http://schemas.microsoft.com/office/drawing/2014/main" id="{00000000-0008-0000-0000-00008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07" name="Control 135" hidden="1">
              <a:extLst>
                <a:ext uri="{63B3BB69-23CF-44E3-9099-C40C66FF867C}">
                  <a14:compatExt spid="_x0000_s3207"/>
                </a:ext>
                <a:ext uri="{FF2B5EF4-FFF2-40B4-BE49-F238E27FC236}">
                  <a16:creationId xmlns:a16="http://schemas.microsoft.com/office/drawing/2014/main" id="{00000000-0008-0000-0000-00008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08" name="Control 136" hidden="1">
              <a:extLst>
                <a:ext uri="{63B3BB69-23CF-44E3-9099-C40C66FF867C}">
                  <a14:compatExt spid="_x0000_s3208"/>
                </a:ext>
                <a:ext uri="{FF2B5EF4-FFF2-40B4-BE49-F238E27FC236}">
                  <a16:creationId xmlns:a16="http://schemas.microsoft.com/office/drawing/2014/main" id="{00000000-0008-0000-0000-00008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09" name="Control 137" hidden="1">
              <a:extLst>
                <a:ext uri="{63B3BB69-23CF-44E3-9099-C40C66FF867C}">
                  <a14:compatExt spid="_x0000_s3209"/>
                </a:ext>
                <a:ext uri="{FF2B5EF4-FFF2-40B4-BE49-F238E27FC236}">
                  <a16:creationId xmlns:a16="http://schemas.microsoft.com/office/drawing/2014/main" id="{00000000-0008-0000-0000-00008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10" name="Control 138" hidden="1">
              <a:extLst>
                <a:ext uri="{63B3BB69-23CF-44E3-9099-C40C66FF867C}">
                  <a14:compatExt spid="_x0000_s3210"/>
                </a:ext>
                <a:ext uri="{FF2B5EF4-FFF2-40B4-BE49-F238E27FC236}">
                  <a16:creationId xmlns:a16="http://schemas.microsoft.com/office/drawing/2014/main" id="{00000000-0008-0000-0000-00008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11" name="Control 139" hidden="1">
              <a:extLst>
                <a:ext uri="{63B3BB69-23CF-44E3-9099-C40C66FF867C}">
                  <a14:compatExt spid="_x0000_s3211"/>
                </a:ext>
                <a:ext uri="{FF2B5EF4-FFF2-40B4-BE49-F238E27FC236}">
                  <a16:creationId xmlns:a16="http://schemas.microsoft.com/office/drawing/2014/main" id="{00000000-0008-0000-0000-00008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12" name="Control 140" hidden="1">
              <a:extLst>
                <a:ext uri="{63B3BB69-23CF-44E3-9099-C40C66FF867C}">
                  <a14:compatExt spid="_x0000_s3212"/>
                </a:ext>
                <a:ext uri="{FF2B5EF4-FFF2-40B4-BE49-F238E27FC236}">
                  <a16:creationId xmlns:a16="http://schemas.microsoft.com/office/drawing/2014/main" id="{00000000-0008-0000-0000-00008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13" name="Control 141" hidden="1">
              <a:extLst>
                <a:ext uri="{63B3BB69-23CF-44E3-9099-C40C66FF867C}">
                  <a14:compatExt spid="_x0000_s3213"/>
                </a:ext>
                <a:ext uri="{FF2B5EF4-FFF2-40B4-BE49-F238E27FC236}">
                  <a16:creationId xmlns:a16="http://schemas.microsoft.com/office/drawing/2014/main" id="{00000000-0008-0000-0000-00008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14" name="Control 142" hidden="1">
              <a:extLst>
                <a:ext uri="{63B3BB69-23CF-44E3-9099-C40C66FF867C}">
                  <a14:compatExt spid="_x0000_s3214"/>
                </a:ext>
                <a:ext uri="{FF2B5EF4-FFF2-40B4-BE49-F238E27FC236}">
                  <a16:creationId xmlns:a16="http://schemas.microsoft.com/office/drawing/2014/main" id="{00000000-0008-0000-0000-00008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15" name="Control 143" hidden="1">
              <a:extLst>
                <a:ext uri="{63B3BB69-23CF-44E3-9099-C40C66FF867C}">
                  <a14:compatExt spid="_x0000_s3215"/>
                </a:ext>
                <a:ext uri="{FF2B5EF4-FFF2-40B4-BE49-F238E27FC236}">
                  <a16:creationId xmlns:a16="http://schemas.microsoft.com/office/drawing/2014/main" id="{00000000-0008-0000-0000-00008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16" name="Control 144" hidden="1">
              <a:extLst>
                <a:ext uri="{63B3BB69-23CF-44E3-9099-C40C66FF867C}">
                  <a14:compatExt spid="_x0000_s3216"/>
                </a:ext>
                <a:ext uri="{FF2B5EF4-FFF2-40B4-BE49-F238E27FC236}">
                  <a16:creationId xmlns:a16="http://schemas.microsoft.com/office/drawing/2014/main" id="{00000000-0008-0000-0000-00009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17" name="Control 145" hidden="1">
              <a:extLst>
                <a:ext uri="{63B3BB69-23CF-44E3-9099-C40C66FF867C}">
                  <a14:compatExt spid="_x0000_s3217"/>
                </a:ext>
                <a:ext uri="{FF2B5EF4-FFF2-40B4-BE49-F238E27FC236}">
                  <a16:creationId xmlns:a16="http://schemas.microsoft.com/office/drawing/2014/main" id="{00000000-0008-0000-0000-00009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449</xdr:row>
          <xdr:rowOff>0</xdr:rowOff>
        </xdr:from>
        <xdr:to>
          <xdr:col>1</xdr:col>
          <xdr:colOff>257175</xdr:colOff>
          <xdr:row>507</xdr:row>
          <xdr:rowOff>76200</xdr:rowOff>
        </xdr:to>
        <xdr:sp macro="" textlink="">
          <xdr:nvSpPr>
            <xdr:cNvPr id="3218" name="Control 146" hidden="1">
              <a:extLst>
                <a:ext uri="{63B3BB69-23CF-44E3-9099-C40C66FF867C}">
                  <a14:compatExt spid="_x0000_s3218"/>
                </a:ext>
                <a:ext uri="{FF2B5EF4-FFF2-40B4-BE49-F238E27FC236}">
                  <a16:creationId xmlns:a16="http://schemas.microsoft.com/office/drawing/2014/main" id="{00000000-0008-0000-0000-00009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19" name="Control 147" hidden="1">
              <a:extLst>
                <a:ext uri="{63B3BB69-23CF-44E3-9099-C40C66FF867C}">
                  <a14:compatExt spid="_x0000_s3219"/>
                </a:ext>
                <a:ext uri="{FF2B5EF4-FFF2-40B4-BE49-F238E27FC236}">
                  <a16:creationId xmlns:a16="http://schemas.microsoft.com/office/drawing/2014/main" id="{00000000-0008-0000-0000-00009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20" name="Control 148" hidden="1">
              <a:extLst>
                <a:ext uri="{63B3BB69-23CF-44E3-9099-C40C66FF867C}">
                  <a14:compatExt spid="_x0000_s3220"/>
                </a:ext>
                <a:ext uri="{FF2B5EF4-FFF2-40B4-BE49-F238E27FC236}">
                  <a16:creationId xmlns:a16="http://schemas.microsoft.com/office/drawing/2014/main" id="{00000000-0008-0000-0000-00009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21" name="Control 149" hidden="1">
              <a:extLst>
                <a:ext uri="{63B3BB69-23CF-44E3-9099-C40C66FF867C}">
                  <a14:compatExt spid="_x0000_s3221"/>
                </a:ext>
                <a:ext uri="{FF2B5EF4-FFF2-40B4-BE49-F238E27FC236}">
                  <a16:creationId xmlns:a16="http://schemas.microsoft.com/office/drawing/2014/main" id="{00000000-0008-0000-0000-00009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22" name="Control 150" hidden="1">
              <a:extLst>
                <a:ext uri="{63B3BB69-23CF-44E3-9099-C40C66FF867C}">
                  <a14:compatExt spid="_x0000_s3222"/>
                </a:ext>
                <a:ext uri="{FF2B5EF4-FFF2-40B4-BE49-F238E27FC236}">
                  <a16:creationId xmlns:a16="http://schemas.microsoft.com/office/drawing/2014/main" id="{00000000-0008-0000-0000-00009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23" name="Control 151" hidden="1">
              <a:extLst>
                <a:ext uri="{63B3BB69-23CF-44E3-9099-C40C66FF867C}">
                  <a14:compatExt spid="_x0000_s3223"/>
                </a:ext>
                <a:ext uri="{FF2B5EF4-FFF2-40B4-BE49-F238E27FC236}">
                  <a16:creationId xmlns:a16="http://schemas.microsoft.com/office/drawing/2014/main" id="{00000000-0008-0000-0000-00009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24" name="Control 152" hidden="1">
              <a:extLst>
                <a:ext uri="{63B3BB69-23CF-44E3-9099-C40C66FF867C}">
                  <a14:compatExt spid="_x0000_s3224"/>
                </a:ext>
                <a:ext uri="{FF2B5EF4-FFF2-40B4-BE49-F238E27FC236}">
                  <a16:creationId xmlns:a16="http://schemas.microsoft.com/office/drawing/2014/main" id="{00000000-0008-0000-0000-00009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25" name="Control 153" hidden="1">
              <a:extLst>
                <a:ext uri="{63B3BB69-23CF-44E3-9099-C40C66FF867C}">
                  <a14:compatExt spid="_x0000_s3225"/>
                </a:ext>
                <a:ext uri="{FF2B5EF4-FFF2-40B4-BE49-F238E27FC236}">
                  <a16:creationId xmlns:a16="http://schemas.microsoft.com/office/drawing/2014/main" id="{00000000-0008-0000-0000-00009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26" name="Control 154" hidden="1">
              <a:extLst>
                <a:ext uri="{63B3BB69-23CF-44E3-9099-C40C66FF867C}">
                  <a14:compatExt spid="_x0000_s3226"/>
                </a:ext>
                <a:ext uri="{FF2B5EF4-FFF2-40B4-BE49-F238E27FC236}">
                  <a16:creationId xmlns:a16="http://schemas.microsoft.com/office/drawing/2014/main" id="{00000000-0008-0000-0000-00009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27" name="Control 155" hidden="1">
              <a:extLst>
                <a:ext uri="{63B3BB69-23CF-44E3-9099-C40C66FF867C}">
                  <a14:compatExt spid="_x0000_s3227"/>
                </a:ext>
                <a:ext uri="{FF2B5EF4-FFF2-40B4-BE49-F238E27FC236}">
                  <a16:creationId xmlns:a16="http://schemas.microsoft.com/office/drawing/2014/main" id="{00000000-0008-0000-0000-00009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28" name="Control 156" hidden="1">
              <a:extLst>
                <a:ext uri="{63B3BB69-23CF-44E3-9099-C40C66FF867C}">
                  <a14:compatExt spid="_x0000_s3228"/>
                </a:ext>
                <a:ext uri="{FF2B5EF4-FFF2-40B4-BE49-F238E27FC236}">
                  <a16:creationId xmlns:a16="http://schemas.microsoft.com/office/drawing/2014/main" id="{00000000-0008-0000-0000-00009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29" name="Control 157" hidden="1">
              <a:extLst>
                <a:ext uri="{63B3BB69-23CF-44E3-9099-C40C66FF867C}">
                  <a14:compatExt spid="_x0000_s3229"/>
                </a:ext>
                <a:ext uri="{FF2B5EF4-FFF2-40B4-BE49-F238E27FC236}">
                  <a16:creationId xmlns:a16="http://schemas.microsoft.com/office/drawing/2014/main" id="{00000000-0008-0000-0000-00009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30" name="Control 158" hidden="1">
              <a:extLst>
                <a:ext uri="{63B3BB69-23CF-44E3-9099-C40C66FF867C}">
                  <a14:compatExt spid="_x0000_s3230"/>
                </a:ext>
                <a:ext uri="{FF2B5EF4-FFF2-40B4-BE49-F238E27FC236}">
                  <a16:creationId xmlns:a16="http://schemas.microsoft.com/office/drawing/2014/main" id="{00000000-0008-0000-0000-00009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31" name="Control 159" hidden="1">
              <a:extLst>
                <a:ext uri="{63B3BB69-23CF-44E3-9099-C40C66FF867C}">
                  <a14:compatExt spid="_x0000_s3231"/>
                </a:ext>
                <a:ext uri="{FF2B5EF4-FFF2-40B4-BE49-F238E27FC236}">
                  <a16:creationId xmlns:a16="http://schemas.microsoft.com/office/drawing/2014/main" id="{00000000-0008-0000-0000-00009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32" name="Control 160" hidden="1">
              <a:extLst>
                <a:ext uri="{63B3BB69-23CF-44E3-9099-C40C66FF867C}">
                  <a14:compatExt spid="_x0000_s3232"/>
                </a:ext>
                <a:ext uri="{FF2B5EF4-FFF2-40B4-BE49-F238E27FC236}">
                  <a16:creationId xmlns:a16="http://schemas.microsoft.com/office/drawing/2014/main" id="{00000000-0008-0000-0000-0000A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33" name="Control 161" hidden="1">
              <a:extLst>
                <a:ext uri="{63B3BB69-23CF-44E3-9099-C40C66FF867C}">
                  <a14:compatExt spid="_x0000_s3233"/>
                </a:ext>
                <a:ext uri="{FF2B5EF4-FFF2-40B4-BE49-F238E27FC236}">
                  <a16:creationId xmlns:a16="http://schemas.microsoft.com/office/drawing/2014/main" id="{00000000-0008-0000-0000-0000A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34" name="Control 162" hidden="1">
              <a:extLst>
                <a:ext uri="{63B3BB69-23CF-44E3-9099-C40C66FF867C}">
                  <a14:compatExt spid="_x0000_s3234"/>
                </a:ext>
                <a:ext uri="{FF2B5EF4-FFF2-40B4-BE49-F238E27FC236}">
                  <a16:creationId xmlns:a16="http://schemas.microsoft.com/office/drawing/2014/main" id="{00000000-0008-0000-0000-0000A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35" name="Control 163" hidden="1">
              <a:extLst>
                <a:ext uri="{63B3BB69-23CF-44E3-9099-C40C66FF867C}">
                  <a14:compatExt spid="_x0000_s3235"/>
                </a:ext>
                <a:ext uri="{FF2B5EF4-FFF2-40B4-BE49-F238E27FC236}">
                  <a16:creationId xmlns:a16="http://schemas.microsoft.com/office/drawing/2014/main" id="{00000000-0008-0000-0000-0000A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36" name="Control 164" hidden="1">
              <a:extLst>
                <a:ext uri="{63B3BB69-23CF-44E3-9099-C40C66FF867C}">
                  <a14:compatExt spid="_x0000_s3236"/>
                </a:ext>
                <a:ext uri="{FF2B5EF4-FFF2-40B4-BE49-F238E27FC236}">
                  <a16:creationId xmlns:a16="http://schemas.microsoft.com/office/drawing/2014/main" id="{00000000-0008-0000-0000-0000A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37" name="Control 165" hidden="1">
              <a:extLst>
                <a:ext uri="{63B3BB69-23CF-44E3-9099-C40C66FF867C}">
                  <a14:compatExt spid="_x0000_s3237"/>
                </a:ext>
                <a:ext uri="{FF2B5EF4-FFF2-40B4-BE49-F238E27FC236}">
                  <a16:creationId xmlns:a16="http://schemas.microsoft.com/office/drawing/2014/main" id="{00000000-0008-0000-0000-0000A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38" name="Control 166" hidden="1">
              <a:extLst>
                <a:ext uri="{63B3BB69-23CF-44E3-9099-C40C66FF867C}">
                  <a14:compatExt spid="_x0000_s3238"/>
                </a:ext>
                <a:ext uri="{FF2B5EF4-FFF2-40B4-BE49-F238E27FC236}">
                  <a16:creationId xmlns:a16="http://schemas.microsoft.com/office/drawing/2014/main" id="{00000000-0008-0000-0000-0000A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39" name="Control 167" hidden="1">
              <a:extLst>
                <a:ext uri="{63B3BB69-23CF-44E3-9099-C40C66FF867C}">
                  <a14:compatExt spid="_x0000_s3239"/>
                </a:ext>
                <a:ext uri="{FF2B5EF4-FFF2-40B4-BE49-F238E27FC236}">
                  <a16:creationId xmlns:a16="http://schemas.microsoft.com/office/drawing/2014/main" id="{00000000-0008-0000-0000-0000A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40" name="Control 168" hidden="1">
              <a:extLst>
                <a:ext uri="{63B3BB69-23CF-44E3-9099-C40C66FF867C}">
                  <a14:compatExt spid="_x0000_s3240"/>
                </a:ext>
                <a:ext uri="{FF2B5EF4-FFF2-40B4-BE49-F238E27FC236}">
                  <a16:creationId xmlns:a16="http://schemas.microsoft.com/office/drawing/2014/main" id="{00000000-0008-0000-0000-0000A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41" name="Control 169" hidden="1">
              <a:extLst>
                <a:ext uri="{63B3BB69-23CF-44E3-9099-C40C66FF867C}">
                  <a14:compatExt spid="_x0000_s3241"/>
                </a:ext>
                <a:ext uri="{FF2B5EF4-FFF2-40B4-BE49-F238E27FC236}">
                  <a16:creationId xmlns:a16="http://schemas.microsoft.com/office/drawing/2014/main" id="{00000000-0008-0000-0000-0000A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42" name="Control 170" hidden="1">
              <a:extLst>
                <a:ext uri="{63B3BB69-23CF-44E3-9099-C40C66FF867C}">
                  <a14:compatExt spid="_x0000_s3242"/>
                </a:ext>
                <a:ext uri="{FF2B5EF4-FFF2-40B4-BE49-F238E27FC236}">
                  <a16:creationId xmlns:a16="http://schemas.microsoft.com/office/drawing/2014/main" id="{00000000-0008-0000-0000-0000A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43" name="Control 171" hidden="1">
              <a:extLst>
                <a:ext uri="{63B3BB69-23CF-44E3-9099-C40C66FF867C}">
                  <a14:compatExt spid="_x0000_s3243"/>
                </a:ext>
                <a:ext uri="{FF2B5EF4-FFF2-40B4-BE49-F238E27FC236}">
                  <a16:creationId xmlns:a16="http://schemas.microsoft.com/office/drawing/2014/main" id="{00000000-0008-0000-0000-0000A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44" name="Control 172" hidden="1">
              <a:extLst>
                <a:ext uri="{63B3BB69-23CF-44E3-9099-C40C66FF867C}">
                  <a14:compatExt spid="_x0000_s3244"/>
                </a:ext>
                <a:ext uri="{FF2B5EF4-FFF2-40B4-BE49-F238E27FC236}">
                  <a16:creationId xmlns:a16="http://schemas.microsoft.com/office/drawing/2014/main" id="{00000000-0008-0000-0000-0000A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45" name="Control 173" hidden="1">
              <a:extLst>
                <a:ext uri="{63B3BB69-23CF-44E3-9099-C40C66FF867C}">
                  <a14:compatExt spid="_x0000_s3245"/>
                </a:ext>
                <a:ext uri="{FF2B5EF4-FFF2-40B4-BE49-F238E27FC236}">
                  <a16:creationId xmlns:a16="http://schemas.microsoft.com/office/drawing/2014/main" id="{00000000-0008-0000-0000-0000A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46" name="Control 174" hidden="1">
              <a:extLst>
                <a:ext uri="{63B3BB69-23CF-44E3-9099-C40C66FF867C}">
                  <a14:compatExt spid="_x0000_s3246"/>
                </a:ext>
                <a:ext uri="{FF2B5EF4-FFF2-40B4-BE49-F238E27FC236}">
                  <a16:creationId xmlns:a16="http://schemas.microsoft.com/office/drawing/2014/main" id="{00000000-0008-0000-0000-0000A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47" name="Control 175" hidden="1">
              <a:extLst>
                <a:ext uri="{63B3BB69-23CF-44E3-9099-C40C66FF867C}">
                  <a14:compatExt spid="_x0000_s3247"/>
                </a:ext>
                <a:ext uri="{FF2B5EF4-FFF2-40B4-BE49-F238E27FC236}">
                  <a16:creationId xmlns:a16="http://schemas.microsoft.com/office/drawing/2014/main" id="{00000000-0008-0000-0000-0000A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48" name="Control 176" hidden="1">
              <a:extLst>
                <a:ext uri="{63B3BB69-23CF-44E3-9099-C40C66FF867C}">
                  <a14:compatExt spid="_x0000_s3248"/>
                </a:ext>
                <a:ext uri="{FF2B5EF4-FFF2-40B4-BE49-F238E27FC236}">
                  <a16:creationId xmlns:a16="http://schemas.microsoft.com/office/drawing/2014/main" id="{00000000-0008-0000-0000-0000B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49" name="Control 177" hidden="1">
              <a:extLst>
                <a:ext uri="{63B3BB69-23CF-44E3-9099-C40C66FF867C}">
                  <a14:compatExt spid="_x0000_s3249"/>
                </a:ext>
                <a:ext uri="{FF2B5EF4-FFF2-40B4-BE49-F238E27FC236}">
                  <a16:creationId xmlns:a16="http://schemas.microsoft.com/office/drawing/2014/main" id="{00000000-0008-0000-0000-0000B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50" name="Control 178" hidden="1">
              <a:extLst>
                <a:ext uri="{63B3BB69-23CF-44E3-9099-C40C66FF867C}">
                  <a14:compatExt spid="_x0000_s3250"/>
                </a:ext>
                <a:ext uri="{FF2B5EF4-FFF2-40B4-BE49-F238E27FC236}">
                  <a16:creationId xmlns:a16="http://schemas.microsoft.com/office/drawing/2014/main" id="{00000000-0008-0000-0000-0000B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51" name="Control 179" hidden="1">
              <a:extLst>
                <a:ext uri="{63B3BB69-23CF-44E3-9099-C40C66FF867C}">
                  <a14:compatExt spid="_x0000_s3251"/>
                </a:ext>
                <a:ext uri="{FF2B5EF4-FFF2-40B4-BE49-F238E27FC236}">
                  <a16:creationId xmlns:a16="http://schemas.microsoft.com/office/drawing/2014/main" id="{00000000-0008-0000-0000-0000B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52" name="Control 180" hidden="1">
              <a:extLst>
                <a:ext uri="{63B3BB69-23CF-44E3-9099-C40C66FF867C}">
                  <a14:compatExt spid="_x0000_s3252"/>
                </a:ext>
                <a:ext uri="{FF2B5EF4-FFF2-40B4-BE49-F238E27FC236}">
                  <a16:creationId xmlns:a16="http://schemas.microsoft.com/office/drawing/2014/main" id="{00000000-0008-0000-0000-0000B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53" name="Control 181" hidden="1">
              <a:extLst>
                <a:ext uri="{63B3BB69-23CF-44E3-9099-C40C66FF867C}">
                  <a14:compatExt spid="_x0000_s3253"/>
                </a:ext>
                <a:ext uri="{FF2B5EF4-FFF2-40B4-BE49-F238E27FC236}">
                  <a16:creationId xmlns:a16="http://schemas.microsoft.com/office/drawing/2014/main" id="{00000000-0008-0000-0000-0000B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54" name="Control 182" hidden="1">
              <a:extLst>
                <a:ext uri="{63B3BB69-23CF-44E3-9099-C40C66FF867C}">
                  <a14:compatExt spid="_x0000_s3254"/>
                </a:ext>
                <a:ext uri="{FF2B5EF4-FFF2-40B4-BE49-F238E27FC236}">
                  <a16:creationId xmlns:a16="http://schemas.microsoft.com/office/drawing/2014/main" id="{00000000-0008-0000-0000-0000B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55" name="Control 183" hidden="1">
              <a:extLst>
                <a:ext uri="{63B3BB69-23CF-44E3-9099-C40C66FF867C}">
                  <a14:compatExt spid="_x0000_s3255"/>
                </a:ext>
                <a:ext uri="{FF2B5EF4-FFF2-40B4-BE49-F238E27FC236}">
                  <a16:creationId xmlns:a16="http://schemas.microsoft.com/office/drawing/2014/main" id="{00000000-0008-0000-0000-0000B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56" name="Control 184" hidden="1">
              <a:extLst>
                <a:ext uri="{63B3BB69-23CF-44E3-9099-C40C66FF867C}">
                  <a14:compatExt spid="_x0000_s3256"/>
                </a:ext>
                <a:ext uri="{FF2B5EF4-FFF2-40B4-BE49-F238E27FC236}">
                  <a16:creationId xmlns:a16="http://schemas.microsoft.com/office/drawing/2014/main" id="{00000000-0008-0000-0000-0000B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57" name="Control 185" hidden="1">
              <a:extLst>
                <a:ext uri="{63B3BB69-23CF-44E3-9099-C40C66FF867C}">
                  <a14:compatExt spid="_x0000_s3257"/>
                </a:ext>
                <a:ext uri="{FF2B5EF4-FFF2-40B4-BE49-F238E27FC236}">
                  <a16:creationId xmlns:a16="http://schemas.microsoft.com/office/drawing/2014/main" id="{00000000-0008-0000-0000-0000B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58" name="Control 186" hidden="1">
              <a:extLst>
                <a:ext uri="{63B3BB69-23CF-44E3-9099-C40C66FF867C}">
                  <a14:compatExt spid="_x0000_s3258"/>
                </a:ext>
                <a:ext uri="{FF2B5EF4-FFF2-40B4-BE49-F238E27FC236}">
                  <a16:creationId xmlns:a16="http://schemas.microsoft.com/office/drawing/2014/main" id="{00000000-0008-0000-0000-0000B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59" name="Control 187" hidden="1">
              <a:extLst>
                <a:ext uri="{63B3BB69-23CF-44E3-9099-C40C66FF867C}">
                  <a14:compatExt spid="_x0000_s3259"/>
                </a:ext>
                <a:ext uri="{FF2B5EF4-FFF2-40B4-BE49-F238E27FC236}">
                  <a16:creationId xmlns:a16="http://schemas.microsoft.com/office/drawing/2014/main" id="{00000000-0008-0000-0000-0000B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60" name="Control 188" hidden="1">
              <a:extLst>
                <a:ext uri="{63B3BB69-23CF-44E3-9099-C40C66FF867C}">
                  <a14:compatExt spid="_x0000_s3260"/>
                </a:ext>
                <a:ext uri="{FF2B5EF4-FFF2-40B4-BE49-F238E27FC236}">
                  <a16:creationId xmlns:a16="http://schemas.microsoft.com/office/drawing/2014/main" id="{00000000-0008-0000-0000-0000B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61" name="Control 189" hidden="1">
              <a:extLst>
                <a:ext uri="{63B3BB69-23CF-44E3-9099-C40C66FF867C}">
                  <a14:compatExt spid="_x0000_s3261"/>
                </a:ext>
                <a:ext uri="{FF2B5EF4-FFF2-40B4-BE49-F238E27FC236}">
                  <a16:creationId xmlns:a16="http://schemas.microsoft.com/office/drawing/2014/main" id="{00000000-0008-0000-0000-0000B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62" name="Control 190" hidden="1">
              <a:extLst>
                <a:ext uri="{63B3BB69-23CF-44E3-9099-C40C66FF867C}">
                  <a14:compatExt spid="_x0000_s3262"/>
                </a:ext>
                <a:ext uri="{FF2B5EF4-FFF2-40B4-BE49-F238E27FC236}">
                  <a16:creationId xmlns:a16="http://schemas.microsoft.com/office/drawing/2014/main" id="{00000000-0008-0000-0000-0000B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63" name="Control 191" hidden="1">
              <a:extLst>
                <a:ext uri="{63B3BB69-23CF-44E3-9099-C40C66FF867C}">
                  <a14:compatExt spid="_x0000_s3263"/>
                </a:ext>
                <a:ext uri="{FF2B5EF4-FFF2-40B4-BE49-F238E27FC236}">
                  <a16:creationId xmlns:a16="http://schemas.microsoft.com/office/drawing/2014/main" id="{00000000-0008-0000-0000-0000B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64" name="Control 192" hidden="1">
              <a:extLst>
                <a:ext uri="{63B3BB69-23CF-44E3-9099-C40C66FF867C}">
                  <a14:compatExt spid="_x0000_s3264"/>
                </a:ext>
                <a:ext uri="{FF2B5EF4-FFF2-40B4-BE49-F238E27FC236}">
                  <a16:creationId xmlns:a16="http://schemas.microsoft.com/office/drawing/2014/main" id="{00000000-0008-0000-0000-0000C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65" name="Control 193" hidden="1">
              <a:extLst>
                <a:ext uri="{63B3BB69-23CF-44E3-9099-C40C66FF867C}">
                  <a14:compatExt spid="_x0000_s3265"/>
                </a:ext>
                <a:ext uri="{FF2B5EF4-FFF2-40B4-BE49-F238E27FC236}">
                  <a16:creationId xmlns:a16="http://schemas.microsoft.com/office/drawing/2014/main" id="{00000000-0008-0000-0000-0000C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66" name="Control 194" hidden="1">
              <a:extLst>
                <a:ext uri="{63B3BB69-23CF-44E3-9099-C40C66FF867C}">
                  <a14:compatExt spid="_x0000_s3266"/>
                </a:ext>
                <a:ext uri="{FF2B5EF4-FFF2-40B4-BE49-F238E27FC236}">
                  <a16:creationId xmlns:a16="http://schemas.microsoft.com/office/drawing/2014/main" id="{00000000-0008-0000-0000-0000C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67" name="Control 195" hidden="1">
              <a:extLst>
                <a:ext uri="{63B3BB69-23CF-44E3-9099-C40C66FF867C}">
                  <a14:compatExt spid="_x0000_s3267"/>
                </a:ext>
                <a:ext uri="{FF2B5EF4-FFF2-40B4-BE49-F238E27FC236}">
                  <a16:creationId xmlns:a16="http://schemas.microsoft.com/office/drawing/2014/main" id="{00000000-0008-0000-0000-0000C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68" name="Control 196" hidden="1">
              <a:extLst>
                <a:ext uri="{63B3BB69-23CF-44E3-9099-C40C66FF867C}">
                  <a14:compatExt spid="_x0000_s3268"/>
                </a:ext>
                <a:ext uri="{FF2B5EF4-FFF2-40B4-BE49-F238E27FC236}">
                  <a16:creationId xmlns:a16="http://schemas.microsoft.com/office/drawing/2014/main" id="{00000000-0008-0000-0000-0000C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69" name="Control 197" hidden="1">
              <a:extLst>
                <a:ext uri="{63B3BB69-23CF-44E3-9099-C40C66FF867C}">
                  <a14:compatExt spid="_x0000_s3269"/>
                </a:ext>
                <a:ext uri="{FF2B5EF4-FFF2-40B4-BE49-F238E27FC236}">
                  <a16:creationId xmlns:a16="http://schemas.microsoft.com/office/drawing/2014/main" id="{00000000-0008-0000-0000-0000C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70" name="Control 198" hidden="1">
              <a:extLst>
                <a:ext uri="{63B3BB69-23CF-44E3-9099-C40C66FF867C}">
                  <a14:compatExt spid="_x0000_s3270"/>
                </a:ext>
                <a:ext uri="{FF2B5EF4-FFF2-40B4-BE49-F238E27FC236}">
                  <a16:creationId xmlns:a16="http://schemas.microsoft.com/office/drawing/2014/main" id="{00000000-0008-0000-0000-0000C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71" name="Control 199" hidden="1">
              <a:extLst>
                <a:ext uri="{63B3BB69-23CF-44E3-9099-C40C66FF867C}">
                  <a14:compatExt spid="_x0000_s3271"/>
                </a:ext>
                <a:ext uri="{FF2B5EF4-FFF2-40B4-BE49-F238E27FC236}">
                  <a16:creationId xmlns:a16="http://schemas.microsoft.com/office/drawing/2014/main" id="{00000000-0008-0000-0000-0000C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72" name="Control 200" hidden="1">
              <a:extLst>
                <a:ext uri="{63B3BB69-23CF-44E3-9099-C40C66FF867C}">
                  <a14:compatExt spid="_x0000_s3272"/>
                </a:ext>
                <a:ext uri="{FF2B5EF4-FFF2-40B4-BE49-F238E27FC236}">
                  <a16:creationId xmlns:a16="http://schemas.microsoft.com/office/drawing/2014/main" id="{00000000-0008-0000-0000-0000C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73" name="Control 201" hidden="1">
              <a:extLst>
                <a:ext uri="{63B3BB69-23CF-44E3-9099-C40C66FF867C}">
                  <a14:compatExt spid="_x0000_s3273"/>
                </a:ext>
                <a:ext uri="{FF2B5EF4-FFF2-40B4-BE49-F238E27FC236}">
                  <a16:creationId xmlns:a16="http://schemas.microsoft.com/office/drawing/2014/main" id="{00000000-0008-0000-0000-0000C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74" name="Control 202" hidden="1">
              <a:extLst>
                <a:ext uri="{63B3BB69-23CF-44E3-9099-C40C66FF867C}">
                  <a14:compatExt spid="_x0000_s3274"/>
                </a:ext>
                <a:ext uri="{FF2B5EF4-FFF2-40B4-BE49-F238E27FC236}">
                  <a16:creationId xmlns:a16="http://schemas.microsoft.com/office/drawing/2014/main" id="{00000000-0008-0000-0000-0000C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75" name="Control 203" hidden="1">
              <a:extLst>
                <a:ext uri="{63B3BB69-23CF-44E3-9099-C40C66FF867C}">
                  <a14:compatExt spid="_x0000_s3275"/>
                </a:ext>
                <a:ext uri="{FF2B5EF4-FFF2-40B4-BE49-F238E27FC236}">
                  <a16:creationId xmlns:a16="http://schemas.microsoft.com/office/drawing/2014/main" id="{00000000-0008-0000-0000-0000C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76" name="Control 204" hidden="1">
              <a:extLst>
                <a:ext uri="{63B3BB69-23CF-44E3-9099-C40C66FF867C}">
                  <a14:compatExt spid="_x0000_s3276"/>
                </a:ext>
                <a:ext uri="{FF2B5EF4-FFF2-40B4-BE49-F238E27FC236}">
                  <a16:creationId xmlns:a16="http://schemas.microsoft.com/office/drawing/2014/main" id="{00000000-0008-0000-0000-0000C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77" name="Control 205" hidden="1">
              <a:extLst>
                <a:ext uri="{63B3BB69-23CF-44E3-9099-C40C66FF867C}">
                  <a14:compatExt spid="_x0000_s3277"/>
                </a:ext>
                <a:ext uri="{FF2B5EF4-FFF2-40B4-BE49-F238E27FC236}">
                  <a16:creationId xmlns:a16="http://schemas.microsoft.com/office/drawing/2014/main" id="{00000000-0008-0000-0000-0000C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78" name="Control 206" hidden="1">
              <a:extLst>
                <a:ext uri="{63B3BB69-23CF-44E3-9099-C40C66FF867C}">
                  <a14:compatExt spid="_x0000_s3278"/>
                </a:ext>
                <a:ext uri="{FF2B5EF4-FFF2-40B4-BE49-F238E27FC236}">
                  <a16:creationId xmlns:a16="http://schemas.microsoft.com/office/drawing/2014/main" id="{00000000-0008-0000-0000-0000C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79" name="Control 207" hidden="1">
              <a:extLst>
                <a:ext uri="{63B3BB69-23CF-44E3-9099-C40C66FF867C}">
                  <a14:compatExt spid="_x0000_s3279"/>
                </a:ext>
                <a:ext uri="{FF2B5EF4-FFF2-40B4-BE49-F238E27FC236}">
                  <a16:creationId xmlns:a16="http://schemas.microsoft.com/office/drawing/2014/main" id="{00000000-0008-0000-0000-0000C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80" name="Control 208" hidden="1">
              <a:extLst>
                <a:ext uri="{63B3BB69-23CF-44E3-9099-C40C66FF867C}">
                  <a14:compatExt spid="_x0000_s3280"/>
                </a:ext>
                <a:ext uri="{FF2B5EF4-FFF2-40B4-BE49-F238E27FC236}">
                  <a16:creationId xmlns:a16="http://schemas.microsoft.com/office/drawing/2014/main" id="{00000000-0008-0000-0000-0000D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81" name="Control 209" hidden="1">
              <a:extLst>
                <a:ext uri="{63B3BB69-23CF-44E3-9099-C40C66FF867C}">
                  <a14:compatExt spid="_x0000_s3281"/>
                </a:ext>
                <a:ext uri="{FF2B5EF4-FFF2-40B4-BE49-F238E27FC236}">
                  <a16:creationId xmlns:a16="http://schemas.microsoft.com/office/drawing/2014/main" id="{00000000-0008-0000-0000-0000D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82" name="Control 210" hidden="1">
              <a:extLst>
                <a:ext uri="{63B3BB69-23CF-44E3-9099-C40C66FF867C}">
                  <a14:compatExt spid="_x0000_s3282"/>
                </a:ext>
                <a:ext uri="{FF2B5EF4-FFF2-40B4-BE49-F238E27FC236}">
                  <a16:creationId xmlns:a16="http://schemas.microsoft.com/office/drawing/2014/main" id="{00000000-0008-0000-0000-0000D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83" name="Control 211" hidden="1">
              <a:extLst>
                <a:ext uri="{63B3BB69-23CF-44E3-9099-C40C66FF867C}">
                  <a14:compatExt spid="_x0000_s3283"/>
                </a:ext>
                <a:ext uri="{FF2B5EF4-FFF2-40B4-BE49-F238E27FC236}">
                  <a16:creationId xmlns:a16="http://schemas.microsoft.com/office/drawing/2014/main" id="{00000000-0008-0000-0000-0000D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84" name="Control 212" hidden="1">
              <a:extLst>
                <a:ext uri="{63B3BB69-23CF-44E3-9099-C40C66FF867C}">
                  <a14:compatExt spid="_x0000_s3284"/>
                </a:ext>
                <a:ext uri="{FF2B5EF4-FFF2-40B4-BE49-F238E27FC236}">
                  <a16:creationId xmlns:a16="http://schemas.microsoft.com/office/drawing/2014/main" id="{00000000-0008-0000-0000-0000D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85" name="Control 213" hidden="1">
              <a:extLst>
                <a:ext uri="{63B3BB69-23CF-44E3-9099-C40C66FF867C}">
                  <a14:compatExt spid="_x0000_s3285"/>
                </a:ext>
                <a:ext uri="{FF2B5EF4-FFF2-40B4-BE49-F238E27FC236}">
                  <a16:creationId xmlns:a16="http://schemas.microsoft.com/office/drawing/2014/main" id="{00000000-0008-0000-0000-0000D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86" name="Control 214" hidden="1">
              <a:extLst>
                <a:ext uri="{63B3BB69-23CF-44E3-9099-C40C66FF867C}">
                  <a14:compatExt spid="_x0000_s3286"/>
                </a:ext>
                <a:ext uri="{FF2B5EF4-FFF2-40B4-BE49-F238E27FC236}">
                  <a16:creationId xmlns:a16="http://schemas.microsoft.com/office/drawing/2014/main" id="{00000000-0008-0000-0000-0000D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87" name="Control 215" hidden="1">
              <a:extLst>
                <a:ext uri="{63B3BB69-23CF-44E3-9099-C40C66FF867C}">
                  <a14:compatExt spid="_x0000_s3287"/>
                </a:ext>
                <a:ext uri="{FF2B5EF4-FFF2-40B4-BE49-F238E27FC236}">
                  <a16:creationId xmlns:a16="http://schemas.microsoft.com/office/drawing/2014/main" id="{00000000-0008-0000-0000-0000D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88" name="Control 216" hidden="1">
              <a:extLst>
                <a:ext uri="{63B3BB69-23CF-44E3-9099-C40C66FF867C}">
                  <a14:compatExt spid="_x0000_s3288"/>
                </a:ext>
                <a:ext uri="{FF2B5EF4-FFF2-40B4-BE49-F238E27FC236}">
                  <a16:creationId xmlns:a16="http://schemas.microsoft.com/office/drawing/2014/main" id="{00000000-0008-0000-0000-0000D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89" name="Control 217" hidden="1">
              <a:extLst>
                <a:ext uri="{63B3BB69-23CF-44E3-9099-C40C66FF867C}">
                  <a14:compatExt spid="_x0000_s3289"/>
                </a:ext>
                <a:ext uri="{FF2B5EF4-FFF2-40B4-BE49-F238E27FC236}">
                  <a16:creationId xmlns:a16="http://schemas.microsoft.com/office/drawing/2014/main" id="{00000000-0008-0000-0000-0000D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90" name="Control 218" hidden="1">
              <a:extLst>
                <a:ext uri="{63B3BB69-23CF-44E3-9099-C40C66FF867C}">
                  <a14:compatExt spid="_x0000_s3290"/>
                </a:ext>
                <a:ext uri="{FF2B5EF4-FFF2-40B4-BE49-F238E27FC236}">
                  <a16:creationId xmlns:a16="http://schemas.microsoft.com/office/drawing/2014/main" id="{00000000-0008-0000-0000-0000D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91" name="Control 219" hidden="1">
              <a:extLst>
                <a:ext uri="{63B3BB69-23CF-44E3-9099-C40C66FF867C}">
                  <a14:compatExt spid="_x0000_s3291"/>
                </a:ext>
                <a:ext uri="{FF2B5EF4-FFF2-40B4-BE49-F238E27FC236}">
                  <a16:creationId xmlns:a16="http://schemas.microsoft.com/office/drawing/2014/main" id="{00000000-0008-0000-0000-0000D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92" name="Control 220" hidden="1">
              <a:extLst>
                <a:ext uri="{63B3BB69-23CF-44E3-9099-C40C66FF867C}">
                  <a14:compatExt spid="_x0000_s3292"/>
                </a:ext>
                <a:ext uri="{FF2B5EF4-FFF2-40B4-BE49-F238E27FC236}">
                  <a16:creationId xmlns:a16="http://schemas.microsoft.com/office/drawing/2014/main" id="{00000000-0008-0000-0000-0000D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93" name="Control 221" hidden="1">
              <a:extLst>
                <a:ext uri="{63B3BB69-23CF-44E3-9099-C40C66FF867C}">
                  <a14:compatExt spid="_x0000_s3293"/>
                </a:ext>
                <a:ext uri="{FF2B5EF4-FFF2-40B4-BE49-F238E27FC236}">
                  <a16:creationId xmlns:a16="http://schemas.microsoft.com/office/drawing/2014/main" id="{00000000-0008-0000-0000-0000D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94" name="Control 222" hidden="1">
              <a:extLst>
                <a:ext uri="{63B3BB69-23CF-44E3-9099-C40C66FF867C}">
                  <a14:compatExt spid="_x0000_s3294"/>
                </a:ext>
                <a:ext uri="{FF2B5EF4-FFF2-40B4-BE49-F238E27FC236}">
                  <a16:creationId xmlns:a16="http://schemas.microsoft.com/office/drawing/2014/main" id="{00000000-0008-0000-0000-0000D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95" name="Control 223" hidden="1">
              <a:extLst>
                <a:ext uri="{63B3BB69-23CF-44E3-9099-C40C66FF867C}">
                  <a14:compatExt spid="_x0000_s3295"/>
                </a:ext>
                <a:ext uri="{FF2B5EF4-FFF2-40B4-BE49-F238E27FC236}">
                  <a16:creationId xmlns:a16="http://schemas.microsoft.com/office/drawing/2014/main" id="{00000000-0008-0000-0000-0000D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96" name="Control 224" hidden="1">
              <a:extLst>
                <a:ext uri="{63B3BB69-23CF-44E3-9099-C40C66FF867C}">
                  <a14:compatExt spid="_x0000_s3296"/>
                </a:ext>
                <a:ext uri="{FF2B5EF4-FFF2-40B4-BE49-F238E27FC236}">
                  <a16:creationId xmlns:a16="http://schemas.microsoft.com/office/drawing/2014/main" id="{00000000-0008-0000-0000-0000E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97" name="Control 225" hidden="1">
              <a:extLst>
                <a:ext uri="{63B3BB69-23CF-44E3-9099-C40C66FF867C}">
                  <a14:compatExt spid="_x0000_s3297"/>
                </a:ext>
                <a:ext uri="{FF2B5EF4-FFF2-40B4-BE49-F238E27FC236}">
                  <a16:creationId xmlns:a16="http://schemas.microsoft.com/office/drawing/2014/main" id="{00000000-0008-0000-0000-0000E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98" name="Control 226" hidden="1">
              <a:extLst>
                <a:ext uri="{63B3BB69-23CF-44E3-9099-C40C66FF867C}">
                  <a14:compatExt spid="_x0000_s3298"/>
                </a:ext>
                <a:ext uri="{FF2B5EF4-FFF2-40B4-BE49-F238E27FC236}">
                  <a16:creationId xmlns:a16="http://schemas.microsoft.com/office/drawing/2014/main" id="{00000000-0008-0000-0000-0000E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299" name="Control 227" hidden="1">
              <a:extLst>
                <a:ext uri="{63B3BB69-23CF-44E3-9099-C40C66FF867C}">
                  <a14:compatExt spid="_x0000_s3299"/>
                </a:ext>
                <a:ext uri="{FF2B5EF4-FFF2-40B4-BE49-F238E27FC236}">
                  <a16:creationId xmlns:a16="http://schemas.microsoft.com/office/drawing/2014/main" id="{00000000-0008-0000-0000-0000E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00" name="Control 228" hidden="1">
              <a:extLst>
                <a:ext uri="{63B3BB69-23CF-44E3-9099-C40C66FF867C}">
                  <a14:compatExt spid="_x0000_s3300"/>
                </a:ext>
                <a:ext uri="{FF2B5EF4-FFF2-40B4-BE49-F238E27FC236}">
                  <a16:creationId xmlns:a16="http://schemas.microsoft.com/office/drawing/2014/main" id="{00000000-0008-0000-0000-0000E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01" name="Control 229" hidden="1">
              <a:extLst>
                <a:ext uri="{63B3BB69-23CF-44E3-9099-C40C66FF867C}">
                  <a14:compatExt spid="_x0000_s3301"/>
                </a:ext>
                <a:ext uri="{FF2B5EF4-FFF2-40B4-BE49-F238E27FC236}">
                  <a16:creationId xmlns:a16="http://schemas.microsoft.com/office/drawing/2014/main" id="{00000000-0008-0000-0000-0000E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02" name="Control 230" hidden="1">
              <a:extLst>
                <a:ext uri="{63B3BB69-23CF-44E3-9099-C40C66FF867C}">
                  <a14:compatExt spid="_x0000_s3302"/>
                </a:ext>
                <a:ext uri="{FF2B5EF4-FFF2-40B4-BE49-F238E27FC236}">
                  <a16:creationId xmlns:a16="http://schemas.microsoft.com/office/drawing/2014/main" id="{00000000-0008-0000-0000-0000E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03" name="Control 231" hidden="1">
              <a:extLst>
                <a:ext uri="{63B3BB69-23CF-44E3-9099-C40C66FF867C}">
                  <a14:compatExt spid="_x0000_s3303"/>
                </a:ext>
                <a:ext uri="{FF2B5EF4-FFF2-40B4-BE49-F238E27FC236}">
                  <a16:creationId xmlns:a16="http://schemas.microsoft.com/office/drawing/2014/main" id="{00000000-0008-0000-0000-0000E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04" name="Control 232" hidden="1">
              <a:extLst>
                <a:ext uri="{63B3BB69-23CF-44E3-9099-C40C66FF867C}">
                  <a14:compatExt spid="_x0000_s3304"/>
                </a:ext>
                <a:ext uri="{FF2B5EF4-FFF2-40B4-BE49-F238E27FC236}">
                  <a16:creationId xmlns:a16="http://schemas.microsoft.com/office/drawing/2014/main" id="{00000000-0008-0000-0000-0000E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05" name="Control 233" hidden="1">
              <a:extLst>
                <a:ext uri="{63B3BB69-23CF-44E3-9099-C40C66FF867C}">
                  <a14:compatExt spid="_x0000_s3305"/>
                </a:ext>
                <a:ext uri="{FF2B5EF4-FFF2-40B4-BE49-F238E27FC236}">
                  <a16:creationId xmlns:a16="http://schemas.microsoft.com/office/drawing/2014/main" id="{00000000-0008-0000-0000-0000E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06" name="Control 234" hidden="1">
              <a:extLst>
                <a:ext uri="{63B3BB69-23CF-44E3-9099-C40C66FF867C}">
                  <a14:compatExt spid="_x0000_s3306"/>
                </a:ext>
                <a:ext uri="{FF2B5EF4-FFF2-40B4-BE49-F238E27FC236}">
                  <a16:creationId xmlns:a16="http://schemas.microsoft.com/office/drawing/2014/main" id="{00000000-0008-0000-0000-0000E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07" name="Control 235" hidden="1">
              <a:extLst>
                <a:ext uri="{63B3BB69-23CF-44E3-9099-C40C66FF867C}">
                  <a14:compatExt spid="_x0000_s3307"/>
                </a:ext>
                <a:ext uri="{FF2B5EF4-FFF2-40B4-BE49-F238E27FC236}">
                  <a16:creationId xmlns:a16="http://schemas.microsoft.com/office/drawing/2014/main" id="{00000000-0008-0000-0000-0000E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08" name="Control 236" hidden="1">
              <a:extLst>
                <a:ext uri="{63B3BB69-23CF-44E3-9099-C40C66FF867C}">
                  <a14:compatExt spid="_x0000_s3308"/>
                </a:ext>
                <a:ext uri="{FF2B5EF4-FFF2-40B4-BE49-F238E27FC236}">
                  <a16:creationId xmlns:a16="http://schemas.microsoft.com/office/drawing/2014/main" id="{00000000-0008-0000-0000-0000E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09" name="Control 237" hidden="1">
              <a:extLst>
                <a:ext uri="{63B3BB69-23CF-44E3-9099-C40C66FF867C}">
                  <a14:compatExt spid="_x0000_s3309"/>
                </a:ext>
                <a:ext uri="{FF2B5EF4-FFF2-40B4-BE49-F238E27FC236}">
                  <a16:creationId xmlns:a16="http://schemas.microsoft.com/office/drawing/2014/main" id="{00000000-0008-0000-0000-0000E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10" name="Control 238" hidden="1">
              <a:extLst>
                <a:ext uri="{63B3BB69-23CF-44E3-9099-C40C66FF867C}">
                  <a14:compatExt spid="_x0000_s3310"/>
                </a:ext>
                <a:ext uri="{FF2B5EF4-FFF2-40B4-BE49-F238E27FC236}">
                  <a16:creationId xmlns:a16="http://schemas.microsoft.com/office/drawing/2014/main" id="{00000000-0008-0000-0000-0000E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11" name="Control 239" hidden="1">
              <a:extLst>
                <a:ext uri="{63B3BB69-23CF-44E3-9099-C40C66FF867C}">
                  <a14:compatExt spid="_x0000_s3311"/>
                </a:ext>
                <a:ext uri="{FF2B5EF4-FFF2-40B4-BE49-F238E27FC236}">
                  <a16:creationId xmlns:a16="http://schemas.microsoft.com/office/drawing/2014/main" id="{00000000-0008-0000-0000-0000E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12" name="Control 240" hidden="1">
              <a:extLst>
                <a:ext uri="{63B3BB69-23CF-44E3-9099-C40C66FF867C}">
                  <a14:compatExt spid="_x0000_s3312"/>
                </a:ext>
                <a:ext uri="{FF2B5EF4-FFF2-40B4-BE49-F238E27FC236}">
                  <a16:creationId xmlns:a16="http://schemas.microsoft.com/office/drawing/2014/main" id="{00000000-0008-0000-0000-0000F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37" name="Control 265" hidden="1">
              <a:extLst>
                <a:ext uri="{63B3BB69-23CF-44E3-9099-C40C66FF867C}">
                  <a14:compatExt spid="_x0000_s3337"/>
                </a:ext>
                <a:ext uri="{FF2B5EF4-FFF2-40B4-BE49-F238E27FC236}">
                  <a16:creationId xmlns:a16="http://schemas.microsoft.com/office/drawing/2014/main" id="{00000000-0008-0000-0000-00000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38" name="Control 266" hidden="1">
              <a:extLst>
                <a:ext uri="{63B3BB69-23CF-44E3-9099-C40C66FF867C}">
                  <a14:compatExt spid="_x0000_s3338"/>
                </a:ext>
                <a:ext uri="{FF2B5EF4-FFF2-40B4-BE49-F238E27FC236}">
                  <a16:creationId xmlns:a16="http://schemas.microsoft.com/office/drawing/2014/main" id="{00000000-0008-0000-0000-00000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39" name="Control 267" hidden="1">
              <a:extLst>
                <a:ext uri="{63B3BB69-23CF-44E3-9099-C40C66FF867C}">
                  <a14:compatExt spid="_x0000_s3339"/>
                </a:ext>
                <a:ext uri="{FF2B5EF4-FFF2-40B4-BE49-F238E27FC236}">
                  <a16:creationId xmlns:a16="http://schemas.microsoft.com/office/drawing/2014/main" id="{00000000-0008-0000-0000-00000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40" name="Control 268" hidden="1">
              <a:extLst>
                <a:ext uri="{63B3BB69-23CF-44E3-9099-C40C66FF867C}">
                  <a14:compatExt spid="_x0000_s3340"/>
                </a:ext>
                <a:ext uri="{FF2B5EF4-FFF2-40B4-BE49-F238E27FC236}">
                  <a16:creationId xmlns:a16="http://schemas.microsoft.com/office/drawing/2014/main" id="{00000000-0008-0000-0000-00000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41" name="Control 269" hidden="1">
              <a:extLst>
                <a:ext uri="{63B3BB69-23CF-44E3-9099-C40C66FF867C}">
                  <a14:compatExt spid="_x0000_s3341"/>
                </a:ext>
                <a:ext uri="{FF2B5EF4-FFF2-40B4-BE49-F238E27FC236}">
                  <a16:creationId xmlns:a16="http://schemas.microsoft.com/office/drawing/2014/main" id="{00000000-0008-0000-0000-00000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42" name="Control 270" hidden="1">
              <a:extLst>
                <a:ext uri="{63B3BB69-23CF-44E3-9099-C40C66FF867C}">
                  <a14:compatExt spid="_x0000_s3342"/>
                </a:ext>
                <a:ext uri="{FF2B5EF4-FFF2-40B4-BE49-F238E27FC236}">
                  <a16:creationId xmlns:a16="http://schemas.microsoft.com/office/drawing/2014/main" id="{00000000-0008-0000-0000-00000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43" name="Control 271" hidden="1">
              <a:extLst>
                <a:ext uri="{63B3BB69-23CF-44E3-9099-C40C66FF867C}">
                  <a14:compatExt spid="_x0000_s3343"/>
                </a:ext>
                <a:ext uri="{FF2B5EF4-FFF2-40B4-BE49-F238E27FC236}">
                  <a16:creationId xmlns:a16="http://schemas.microsoft.com/office/drawing/2014/main" id="{00000000-0008-0000-0000-00000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44" name="Control 272" hidden="1">
              <a:extLst>
                <a:ext uri="{63B3BB69-23CF-44E3-9099-C40C66FF867C}">
                  <a14:compatExt spid="_x0000_s3344"/>
                </a:ext>
                <a:ext uri="{FF2B5EF4-FFF2-40B4-BE49-F238E27FC236}">
                  <a16:creationId xmlns:a16="http://schemas.microsoft.com/office/drawing/2014/main" id="{00000000-0008-0000-0000-00001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45" name="Control 273" hidden="1">
              <a:extLst>
                <a:ext uri="{63B3BB69-23CF-44E3-9099-C40C66FF867C}">
                  <a14:compatExt spid="_x0000_s3345"/>
                </a:ext>
                <a:ext uri="{FF2B5EF4-FFF2-40B4-BE49-F238E27FC236}">
                  <a16:creationId xmlns:a16="http://schemas.microsoft.com/office/drawing/2014/main" id="{00000000-0008-0000-0000-00001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46" name="Control 274" hidden="1">
              <a:extLst>
                <a:ext uri="{63B3BB69-23CF-44E3-9099-C40C66FF867C}">
                  <a14:compatExt spid="_x0000_s3346"/>
                </a:ext>
                <a:ext uri="{FF2B5EF4-FFF2-40B4-BE49-F238E27FC236}">
                  <a16:creationId xmlns:a16="http://schemas.microsoft.com/office/drawing/2014/main" id="{00000000-0008-0000-0000-00001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47" name="Control 275" hidden="1">
              <a:extLst>
                <a:ext uri="{63B3BB69-23CF-44E3-9099-C40C66FF867C}">
                  <a14:compatExt spid="_x0000_s3347"/>
                </a:ext>
                <a:ext uri="{FF2B5EF4-FFF2-40B4-BE49-F238E27FC236}">
                  <a16:creationId xmlns:a16="http://schemas.microsoft.com/office/drawing/2014/main" id="{00000000-0008-0000-0000-00001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48" name="Control 276" hidden="1">
              <a:extLst>
                <a:ext uri="{63B3BB69-23CF-44E3-9099-C40C66FF867C}">
                  <a14:compatExt spid="_x0000_s3348"/>
                </a:ext>
                <a:ext uri="{FF2B5EF4-FFF2-40B4-BE49-F238E27FC236}">
                  <a16:creationId xmlns:a16="http://schemas.microsoft.com/office/drawing/2014/main" id="{00000000-0008-0000-0000-00001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49" name="Control 277" hidden="1">
              <a:extLst>
                <a:ext uri="{63B3BB69-23CF-44E3-9099-C40C66FF867C}">
                  <a14:compatExt spid="_x0000_s3349"/>
                </a:ext>
                <a:ext uri="{FF2B5EF4-FFF2-40B4-BE49-F238E27FC236}">
                  <a16:creationId xmlns:a16="http://schemas.microsoft.com/office/drawing/2014/main" id="{00000000-0008-0000-0000-00001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50" name="Control 278" hidden="1">
              <a:extLst>
                <a:ext uri="{63B3BB69-23CF-44E3-9099-C40C66FF867C}">
                  <a14:compatExt spid="_x0000_s3350"/>
                </a:ext>
                <a:ext uri="{FF2B5EF4-FFF2-40B4-BE49-F238E27FC236}">
                  <a16:creationId xmlns:a16="http://schemas.microsoft.com/office/drawing/2014/main" id="{00000000-0008-0000-0000-00001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51" name="Control 279" hidden="1">
              <a:extLst>
                <a:ext uri="{63B3BB69-23CF-44E3-9099-C40C66FF867C}">
                  <a14:compatExt spid="_x0000_s3351"/>
                </a:ext>
                <a:ext uri="{FF2B5EF4-FFF2-40B4-BE49-F238E27FC236}">
                  <a16:creationId xmlns:a16="http://schemas.microsoft.com/office/drawing/2014/main" id="{00000000-0008-0000-0000-00001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52" name="Control 280" hidden="1">
              <a:extLst>
                <a:ext uri="{63B3BB69-23CF-44E3-9099-C40C66FF867C}">
                  <a14:compatExt spid="_x0000_s3352"/>
                </a:ext>
                <a:ext uri="{FF2B5EF4-FFF2-40B4-BE49-F238E27FC236}">
                  <a16:creationId xmlns:a16="http://schemas.microsoft.com/office/drawing/2014/main" id="{00000000-0008-0000-0000-00001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53" name="Control 281" hidden="1">
              <a:extLst>
                <a:ext uri="{63B3BB69-23CF-44E3-9099-C40C66FF867C}">
                  <a14:compatExt spid="_x0000_s3353"/>
                </a:ext>
                <a:ext uri="{FF2B5EF4-FFF2-40B4-BE49-F238E27FC236}">
                  <a16:creationId xmlns:a16="http://schemas.microsoft.com/office/drawing/2014/main" id="{00000000-0008-0000-0000-00001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54" name="Control 282" hidden="1">
              <a:extLst>
                <a:ext uri="{63B3BB69-23CF-44E3-9099-C40C66FF867C}">
                  <a14:compatExt spid="_x0000_s3354"/>
                </a:ext>
                <a:ext uri="{FF2B5EF4-FFF2-40B4-BE49-F238E27FC236}">
                  <a16:creationId xmlns:a16="http://schemas.microsoft.com/office/drawing/2014/main" id="{00000000-0008-0000-0000-00001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55" name="Control 283" hidden="1">
              <a:extLst>
                <a:ext uri="{63B3BB69-23CF-44E3-9099-C40C66FF867C}">
                  <a14:compatExt spid="_x0000_s3355"/>
                </a:ext>
                <a:ext uri="{FF2B5EF4-FFF2-40B4-BE49-F238E27FC236}">
                  <a16:creationId xmlns:a16="http://schemas.microsoft.com/office/drawing/2014/main" id="{00000000-0008-0000-0000-00001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56" name="Control 284" hidden="1">
              <a:extLst>
                <a:ext uri="{63B3BB69-23CF-44E3-9099-C40C66FF867C}">
                  <a14:compatExt spid="_x0000_s3356"/>
                </a:ext>
                <a:ext uri="{FF2B5EF4-FFF2-40B4-BE49-F238E27FC236}">
                  <a16:creationId xmlns:a16="http://schemas.microsoft.com/office/drawing/2014/main" id="{00000000-0008-0000-0000-00001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57" name="Control 285" hidden="1">
              <a:extLst>
                <a:ext uri="{63B3BB69-23CF-44E3-9099-C40C66FF867C}">
                  <a14:compatExt spid="_x0000_s3357"/>
                </a:ext>
                <a:ext uri="{FF2B5EF4-FFF2-40B4-BE49-F238E27FC236}">
                  <a16:creationId xmlns:a16="http://schemas.microsoft.com/office/drawing/2014/main" id="{00000000-0008-0000-0000-00001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58" name="Control 286" hidden="1">
              <a:extLst>
                <a:ext uri="{63B3BB69-23CF-44E3-9099-C40C66FF867C}">
                  <a14:compatExt spid="_x0000_s3358"/>
                </a:ext>
                <a:ext uri="{FF2B5EF4-FFF2-40B4-BE49-F238E27FC236}">
                  <a16:creationId xmlns:a16="http://schemas.microsoft.com/office/drawing/2014/main" id="{00000000-0008-0000-0000-00001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59" name="Control 287" hidden="1">
              <a:extLst>
                <a:ext uri="{63B3BB69-23CF-44E3-9099-C40C66FF867C}">
                  <a14:compatExt spid="_x0000_s3359"/>
                </a:ext>
                <a:ext uri="{FF2B5EF4-FFF2-40B4-BE49-F238E27FC236}">
                  <a16:creationId xmlns:a16="http://schemas.microsoft.com/office/drawing/2014/main" id="{00000000-0008-0000-0000-00001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60" name="Control 288" hidden="1">
              <a:extLst>
                <a:ext uri="{63B3BB69-23CF-44E3-9099-C40C66FF867C}">
                  <a14:compatExt spid="_x0000_s3360"/>
                </a:ext>
                <a:ext uri="{FF2B5EF4-FFF2-40B4-BE49-F238E27FC236}">
                  <a16:creationId xmlns:a16="http://schemas.microsoft.com/office/drawing/2014/main" id="{00000000-0008-0000-0000-00002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61" name="Control 289" hidden="1">
              <a:extLst>
                <a:ext uri="{63B3BB69-23CF-44E3-9099-C40C66FF867C}">
                  <a14:compatExt spid="_x0000_s3361"/>
                </a:ext>
                <a:ext uri="{FF2B5EF4-FFF2-40B4-BE49-F238E27FC236}">
                  <a16:creationId xmlns:a16="http://schemas.microsoft.com/office/drawing/2014/main" id="{00000000-0008-0000-0000-00002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62" name="Control 290" hidden="1">
              <a:extLst>
                <a:ext uri="{63B3BB69-23CF-44E3-9099-C40C66FF867C}">
                  <a14:compatExt spid="_x0000_s3362"/>
                </a:ext>
                <a:ext uri="{FF2B5EF4-FFF2-40B4-BE49-F238E27FC236}">
                  <a16:creationId xmlns:a16="http://schemas.microsoft.com/office/drawing/2014/main" id="{00000000-0008-0000-0000-00002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63" name="Control 291" hidden="1">
              <a:extLst>
                <a:ext uri="{63B3BB69-23CF-44E3-9099-C40C66FF867C}">
                  <a14:compatExt spid="_x0000_s3363"/>
                </a:ext>
                <a:ext uri="{FF2B5EF4-FFF2-40B4-BE49-F238E27FC236}">
                  <a16:creationId xmlns:a16="http://schemas.microsoft.com/office/drawing/2014/main" id="{00000000-0008-0000-0000-00002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64" name="Control 292" hidden="1">
              <a:extLst>
                <a:ext uri="{63B3BB69-23CF-44E3-9099-C40C66FF867C}">
                  <a14:compatExt spid="_x0000_s3364"/>
                </a:ext>
                <a:ext uri="{FF2B5EF4-FFF2-40B4-BE49-F238E27FC236}">
                  <a16:creationId xmlns:a16="http://schemas.microsoft.com/office/drawing/2014/main" id="{00000000-0008-0000-0000-00002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65" name="Control 293" hidden="1">
              <a:extLst>
                <a:ext uri="{63B3BB69-23CF-44E3-9099-C40C66FF867C}">
                  <a14:compatExt spid="_x0000_s3365"/>
                </a:ext>
                <a:ext uri="{FF2B5EF4-FFF2-40B4-BE49-F238E27FC236}">
                  <a16:creationId xmlns:a16="http://schemas.microsoft.com/office/drawing/2014/main" id="{00000000-0008-0000-0000-00002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66" name="Control 294" hidden="1">
              <a:extLst>
                <a:ext uri="{63B3BB69-23CF-44E3-9099-C40C66FF867C}">
                  <a14:compatExt spid="_x0000_s3366"/>
                </a:ext>
                <a:ext uri="{FF2B5EF4-FFF2-40B4-BE49-F238E27FC236}">
                  <a16:creationId xmlns:a16="http://schemas.microsoft.com/office/drawing/2014/main" id="{00000000-0008-0000-0000-00002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67" name="Control 295" hidden="1">
              <a:extLst>
                <a:ext uri="{63B3BB69-23CF-44E3-9099-C40C66FF867C}">
                  <a14:compatExt spid="_x0000_s3367"/>
                </a:ext>
                <a:ext uri="{FF2B5EF4-FFF2-40B4-BE49-F238E27FC236}">
                  <a16:creationId xmlns:a16="http://schemas.microsoft.com/office/drawing/2014/main" id="{00000000-0008-0000-0000-00002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68" name="Control 296" hidden="1">
              <a:extLst>
                <a:ext uri="{63B3BB69-23CF-44E3-9099-C40C66FF867C}">
                  <a14:compatExt spid="_x0000_s3368"/>
                </a:ext>
                <a:ext uri="{FF2B5EF4-FFF2-40B4-BE49-F238E27FC236}">
                  <a16:creationId xmlns:a16="http://schemas.microsoft.com/office/drawing/2014/main" id="{00000000-0008-0000-0000-00002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69" name="Control 297" hidden="1">
              <a:extLst>
                <a:ext uri="{63B3BB69-23CF-44E3-9099-C40C66FF867C}">
                  <a14:compatExt spid="_x0000_s3369"/>
                </a:ext>
                <a:ext uri="{FF2B5EF4-FFF2-40B4-BE49-F238E27FC236}">
                  <a16:creationId xmlns:a16="http://schemas.microsoft.com/office/drawing/2014/main" id="{00000000-0008-0000-0000-00002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70" name="Control 298" hidden="1">
              <a:extLst>
                <a:ext uri="{63B3BB69-23CF-44E3-9099-C40C66FF867C}">
                  <a14:compatExt spid="_x0000_s3370"/>
                </a:ext>
                <a:ext uri="{FF2B5EF4-FFF2-40B4-BE49-F238E27FC236}">
                  <a16:creationId xmlns:a16="http://schemas.microsoft.com/office/drawing/2014/main" id="{00000000-0008-0000-0000-00002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71" name="Control 299" hidden="1">
              <a:extLst>
                <a:ext uri="{63B3BB69-23CF-44E3-9099-C40C66FF867C}">
                  <a14:compatExt spid="_x0000_s3371"/>
                </a:ext>
                <a:ext uri="{FF2B5EF4-FFF2-40B4-BE49-F238E27FC236}">
                  <a16:creationId xmlns:a16="http://schemas.microsoft.com/office/drawing/2014/main" id="{00000000-0008-0000-0000-00002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72" name="Control 300" hidden="1">
              <a:extLst>
                <a:ext uri="{63B3BB69-23CF-44E3-9099-C40C66FF867C}">
                  <a14:compatExt spid="_x0000_s3372"/>
                </a:ext>
                <a:ext uri="{FF2B5EF4-FFF2-40B4-BE49-F238E27FC236}">
                  <a16:creationId xmlns:a16="http://schemas.microsoft.com/office/drawing/2014/main" id="{00000000-0008-0000-0000-00002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73" name="Control 301" hidden="1">
              <a:extLst>
                <a:ext uri="{63B3BB69-23CF-44E3-9099-C40C66FF867C}">
                  <a14:compatExt spid="_x0000_s3373"/>
                </a:ext>
                <a:ext uri="{FF2B5EF4-FFF2-40B4-BE49-F238E27FC236}">
                  <a16:creationId xmlns:a16="http://schemas.microsoft.com/office/drawing/2014/main" id="{00000000-0008-0000-0000-00002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74" name="Control 302" hidden="1">
              <a:extLst>
                <a:ext uri="{63B3BB69-23CF-44E3-9099-C40C66FF867C}">
                  <a14:compatExt spid="_x0000_s3374"/>
                </a:ext>
                <a:ext uri="{FF2B5EF4-FFF2-40B4-BE49-F238E27FC236}">
                  <a16:creationId xmlns:a16="http://schemas.microsoft.com/office/drawing/2014/main" id="{00000000-0008-0000-0000-00002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75" name="Control 303" hidden="1">
              <a:extLst>
                <a:ext uri="{63B3BB69-23CF-44E3-9099-C40C66FF867C}">
                  <a14:compatExt spid="_x0000_s3375"/>
                </a:ext>
                <a:ext uri="{FF2B5EF4-FFF2-40B4-BE49-F238E27FC236}">
                  <a16:creationId xmlns:a16="http://schemas.microsoft.com/office/drawing/2014/main" id="{00000000-0008-0000-0000-00002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76" name="Control 304" hidden="1">
              <a:extLst>
                <a:ext uri="{63B3BB69-23CF-44E3-9099-C40C66FF867C}">
                  <a14:compatExt spid="_x0000_s3376"/>
                </a:ext>
                <a:ext uri="{FF2B5EF4-FFF2-40B4-BE49-F238E27FC236}">
                  <a16:creationId xmlns:a16="http://schemas.microsoft.com/office/drawing/2014/main" id="{00000000-0008-0000-0000-00003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77" name="Control 305" hidden="1">
              <a:extLst>
                <a:ext uri="{63B3BB69-23CF-44E3-9099-C40C66FF867C}">
                  <a14:compatExt spid="_x0000_s3377"/>
                </a:ext>
                <a:ext uri="{FF2B5EF4-FFF2-40B4-BE49-F238E27FC236}">
                  <a16:creationId xmlns:a16="http://schemas.microsoft.com/office/drawing/2014/main" id="{00000000-0008-0000-0000-00003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78" name="Control 306" hidden="1">
              <a:extLst>
                <a:ext uri="{63B3BB69-23CF-44E3-9099-C40C66FF867C}">
                  <a14:compatExt spid="_x0000_s3378"/>
                </a:ext>
                <a:ext uri="{FF2B5EF4-FFF2-40B4-BE49-F238E27FC236}">
                  <a16:creationId xmlns:a16="http://schemas.microsoft.com/office/drawing/2014/main" id="{00000000-0008-0000-0000-00003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79" name="Control 307" hidden="1">
              <a:extLst>
                <a:ext uri="{63B3BB69-23CF-44E3-9099-C40C66FF867C}">
                  <a14:compatExt spid="_x0000_s3379"/>
                </a:ext>
                <a:ext uri="{FF2B5EF4-FFF2-40B4-BE49-F238E27FC236}">
                  <a16:creationId xmlns:a16="http://schemas.microsoft.com/office/drawing/2014/main" id="{00000000-0008-0000-0000-00003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80" name="Control 308" hidden="1">
              <a:extLst>
                <a:ext uri="{63B3BB69-23CF-44E3-9099-C40C66FF867C}">
                  <a14:compatExt spid="_x0000_s3380"/>
                </a:ext>
                <a:ext uri="{FF2B5EF4-FFF2-40B4-BE49-F238E27FC236}">
                  <a16:creationId xmlns:a16="http://schemas.microsoft.com/office/drawing/2014/main" id="{00000000-0008-0000-0000-00003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81" name="Control 309" hidden="1">
              <a:extLst>
                <a:ext uri="{63B3BB69-23CF-44E3-9099-C40C66FF867C}">
                  <a14:compatExt spid="_x0000_s3381"/>
                </a:ext>
                <a:ext uri="{FF2B5EF4-FFF2-40B4-BE49-F238E27FC236}">
                  <a16:creationId xmlns:a16="http://schemas.microsoft.com/office/drawing/2014/main" id="{00000000-0008-0000-0000-00003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82" name="Control 310" hidden="1">
              <a:extLst>
                <a:ext uri="{63B3BB69-23CF-44E3-9099-C40C66FF867C}">
                  <a14:compatExt spid="_x0000_s3382"/>
                </a:ext>
                <a:ext uri="{FF2B5EF4-FFF2-40B4-BE49-F238E27FC236}">
                  <a16:creationId xmlns:a16="http://schemas.microsoft.com/office/drawing/2014/main" id="{00000000-0008-0000-0000-00003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83" name="Control 311" hidden="1">
              <a:extLst>
                <a:ext uri="{63B3BB69-23CF-44E3-9099-C40C66FF867C}">
                  <a14:compatExt spid="_x0000_s3383"/>
                </a:ext>
                <a:ext uri="{FF2B5EF4-FFF2-40B4-BE49-F238E27FC236}">
                  <a16:creationId xmlns:a16="http://schemas.microsoft.com/office/drawing/2014/main" id="{00000000-0008-0000-0000-00003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84" name="Control 312" hidden="1">
              <a:extLst>
                <a:ext uri="{63B3BB69-23CF-44E3-9099-C40C66FF867C}">
                  <a14:compatExt spid="_x0000_s3384"/>
                </a:ext>
                <a:ext uri="{FF2B5EF4-FFF2-40B4-BE49-F238E27FC236}">
                  <a16:creationId xmlns:a16="http://schemas.microsoft.com/office/drawing/2014/main" id="{00000000-0008-0000-0000-00003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85" name="Control 313" hidden="1">
              <a:extLst>
                <a:ext uri="{63B3BB69-23CF-44E3-9099-C40C66FF867C}">
                  <a14:compatExt spid="_x0000_s3385"/>
                </a:ext>
                <a:ext uri="{FF2B5EF4-FFF2-40B4-BE49-F238E27FC236}">
                  <a16:creationId xmlns:a16="http://schemas.microsoft.com/office/drawing/2014/main" id="{00000000-0008-0000-0000-00003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86" name="Control 314" hidden="1">
              <a:extLst>
                <a:ext uri="{63B3BB69-23CF-44E3-9099-C40C66FF867C}">
                  <a14:compatExt spid="_x0000_s3386"/>
                </a:ext>
                <a:ext uri="{FF2B5EF4-FFF2-40B4-BE49-F238E27FC236}">
                  <a16:creationId xmlns:a16="http://schemas.microsoft.com/office/drawing/2014/main" id="{00000000-0008-0000-0000-00003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87" name="Control 315" hidden="1">
              <a:extLst>
                <a:ext uri="{63B3BB69-23CF-44E3-9099-C40C66FF867C}">
                  <a14:compatExt spid="_x0000_s3387"/>
                </a:ext>
                <a:ext uri="{FF2B5EF4-FFF2-40B4-BE49-F238E27FC236}">
                  <a16:creationId xmlns:a16="http://schemas.microsoft.com/office/drawing/2014/main" id="{00000000-0008-0000-0000-00003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88" name="Control 316" hidden="1">
              <a:extLst>
                <a:ext uri="{63B3BB69-23CF-44E3-9099-C40C66FF867C}">
                  <a14:compatExt spid="_x0000_s3388"/>
                </a:ext>
                <a:ext uri="{FF2B5EF4-FFF2-40B4-BE49-F238E27FC236}">
                  <a16:creationId xmlns:a16="http://schemas.microsoft.com/office/drawing/2014/main" id="{00000000-0008-0000-0000-00003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89" name="Control 317" hidden="1">
              <a:extLst>
                <a:ext uri="{63B3BB69-23CF-44E3-9099-C40C66FF867C}">
                  <a14:compatExt spid="_x0000_s3389"/>
                </a:ext>
                <a:ext uri="{FF2B5EF4-FFF2-40B4-BE49-F238E27FC236}">
                  <a16:creationId xmlns:a16="http://schemas.microsoft.com/office/drawing/2014/main" id="{00000000-0008-0000-0000-00003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90" name="Control 318" hidden="1">
              <a:extLst>
                <a:ext uri="{63B3BB69-23CF-44E3-9099-C40C66FF867C}">
                  <a14:compatExt spid="_x0000_s3390"/>
                </a:ext>
                <a:ext uri="{FF2B5EF4-FFF2-40B4-BE49-F238E27FC236}">
                  <a16:creationId xmlns:a16="http://schemas.microsoft.com/office/drawing/2014/main" id="{00000000-0008-0000-0000-00003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91" name="Control 319" hidden="1">
              <a:extLst>
                <a:ext uri="{63B3BB69-23CF-44E3-9099-C40C66FF867C}">
                  <a14:compatExt spid="_x0000_s3391"/>
                </a:ext>
                <a:ext uri="{FF2B5EF4-FFF2-40B4-BE49-F238E27FC236}">
                  <a16:creationId xmlns:a16="http://schemas.microsoft.com/office/drawing/2014/main" id="{00000000-0008-0000-0000-00003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92" name="Control 320" hidden="1">
              <a:extLst>
                <a:ext uri="{63B3BB69-23CF-44E3-9099-C40C66FF867C}">
                  <a14:compatExt spid="_x0000_s3392"/>
                </a:ext>
                <a:ext uri="{FF2B5EF4-FFF2-40B4-BE49-F238E27FC236}">
                  <a16:creationId xmlns:a16="http://schemas.microsoft.com/office/drawing/2014/main" id="{00000000-0008-0000-0000-00004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93" name="Control 321" hidden="1">
              <a:extLst>
                <a:ext uri="{63B3BB69-23CF-44E3-9099-C40C66FF867C}">
                  <a14:compatExt spid="_x0000_s3393"/>
                </a:ext>
                <a:ext uri="{FF2B5EF4-FFF2-40B4-BE49-F238E27FC236}">
                  <a16:creationId xmlns:a16="http://schemas.microsoft.com/office/drawing/2014/main" id="{00000000-0008-0000-0000-00004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94" name="Control 322" hidden="1">
              <a:extLst>
                <a:ext uri="{63B3BB69-23CF-44E3-9099-C40C66FF867C}">
                  <a14:compatExt spid="_x0000_s3394"/>
                </a:ext>
                <a:ext uri="{FF2B5EF4-FFF2-40B4-BE49-F238E27FC236}">
                  <a16:creationId xmlns:a16="http://schemas.microsoft.com/office/drawing/2014/main" id="{00000000-0008-0000-0000-00004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95" name="Control 323" hidden="1">
              <a:extLst>
                <a:ext uri="{63B3BB69-23CF-44E3-9099-C40C66FF867C}">
                  <a14:compatExt spid="_x0000_s3395"/>
                </a:ext>
                <a:ext uri="{FF2B5EF4-FFF2-40B4-BE49-F238E27FC236}">
                  <a16:creationId xmlns:a16="http://schemas.microsoft.com/office/drawing/2014/main" id="{00000000-0008-0000-0000-00004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96" name="Control 324" hidden="1">
              <a:extLst>
                <a:ext uri="{63B3BB69-23CF-44E3-9099-C40C66FF867C}">
                  <a14:compatExt spid="_x0000_s3396"/>
                </a:ext>
                <a:ext uri="{FF2B5EF4-FFF2-40B4-BE49-F238E27FC236}">
                  <a16:creationId xmlns:a16="http://schemas.microsoft.com/office/drawing/2014/main" id="{00000000-0008-0000-0000-00004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97" name="Control 325" hidden="1">
              <a:extLst>
                <a:ext uri="{63B3BB69-23CF-44E3-9099-C40C66FF867C}">
                  <a14:compatExt spid="_x0000_s3397"/>
                </a:ext>
                <a:ext uri="{FF2B5EF4-FFF2-40B4-BE49-F238E27FC236}">
                  <a16:creationId xmlns:a16="http://schemas.microsoft.com/office/drawing/2014/main" id="{00000000-0008-0000-0000-00004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98" name="Control 326" hidden="1">
              <a:extLst>
                <a:ext uri="{63B3BB69-23CF-44E3-9099-C40C66FF867C}">
                  <a14:compatExt spid="_x0000_s3398"/>
                </a:ext>
                <a:ext uri="{FF2B5EF4-FFF2-40B4-BE49-F238E27FC236}">
                  <a16:creationId xmlns:a16="http://schemas.microsoft.com/office/drawing/2014/main" id="{00000000-0008-0000-0000-00004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399" name="Control 327" hidden="1">
              <a:extLst>
                <a:ext uri="{63B3BB69-23CF-44E3-9099-C40C66FF867C}">
                  <a14:compatExt spid="_x0000_s3399"/>
                </a:ext>
                <a:ext uri="{FF2B5EF4-FFF2-40B4-BE49-F238E27FC236}">
                  <a16:creationId xmlns:a16="http://schemas.microsoft.com/office/drawing/2014/main" id="{00000000-0008-0000-0000-00004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00" name="Control 328" hidden="1">
              <a:extLst>
                <a:ext uri="{63B3BB69-23CF-44E3-9099-C40C66FF867C}">
                  <a14:compatExt spid="_x0000_s3400"/>
                </a:ext>
                <a:ext uri="{FF2B5EF4-FFF2-40B4-BE49-F238E27FC236}">
                  <a16:creationId xmlns:a16="http://schemas.microsoft.com/office/drawing/2014/main" id="{00000000-0008-0000-0000-00004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01" name="Control 329" hidden="1">
              <a:extLst>
                <a:ext uri="{63B3BB69-23CF-44E3-9099-C40C66FF867C}">
                  <a14:compatExt spid="_x0000_s3401"/>
                </a:ext>
                <a:ext uri="{FF2B5EF4-FFF2-40B4-BE49-F238E27FC236}">
                  <a16:creationId xmlns:a16="http://schemas.microsoft.com/office/drawing/2014/main" id="{00000000-0008-0000-0000-00004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02" name="Control 330" hidden="1">
              <a:extLst>
                <a:ext uri="{63B3BB69-23CF-44E3-9099-C40C66FF867C}">
                  <a14:compatExt spid="_x0000_s3402"/>
                </a:ext>
                <a:ext uri="{FF2B5EF4-FFF2-40B4-BE49-F238E27FC236}">
                  <a16:creationId xmlns:a16="http://schemas.microsoft.com/office/drawing/2014/main" id="{00000000-0008-0000-0000-00004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03" name="Control 331" hidden="1">
              <a:extLst>
                <a:ext uri="{63B3BB69-23CF-44E3-9099-C40C66FF867C}">
                  <a14:compatExt spid="_x0000_s3403"/>
                </a:ext>
                <a:ext uri="{FF2B5EF4-FFF2-40B4-BE49-F238E27FC236}">
                  <a16:creationId xmlns:a16="http://schemas.microsoft.com/office/drawing/2014/main" id="{00000000-0008-0000-0000-00004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04" name="Control 332" hidden="1">
              <a:extLst>
                <a:ext uri="{63B3BB69-23CF-44E3-9099-C40C66FF867C}">
                  <a14:compatExt spid="_x0000_s3404"/>
                </a:ext>
                <a:ext uri="{FF2B5EF4-FFF2-40B4-BE49-F238E27FC236}">
                  <a16:creationId xmlns:a16="http://schemas.microsoft.com/office/drawing/2014/main" id="{00000000-0008-0000-0000-00004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05" name="Control 333" hidden="1">
              <a:extLst>
                <a:ext uri="{63B3BB69-23CF-44E3-9099-C40C66FF867C}">
                  <a14:compatExt spid="_x0000_s3405"/>
                </a:ext>
                <a:ext uri="{FF2B5EF4-FFF2-40B4-BE49-F238E27FC236}">
                  <a16:creationId xmlns:a16="http://schemas.microsoft.com/office/drawing/2014/main" id="{00000000-0008-0000-0000-00004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06" name="Control 334" hidden="1">
              <a:extLst>
                <a:ext uri="{63B3BB69-23CF-44E3-9099-C40C66FF867C}">
                  <a14:compatExt spid="_x0000_s3406"/>
                </a:ext>
                <a:ext uri="{FF2B5EF4-FFF2-40B4-BE49-F238E27FC236}">
                  <a16:creationId xmlns:a16="http://schemas.microsoft.com/office/drawing/2014/main" id="{00000000-0008-0000-0000-00004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07" name="Control 335" hidden="1">
              <a:extLst>
                <a:ext uri="{63B3BB69-23CF-44E3-9099-C40C66FF867C}">
                  <a14:compatExt spid="_x0000_s3407"/>
                </a:ext>
                <a:ext uri="{FF2B5EF4-FFF2-40B4-BE49-F238E27FC236}">
                  <a16:creationId xmlns:a16="http://schemas.microsoft.com/office/drawing/2014/main" id="{00000000-0008-0000-0000-00004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08" name="Control 336" hidden="1">
              <a:extLst>
                <a:ext uri="{63B3BB69-23CF-44E3-9099-C40C66FF867C}">
                  <a14:compatExt spid="_x0000_s3408"/>
                </a:ext>
                <a:ext uri="{FF2B5EF4-FFF2-40B4-BE49-F238E27FC236}">
                  <a16:creationId xmlns:a16="http://schemas.microsoft.com/office/drawing/2014/main" id="{00000000-0008-0000-0000-00005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09" name="Control 337" hidden="1">
              <a:extLst>
                <a:ext uri="{63B3BB69-23CF-44E3-9099-C40C66FF867C}">
                  <a14:compatExt spid="_x0000_s3409"/>
                </a:ext>
                <a:ext uri="{FF2B5EF4-FFF2-40B4-BE49-F238E27FC236}">
                  <a16:creationId xmlns:a16="http://schemas.microsoft.com/office/drawing/2014/main" id="{00000000-0008-0000-0000-00005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10" name="Control 338" hidden="1">
              <a:extLst>
                <a:ext uri="{63B3BB69-23CF-44E3-9099-C40C66FF867C}">
                  <a14:compatExt spid="_x0000_s3410"/>
                </a:ext>
                <a:ext uri="{FF2B5EF4-FFF2-40B4-BE49-F238E27FC236}">
                  <a16:creationId xmlns:a16="http://schemas.microsoft.com/office/drawing/2014/main" id="{00000000-0008-0000-0000-00005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11" name="Control 339" hidden="1">
              <a:extLst>
                <a:ext uri="{63B3BB69-23CF-44E3-9099-C40C66FF867C}">
                  <a14:compatExt spid="_x0000_s3411"/>
                </a:ext>
                <a:ext uri="{FF2B5EF4-FFF2-40B4-BE49-F238E27FC236}">
                  <a16:creationId xmlns:a16="http://schemas.microsoft.com/office/drawing/2014/main" id="{00000000-0008-0000-0000-00005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12" name="Control 340" hidden="1">
              <a:extLst>
                <a:ext uri="{63B3BB69-23CF-44E3-9099-C40C66FF867C}">
                  <a14:compatExt spid="_x0000_s3412"/>
                </a:ext>
                <a:ext uri="{FF2B5EF4-FFF2-40B4-BE49-F238E27FC236}">
                  <a16:creationId xmlns:a16="http://schemas.microsoft.com/office/drawing/2014/main" id="{00000000-0008-0000-0000-00005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13" name="Control 341" hidden="1">
              <a:extLst>
                <a:ext uri="{63B3BB69-23CF-44E3-9099-C40C66FF867C}">
                  <a14:compatExt spid="_x0000_s3413"/>
                </a:ext>
                <a:ext uri="{FF2B5EF4-FFF2-40B4-BE49-F238E27FC236}">
                  <a16:creationId xmlns:a16="http://schemas.microsoft.com/office/drawing/2014/main" id="{00000000-0008-0000-0000-00005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62" name="Control 390" hidden="1">
              <a:extLst>
                <a:ext uri="{63B3BB69-23CF-44E3-9099-C40C66FF867C}">
                  <a14:compatExt spid="_x0000_s3462"/>
                </a:ext>
                <a:ext uri="{FF2B5EF4-FFF2-40B4-BE49-F238E27FC236}">
                  <a16:creationId xmlns:a16="http://schemas.microsoft.com/office/drawing/2014/main" id="{00000000-0008-0000-0000-00008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63" name="Control 391" hidden="1">
              <a:extLst>
                <a:ext uri="{63B3BB69-23CF-44E3-9099-C40C66FF867C}">
                  <a14:compatExt spid="_x0000_s3463"/>
                </a:ext>
                <a:ext uri="{FF2B5EF4-FFF2-40B4-BE49-F238E27FC236}">
                  <a16:creationId xmlns:a16="http://schemas.microsoft.com/office/drawing/2014/main" id="{00000000-0008-0000-0000-00008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64" name="Control 392" hidden="1">
              <a:extLst>
                <a:ext uri="{63B3BB69-23CF-44E3-9099-C40C66FF867C}">
                  <a14:compatExt spid="_x0000_s3464"/>
                </a:ext>
                <a:ext uri="{FF2B5EF4-FFF2-40B4-BE49-F238E27FC236}">
                  <a16:creationId xmlns:a16="http://schemas.microsoft.com/office/drawing/2014/main" id="{00000000-0008-0000-0000-00008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65" name="Control 393" hidden="1">
              <a:extLst>
                <a:ext uri="{63B3BB69-23CF-44E3-9099-C40C66FF867C}">
                  <a14:compatExt spid="_x0000_s3465"/>
                </a:ext>
                <a:ext uri="{FF2B5EF4-FFF2-40B4-BE49-F238E27FC236}">
                  <a16:creationId xmlns:a16="http://schemas.microsoft.com/office/drawing/2014/main" id="{00000000-0008-0000-0000-00008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66" name="Control 394" hidden="1">
              <a:extLst>
                <a:ext uri="{63B3BB69-23CF-44E3-9099-C40C66FF867C}">
                  <a14:compatExt spid="_x0000_s3466"/>
                </a:ext>
                <a:ext uri="{FF2B5EF4-FFF2-40B4-BE49-F238E27FC236}">
                  <a16:creationId xmlns:a16="http://schemas.microsoft.com/office/drawing/2014/main" id="{00000000-0008-0000-0000-00008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67" name="Control 395" hidden="1">
              <a:extLst>
                <a:ext uri="{63B3BB69-23CF-44E3-9099-C40C66FF867C}">
                  <a14:compatExt spid="_x0000_s3467"/>
                </a:ext>
                <a:ext uri="{FF2B5EF4-FFF2-40B4-BE49-F238E27FC236}">
                  <a16:creationId xmlns:a16="http://schemas.microsoft.com/office/drawing/2014/main" id="{00000000-0008-0000-0000-00008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68" name="Control 396" hidden="1">
              <a:extLst>
                <a:ext uri="{63B3BB69-23CF-44E3-9099-C40C66FF867C}">
                  <a14:compatExt spid="_x0000_s3468"/>
                </a:ext>
                <a:ext uri="{FF2B5EF4-FFF2-40B4-BE49-F238E27FC236}">
                  <a16:creationId xmlns:a16="http://schemas.microsoft.com/office/drawing/2014/main" id="{00000000-0008-0000-0000-00008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69" name="Control 397" hidden="1">
              <a:extLst>
                <a:ext uri="{63B3BB69-23CF-44E3-9099-C40C66FF867C}">
                  <a14:compatExt spid="_x0000_s3469"/>
                </a:ext>
                <a:ext uri="{FF2B5EF4-FFF2-40B4-BE49-F238E27FC236}">
                  <a16:creationId xmlns:a16="http://schemas.microsoft.com/office/drawing/2014/main" id="{00000000-0008-0000-0000-00008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70" name="Control 398" hidden="1">
              <a:extLst>
                <a:ext uri="{63B3BB69-23CF-44E3-9099-C40C66FF867C}">
                  <a14:compatExt spid="_x0000_s3470"/>
                </a:ext>
                <a:ext uri="{FF2B5EF4-FFF2-40B4-BE49-F238E27FC236}">
                  <a16:creationId xmlns:a16="http://schemas.microsoft.com/office/drawing/2014/main" id="{00000000-0008-0000-0000-00008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71" name="Control 399" hidden="1">
              <a:extLst>
                <a:ext uri="{63B3BB69-23CF-44E3-9099-C40C66FF867C}">
                  <a14:compatExt spid="_x0000_s3471"/>
                </a:ext>
                <a:ext uri="{FF2B5EF4-FFF2-40B4-BE49-F238E27FC236}">
                  <a16:creationId xmlns:a16="http://schemas.microsoft.com/office/drawing/2014/main" id="{00000000-0008-0000-0000-00008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72" name="Control 400" hidden="1">
              <a:extLst>
                <a:ext uri="{63B3BB69-23CF-44E3-9099-C40C66FF867C}">
                  <a14:compatExt spid="_x0000_s3472"/>
                </a:ext>
                <a:ext uri="{FF2B5EF4-FFF2-40B4-BE49-F238E27FC236}">
                  <a16:creationId xmlns:a16="http://schemas.microsoft.com/office/drawing/2014/main" id="{00000000-0008-0000-0000-00009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73" name="Control 401" hidden="1">
              <a:extLst>
                <a:ext uri="{63B3BB69-23CF-44E3-9099-C40C66FF867C}">
                  <a14:compatExt spid="_x0000_s3473"/>
                </a:ext>
                <a:ext uri="{FF2B5EF4-FFF2-40B4-BE49-F238E27FC236}">
                  <a16:creationId xmlns:a16="http://schemas.microsoft.com/office/drawing/2014/main" id="{00000000-0008-0000-0000-00009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74" name="Control 402" hidden="1">
              <a:extLst>
                <a:ext uri="{63B3BB69-23CF-44E3-9099-C40C66FF867C}">
                  <a14:compatExt spid="_x0000_s3474"/>
                </a:ext>
                <a:ext uri="{FF2B5EF4-FFF2-40B4-BE49-F238E27FC236}">
                  <a16:creationId xmlns:a16="http://schemas.microsoft.com/office/drawing/2014/main" id="{00000000-0008-0000-0000-00009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75" name="Control 403" hidden="1">
              <a:extLst>
                <a:ext uri="{63B3BB69-23CF-44E3-9099-C40C66FF867C}">
                  <a14:compatExt spid="_x0000_s3475"/>
                </a:ext>
                <a:ext uri="{FF2B5EF4-FFF2-40B4-BE49-F238E27FC236}">
                  <a16:creationId xmlns:a16="http://schemas.microsoft.com/office/drawing/2014/main" id="{00000000-0008-0000-0000-00009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76" name="Control 404" hidden="1">
              <a:extLst>
                <a:ext uri="{63B3BB69-23CF-44E3-9099-C40C66FF867C}">
                  <a14:compatExt spid="_x0000_s3476"/>
                </a:ext>
                <a:ext uri="{FF2B5EF4-FFF2-40B4-BE49-F238E27FC236}">
                  <a16:creationId xmlns:a16="http://schemas.microsoft.com/office/drawing/2014/main" id="{00000000-0008-0000-0000-00009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77" name="Control 405" hidden="1">
              <a:extLst>
                <a:ext uri="{63B3BB69-23CF-44E3-9099-C40C66FF867C}">
                  <a14:compatExt spid="_x0000_s3477"/>
                </a:ext>
                <a:ext uri="{FF2B5EF4-FFF2-40B4-BE49-F238E27FC236}">
                  <a16:creationId xmlns:a16="http://schemas.microsoft.com/office/drawing/2014/main" id="{00000000-0008-0000-0000-00009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78" name="Control 406" hidden="1">
              <a:extLst>
                <a:ext uri="{63B3BB69-23CF-44E3-9099-C40C66FF867C}">
                  <a14:compatExt spid="_x0000_s3478"/>
                </a:ext>
                <a:ext uri="{FF2B5EF4-FFF2-40B4-BE49-F238E27FC236}">
                  <a16:creationId xmlns:a16="http://schemas.microsoft.com/office/drawing/2014/main" id="{00000000-0008-0000-0000-00009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79" name="Control 407" hidden="1">
              <a:extLst>
                <a:ext uri="{63B3BB69-23CF-44E3-9099-C40C66FF867C}">
                  <a14:compatExt spid="_x0000_s3479"/>
                </a:ext>
                <a:ext uri="{FF2B5EF4-FFF2-40B4-BE49-F238E27FC236}">
                  <a16:creationId xmlns:a16="http://schemas.microsoft.com/office/drawing/2014/main" id="{00000000-0008-0000-0000-00009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80" name="Control 408" hidden="1">
              <a:extLst>
                <a:ext uri="{63B3BB69-23CF-44E3-9099-C40C66FF867C}">
                  <a14:compatExt spid="_x0000_s3480"/>
                </a:ext>
                <a:ext uri="{FF2B5EF4-FFF2-40B4-BE49-F238E27FC236}">
                  <a16:creationId xmlns:a16="http://schemas.microsoft.com/office/drawing/2014/main" id="{00000000-0008-0000-0000-00009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81" name="Control 409" hidden="1">
              <a:extLst>
                <a:ext uri="{63B3BB69-23CF-44E3-9099-C40C66FF867C}">
                  <a14:compatExt spid="_x0000_s3481"/>
                </a:ext>
                <a:ext uri="{FF2B5EF4-FFF2-40B4-BE49-F238E27FC236}">
                  <a16:creationId xmlns:a16="http://schemas.microsoft.com/office/drawing/2014/main" id="{00000000-0008-0000-0000-00009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82" name="Control 410" hidden="1">
              <a:extLst>
                <a:ext uri="{63B3BB69-23CF-44E3-9099-C40C66FF867C}">
                  <a14:compatExt spid="_x0000_s3482"/>
                </a:ext>
                <a:ext uri="{FF2B5EF4-FFF2-40B4-BE49-F238E27FC236}">
                  <a16:creationId xmlns:a16="http://schemas.microsoft.com/office/drawing/2014/main" id="{00000000-0008-0000-0000-00009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83" name="Control 411" hidden="1">
              <a:extLst>
                <a:ext uri="{63B3BB69-23CF-44E3-9099-C40C66FF867C}">
                  <a14:compatExt spid="_x0000_s3483"/>
                </a:ext>
                <a:ext uri="{FF2B5EF4-FFF2-40B4-BE49-F238E27FC236}">
                  <a16:creationId xmlns:a16="http://schemas.microsoft.com/office/drawing/2014/main" id="{00000000-0008-0000-0000-00009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84" name="Control 412" hidden="1">
              <a:extLst>
                <a:ext uri="{63B3BB69-23CF-44E3-9099-C40C66FF867C}">
                  <a14:compatExt spid="_x0000_s3484"/>
                </a:ext>
                <a:ext uri="{FF2B5EF4-FFF2-40B4-BE49-F238E27FC236}">
                  <a16:creationId xmlns:a16="http://schemas.microsoft.com/office/drawing/2014/main" id="{00000000-0008-0000-0000-00009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85" name="Control 413" hidden="1">
              <a:extLst>
                <a:ext uri="{63B3BB69-23CF-44E3-9099-C40C66FF867C}">
                  <a14:compatExt spid="_x0000_s3485"/>
                </a:ext>
                <a:ext uri="{FF2B5EF4-FFF2-40B4-BE49-F238E27FC236}">
                  <a16:creationId xmlns:a16="http://schemas.microsoft.com/office/drawing/2014/main" id="{00000000-0008-0000-0000-00009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86" name="Control 414" hidden="1">
              <a:extLst>
                <a:ext uri="{63B3BB69-23CF-44E3-9099-C40C66FF867C}">
                  <a14:compatExt spid="_x0000_s3486"/>
                </a:ext>
                <a:ext uri="{FF2B5EF4-FFF2-40B4-BE49-F238E27FC236}">
                  <a16:creationId xmlns:a16="http://schemas.microsoft.com/office/drawing/2014/main" id="{00000000-0008-0000-0000-00009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87" name="Control 415" hidden="1">
              <a:extLst>
                <a:ext uri="{63B3BB69-23CF-44E3-9099-C40C66FF867C}">
                  <a14:compatExt spid="_x0000_s3487"/>
                </a:ext>
                <a:ext uri="{FF2B5EF4-FFF2-40B4-BE49-F238E27FC236}">
                  <a16:creationId xmlns:a16="http://schemas.microsoft.com/office/drawing/2014/main" id="{00000000-0008-0000-0000-00009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88" name="Control 416" hidden="1">
              <a:extLst>
                <a:ext uri="{63B3BB69-23CF-44E3-9099-C40C66FF867C}">
                  <a14:compatExt spid="_x0000_s3488"/>
                </a:ext>
                <a:ext uri="{FF2B5EF4-FFF2-40B4-BE49-F238E27FC236}">
                  <a16:creationId xmlns:a16="http://schemas.microsoft.com/office/drawing/2014/main" id="{00000000-0008-0000-0000-0000A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89" name="Control 417" hidden="1">
              <a:extLst>
                <a:ext uri="{63B3BB69-23CF-44E3-9099-C40C66FF867C}">
                  <a14:compatExt spid="_x0000_s3489"/>
                </a:ext>
                <a:ext uri="{FF2B5EF4-FFF2-40B4-BE49-F238E27FC236}">
                  <a16:creationId xmlns:a16="http://schemas.microsoft.com/office/drawing/2014/main" id="{00000000-0008-0000-0000-0000A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90" name="Control 418" hidden="1">
              <a:extLst>
                <a:ext uri="{63B3BB69-23CF-44E3-9099-C40C66FF867C}">
                  <a14:compatExt spid="_x0000_s3490"/>
                </a:ext>
                <a:ext uri="{FF2B5EF4-FFF2-40B4-BE49-F238E27FC236}">
                  <a16:creationId xmlns:a16="http://schemas.microsoft.com/office/drawing/2014/main" id="{00000000-0008-0000-0000-0000A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91" name="Control 419" hidden="1">
              <a:extLst>
                <a:ext uri="{63B3BB69-23CF-44E3-9099-C40C66FF867C}">
                  <a14:compatExt spid="_x0000_s3491"/>
                </a:ext>
                <a:ext uri="{FF2B5EF4-FFF2-40B4-BE49-F238E27FC236}">
                  <a16:creationId xmlns:a16="http://schemas.microsoft.com/office/drawing/2014/main" id="{00000000-0008-0000-0000-0000A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92" name="Control 420" hidden="1">
              <a:extLst>
                <a:ext uri="{63B3BB69-23CF-44E3-9099-C40C66FF867C}">
                  <a14:compatExt spid="_x0000_s3492"/>
                </a:ext>
                <a:ext uri="{FF2B5EF4-FFF2-40B4-BE49-F238E27FC236}">
                  <a16:creationId xmlns:a16="http://schemas.microsoft.com/office/drawing/2014/main" id="{00000000-0008-0000-0000-0000A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93" name="Control 421" hidden="1">
              <a:extLst>
                <a:ext uri="{63B3BB69-23CF-44E3-9099-C40C66FF867C}">
                  <a14:compatExt spid="_x0000_s3493"/>
                </a:ext>
                <a:ext uri="{FF2B5EF4-FFF2-40B4-BE49-F238E27FC236}">
                  <a16:creationId xmlns:a16="http://schemas.microsoft.com/office/drawing/2014/main" id="{00000000-0008-0000-0000-0000A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94" name="Control 422" hidden="1">
              <a:extLst>
                <a:ext uri="{63B3BB69-23CF-44E3-9099-C40C66FF867C}">
                  <a14:compatExt spid="_x0000_s3494"/>
                </a:ext>
                <a:ext uri="{FF2B5EF4-FFF2-40B4-BE49-F238E27FC236}">
                  <a16:creationId xmlns:a16="http://schemas.microsoft.com/office/drawing/2014/main" id="{00000000-0008-0000-0000-0000A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95" name="Control 423" hidden="1">
              <a:extLst>
                <a:ext uri="{63B3BB69-23CF-44E3-9099-C40C66FF867C}">
                  <a14:compatExt spid="_x0000_s3495"/>
                </a:ext>
                <a:ext uri="{FF2B5EF4-FFF2-40B4-BE49-F238E27FC236}">
                  <a16:creationId xmlns:a16="http://schemas.microsoft.com/office/drawing/2014/main" id="{00000000-0008-0000-0000-0000A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96" name="Control 424" hidden="1">
              <a:extLst>
                <a:ext uri="{63B3BB69-23CF-44E3-9099-C40C66FF867C}">
                  <a14:compatExt spid="_x0000_s3496"/>
                </a:ext>
                <a:ext uri="{FF2B5EF4-FFF2-40B4-BE49-F238E27FC236}">
                  <a16:creationId xmlns:a16="http://schemas.microsoft.com/office/drawing/2014/main" id="{00000000-0008-0000-0000-0000A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97" name="Control 425" hidden="1">
              <a:extLst>
                <a:ext uri="{63B3BB69-23CF-44E3-9099-C40C66FF867C}">
                  <a14:compatExt spid="_x0000_s3497"/>
                </a:ext>
                <a:ext uri="{FF2B5EF4-FFF2-40B4-BE49-F238E27FC236}">
                  <a16:creationId xmlns:a16="http://schemas.microsoft.com/office/drawing/2014/main" id="{00000000-0008-0000-0000-0000A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98" name="Control 426" hidden="1">
              <a:extLst>
                <a:ext uri="{63B3BB69-23CF-44E3-9099-C40C66FF867C}">
                  <a14:compatExt spid="_x0000_s3498"/>
                </a:ext>
                <a:ext uri="{FF2B5EF4-FFF2-40B4-BE49-F238E27FC236}">
                  <a16:creationId xmlns:a16="http://schemas.microsoft.com/office/drawing/2014/main" id="{00000000-0008-0000-0000-0000A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499" name="Control 427" hidden="1">
              <a:extLst>
                <a:ext uri="{63B3BB69-23CF-44E3-9099-C40C66FF867C}">
                  <a14:compatExt spid="_x0000_s3499"/>
                </a:ext>
                <a:ext uri="{FF2B5EF4-FFF2-40B4-BE49-F238E27FC236}">
                  <a16:creationId xmlns:a16="http://schemas.microsoft.com/office/drawing/2014/main" id="{00000000-0008-0000-0000-0000A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00" name="Control 428" hidden="1">
              <a:extLst>
                <a:ext uri="{63B3BB69-23CF-44E3-9099-C40C66FF867C}">
                  <a14:compatExt spid="_x0000_s3500"/>
                </a:ext>
                <a:ext uri="{FF2B5EF4-FFF2-40B4-BE49-F238E27FC236}">
                  <a16:creationId xmlns:a16="http://schemas.microsoft.com/office/drawing/2014/main" id="{00000000-0008-0000-0000-0000A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01" name="Control 429" hidden="1">
              <a:extLst>
                <a:ext uri="{63B3BB69-23CF-44E3-9099-C40C66FF867C}">
                  <a14:compatExt spid="_x0000_s3501"/>
                </a:ext>
                <a:ext uri="{FF2B5EF4-FFF2-40B4-BE49-F238E27FC236}">
                  <a16:creationId xmlns:a16="http://schemas.microsoft.com/office/drawing/2014/main" id="{00000000-0008-0000-0000-0000A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02" name="Control 430" hidden="1">
              <a:extLst>
                <a:ext uri="{63B3BB69-23CF-44E3-9099-C40C66FF867C}">
                  <a14:compatExt spid="_x0000_s3502"/>
                </a:ext>
                <a:ext uri="{FF2B5EF4-FFF2-40B4-BE49-F238E27FC236}">
                  <a16:creationId xmlns:a16="http://schemas.microsoft.com/office/drawing/2014/main" id="{00000000-0008-0000-0000-0000A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03" name="Control 431" hidden="1">
              <a:extLst>
                <a:ext uri="{63B3BB69-23CF-44E3-9099-C40C66FF867C}">
                  <a14:compatExt spid="_x0000_s3503"/>
                </a:ext>
                <a:ext uri="{FF2B5EF4-FFF2-40B4-BE49-F238E27FC236}">
                  <a16:creationId xmlns:a16="http://schemas.microsoft.com/office/drawing/2014/main" id="{00000000-0008-0000-0000-0000A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04" name="Control 432" hidden="1">
              <a:extLst>
                <a:ext uri="{63B3BB69-23CF-44E3-9099-C40C66FF867C}">
                  <a14:compatExt spid="_x0000_s3504"/>
                </a:ext>
                <a:ext uri="{FF2B5EF4-FFF2-40B4-BE49-F238E27FC236}">
                  <a16:creationId xmlns:a16="http://schemas.microsoft.com/office/drawing/2014/main" id="{00000000-0008-0000-0000-0000B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05" name="Control 433" hidden="1">
              <a:extLst>
                <a:ext uri="{63B3BB69-23CF-44E3-9099-C40C66FF867C}">
                  <a14:compatExt spid="_x0000_s3505"/>
                </a:ext>
                <a:ext uri="{FF2B5EF4-FFF2-40B4-BE49-F238E27FC236}">
                  <a16:creationId xmlns:a16="http://schemas.microsoft.com/office/drawing/2014/main" id="{00000000-0008-0000-0000-0000B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06" name="Control 434" hidden="1">
              <a:extLst>
                <a:ext uri="{63B3BB69-23CF-44E3-9099-C40C66FF867C}">
                  <a14:compatExt spid="_x0000_s3506"/>
                </a:ext>
                <a:ext uri="{FF2B5EF4-FFF2-40B4-BE49-F238E27FC236}">
                  <a16:creationId xmlns:a16="http://schemas.microsoft.com/office/drawing/2014/main" id="{00000000-0008-0000-0000-0000B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07" name="Control 435" hidden="1">
              <a:extLst>
                <a:ext uri="{63B3BB69-23CF-44E3-9099-C40C66FF867C}">
                  <a14:compatExt spid="_x0000_s3507"/>
                </a:ext>
                <a:ext uri="{FF2B5EF4-FFF2-40B4-BE49-F238E27FC236}">
                  <a16:creationId xmlns:a16="http://schemas.microsoft.com/office/drawing/2014/main" id="{00000000-0008-0000-0000-0000B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08" name="Control 436" hidden="1">
              <a:extLst>
                <a:ext uri="{63B3BB69-23CF-44E3-9099-C40C66FF867C}">
                  <a14:compatExt spid="_x0000_s3508"/>
                </a:ext>
                <a:ext uri="{FF2B5EF4-FFF2-40B4-BE49-F238E27FC236}">
                  <a16:creationId xmlns:a16="http://schemas.microsoft.com/office/drawing/2014/main" id="{00000000-0008-0000-0000-0000B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09" name="Control 437" hidden="1">
              <a:extLst>
                <a:ext uri="{63B3BB69-23CF-44E3-9099-C40C66FF867C}">
                  <a14:compatExt spid="_x0000_s3509"/>
                </a:ext>
                <a:ext uri="{FF2B5EF4-FFF2-40B4-BE49-F238E27FC236}">
                  <a16:creationId xmlns:a16="http://schemas.microsoft.com/office/drawing/2014/main" id="{00000000-0008-0000-0000-0000B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10" name="Control 438" hidden="1">
              <a:extLst>
                <a:ext uri="{63B3BB69-23CF-44E3-9099-C40C66FF867C}">
                  <a14:compatExt spid="_x0000_s3510"/>
                </a:ext>
                <a:ext uri="{FF2B5EF4-FFF2-40B4-BE49-F238E27FC236}">
                  <a16:creationId xmlns:a16="http://schemas.microsoft.com/office/drawing/2014/main" id="{00000000-0008-0000-0000-0000B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11" name="Control 439" hidden="1">
              <a:extLst>
                <a:ext uri="{63B3BB69-23CF-44E3-9099-C40C66FF867C}">
                  <a14:compatExt spid="_x0000_s3511"/>
                </a:ext>
                <a:ext uri="{FF2B5EF4-FFF2-40B4-BE49-F238E27FC236}">
                  <a16:creationId xmlns:a16="http://schemas.microsoft.com/office/drawing/2014/main" id="{00000000-0008-0000-0000-0000B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12" name="Control 440" hidden="1">
              <a:extLst>
                <a:ext uri="{63B3BB69-23CF-44E3-9099-C40C66FF867C}">
                  <a14:compatExt spid="_x0000_s3512"/>
                </a:ext>
                <a:ext uri="{FF2B5EF4-FFF2-40B4-BE49-F238E27FC236}">
                  <a16:creationId xmlns:a16="http://schemas.microsoft.com/office/drawing/2014/main" id="{00000000-0008-0000-0000-0000B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13" name="Control 441" hidden="1">
              <a:extLst>
                <a:ext uri="{63B3BB69-23CF-44E3-9099-C40C66FF867C}">
                  <a14:compatExt spid="_x0000_s3513"/>
                </a:ext>
                <a:ext uri="{FF2B5EF4-FFF2-40B4-BE49-F238E27FC236}">
                  <a16:creationId xmlns:a16="http://schemas.microsoft.com/office/drawing/2014/main" id="{00000000-0008-0000-0000-0000B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14" name="Control 442" hidden="1">
              <a:extLst>
                <a:ext uri="{63B3BB69-23CF-44E3-9099-C40C66FF867C}">
                  <a14:compatExt spid="_x0000_s3514"/>
                </a:ext>
                <a:ext uri="{FF2B5EF4-FFF2-40B4-BE49-F238E27FC236}">
                  <a16:creationId xmlns:a16="http://schemas.microsoft.com/office/drawing/2014/main" id="{00000000-0008-0000-0000-0000B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15" name="Control 443" hidden="1">
              <a:extLst>
                <a:ext uri="{63B3BB69-23CF-44E3-9099-C40C66FF867C}">
                  <a14:compatExt spid="_x0000_s3515"/>
                </a:ext>
                <a:ext uri="{FF2B5EF4-FFF2-40B4-BE49-F238E27FC236}">
                  <a16:creationId xmlns:a16="http://schemas.microsoft.com/office/drawing/2014/main" id="{00000000-0008-0000-0000-0000B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16" name="Control 444" hidden="1">
              <a:extLst>
                <a:ext uri="{63B3BB69-23CF-44E3-9099-C40C66FF867C}">
                  <a14:compatExt spid="_x0000_s3516"/>
                </a:ext>
                <a:ext uri="{FF2B5EF4-FFF2-40B4-BE49-F238E27FC236}">
                  <a16:creationId xmlns:a16="http://schemas.microsoft.com/office/drawing/2014/main" id="{00000000-0008-0000-0000-0000B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17" name="Control 445" hidden="1">
              <a:extLst>
                <a:ext uri="{63B3BB69-23CF-44E3-9099-C40C66FF867C}">
                  <a14:compatExt spid="_x0000_s3517"/>
                </a:ext>
                <a:ext uri="{FF2B5EF4-FFF2-40B4-BE49-F238E27FC236}">
                  <a16:creationId xmlns:a16="http://schemas.microsoft.com/office/drawing/2014/main" id="{00000000-0008-0000-0000-0000B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18" name="Control 446" hidden="1">
              <a:extLst>
                <a:ext uri="{63B3BB69-23CF-44E3-9099-C40C66FF867C}">
                  <a14:compatExt spid="_x0000_s3518"/>
                </a:ext>
                <a:ext uri="{FF2B5EF4-FFF2-40B4-BE49-F238E27FC236}">
                  <a16:creationId xmlns:a16="http://schemas.microsoft.com/office/drawing/2014/main" id="{00000000-0008-0000-0000-0000B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19" name="Control 447" hidden="1">
              <a:extLst>
                <a:ext uri="{63B3BB69-23CF-44E3-9099-C40C66FF867C}">
                  <a14:compatExt spid="_x0000_s3519"/>
                </a:ext>
                <a:ext uri="{FF2B5EF4-FFF2-40B4-BE49-F238E27FC236}">
                  <a16:creationId xmlns:a16="http://schemas.microsoft.com/office/drawing/2014/main" id="{00000000-0008-0000-0000-0000B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20" name="Control 448" hidden="1">
              <a:extLst>
                <a:ext uri="{63B3BB69-23CF-44E3-9099-C40C66FF867C}">
                  <a14:compatExt spid="_x0000_s3520"/>
                </a:ext>
                <a:ext uri="{FF2B5EF4-FFF2-40B4-BE49-F238E27FC236}">
                  <a16:creationId xmlns:a16="http://schemas.microsoft.com/office/drawing/2014/main" id="{00000000-0008-0000-0000-0000C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21" name="Control 449" hidden="1">
              <a:extLst>
                <a:ext uri="{63B3BB69-23CF-44E3-9099-C40C66FF867C}">
                  <a14:compatExt spid="_x0000_s3521"/>
                </a:ext>
                <a:ext uri="{FF2B5EF4-FFF2-40B4-BE49-F238E27FC236}">
                  <a16:creationId xmlns:a16="http://schemas.microsoft.com/office/drawing/2014/main" id="{00000000-0008-0000-0000-0000C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22" name="Control 450" hidden="1">
              <a:extLst>
                <a:ext uri="{63B3BB69-23CF-44E3-9099-C40C66FF867C}">
                  <a14:compatExt spid="_x0000_s3522"/>
                </a:ext>
                <a:ext uri="{FF2B5EF4-FFF2-40B4-BE49-F238E27FC236}">
                  <a16:creationId xmlns:a16="http://schemas.microsoft.com/office/drawing/2014/main" id="{00000000-0008-0000-0000-0000C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23" name="Control 451" hidden="1">
              <a:extLst>
                <a:ext uri="{63B3BB69-23CF-44E3-9099-C40C66FF867C}">
                  <a14:compatExt spid="_x0000_s3523"/>
                </a:ext>
                <a:ext uri="{FF2B5EF4-FFF2-40B4-BE49-F238E27FC236}">
                  <a16:creationId xmlns:a16="http://schemas.microsoft.com/office/drawing/2014/main" id="{00000000-0008-0000-0000-0000C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24" name="Control 452" hidden="1">
              <a:extLst>
                <a:ext uri="{63B3BB69-23CF-44E3-9099-C40C66FF867C}">
                  <a14:compatExt spid="_x0000_s3524"/>
                </a:ext>
                <a:ext uri="{FF2B5EF4-FFF2-40B4-BE49-F238E27FC236}">
                  <a16:creationId xmlns:a16="http://schemas.microsoft.com/office/drawing/2014/main" id="{00000000-0008-0000-0000-0000C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25" name="Control 453" hidden="1">
              <a:extLst>
                <a:ext uri="{63B3BB69-23CF-44E3-9099-C40C66FF867C}">
                  <a14:compatExt spid="_x0000_s3525"/>
                </a:ext>
                <a:ext uri="{FF2B5EF4-FFF2-40B4-BE49-F238E27FC236}">
                  <a16:creationId xmlns:a16="http://schemas.microsoft.com/office/drawing/2014/main" id="{00000000-0008-0000-0000-0000C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26" name="Control 454" hidden="1">
              <a:extLst>
                <a:ext uri="{63B3BB69-23CF-44E3-9099-C40C66FF867C}">
                  <a14:compatExt spid="_x0000_s3526"/>
                </a:ext>
                <a:ext uri="{FF2B5EF4-FFF2-40B4-BE49-F238E27FC236}">
                  <a16:creationId xmlns:a16="http://schemas.microsoft.com/office/drawing/2014/main" id="{00000000-0008-0000-0000-0000C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27" name="Control 455" hidden="1">
              <a:extLst>
                <a:ext uri="{63B3BB69-23CF-44E3-9099-C40C66FF867C}">
                  <a14:compatExt spid="_x0000_s3527"/>
                </a:ext>
                <a:ext uri="{FF2B5EF4-FFF2-40B4-BE49-F238E27FC236}">
                  <a16:creationId xmlns:a16="http://schemas.microsoft.com/office/drawing/2014/main" id="{00000000-0008-0000-0000-0000C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28" name="Control 456" hidden="1">
              <a:extLst>
                <a:ext uri="{63B3BB69-23CF-44E3-9099-C40C66FF867C}">
                  <a14:compatExt spid="_x0000_s3528"/>
                </a:ext>
                <a:ext uri="{FF2B5EF4-FFF2-40B4-BE49-F238E27FC236}">
                  <a16:creationId xmlns:a16="http://schemas.microsoft.com/office/drawing/2014/main" id="{00000000-0008-0000-0000-0000C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29" name="Control 457" hidden="1">
              <a:extLst>
                <a:ext uri="{63B3BB69-23CF-44E3-9099-C40C66FF867C}">
                  <a14:compatExt spid="_x0000_s3529"/>
                </a:ext>
                <a:ext uri="{FF2B5EF4-FFF2-40B4-BE49-F238E27FC236}">
                  <a16:creationId xmlns:a16="http://schemas.microsoft.com/office/drawing/2014/main" id="{00000000-0008-0000-0000-0000C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30" name="Control 458" hidden="1">
              <a:extLst>
                <a:ext uri="{63B3BB69-23CF-44E3-9099-C40C66FF867C}">
                  <a14:compatExt spid="_x0000_s3530"/>
                </a:ext>
                <a:ext uri="{FF2B5EF4-FFF2-40B4-BE49-F238E27FC236}">
                  <a16:creationId xmlns:a16="http://schemas.microsoft.com/office/drawing/2014/main" id="{00000000-0008-0000-0000-0000C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31" name="Control 459" hidden="1">
              <a:extLst>
                <a:ext uri="{63B3BB69-23CF-44E3-9099-C40C66FF867C}">
                  <a14:compatExt spid="_x0000_s3531"/>
                </a:ext>
                <a:ext uri="{FF2B5EF4-FFF2-40B4-BE49-F238E27FC236}">
                  <a16:creationId xmlns:a16="http://schemas.microsoft.com/office/drawing/2014/main" id="{00000000-0008-0000-0000-0000C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32" name="Control 460" hidden="1">
              <a:extLst>
                <a:ext uri="{63B3BB69-23CF-44E3-9099-C40C66FF867C}">
                  <a14:compatExt spid="_x0000_s3532"/>
                </a:ext>
                <a:ext uri="{FF2B5EF4-FFF2-40B4-BE49-F238E27FC236}">
                  <a16:creationId xmlns:a16="http://schemas.microsoft.com/office/drawing/2014/main" id="{00000000-0008-0000-0000-0000C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33" name="Control 461" hidden="1">
              <a:extLst>
                <a:ext uri="{63B3BB69-23CF-44E3-9099-C40C66FF867C}">
                  <a14:compatExt spid="_x0000_s3533"/>
                </a:ext>
                <a:ext uri="{FF2B5EF4-FFF2-40B4-BE49-F238E27FC236}">
                  <a16:creationId xmlns:a16="http://schemas.microsoft.com/office/drawing/2014/main" id="{00000000-0008-0000-0000-0000C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34" name="Control 462" hidden="1">
              <a:extLst>
                <a:ext uri="{63B3BB69-23CF-44E3-9099-C40C66FF867C}">
                  <a14:compatExt spid="_x0000_s3534"/>
                </a:ext>
                <a:ext uri="{FF2B5EF4-FFF2-40B4-BE49-F238E27FC236}">
                  <a16:creationId xmlns:a16="http://schemas.microsoft.com/office/drawing/2014/main" id="{00000000-0008-0000-0000-0000C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35" name="Control 463" hidden="1">
              <a:extLst>
                <a:ext uri="{63B3BB69-23CF-44E3-9099-C40C66FF867C}">
                  <a14:compatExt spid="_x0000_s3535"/>
                </a:ext>
                <a:ext uri="{FF2B5EF4-FFF2-40B4-BE49-F238E27FC236}">
                  <a16:creationId xmlns:a16="http://schemas.microsoft.com/office/drawing/2014/main" id="{00000000-0008-0000-0000-0000C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36" name="Control 464" hidden="1">
              <a:extLst>
                <a:ext uri="{63B3BB69-23CF-44E3-9099-C40C66FF867C}">
                  <a14:compatExt spid="_x0000_s3536"/>
                </a:ext>
                <a:ext uri="{FF2B5EF4-FFF2-40B4-BE49-F238E27FC236}">
                  <a16:creationId xmlns:a16="http://schemas.microsoft.com/office/drawing/2014/main" id="{00000000-0008-0000-0000-0000D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37" name="Control 465" hidden="1">
              <a:extLst>
                <a:ext uri="{63B3BB69-23CF-44E3-9099-C40C66FF867C}">
                  <a14:compatExt spid="_x0000_s3537"/>
                </a:ext>
                <a:ext uri="{FF2B5EF4-FFF2-40B4-BE49-F238E27FC236}">
                  <a16:creationId xmlns:a16="http://schemas.microsoft.com/office/drawing/2014/main" id="{00000000-0008-0000-0000-0000D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38" name="Control 466" hidden="1">
              <a:extLst>
                <a:ext uri="{63B3BB69-23CF-44E3-9099-C40C66FF867C}">
                  <a14:compatExt spid="_x0000_s3538"/>
                </a:ext>
                <a:ext uri="{FF2B5EF4-FFF2-40B4-BE49-F238E27FC236}">
                  <a16:creationId xmlns:a16="http://schemas.microsoft.com/office/drawing/2014/main" id="{00000000-0008-0000-0000-0000D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39" name="Control 467" hidden="1">
              <a:extLst>
                <a:ext uri="{63B3BB69-23CF-44E3-9099-C40C66FF867C}">
                  <a14:compatExt spid="_x0000_s3539"/>
                </a:ext>
                <a:ext uri="{FF2B5EF4-FFF2-40B4-BE49-F238E27FC236}">
                  <a16:creationId xmlns:a16="http://schemas.microsoft.com/office/drawing/2014/main" id="{00000000-0008-0000-0000-0000D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40" name="Control 468" hidden="1">
              <a:extLst>
                <a:ext uri="{63B3BB69-23CF-44E3-9099-C40C66FF867C}">
                  <a14:compatExt spid="_x0000_s3540"/>
                </a:ext>
                <a:ext uri="{FF2B5EF4-FFF2-40B4-BE49-F238E27FC236}">
                  <a16:creationId xmlns:a16="http://schemas.microsoft.com/office/drawing/2014/main" id="{00000000-0008-0000-0000-0000D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41" name="Control 469" hidden="1">
              <a:extLst>
                <a:ext uri="{63B3BB69-23CF-44E3-9099-C40C66FF867C}">
                  <a14:compatExt spid="_x0000_s3541"/>
                </a:ext>
                <a:ext uri="{FF2B5EF4-FFF2-40B4-BE49-F238E27FC236}">
                  <a16:creationId xmlns:a16="http://schemas.microsoft.com/office/drawing/2014/main" id="{00000000-0008-0000-0000-0000D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42" name="Control 470" hidden="1">
              <a:extLst>
                <a:ext uri="{63B3BB69-23CF-44E3-9099-C40C66FF867C}">
                  <a14:compatExt spid="_x0000_s3542"/>
                </a:ext>
                <a:ext uri="{FF2B5EF4-FFF2-40B4-BE49-F238E27FC236}">
                  <a16:creationId xmlns:a16="http://schemas.microsoft.com/office/drawing/2014/main" id="{00000000-0008-0000-0000-0000D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43" name="Control 471" hidden="1">
              <a:extLst>
                <a:ext uri="{63B3BB69-23CF-44E3-9099-C40C66FF867C}">
                  <a14:compatExt spid="_x0000_s3543"/>
                </a:ext>
                <a:ext uri="{FF2B5EF4-FFF2-40B4-BE49-F238E27FC236}">
                  <a16:creationId xmlns:a16="http://schemas.microsoft.com/office/drawing/2014/main" id="{00000000-0008-0000-0000-0000D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44" name="Control 472" hidden="1">
              <a:extLst>
                <a:ext uri="{63B3BB69-23CF-44E3-9099-C40C66FF867C}">
                  <a14:compatExt spid="_x0000_s3544"/>
                </a:ext>
                <a:ext uri="{FF2B5EF4-FFF2-40B4-BE49-F238E27FC236}">
                  <a16:creationId xmlns:a16="http://schemas.microsoft.com/office/drawing/2014/main" id="{00000000-0008-0000-0000-0000D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45" name="Control 473" hidden="1">
              <a:extLst>
                <a:ext uri="{63B3BB69-23CF-44E3-9099-C40C66FF867C}">
                  <a14:compatExt spid="_x0000_s3545"/>
                </a:ext>
                <a:ext uri="{FF2B5EF4-FFF2-40B4-BE49-F238E27FC236}">
                  <a16:creationId xmlns:a16="http://schemas.microsoft.com/office/drawing/2014/main" id="{00000000-0008-0000-0000-0000D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46" name="Control 474" hidden="1">
              <a:extLst>
                <a:ext uri="{63B3BB69-23CF-44E3-9099-C40C66FF867C}">
                  <a14:compatExt spid="_x0000_s3546"/>
                </a:ext>
                <a:ext uri="{FF2B5EF4-FFF2-40B4-BE49-F238E27FC236}">
                  <a16:creationId xmlns:a16="http://schemas.microsoft.com/office/drawing/2014/main" id="{00000000-0008-0000-0000-0000D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47" name="Control 475" hidden="1">
              <a:extLst>
                <a:ext uri="{63B3BB69-23CF-44E3-9099-C40C66FF867C}">
                  <a14:compatExt spid="_x0000_s3547"/>
                </a:ext>
                <a:ext uri="{FF2B5EF4-FFF2-40B4-BE49-F238E27FC236}">
                  <a16:creationId xmlns:a16="http://schemas.microsoft.com/office/drawing/2014/main" id="{00000000-0008-0000-0000-0000D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48" name="Control 476" hidden="1">
              <a:extLst>
                <a:ext uri="{63B3BB69-23CF-44E3-9099-C40C66FF867C}">
                  <a14:compatExt spid="_x0000_s3548"/>
                </a:ext>
                <a:ext uri="{FF2B5EF4-FFF2-40B4-BE49-F238E27FC236}">
                  <a16:creationId xmlns:a16="http://schemas.microsoft.com/office/drawing/2014/main" id="{00000000-0008-0000-0000-0000D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49" name="Control 477" hidden="1">
              <a:extLst>
                <a:ext uri="{63B3BB69-23CF-44E3-9099-C40C66FF867C}">
                  <a14:compatExt spid="_x0000_s3549"/>
                </a:ext>
                <a:ext uri="{FF2B5EF4-FFF2-40B4-BE49-F238E27FC236}">
                  <a16:creationId xmlns:a16="http://schemas.microsoft.com/office/drawing/2014/main" id="{00000000-0008-0000-0000-0000D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50" name="Control 478" hidden="1">
              <a:extLst>
                <a:ext uri="{63B3BB69-23CF-44E3-9099-C40C66FF867C}">
                  <a14:compatExt spid="_x0000_s3550"/>
                </a:ext>
                <a:ext uri="{FF2B5EF4-FFF2-40B4-BE49-F238E27FC236}">
                  <a16:creationId xmlns:a16="http://schemas.microsoft.com/office/drawing/2014/main" id="{00000000-0008-0000-0000-0000D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51" name="Control 479" hidden="1">
              <a:extLst>
                <a:ext uri="{63B3BB69-23CF-44E3-9099-C40C66FF867C}">
                  <a14:compatExt spid="_x0000_s3551"/>
                </a:ext>
                <a:ext uri="{FF2B5EF4-FFF2-40B4-BE49-F238E27FC236}">
                  <a16:creationId xmlns:a16="http://schemas.microsoft.com/office/drawing/2014/main" id="{00000000-0008-0000-0000-0000D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52" name="Control 480" hidden="1">
              <a:extLst>
                <a:ext uri="{63B3BB69-23CF-44E3-9099-C40C66FF867C}">
                  <a14:compatExt spid="_x0000_s3552"/>
                </a:ext>
                <a:ext uri="{FF2B5EF4-FFF2-40B4-BE49-F238E27FC236}">
                  <a16:creationId xmlns:a16="http://schemas.microsoft.com/office/drawing/2014/main" id="{00000000-0008-0000-0000-0000E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53" name="Control 481" hidden="1">
              <a:extLst>
                <a:ext uri="{63B3BB69-23CF-44E3-9099-C40C66FF867C}">
                  <a14:compatExt spid="_x0000_s3553"/>
                </a:ext>
                <a:ext uri="{FF2B5EF4-FFF2-40B4-BE49-F238E27FC236}">
                  <a16:creationId xmlns:a16="http://schemas.microsoft.com/office/drawing/2014/main" id="{00000000-0008-0000-0000-0000E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54" name="Control 482" hidden="1">
              <a:extLst>
                <a:ext uri="{63B3BB69-23CF-44E3-9099-C40C66FF867C}">
                  <a14:compatExt spid="_x0000_s3554"/>
                </a:ext>
                <a:ext uri="{FF2B5EF4-FFF2-40B4-BE49-F238E27FC236}">
                  <a16:creationId xmlns:a16="http://schemas.microsoft.com/office/drawing/2014/main" id="{00000000-0008-0000-0000-0000E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55" name="Control 483" hidden="1">
              <a:extLst>
                <a:ext uri="{63B3BB69-23CF-44E3-9099-C40C66FF867C}">
                  <a14:compatExt spid="_x0000_s3555"/>
                </a:ext>
                <a:ext uri="{FF2B5EF4-FFF2-40B4-BE49-F238E27FC236}">
                  <a16:creationId xmlns:a16="http://schemas.microsoft.com/office/drawing/2014/main" id="{00000000-0008-0000-0000-0000E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56" name="Control 484" hidden="1">
              <a:extLst>
                <a:ext uri="{63B3BB69-23CF-44E3-9099-C40C66FF867C}">
                  <a14:compatExt spid="_x0000_s3556"/>
                </a:ext>
                <a:ext uri="{FF2B5EF4-FFF2-40B4-BE49-F238E27FC236}">
                  <a16:creationId xmlns:a16="http://schemas.microsoft.com/office/drawing/2014/main" id="{00000000-0008-0000-0000-0000E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57" name="Control 485" hidden="1">
              <a:extLst>
                <a:ext uri="{63B3BB69-23CF-44E3-9099-C40C66FF867C}">
                  <a14:compatExt spid="_x0000_s3557"/>
                </a:ext>
                <a:ext uri="{FF2B5EF4-FFF2-40B4-BE49-F238E27FC236}">
                  <a16:creationId xmlns:a16="http://schemas.microsoft.com/office/drawing/2014/main" id="{00000000-0008-0000-0000-0000E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58" name="Control 486" hidden="1">
              <a:extLst>
                <a:ext uri="{63B3BB69-23CF-44E3-9099-C40C66FF867C}">
                  <a14:compatExt spid="_x0000_s3558"/>
                </a:ext>
                <a:ext uri="{FF2B5EF4-FFF2-40B4-BE49-F238E27FC236}">
                  <a16:creationId xmlns:a16="http://schemas.microsoft.com/office/drawing/2014/main" id="{00000000-0008-0000-0000-0000E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59" name="Control 487" hidden="1">
              <a:extLst>
                <a:ext uri="{63B3BB69-23CF-44E3-9099-C40C66FF867C}">
                  <a14:compatExt spid="_x0000_s3559"/>
                </a:ext>
                <a:ext uri="{FF2B5EF4-FFF2-40B4-BE49-F238E27FC236}">
                  <a16:creationId xmlns:a16="http://schemas.microsoft.com/office/drawing/2014/main" id="{00000000-0008-0000-0000-0000E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60" name="Control 488" hidden="1">
              <a:extLst>
                <a:ext uri="{63B3BB69-23CF-44E3-9099-C40C66FF867C}">
                  <a14:compatExt spid="_x0000_s3560"/>
                </a:ext>
                <a:ext uri="{FF2B5EF4-FFF2-40B4-BE49-F238E27FC236}">
                  <a16:creationId xmlns:a16="http://schemas.microsoft.com/office/drawing/2014/main" id="{00000000-0008-0000-0000-0000E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61" name="Control 489" hidden="1">
              <a:extLst>
                <a:ext uri="{63B3BB69-23CF-44E3-9099-C40C66FF867C}">
                  <a14:compatExt spid="_x0000_s3561"/>
                </a:ext>
                <a:ext uri="{FF2B5EF4-FFF2-40B4-BE49-F238E27FC236}">
                  <a16:creationId xmlns:a16="http://schemas.microsoft.com/office/drawing/2014/main" id="{00000000-0008-0000-0000-0000E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62" name="Control 490" hidden="1">
              <a:extLst>
                <a:ext uri="{63B3BB69-23CF-44E3-9099-C40C66FF867C}">
                  <a14:compatExt spid="_x0000_s3562"/>
                </a:ext>
                <a:ext uri="{FF2B5EF4-FFF2-40B4-BE49-F238E27FC236}">
                  <a16:creationId xmlns:a16="http://schemas.microsoft.com/office/drawing/2014/main" id="{00000000-0008-0000-0000-0000E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63" name="Control 491" hidden="1">
              <a:extLst>
                <a:ext uri="{63B3BB69-23CF-44E3-9099-C40C66FF867C}">
                  <a14:compatExt spid="_x0000_s3563"/>
                </a:ext>
                <a:ext uri="{FF2B5EF4-FFF2-40B4-BE49-F238E27FC236}">
                  <a16:creationId xmlns:a16="http://schemas.microsoft.com/office/drawing/2014/main" id="{00000000-0008-0000-0000-0000E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64" name="Control 492" hidden="1">
              <a:extLst>
                <a:ext uri="{63B3BB69-23CF-44E3-9099-C40C66FF867C}">
                  <a14:compatExt spid="_x0000_s3564"/>
                </a:ext>
                <a:ext uri="{FF2B5EF4-FFF2-40B4-BE49-F238E27FC236}">
                  <a16:creationId xmlns:a16="http://schemas.microsoft.com/office/drawing/2014/main" id="{00000000-0008-0000-0000-0000E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65" name="Control 493" hidden="1">
              <a:extLst>
                <a:ext uri="{63B3BB69-23CF-44E3-9099-C40C66FF867C}">
                  <a14:compatExt spid="_x0000_s3565"/>
                </a:ext>
                <a:ext uri="{FF2B5EF4-FFF2-40B4-BE49-F238E27FC236}">
                  <a16:creationId xmlns:a16="http://schemas.microsoft.com/office/drawing/2014/main" id="{00000000-0008-0000-0000-0000E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66" name="Control 494" hidden="1">
              <a:extLst>
                <a:ext uri="{63B3BB69-23CF-44E3-9099-C40C66FF867C}">
                  <a14:compatExt spid="_x0000_s3566"/>
                </a:ext>
                <a:ext uri="{FF2B5EF4-FFF2-40B4-BE49-F238E27FC236}">
                  <a16:creationId xmlns:a16="http://schemas.microsoft.com/office/drawing/2014/main" id="{00000000-0008-0000-0000-0000E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67" name="Control 495" hidden="1">
              <a:extLst>
                <a:ext uri="{63B3BB69-23CF-44E3-9099-C40C66FF867C}">
                  <a14:compatExt spid="_x0000_s3567"/>
                </a:ext>
                <a:ext uri="{FF2B5EF4-FFF2-40B4-BE49-F238E27FC236}">
                  <a16:creationId xmlns:a16="http://schemas.microsoft.com/office/drawing/2014/main" id="{00000000-0008-0000-0000-0000E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68" name="Control 496" hidden="1">
              <a:extLst>
                <a:ext uri="{63B3BB69-23CF-44E3-9099-C40C66FF867C}">
                  <a14:compatExt spid="_x0000_s3568"/>
                </a:ext>
                <a:ext uri="{FF2B5EF4-FFF2-40B4-BE49-F238E27FC236}">
                  <a16:creationId xmlns:a16="http://schemas.microsoft.com/office/drawing/2014/main" id="{00000000-0008-0000-0000-0000F0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69" name="Control 497" hidden="1">
              <a:extLst>
                <a:ext uri="{63B3BB69-23CF-44E3-9099-C40C66FF867C}">
                  <a14:compatExt spid="_x0000_s3569"/>
                </a:ext>
                <a:ext uri="{FF2B5EF4-FFF2-40B4-BE49-F238E27FC236}">
                  <a16:creationId xmlns:a16="http://schemas.microsoft.com/office/drawing/2014/main" id="{00000000-0008-0000-0000-0000F1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70" name="Control 498" hidden="1">
              <a:extLst>
                <a:ext uri="{63B3BB69-23CF-44E3-9099-C40C66FF867C}">
                  <a14:compatExt spid="_x0000_s3570"/>
                </a:ext>
                <a:ext uri="{FF2B5EF4-FFF2-40B4-BE49-F238E27FC236}">
                  <a16:creationId xmlns:a16="http://schemas.microsoft.com/office/drawing/2014/main" id="{00000000-0008-0000-0000-0000F2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71" name="Control 499" hidden="1">
              <a:extLst>
                <a:ext uri="{63B3BB69-23CF-44E3-9099-C40C66FF867C}">
                  <a14:compatExt spid="_x0000_s3571"/>
                </a:ext>
                <a:ext uri="{FF2B5EF4-FFF2-40B4-BE49-F238E27FC236}">
                  <a16:creationId xmlns:a16="http://schemas.microsoft.com/office/drawing/2014/main" id="{00000000-0008-0000-0000-0000F3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72" name="Control 500" hidden="1">
              <a:extLst>
                <a:ext uri="{63B3BB69-23CF-44E3-9099-C40C66FF867C}">
                  <a14:compatExt spid="_x0000_s3572"/>
                </a:ext>
                <a:ext uri="{FF2B5EF4-FFF2-40B4-BE49-F238E27FC236}">
                  <a16:creationId xmlns:a16="http://schemas.microsoft.com/office/drawing/2014/main" id="{00000000-0008-0000-0000-0000F4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73" name="Control 501" hidden="1">
              <a:extLst>
                <a:ext uri="{63B3BB69-23CF-44E3-9099-C40C66FF867C}">
                  <a14:compatExt spid="_x0000_s3573"/>
                </a:ext>
                <a:ext uri="{FF2B5EF4-FFF2-40B4-BE49-F238E27FC236}">
                  <a16:creationId xmlns:a16="http://schemas.microsoft.com/office/drawing/2014/main" id="{00000000-0008-0000-0000-0000F5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74" name="Control 502" hidden="1">
              <a:extLst>
                <a:ext uri="{63B3BB69-23CF-44E3-9099-C40C66FF867C}">
                  <a14:compatExt spid="_x0000_s3574"/>
                </a:ext>
                <a:ext uri="{FF2B5EF4-FFF2-40B4-BE49-F238E27FC236}">
                  <a16:creationId xmlns:a16="http://schemas.microsoft.com/office/drawing/2014/main" id="{00000000-0008-0000-0000-0000F6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75" name="Control 503" hidden="1">
              <a:extLst>
                <a:ext uri="{63B3BB69-23CF-44E3-9099-C40C66FF867C}">
                  <a14:compatExt spid="_x0000_s3575"/>
                </a:ext>
                <a:ext uri="{FF2B5EF4-FFF2-40B4-BE49-F238E27FC236}">
                  <a16:creationId xmlns:a16="http://schemas.microsoft.com/office/drawing/2014/main" id="{00000000-0008-0000-0000-0000F7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76" name="Control 504" hidden="1">
              <a:extLst>
                <a:ext uri="{63B3BB69-23CF-44E3-9099-C40C66FF867C}">
                  <a14:compatExt spid="_x0000_s3576"/>
                </a:ext>
                <a:ext uri="{FF2B5EF4-FFF2-40B4-BE49-F238E27FC236}">
                  <a16:creationId xmlns:a16="http://schemas.microsoft.com/office/drawing/2014/main" id="{00000000-0008-0000-0000-0000F8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77" name="Control 505" hidden="1">
              <a:extLst>
                <a:ext uri="{63B3BB69-23CF-44E3-9099-C40C66FF867C}">
                  <a14:compatExt spid="_x0000_s3577"/>
                </a:ext>
                <a:ext uri="{FF2B5EF4-FFF2-40B4-BE49-F238E27FC236}">
                  <a16:creationId xmlns:a16="http://schemas.microsoft.com/office/drawing/2014/main" id="{00000000-0008-0000-0000-0000F9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78" name="Control 506" hidden="1">
              <a:extLst>
                <a:ext uri="{63B3BB69-23CF-44E3-9099-C40C66FF867C}">
                  <a14:compatExt spid="_x0000_s3578"/>
                </a:ext>
                <a:ext uri="{FF2B5EF4-FFF2-40B4-BE49-F238E27FC236}">
                  <a16:creationId xmlns:a16="http://schemas.microsoft.com/office/drawing/2014/main" id="{00000000-0008-0000-0000-0000FA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79" name="Control 507" hidden="1">
              <a:extLst>
                <a:ext uri="{63B3BB69-23CF-44E3-9099-C40C66FF867C}">
                  <a14:compatExt spid="_x0000_s3579"/>
                </a:ext>
                <a:ext uri="{FF2B5EF4-FFF2-40B4-BE49-F238E27FC236}">
                  <a16:creationId xmlns:a16="http://schemas.microsoft.com/office/drawing/2014/main" id="{00000000-0008-0000-0000-0000FB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80" name="Control 508" hidden="1">
              <a:extLst>
                <a:ext uri="{63B3BB69-23CF-44E3-9099-C40C66FF867C}">
                  <a14:compatExt spid="_x0000_s3580"/>
                </a:ext>
                <a:ext uri="{FF2B5EF4-FFF2-40B4-BE49-F238E27FC236}">
                  <a16:creationId xmlns:a16="http://schemas.microsoft.com/office/drawing/2014/main" id="{00000000-0008-0000-0000-0000FC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81" name="Control 509" hidden="1">
              <a:extLst>
                <a:ext uri="{63B3BB69-23CF-44E3-9099-C40C66FF867C}">
                  <a14:compatExt spid="_x0000_s3581"/>
                </a:ext>
                <a:ext uri="{FF2B5EF4-FFF2-40B4-BE49-F238E27FC236}">
                  <a16:creationId xmlns:a16="http://schemas.microsoft.com/office/drawing/2014/main" id="{00000000-0008-0000-0000-0000FD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82" name="Control 510" hidden="1">
              <a:extLst>
                <a:ext uri="{63B3BB69-23CF-44E3-9099-C40C66FF867C}">
                  <a14:compatExt spid="_x0000_s3582"/>
                </a:ext>
                <a:ext uri="{FF2B5EF4-FFF2-40B4-BE49-F238E27FC236}">
                  <a16:creationId xmlns:a16="http://schemas.microsoft.com/office/drawing/2014/main" id="{00000000-0008-0000-0000-0000FE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83" name="Control 511" hidden="1">
              <a:extLst>
                <a:ext uri="{63B3BB69-23CF-44E3-9099-C40C66FF867C}">
                  <a14:compatExt spid="_x0000_s3583"/>
                </a:ext>
                <a:ext uri="{FF2B5EF4-FFF2-40B4-BE49-F238E27FC236}">
                  <a16:creationId xmlns:a16="http://schemas.microsoft.com/office/drawing/2014/main" id="{00000000-0008-0000-0000-0000FF0D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84" name="Control 512" hidden="1">
              <a:extLst>
                <a:ext uri="{63B3BB69-23CF-44E3-9099-C40C66FF867C}">
                  <a14:compatExt spid="_x0000_s3584"/>
                </a:ext>
                <a:ext uri="{FF2B5EF4-FFF2-40B4-BE49-F238E27FC236}">
                  <a16:creationId xmlns:a16="http://schemas.microsoft.com/office/drawing/2014/main" id="{00000000-0008-0000-0000-00000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85" name="Control 513" hidden="1">
              <a:extLst>
                <a:ext uri="{63B3BB69-23CF-44E3-9099-C40C66FF867C}">
                  <a14:compatExt spid="_x0000_s3585"/>
                </a:ext>
                <a:ext uri="{FF2B5EF4-FFF2-40B4-BE49-F238E27FC236}">
                  <a16:creationId xmlns:a16="http://schemas.microsoft.com/office/drawing/2014/main" id="{00000000-0008-0000-0000-00000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86" name="Control 514" hidden="1">
              <a:extLst>
                <a:ext uri="{63B3BB69-23CF-44E3-9099-C40C66FF867C}">
                  <a14:compatExt spid="_x0000_s3586"/>
                </a:ext>
                <a:ext uri="{FF2B5EF4-FFF2-40B4-BE49-F238E27FC236}">
                  <a16:creationId xmlns:a16="http://schemas.microsoft.com/office/drawing/2014/main" id="{00000000-0008-0000-0000-00000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87" name="Control 515" hidden="1">
              <a:extLst>
                <a:ext uri="{63B3BB69-23CF-44E3-9099-C40C66FF867C}">
                  <a14:compatExt spid="_x0000_s3587"/>
                </a:ext>
                <a:ext uri="{FF2B5EF4-FFF2-40B4-BE49-F238E27FC236}">
                  <a16:creationId xmlns:a16="http://schemas.microsoft.com/office/drawing/2014/main" id="{00000000-0008-0000-0000-00000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88" name="Control 516" hidden="1">
              <a:extLst>
                <a:ext uri="{63B3BB69-23CF-44E3-9099-C40C66FF867C}">
                  <a14:compatExt spid="_x0000_s3588"/>
                </a:ext>
                <a:ext uri="{FF2B5EF4-FFF2-40B4-BE49-F238E27FC236}">
                  <a16:creationId xmlns:a16="http://schemas.microsoft.com/office/drawing/2014/main" id="{00000000-0008-0000-0000-00000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89" name="Control 517" hidden="1">
              <a:extLst>
                <a:ext uri="{63B3BB69-23CF-44E3-9099-C40C66FF867C}">
                  <a14:compatExt spid="_x0000_s3589"/>
                </a:ext>
                <a:ext uri="{FF2B5EF4-FFF2-40B4-BE49-F238E27FC236}">
                  <a16:creationId xmlns:a16="http://schemas.microsoft.com/office/drawing/2014/main" id="{00000000-0008-0000-0000-00000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90" name="Control 518" hidden="1">
              <a:extLst>
                <a:ext uri="{63B3BB69-23CF-44E3-9099-C40C66FF867C}">
                  <a14:compatExt spid="_x0000_s3590"/>
                </a:ext>
                <a:ext uri="{FF2B5EF4-FFF2-40B4-BE49-F238E27FC236}">
                  <a16:creationId xmlns:a16="http://schemas.microsoft.com/office/drawing/2014/main" id="{00000000-0008-0000-0000-00000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91" name="Control 519" hidden="1">
              <a:extLst>
                <a:ext uri="{63B3BB69-23CF-44E3-9099-C40C66FF867C}">
                  <a14:compatExt spid="_x0000_s3591"/>
                </a:ext>
                <a:ext uri="{FF2B5EF4-FFF2-40B4-BE49-F238E27FC236}">
                  <a16:creationId xmlns:a16="http://schemas.microsoft.com/office/drawing/2014/main" id="{00000000-0008-0000-0000-00000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92" name="Control 520" hidden="1">
              <a:extLst>
                <a:ext uri="{63B3BB69-23CF-44E3-9099-C40C66FF867C}">
                  <a14:compatExt spid="_x0000_s3592"/>
                </a:ext>
                <a:ext uri="{FF2B5EF4-FFF2-40B4-BE49-F238E27FC236}">
                  <a16:creationId xmlns:a16="http://schemas.microsoft.com/office/drawing/2014/main" id="{00000000-0008-0000-0000-00000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93" name="Control 521" hidden="1">
              <a:extLst>
                <a:ext uri="{63B3BB69-23CF-44E3-9099-C40C66FF867C}">
                  <a14:compatExt spid="_x0000_s3593"/>
                </a:ext>
                <a:ext uri="{FF2B5EF4-FFF2-40B4-BE49-F238E27FC236}">
                  <a16:creationId xmlns:a16="http://schemas.microsoft.com/office/drawing/2014/main" id="{00000000-0008-0000-0000-00000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94" name="Control 522" hidden="1">
              <a:extLst>
                <a:ext uri="{63B3BB69-23CF-44E3-9099-C40C66FF867C}">
                  <a14:compatExt spid="_x0000_s3594"/>
                </a:ext>
                <a:ext uri="{FF2B5EF4-FFF2-40B4-BE49-F238E27FC236}">
                  <a16:creationId xmlns:a16="http://schemas.microsoft.com/office/drawing/2014/main" id="{00000000-0008-0000-0000-00000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95" name="Control 523" hidden="1">
              <a:extLst>
                <a:ext uri="{63B3BB69-23CF-44E3-9099-C40C66FF867C}">
                  <a14:compatExt spid="_x0000_s3595"/>
                </a:ext>
                <a:ext uri="{FF2B5EF4-FFF2-40B4-BE49-F238E27FC236}">
                  <a16:creationId xmlns:a16="http://schemas.microsoft.com/office/drawing/2014/main" id="{00000000-0008-0000-0000-00000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96" name="Control 524" hidden="1">
              <a:extLst>
                <a:ext uri="{63B3BB69-23CF-44E3-9099-C40C66FF867C}">
                  <a14:compatExt spid="_x0000_s3596"/>
                </a:ext>
                <a:ext uri="{FF2B5EF4-FFF2-40B4-BE49-F238E27FC236}">
                  <a16:creationId xmlns:a16="http://schemas.microsoft.com/office/drawing/2014/main" id="{00000000-0008-0000-0000-00000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97" name="Control 525" hidden="1">
              <a:extLst>
                <a:ext uri="{63B3BB69-23CF-44E3-9099-C40C66FF867C}">
                  <a14:compatExt spid="_x0000_s3597"/>
                </a:ext>
                <a:ext uri="{FF2B5EF4-FFF2-40B4-BE49-F238E27FC236}">
                  <a16:creationId xmlns:a16="http://schemas.microsoft.com/office/drawing/2014/main" id="{00000000-0008-0000-0000-00000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98" name="Control 526" hidden="1">
              <a:extLst>
                <a:ext uri="{63B3BB69-23CF-44E3-9099-C40C66FF867C}">
                  <a14:compatExt spid="_x0000_s3598"/>
                </a:ext>
                <a:ext uri="{FF2B5EF4-FFF2-40B4-BE49-F238E27FC236}">
                  <a16:creationId xmlns:a16="http://schemas.microsoft.com/office/drawing/2014/main" id="{00000000-0008-0000-0000-00000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599" name="Control 527" hidden="1">
              <a:extLst>
                <a:ext uri="{63B3BB69-23CF-44E3-9099-C40C66FF867C}">
                  <a14:compatExt spid="_x0000_s3599"/>
                </a:ext>
                <a:ext uri="{FF2B5EF4-FFF2-40B4-BE49-F238E27FC236}">
                  <a16:creationId xmlns:a16="http://schemas.microsoft.com/office/drawing/2014/main" id="{00000000-0008-0000-0000-00000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00" name="Control 528" hidden="1">
              <a:extLst>
                <a:ext uri="{63B3BB69-23CF-44E3-9099-C40C66FF867C}">
                  <a14:compatExt spid="_x0000_s3600"/>
                </a:ext>
                <a:ext uri="{FF2B5EF4-FFF2-40B4-BE49-F238E27FC236}">
                  <a16:creationId xmlns:a16="http://schemas.microsoft.com/office/drawing/2014/main" id="{00000000-0008-0000-0000-00001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01" name="Control 529" hidden="1">
              <a:extLst>
                <a:ext uri="{63B3BB69-23CF-44E3-9099-C40C66FF867C}">
                  <a14:compatExt spid="_x0000_s3601"/>
                </a:ext>
                <a:ext uri="{FF2B5EF4-FFF2-40B4-BE49-F238E27FC236}">
                  <a16:creationId xmlns:a16="http://schemas.microsoft.com/office/drawing/2014/main" id="{00000000-0008-0000-0000-00001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02" name="Control 530" hidden="1">
              <a:extLst>
                <a:ext uri="{63B3BB69-23CF-44E3-9099-C40C66FF867C}">
                  <a14:compatExt spid="_x0000_s3602"/>
                </a:ext>
                <a:ext uri="{FF2B5EF4-FFF2-40B4-BE49-F238E27FC236}">
                  <a16:creationId xmlns:a16="http://schemas.microsoft.com/office/drawing/2014/main" id="{00000000-0008-0000-0000-00001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03" name="Control 531" hidden="1">
              <a:extLst>
                <a:ext uri="{63B3BB69-23CF-44E3-9099-C40C66FF867C}">
                  <a14:compatExt spid="_x0000_s3603"/>
                </a:ext>
                <a:ext uri="{FF2B5EF4-FFF2-40B4-BE49-F238E27FC236}">
                  <a16:creationId xmlns:a16="http://schemas.microsoft.com/office/drawing/2014/main" id="{00000000-0008-0000-0000-00001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04" name="Control 532" hidden="1">
              <a:extLst>
                <a:ext uri="{63B3BB69-23CF-44E3-9099-C40C66FF867C}">
                  <a14:compatExt spid="_x0000_s3604"/>
                </a:ext>
                <a:ext uri="{FF2B5EF4-FFF2-40B4-BE49-F238E27FC236}">
                  <a16:creationId xmlns:a16="http://schemas.microsoft.com/office/drawing/2014/main" id="{00000000-0008-0000-0000-00001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05" name="Control 533" hidden="1">
              <a:extLst>
                <a:ext uri="{63B3BB69-23CF-44E3-9099-C40C66FF867C}">
                  <a14:compatExt spid="_x0000_s3605"/>
                </a:ext>
                <a:ext uri="{FF2B5EF4-FFF2-40B4-BE49-F238E27FC236}">
                  <a16:creationId xmlns:a16="http://schemas.microsoft.com/office/drawing/2014/main" id="{00000000-0008-0000-0000-00001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06" name="Control 534" hidden="1">
              <a:extLst>
                <a:ext uri="{63B3BB69-23CF-44E3-9099-C40C66FF867C}">
                  <a14:compatExt spid="_x0000_s3606"/>
                </a:ext>
                <a:ext uri="{FF2B5EF4-FFF2-40B4-BE49-F238E27FC236}">
                  <a16:creationId xmlns:a16="http://schemas.microsoft.com/office/drawing/2014/main" id="{00000000-0008-0000-0000-00001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07" name="Control 535" hidden="1">
              <a:extLst>
                <a:ext uri="{63B3BB69-23CF-44E3-9099-C40C66FF867C}">
                  <a14:compatExt spid="_x0000_s3607"/>
                </a:ext>
                <a:ext uri="{FF2B5EF4-FFF2-40B4-BE49-F238E27FC236}">
                  <a16:creationId xmlns:a16="http://schemas.microsoft.com/office/drawing/2014/main" id="{00000000-0008-0000-0000-00001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08" name="Control 536" hidden="1">
              <a:extLst>
                <a:ext uri="{63B3BB69-23CF-44E3-9099-C40C66FF867C}">
                  <a14:compatExt spid="_x0000_s3608"/>
                </a:ext>
                <a:ext uri="{FF2B5EF4-FFF2-40B4-BE49-F238E27FC236}">
                  <a16:creationId xmlns:a16="http://schemas.microsoft.com/office/drawing/2014/main" id="{00000000-0008-0000-0000-00001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09" name="Control 537" hidden="1">
              <a:extLst>
                <a:ext uri="{63B3BB69-23CF-44E3-9099-C40C66FF867C}">
                  <a14:compatExt spid="_x0000_s3609"/>
                </a:ext>
                <a:ext uri="{FF2B5EF4-FFF2-40B4-BE49-F238E27FC236}">
                  <a16:creationId xmlns:a16="http://schemas.microsoft.com/office/drawing/2014/main" id="{00000000-0008-0000-0000-00001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10" name="Control 538" hidden="1">
              <a:extLst>
                <a:ext uri="{63B3BB69-23CF-44E3-9099-C40C66FF867C}">
                  <a14:compatExt spid="_x0000_s3610"/>
                </a:ext>
                <a:ext uri="{FF2B5EF4-FFF2-40B4-BE49-F238E27FC236}">
                  <a16:creationId xmlns:a16="http://schemas.microsoft.com/office/drawing/2014/main" id="{00000000-0008-0000-0000-00001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11" name="Control 539" hidden="1">
              <a:extLst>
                <a:ext uri="{63B3BB69-23CF-44E3-9099-C40C66FF867C}">
                  <a14:compatExt spid="_x0000_s3611"/>
                </a:ext>
                <a:ext uri="{FF2B5EF4-FFF2-40B4-BE49-F238E27FC236}">
                  <a16:creationId xmlns:a16="http://schemas.microsoft.com/office/drawing/2014/main" id="{00000000-0008-0000-0000-00001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12" name="Control 540" hidden="1">
              <a:extLst>
                <a:ext uri="{63B3BB69-23CF-44E3-9099-C40C66FF867C}">
                  <a14:compatExt spid="_x0000_s3612"/>
                </a:ext>
                <a:ext uri="{FF2B5EF4-FFF2-40B4-BE49-F238E27FC236}">
                  <a16:creationId xmlns:a16="http://schemas.microsoft.com/office/drawing/2014/main" id="{00000000-0008-0000-0000-00001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13" name="Control 541" hidden="1">
              <a:extLst>
                <a:ext uri="{63B3BB69-23CF-44E3-9099-C40C66FF867C}">
                  <a14:compatExt spid="_x0000_s3613"/>
                </a:ext>
                <a:ext uri="{FF2B5EF4-FFF2-40B4-BE49-F238E27FC236}">
                  <a16:creationId xmlns:a16="http://schemas.microsoft.com/office/drawing/2014/main" id="{00000000-0008-0000-0000-00001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14" name="Control 542" hidden="1">
              <a:extLst>
                <a:ext uri="{63B3BB69-23CF-44E3-9099-C40C66FF867C}">
                  <a14:compatExt spid="_x0000_s3614"/>
                </a:ext>
                <a:ext uri="{FF2B5EF4-FFF2-40B4-BE49-F238E27FC236}">
                  <a16:creationId xmlns:a16="http://schemas.microsoft.com/office/drawing/2014/main" id="{00000000-0008-0000-0000-00001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15" name="Control 543" hidden="1">
              <a:extLst>
                <a:ext uri="{63B3BB69-23CF-44E3-9099-C40C66FF867C}">
                  <a14:compatExt spid="_x0000_s3615"/>
                </a:ext>
                <a:ext uri="{FF2B5EF4-FFF2-40B4-BE49-F238E27FC236}">
                  <a16:creationId xmlns:a16="http://schemas.microsoft.com/office/drawing/2014/main" id="{00000000-0008-0000-0000-00001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16" name="Control 544" hidden="1">
              <a:extLst>
                <a:ext uri="{63B3BB69-23CF-44E3-9099-C40C66FF867C}">
                  <a14:compatExt spid="_x0000_s3616"/>
                </a:ext>
                <a:ext uri="{FF2B5EF4-FFF2-40B4-BE49-F238E27FC236}">
                  <a16:creationId xmlns:a16="http://schemas.microsoft.com/office/drawing/2014/main" id="{00000000-0008-0000-0000-00002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17" name="Control 545" hidden="1">
              <a:extLst>
                <a:ext uri="{63B3BB69-23CF-44E3-9099-C40C66FF867C}">
                  <a14:compatExt spid="_x0000_s3617"/>
                </a:ext>
                <a:ext uri="{FF2B5EF4-FFF2-40B4-BE49-F238E27FC236}">
                  <a16:creationId xmlns:a16="http://schemas.microsoft.com/office/drawing/2014/main" id="{00000000-0008-0000-0000-00002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18" name="Control 546" hidden="1">
              <a:extLst>
                <a:ext uri="{63B3BB69-23CF-44E3-9099-C40C66FF867C}">
                  <a14:compatExt spid="_x0000_s3618"/>
                </a:ext>
                <a:ext uri="{FF2B5EF4-FFF2-40B4-BE49-F238E27FC236}">
                  <a16:creationId xmlns:a16="http://schemas.microsoft.com/office/drawing/2014/main" id="{00000000-0008-0000-0000-00002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19" name="Control 547" hidden="1">
              <a:extLst>
                <a:ext uri="{63B3BB69-23CF-44E3-9099-C40C66FF867C}">
                  <a14:compatExt spid="_x0000_s3619"/>
                </a:ext>
                <a:ext uri="{FF2B5EF4-FFF2-40B4-BE49-F238E27FC236}">
                  <a16:creationId xmlns:a16="http://schemas.microsoft.com/office/drawing/2014/main" id="{00000000-0008-0000-0000-00002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20" name="Control 548" hidden="1">
              <a:extLst>
                <a:ext uri="{63B3BB69-23CF-44E3-9099-C40C66FF867C}">
                  <a14:compatExt spid="_x0000_s3620"/>
                </a:ext>
                <a:ext uri="{FF2B5EF4-FFF2-40B4-BE49-F238E27FC236}">
                  <a16:creationId xmlns:a16="http://schemas.microsoft.com/office/drawing/2014/main" id="{00000000-0008-0000-0000-00002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21" name="Control 549" hidden="1">
              <a:extLst>
                <a:ext uri="{63B3BB69-23CF-44E3-9099-C40C66FF867C}">
                  <a14:compatExt spid="_x0000_s3621"/>
                </a:ext>
                <a:ext uri="{FF2B5EF4-FFF2-40B4-BE49-F238E27FC236}">
                  <a16:creationId xmlns:a16="http://schemas.microsoft.com/office/drawing/2014/main" id="{00000000-0008-0000-0000-00002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22" name="Control 550" hidden="1">
              <a:extLst>
                <a:ext uri="{63B3BB69-23CF-44E3-9099-C40C66FF867C}">
                  <a14:compatExt spid="_x0000_s3622"/>
                </a:ext>
                <a:ext uri="{FF2B5EF4-FFF2-40B4-BE49-F238E27FC236}">
                  <a16:creationId xmlns:a16="http://schemas.microsoft.com/office/drawing/2014/main" id="{00000000-0008-0000-0000-00002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23" name="Control 551" hidden="1">
              <a:extLst>
                <a:ext uri="{63B3BB69-23CF-44E3-9099-C40C66FF867C}">
                  <a14:compatExt spid="_x0000_s3623"/>
                </a:ext>
                <a:ext uri="{FF2B5EF4-FFF2-40B4-BE49-F238E27FC236}">
                  <a16:creationId xmlns:a16="http://schemas.microsoft.com/office/drawing/2014/main" id="{00000000-0008-0000-0000-00002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24" name="Control 552" hidden="1">
              <a:extLst>
                <a:ext uri="{63B3BB69-23CF-44E3-9099-C40C66FF867C}">
                  <a14:compatExt spid="_x0000_s3624"/>
                </a:ext>
                <a:ext uri="{FF2B5EF4-FFF2-40B4-BE49-F238E27FC236}">
                  <a16:creationId xmlns:a16="http://schemas.microsoft.com/office/drawing/2014/main" id="{00000000-0008-0000-0000-00002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25" name="Control 553" hidden="1">
              <a:extLst>
                <a:ext uri="{63B3BB69-23CF-44E3-9099-C40C66FF867C}">
                  <a14:compatExt spid="_x0000_s3625"/>
                </a:ext>
                <a:ext uri="{FF2B5EF4-FFF2-40B4-BE49-F238E27FC236}">
                  <a16:creationId xmlns:a16="http://schemas.microsoft.com/office/drawing/2014/main" id="{00000000-0008-0000-0000-00002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26" name="Control 554" hidden="1">
              <a:extLst>
                <a:ext uri="{63B3BB69-23CF-44E3-9099-C40C66FF867C}">
                  <a14:compatExt spid="_x0000_s3626"/>
                </a:ext>
                <a:ext uri="{FF2B5EF4-FFF2-40B4-BE49-F238E27FC236}">
                  <a16:creationId xmlns:a16="http://schemas.microsoft.com/office/drawing/2014/main" id="{00000000-0008-0000-0000-00002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27" name="Control 555" hidden="1">
              <a:extLst>
                <a:ext uri="{63B3BB69-23CF-44E3-9099-C40C66FF867C}">
                  <a14:compatExt spid="_x0000_s3627"/>
                </a:ext>
                <a:ext uri="{FF2B5EF4-FFF2-40B4-BE49-F238E27FC236}">
                  <a16:creationId xmlns:a16="http://schemas.microsoft.com/office/drawing/2014/main" id="{00000000-0008-0000-0000-00002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28" name="Control 556" hidden="1">
              <a:extLst>
                <a:ext uri="{63B3BB69-23CF-44E3-9099-C40C66FF867C}">
                  <a14:compatExt spid="_x0000_s3628"/>
                </a:ext>
                <a:ext uri="{FF2B5EF4-FFF2-40B4-BE49-F238E27FC236}">
                  <a16:creationId xmlns:a16="http://schemas.microsoft.com/office/drawing/2014/main" id="{00000000-0008-0000-0000-00002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29" name="Control 557" hidden="1">
              <a:extLst>
                <a:ext uri="{63B3BB69-23CF-44E3-9099-C40C66FF867C}">
                  <a14:compatExt spid="_x0000_s3629"/>
                </a:ext>
                <a:ext uri="{FF2B5EF4-FFF2-40B4-BE49-F238E27FC236}">
                  <a16:creationId xmlns:a16="http://schemas.microsoft.com/office/drawing/2014/main" id="{00000000-0008-0000-0000-00002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30" name="Control 558" hidden="1">
              <a:extLst>
                <a:ext uri="{63B3BB69-23CF-44E3-9099-C40C66FF867C}">
                  <a14:compatExt spid="_x0000_s3630"/>
                </a:ext>
                <a:ext uri="{FF2B5EF4-FFF2-40B4-BE49-F238E27FC236}">
                  <a16:creationId xmlns:a16="http://schemas.microsoft.com/office/drawing/2014/main" id="{00000000-0008-0000-0000-00002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31" name="Control 559" hidden="1">
              <a:extLst>
                <a:ext uri="{63B3BB69-23CF-44E3-9099-C40C66FF867C}">
                  <a14:compatExt spid="_x0000_s3631"/>
                </a:ext>
                <a:ext uri="{FF2B5EF4-FFF2-40B4-BE49-F238E27FC236}">
                  <a16:creationId xmlns:a16="http://schemas.microsoft.com/office/drawing/2014/main" id="{00000000-0008-0000-0000-00002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32" name="Control 560" hidden="1">
              <a:extLst>
                <a:ext uri="{63B3BB69-23CF-44E3-9099-C40C66FF867C}">
                  <a14:compatExt spid="_x0000_s3632"/>
                </a:ext>
                <a:ext uri="{FF2B5EF4-FFF2-40B4-BE49-F238E27FC236}">
                  <a16:creationId xmlns:a16="http://schemas.microsoft.com/office/drawing/2014/main" id="{00000000-0008-0000-0000-00003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33" name="Control 561" hidden="1">
              <a:extLst>
                <a:ext uri="{63B3BB69-23CF-44E3-9099-C40C66FF867C}">
                  <a14:compatExt spid="_x0000_s3633"/>
                </a:ext>
                <a:ext uri="{FF2B5EF4-FFF2-40B4-BE49-F238E27FC236}">
                  <a16:creationId xmlns:a16="http://schemas.microsoft.com/office/drawing/2014/main" id="{00000000-0008-0000-0000-00003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34" name="Control 562" hidden="1">
              <a:extLst>
                <a:ext uri="{63B3BB69-23CF-44E3-9099-C40C66FF867C}">
                  <a14:compatExt spid="_x0000_s3634"/>
                </a:ext>
                <a:ext uri="{FF2B5EF4-FFF2-40B4-BE49-F238E27FC236}">
                  <a16:creationId xmlns:a16="http://schemas.microsoft.com/office/drawing/2014/main" id="{00000000-0008-0000-0000-00003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35" name="Control 563" hidden="1">
              <a:extLst>
                <a:ext uri="{63B3BB69-23CF-44E3-9099-C40C66FF867C}">
                  <a14:compatExt spid="_x0000_s3635"/>
                </a:ext>
                <a:ext uri="{FF2B5EF4-FFF2-40B4-BE49-F238E27FC236}">
                  <a16:creationId xmlns:a16="http://schemas.microsoft.com/office/drawing/2014/main" id="{00000000-0008-0000-0000-00003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36" name="Control 564" hidden="1">
              <a:extLst>
                <a:ext uri="{63B3BB69-23CF-44E3-9099-C40C66FF867C}">
                  <a14:compatExt spid="_x0000_s3636"/>
                </a:ext>
                <a:ext uri="{FF2B5EF4-FFF2-40B4-BE49-F238E27FC236}">
                  <a16:creationId xmlns:a16="http://schemas.microsoft.com/office/drawing/2014/main" id="{00000000-0008-0000-0000-00003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37" name="Control 565" hidden="1">
              <a:extLst>
                <a:ext uri="{63B3BB69-23CF-44E3-9099-C40C66FF867C}">
                  <a14:compatExt spid="_x0000_s3637"/>
                </a:ext>
                <a:ext uri="{FF2B5EF4-FFF2-40B4-BE49-F238E27FC236}">
                  <a16:creationId xmlns:a16="http://schemas.microsoft.com/office/drawing/2014/main" id="{00000000-0008-0000-0000-00003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38" name="Control 566" hidden="1">
              <a:extLst>
                <a:ext uri="{63B3BB69-23CF-44E3-9099-C40C66FF867C}">
                  <a14:compatExt spid="_x0000_s3638"/>
                </a:ext>
                <a:ext uri="{FF2B5EF4-FFF2-40B4-BE49-F238E27FC236}">
                  <a16:creationId xmlns:a16="http://schemas.microsoft.com/office/drawing/2014/main" id="{00000000-0008-0000-0000-00003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39" name="Control 567" hidden="1">
              <a:extLst>
                <a:ext uri="{63B3BB69-23CF-44E3-9099-C40C66FF867C}">
                  <a14:compatExt spid="_x0000_s3639"/>
                </a:ext>
                <a:ext uri="{FF2B5EF4-FFF2-40B4-BE49-F238E27FC236}">
                  <a16:creationId xmlns:a16="http://schemas.microsoft.com/office/drawing/2014/main" id="{00000000-0008-0000-0000-00003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40" name="Control 568" hidden="1">
              <a:extLst>
                <a:ext uri="{63B3BB69-23CF-44E3-9099-C40C66FF867C}">
                  <a14:compatExt spid="_x0000_s3640"/>
                </a:ext>
                <a:ext uri="{FF2B5EF4-FFF2-40B4-BE49-F238E27FC236}">
                  <a16:creationId xmlns:a16="http://schemas.microsoft.com/office/drawing/2014/main" id="{00000000-0008-0000-0000-00003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41" name="Control 569" hidden="1">
              <a:extLst>
                <a:ext uri="{63B3BB69-23CF-44E3-9099-C40C66FF867C}">
                  <a14:compatExt spid="_x0000_s3641"/>
                </a:ext>
                <a:ext uri="{FF2B5EF4-FFF2-40B4-BE49-F238E27FC236}">
                  <a16:creationId xmlns:a16="http://schemas.microsoft.com/office/drawing/2014/main" id="{00000000-0008-0000-0000-00003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42" name="Control 570" hidden="1">
              <a:extLst>
                <a:ext uri="{63B3BB69-23CF-44E3-9099-C40C66FF867C}">
                  <a14:compatExt spid="_x0000_s3642"/>
                </a:ext>
                <a:ext uri="{FF2B5EF4-FFF2-40B4-BE49-F238E27FC236}">
                  <a16:creationId xmlns:a16="http://schemas.microsoft.com/office/drawing/2014/main" id="{00000000-0008-0000-0000-00003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43" name="Control 571" hidden="1">
              <a:extLst>
                <a:ext uri="{63B3BB69-23CF-44E3-9099-C40C66FF867C}">
                  <a14:compatExt spid="_x0000_s3643"/>
                </a:ext>
                <a:ext uri="{FF2B5EF4-FFF2-40B4-BE49-F238E27FC236}">
                  <a16:creationId xmlns:a16="http://schemas.microsoft.com/office/drawing/2014/main" id="{00000000-0008-0000-0000-00003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44" name="Control 572" hidden="1">
              <a:extLst>
                <a:ext uri="{63B3BB69-23CF-44E3-9099-C40C66FF867C}">
                  <a14:compatExt spid="_x0000_s3644"/>
                </a:ext>
                <a:ext uri="{FF2B5EF4-FFF2-40B4-BE49-F238E27FC236}">
                  <a16:creationId xmlns:a16="http://schemas.microsoft.com/office/drawing/2014/main" id="{00000000-0008-0000-0000-00003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45" name="Control 573" hidden="1">
              <a:extLst>
                <a:ext uri="{63B3BB69-23CF-44E3-9099-C40C66FF867C}">
                  <a14:compatExt spid="_x0000_s3645"/>
                </a:ext>
                <a:ext uri="{FF2B5EF4-FFF2-40B4-BE49-F238E27FC236}">
                  <a16:creationId xmlns:a16="http://schemas.microsoft.com/office/drawing/2014/main" id="{00000000-0008-0000-0000-00003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46" name="Control 574" hidden="1">
              <a:extLst>
                <a:ext uri="{63B3BB69-23CF-44E3-9099-C40C66FF867C}">
                  <a14:compatExt spid="_x0000_s3646"/>
                </a:ext>
                <a:ext uri="{FF2B5EF4-FFF2-40B4-BE49-F238E27FC236}">
                  <a16:creationId xmlns:a16="http://schemas.microsoft.com/office/drawing/2014/main" id="{00000000-0008-0000-0000-00003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47" name="Control 575" hidden="1">
              <a:extLst>
                <a:ext uri="{63B3BB69-23CF-44E3-9099-C40C66FF867C}">
                  <a14:compatExt spid="_x0000_s3647"/>
                </a:ext>
                <a:ext uri="{FF2B5EF4-FFF2-40B4-BE49-F238E27FC236}">
                  <a16:creationId xmlns:a16="http://schemas.microsoft.com/office/drawing/2014/main" id="{00000000-0008-0000-0000-00003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48" name="Control 576" hidden="1">
              <a:extLst>
                <a:ext uri="{63B3BB69-23CF-44E3-9099-C40C66FF867C}">
                  <a14:compatExt spid="_x0000_s3648"/>
                </a:ext>
                <a:ext uri="{FF2B5EF4-FFF2-40B4-BE49-F238E27FC236}">
                  <a16:creationId xmlns:a16="http://schemas.microsoft.com/office/drawing/2014/main" id="{00000000-0008-0000-0000-00004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49" name="Control 577" hidden="1">
              <a:extLst>
                <a:ext uri="{63B3BB69-23CF-44E3-9099-C40C66FF867C}">
                  <a14:compatExt spid="_x0000_s3649"/>
                </a:ext>
                <a:ext uri="{FF2B5EF4-FFF2-40B4-BE49-F238E27FC236}">
                  <a16:creationId xmlns:a16="http://schemas.microsoft.com/office/drawing/2014/main" id="{00000000-0008-0000-0000-00004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50" name="Control 578" hidden="1">
              <a:extLst>
                <a:ext uri="{63B3BB69-23CF-44E3-9099-C40C66FF867C}">
                  <a14:compatExt spid="_x0000_s3650"/>
                </a:ext>
                <a:ext uri="{FF2B5EF4-FFF2-40B4-BE49-F238E27FC236}">
                  <a16:creationId xmlns:a16="http://schemas.microsoft.com/office/drawing/2014/main" id="{00000000-0008-0000-0000-00004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51" name="Control 579" hidden="1">
              <a:extLst>
                <a:ext uri="{63B3BB69-23CF-44E3-9099-C40C66FF867C}">
                  <a14:compatExt spid="_x0000_s3651"/>
                </a:ext>
                <a:ext uri="{FF2B5EF4-FFF2-40B4-BE49-F238E27FC236}">
                  <a16:creationId xmlns:a16="http://schemas.microsoft.com/office/drawing/2014/main" id="{00000000-0008-0000-0000-00004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52" name="Control 580" hidden="1">
              <a:extLst>
                <a:ext uri="{63B3BB69-23CF-44E3-9099-C40C66FF867C}">
                  <a14:compatExt spid="_x0000_s3652"/>
                </a:ext>
                <a:ext uri="{FF2B5EF4-FFF2-40B4-BE49-F238E27FC236}">
                  <a16:creationId xmlns:a16="http://schemas.microsoft.com/office/drawing/2014/main" id="{00000000-0008-0000-0000-00004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653" name="Control 581" hidden="1">
              <a:extLst>
                <a:ext uri="{63B3BB69-23CF-44E3-9099-C40C66FF867C}">
                  <a14:compatExt spid="_x0000_s3653"/>
                </a:ext>
                <a:ext uri="{FF2B5EF4-FFF2-40B4-BE49-F238E27FC236}">
                  <a16:creationId xmlns:a16="http://schemas.microsoft.com/office/drawing/2014/main" id="{00000000-0008-0000-0000-00004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50" name="Control 678" hidden="1">
              <a:extLst>
                <a:ext uri="{63B3BB69-23CF-44E3-9099-C40C66FF867C}">
                  <a14:compatExt spid="_x0000_s3750"/>
                </a:ext>
                <a:ext uri="{FF2B5EF4-FFF2-40B4-BE49-F238E27FC236}">
                  <a16:creationId xmlns:a16="http://schemas.microsoft.com/office/drawing/2014/main" id="{00000000-0008-0000-0000-0000A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51" name="Control 679" hidden="1">
              <a:extLst>
                <a:ext uri="{63B3BB69-23CF-44E3-9099-C40C66FF867C}">
                  <a14:compatExt spid="_x0000_s3751"/>
                </a:ext>
                <a:ext uri="{FF2B5EF4-FFF2-40B4-BE49-F238E27FC236}">
                  <a16:creationId xmlns:a16="http://schemas.microsoft.com/office/drawing/2014/main" id="{00000000-0008-0000-0000-0000A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52" name="Control 680" hidden="1">
              <a:extLst>
                <a:ext uri="{63B3BB69-23CF-44E3-9099-C40C66FF867C}">
                  <a14:compatExt spid="_x0000_s3752"/>
                </a:ext>
                <a:ext uri="{FF2B5EF4-FFF2-40B4-BE49-F238E27FC236}">
                  <a16:creationId xmlns:a16="http://schemas.microsoft.com/office/drawing/2014/main" id="{00000000-0008-0000-0000-0000A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53" name="Control 681" hidden="1">
              <a:extLst>
                <a:ext uri="{63B3BB69-23CF-44E3-9099-C40C66FF867C}">
                  <a14:compatExt spid="_x0000_s3753"/>
                </a:ext>
                <a:ext uri="{FF2B5EF4-FFF2-40B4-BE49-F238E27FC236}">
                  <a16:creationId xmlns:a16="http://schemas.microsoft.com/office/drawing/2014/main" id="{00000000-0008-0000-0000-0000A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54" name="Control 682" hidden="1">
              <a:extLst>
                <a:ext uri="{63B3BB69-23CF-44E3-9099-C40C66FF867C}">
                  <a14:compatExt spid="_x0000_s3754"/>
                </a:ext>
                <a:ext uri="{FF2B5EF4-FFF2-40B4-BE49-F238E27FC236}">
                  <a16:creationId xmlns:a16="http://schemas.microsoft.com/office/drawing/2014/main" id="{00000000-0008-0000-0000-0000A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55" name="Control 683" hidden="1">
              <a:extLst>
                <a:ext uri="{63B3BB69-23CF-44E3-9099-C40C66FF867C}">
                  <a14:compatExt spid="_x0000_s3755"/>
                </a:ext>
                <a:ext uri="{FF2B5EF4-FFF2-40B4-BE49-F238E27FC236}">
                  <a16:creationId xmlns:a16="http://schemas.microsoft.com/office/drawing/2014/main" id="{00000000-0008-0000-0000-0000A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56" name="Control 684" hidden="1">
              <a:extLst>
                <a:ext uri="{63B3BB69-23CF-44E3-9099-C40C66FF867C}">
                  <a14:compatExt spid="_x0000_s3756"/>
                </a:ext>
                <a:ext uri="{FF2B5EF4-FFF2-40B4-BE49-F238E27FC236}">
                  <a16:creationId xmlns:a16="http://schemas.microsoft.com/office/drawing/2014/main" id="{00000000-0008-0000-0000-0000A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57" name="Control 685" hidden="1">
              <a:extLst>
                <a:ext uri="{63B3BB69-23CF-44E3-9099-C40C66FF867C}">
                  <a14:compatExt spid="_x0000_s3757"/>
                </a:ext>
                <a:ext uri="{FF2B5EF4-FFF2-40B4-BE49-F238E27FC236}">
                  <a16:creationId xmlns:a16="http://schemas.microsoft.com/office/drawing/2014/main" id="{00000000-0008-0000-0000-0000A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58" name="Control 686" hidden="1">
              <a:extLst>
                <a:ext uri="{63B3BB69-23CF-44E3-9099-C40C66FF867C}">
                  <a14:compatExt spid="_x0000_s3758"/>
                </a:ext>
                <a:ext uri="{FF2B5EF4-FFF2-40B4-BE49-F238E27FC236}">
                  <a16:creationId xmlns:a16="http://schemas.microsoft.com/office/drawing/2014/main" id="{00000000-0008-0000-0000-0000A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59" name="Control 687" hidden="1">
              <a:extLst>
                <a:ext uri="{63B3BB69-23CF-44E3-9099-C40C66FF867C}">
                  <a14:compatExt spid="_x0000_s3759"/>
                </a:ext>
                <a:ext uri="{FF2B5EF4-FFF2-40B4-BE49-F238E27FC236}">
                  <a16:creationId xmlns:a16="http://schemas.microsoft.com/office/drawing/2014/main" id="{00000000-0008-0000-0000-0000A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60" name="Control 688" hidden="1">
              <a:extLst>
                <a:ext uri="{63B3BB69-23CF-44E3-9099-C40C66FF867C}">
                  <a14:compatExt spid="_x0000_s3760"/>
                </a:ext>
                <a:ext uri="{FF2B5EF4-FFF2-40B4-BE49-F238E27FC236}">
                  <a16:creationId xmlns:a16="http://schemas.microsoft.com/office/drawing/2014/main" id="{00000000-0008-0000-0000-0000B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61" name="Control 689" hidden="1">
              <a:extLst>
                <a:ext uri="{63B3BB69-23CF-44E3-9099-C40C66FF867C}">
                  <a14:compatExt spid="_x0000_s3761"/>
                </a:ext>
                <a:ext uri="{FF2B5EF4-FFF2-40B4-BE49-F238E27FC236}">
                  <a16:creationId xmlns:a16="http://schemas.microsoft.com/office/drawing/2014/main" id="{00000000-0008-0000-0000-0000B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62" name="Control 690" hidden="1">
              <a:extLst>
                <a:ext uri="{63B3BB69-23CF-44E3-9099-C40C66FF867C}">
                  <a14:compatExt spid="_x0000_s3762"/>
                </a:ext>
                <a:ext uri="{FF2B5EF4-FFF2-40B4-BE49-F238E27FC236}">
                  <a16:creationId xmlns:a16="http://schemas.microsoft.com/office/drawing/2014/main" id="{00000000-0008-0000-0000-0000B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63" name="Control 691" hidden="1">
              <a:extLst>
                <a:ext uri="{63B3BB69-23CF-44E3-9099-C40C66FF867C}">
                  <a14:compatExt spid="_x0000_s3763"/>
                </a:ext>
                <a:ext uri="{FF2B5EF4-FFF2-40B4-BE49-F238E27FC236}">
                  <a16:creationId xmlns:a16="http://schemas.microsoft.com/office/drawing/2014/main" id="{00000000-0008-0000-0000-0000B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64" name="Control 692" hidden="1">
              <a:extLst>
                <a:ext uri="{63B3BB69-23CF-44E3-9099-C40C66FF867C}">
                  <a14:compatExt spid="_x0000_s3764"/>
                </a:ext>
                <a:ext uri="{FF2B5EF4-FFF2-40B4-BE49-F238E27FC236}">
                  <a16:creationId xmlns:a16="http://schemas.microsoft.com/office/drawing/2014/main" id="{00000000-0008-0000-0000-0000B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65" name="Control 693" hidden="1">
              <a:extLst>
                <a:ext uri="{63B3BB69-23CF-44E3-9099-C40C66FF867C}">
                  <a14:compatExt spid="_x0000_s3765"/>
                </a:ext>
                <a:ext uri="{FF2B5EF4-FFF2-40B4-BE49-F238E27FC236}">
                  <a16:creationId xmlns:a16="http://schemas.microsoft.com/office/drawing/2014/main" id="{00000000-0008-0000-0000-0000B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66" name="Control 694" hidden="1">
              <a:extLst>
                <a:ext uri="{63B3BB69-23CF-44E3-9099-C40C66FF867C}">
                  <a14:compatExt spid="_x0000_s3766"/>
                </a:ext>
                <a:ext uri="{FF2B5EF4-FFF2-40B4-BE49-F238E27FC236}">
                  <a16:creationId xmlns:a16="http://schemas.microsoft.com/office/drawing/2014/main" id="{00000000-0008-0000-0000-0000B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67" name="Control 695" hidden="1">
              <a:extLst>
                <a:ext uri="{63B3BB69-23CF-44E3-9099-C40C66FF867C}">
                  <a14:compatExt spid="_x0000_s3767"/>
                </a:ext>
                <a:ext uri="{FF2B5EF4-FFF2-40B4-BE49-F238E27FC236}">
                  <a16:creationId xmlns:a16="http://schemas.microsoft.com/office/drawing/2014/main" id="{00000000-0008-0000-0000-0000B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68" name="Control 696" hidden="1">
              <a:extLst>
                <a:ext uri="{63B3BB69-23CF-44E3-9099-C40C66FF867C}">
                  <a14:compatExt spid="_x0000_s3768"/>
                </a:ext>
                <a:ext uri="{FF2B5EF4-FFF2-40B4-BE49-F238E27FC236}">
                  <a16:creationId xmlns:a16="http://schemas.microsoft.com/office/drawing/2014/main" id="{00000000-0008-0000-0000-0000B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69" name="Control 697" hidden="1">
              <a:extLst>
                <a:ext uri="{63B3BB69-23CF-44E3-9099-C40C66FF867C}">
                  <a14:compatExt spid="_x0000_s3769"/>
                </a:ext>
                <a:ext uri="{FF2B5EF4-FFF2-40B4-BE49-F238E27FC236}">
                  <a16:creationId xmlns:a16="http://schemas.microsoft.com/office/drawing/2014/main" id="{00000000-0008-0000-0000-0000B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70" name="Control 698" hidden="1">
              <a:extLst>
                <a:ext uri="{63B3BB69-23CF-44E3-9099-C40C66FF867C}">
                  <a14:compatExt spid="_x0000_s3770"/>
                </a:ext>
                <a:ext uri="{FF2B5EF4-FFF2-40B4-BE49-F238E27FC236}">
                  <a16:creationId xmlns:a16="http://schemas.microsoft.com/office/drawing/2014/main" id="{00000000-0008-0000-0000-0000B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71" name="Control 699" hidden="1">
              <a:extLst>
                <a:ext uri="{63B3BB69-23CF-44E3-9099-C40C66FF867C}">
                  <a14:compatExt spid="_x0000_s3771"/>
                </a:ext>
                <a:ext uri="{FF2B5EF4-FFF2-40B4-BE49-F238E27FC236}">
                  <a16:creationId xmlns:a16="http://schemas.microsoft.com/office/drawing/2014/main" id="{00000000-0008-0000-0000-0000B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72" name="Control 700" hidden="1">
              <a:extLst>
                <a:ext uri="{63B3BB69-23CF-44E3-9099-C40C66FF867C}">
                  <a14:compatExt spid="_x0000_s3772"/>
                </a:ext>
                <a:ext uri="{FF2B5EF4-FFF2-40B4-BE49-F238E27FC236}">
                  <a16:creationId xmlns:a16="http://schemas.microsoft.com/office/drawing/2014/main" id="{00000000-0008-0000-0000-0000B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73" name="Control 701" hidden="1">
              <a:extLst>
                <a:ext uri="{63B3BB69-23CF-44E3-9099-C40C66FF867C}">
                  <a14:compatExt spid="_x0000_s3773"/>
                </a:ext>
                <a:ext uri="{FF2B5EF4-FFF2-40B4-BE49-F238E27FC236}">
                  <a16:creationId xmlns:a16="http://schemas.microsoft.com/office/drawing/2014/main" id="{00000000-0008-0000-0000-0000B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74" name="Control 702" hidden="1">
              <a:extLst>
                <a:ext uri="{63B3BB69-23CF-44E3-9099-C40C66FF867C}">
                  <a14:compatExt spid="_x0000_s3774"/>
                </a:ext>
                <a:ext uri="{FF2B5EF4-FFF2-40B4-BE49-F238E27FC236}">
                  <a16:creationId xmlns:a16="http://schemas.microsoft.com/office/drawing/2014/main" id="{00000000-0008-0000-0000-0000B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75" name="Control 703" hidden="1">
              <a:extLst>
                <a:ext uri="{63B3BB69-23CF-44E3-9099-C40C66FF867C}">
                  <a14:compatExt spid="_x0000_s3775"/>
                </a:ext>
                <a:ext uri="{FF2B5EF4-FFF2-40B4-BE49-F238E27FC236}">
                  <a16:creationId xmlns:a16="http://schemas.microsoft.com/office/drawing/2014/main" id="{00000000-0008-0000-0000-0000B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76" name="Control 704" hidden="1">
              <a:extLst>
                <a:ext uri="{63B3BB69-23CF-44E3-9099-C40C66FF867C}">
                  <a14:compatExt spid="_x0000_s3776"/>
                </a:ext>
                <a:ext uri="{FF2B5EF4-FFF2-40B4-BE49-F238E27FC236}">
                  <a16:creationId xmlns:a16="http://schemas.microsoft.com/office/drawing/2014/main" id="{00000000-0008-0000-0000-0000C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77" name="Control 705" hidden="1">
              <a:extLst>
                <a:ext uri="{63B3BB69-23CF-44E3-9099-C40C66FF867C}">
                  <a14:compatExt spid="_x0000_s3777"/>
                </a:ext>
                <a:ext uri="{FF2B5EF4-FFF2-40B4-BE49-F238E27FC236}">
                  <a16:creationId xmlns:a16="http://schemas.microsoft.com/office/drawing/2014/main" id="{00000000-0008-0000-0000-0000C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78" name="Control 706" hidden="1">
              <a:extLst>
                <a:ext uri="{63B3BB69-23CF-44E3-9099-C40C66FF867C}">
                  <a14:compatExt spid="_x0000_s3778"/>
                </a:ext>
                <a:ext uri="{FF2B5EF4-FFF2-40B4-BE49-F238E27FC236}">
                  <a16:creationId xmlns:a16="http://schemas.microsoft.com/office/drawing/2014/main" id="{00000000-0008-0000-0000-0000C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79" name="Control 707" hidden="1">
              <a:extLst>
                <a:ext uri="{63B3BB69-23CF-44E3-9099-C40C66FF867C}">
                  <a14:compatExt spid="_x0000_s3779"/>
                </a:ext>
                <a:ext uri="{FF2B5EF4-FFF2-40B4-BE49-F238E27FC236}">
                  <a16:creationId xmlns:a16="http://schemas.microsoft.com/office/drawing/2014/main" id="{00000000-0008-0000-0000-0000C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80" name="Control 708" hidden="1">
              <a:extLst>
                <a:ext uri="{63B3BB69-23CF-44E3-9099-C40C66FF867C}">
                  <a14:compatExt spid="_x0000_s3780"/>
                </a:ext>
                <a:ext uri="{FF2B5EF4-FFF2-40B4-BE49-F238E27FC236}">
                  <a16:creationId xmlns:a16="http://schemas.microsoft.com/office/drawing/2014/main" id="{00000000-0008-0000-0000-0000C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81" name="Control 709" hidden="1">
              <a:extLst>
                <a:ext uri="{63B3BB69-23CF-44E3-9099-C40C66FF867C}">
                  <a14:compatExt spid="_x0000_s3781"/>
                </a:ext>
                <a:ext uri="{FF2B5EF4-FFF2-40B4-BE49-F238E27FC236}">
                  <a16:creationId xmlns:a16="http://schemas.microsoft.com/office/drawing/2014/main" id="{00000000-0008-0000-0000-0000C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82" name="Control 710" hidden="1">
              <a:extLst>
                <a:ext uri="{63B3BB69-23CF-44E3-9099-C40C66FF867C}">
                  <a14:compatExt spid="_x0000_s3782"/>
                </a:ext>
                <a:ext uri="{FF2B5EF4-FFF2-40B4-BE49-F238E27FC236}">
                  <a16:creationId xmlns:a16="http://schemas.microsoft.com/office/drawing/2014/main" id="{00000000-0008-0000-0000-0000C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83" name="Control 711" hidden="1">
              <a:extLst>
                <a:ext uri="{63B3BB69-23CF-44E3-9099-C40C66FF867C}">
                  <a14:compatExt spid="_x0000_s3783"/>
                </a:ext>
                <a:ext uri="{FF2B5EF4-FFF2-40B4-BE49-F238E27FC236}">
                  <a16:creationId xmlns:a16="http://schemas.microsoft.com/office/drawing/2014/main" id="{00000000-0008-0000-0000-0000C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84" name="Control 712" hidden="1">
              <a:extLst>
                <a:ext uri="{63B3BB69-23CF-44E3-9099-C40C66FF867C}">
                  <a14:compatExt spid="_x0000_s3784"/>
                </a:ext>
                <a:ext uri="{FF2B5EF4-FFF2-40B4-BE49-F238E27FC236}">
                  <a16:creationId xmlns:a16="http://schemas.microsoft.com/office/drawing/2014/main" id="{00000000-0008-0000-0000-0000C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85" name="Control 713" hidden="1">
              <a:extLst>
                <a:ext uri="{63B3BB69-23CF-44E3-9099-C40C66FF867C}">
                  <a14:compatExt spid="_x0000_s3785"/>
                </a:ext>
                <a:ext uri="{FF2B5EF4-FFF2-40B4-BE49-F238E27FC236}">
                  <a16:creationId xmlns:a16="http://schemas.microsoft.com/office/drawing/2014/main" id="{00000000-0008-0000-0000-0000C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86" name="Control 714" hidden="1">
              <a:extLst>
                <a:ext uri="{63B3BB69-23CF-44E3-9099-C40C66FF867C}">
                  <a14:compatExt spid="_x0000_s3786"/>
                </a:ext>
                <a:ext uri="{FF2B5EF4-FFF2-40B4-BE49-F238E27FC236}">
                  <a16:creationId xmlns:a16="http://schemas.microsoft.com/office/drawing/2014/main" id="{00000000-0008-0000-0000-0000C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87" name="Control 715" hidden="1">
              <a:extLst>
                <a:ext uri="{63B3BB69-23CF-44E3-9099-C40C66FF867C}">
                  <a14:compatExt spid="_x0000_s3787"/>
                </a:ext>
                <a:ext uri="{FF2B5EF4-FFF2-40B4-BE49-F238E27FC236}">
                  <a16:creationId xmlns:a16="http://schemas.microsoft.com/office/drawing/2014/main" id="{00000000-0008-0000-0000-0000C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88" name="Control 716" hidden="1">
              <a:extLst>
                <a:ext uri="{63B3BB69-23CF-44E3-9099-C40C66FF867C}">
                  <a14:compatExt spid="_x0000_s3788"/>
                </a:ext>
                <a:ext uri="{FF2B5EF4-FFF2-40B4-BE49-F238E27FC236}">
                  <a16:creationId xmlns:a16="http://schemas.microsoft.com/office/drawing/2014/main" id="{00000000-0008-0000-0000-0000C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89" name="Control 717" hidden="1">
              <a:extLst>
                <a:ext uri="{63B3BB69-23CF-44E3-9099-C40C66FF867C}">
                  <a14:compatExt spid="_x0000_s3789"/>
                </a:ext>
                <a:ext uri="{FF2B5EF4-FFF2-40B4-BE49-F238E27FC236}">
                  <a16:creationId xmlns:a16="http://schemas.microsoft.com/office/drawing/2014/main" id="{00000000-0008-0000-0000-0000C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90" name="Control 718" hidden="1">
              <a:extLst>
                <a:ext uri="{63B3BB69-23CF-44E3-9099-C40C66FF867C}">
                  <a14:compatExt spid="_x0000_s3790"/>
                </a:ext>
                <a:ext uri="{FF2B5EF4-FFF2-40B4-BE49-F238E27FC236}">
                  <a16:creationId xmlns:a16="http://schemas.microsoft.com/office/drawing/2014/main" id="{00000000-0008-0000-0000-0000C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91" name="Control 719" hidden="1">
              <a:extLst>
                <a:ext uri="{63B3BB69-23CF-44E3-9099-C40C66FF867C}">
                  <a14:compatExt spid="_x0000_s3791"/>
                </a:ext>
                <a:ext uri="{FF2B5EF4-FFF2-40B4-BE49-F238E27FC236}">
                  <a16:creationId xmlns:a16="http://schemas.microsoft.com/office/drawing/2014/main" id="{00000000-0008-0000-0000-0000C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92" name="Control 720" hidden="1">
              <a:extLst>
                <a:ext uri="{63B3BB69-23CF-44E3-9099-C40C66FF867C}">
                  <a14:compatExt spid="_x0000_s3792"/>
                </a:ext>
                <a:ext uri="{FF2B5EF4-FFF2-40B4-BE49-F238E27FC236}">
                  <a16:creationId xmlns:a16="http://schemas.microsoft.com/office/drawing/2014/main" id="{00000000-0008-0000-0000-0000D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93" name="Control 721" hidden="1">
              <a:extLst>
                <a:ext uri="{63B3BB69-23CF-44E3-9099-C40C66FF867C}">
                  <a14:compatExt spid="_x0000_s3793"/>
                </a:ext>
                <a:ext uri="{FF2B5EF4-FFF2-40B4-BE49-F238E27FC236}">
                  <a16:creationId xmlns:a16="http://schemas.microsoft.com/office/drawing/2014/main" id="{00000000-0008-0000-0000-0000D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94" name="Control 722" hidden="1">
              <a:extLst>
                <a:ext uri="{63B3BB69-23CF-44E3-9099-C40C66FF867C}">
                  <a14:compatExt spid="_x0000_s3794"/>
                </a:ext>
                <a:ext uri="{FF2B5EF4-FFF2-40B4-BE49-F238E27FC236}">
                  <a16:creationId xmlns:a16="http://schemas.microsoft.com/office/drawing/2014/main" id="{00000000-0008-0000-0000-0000D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95" name="Control 723" hidden="1">
              <a:extLst>
                <a:ext uri="{63B3BB69-23CF-44E3-9099-C40C66FF867C}">
                  <a14:compatExt spid="_x0000_s3795"/>
                </a:ext>
                <a:ext uri="{FF2B5EF4-FFF2-40B4-BE49-F238E27FC236}">
                  <a16:creationId xmlns:a16="http://schemas.microsoft.com/office/drawing/2014/main" id="{00000000-0008-0000-0000-0000D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96" name="Control 724" hidden="1">
              <a:extLst>
                <a:ext uri="{63B3BB69-23CF-44E3-9099-C40C66FF867C}">
                  <a14:compatExt spid="_x0000_s3796"/>
                </a:ext>
                <a:ext uri="{FF2B5EF4-FFF2-40B4-BE49-F238E27FC236}">
                  <a16:creationId xmlns:a16="http://schemas.microsoft.com/office/drawing/2014/main" id="{00000000-0008-0000-0000-0000D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797" name="Control 725" hidden="1">
              <a:extLst>
                <a:ext uri="{63B3BB69-23CF-44E3-9099-C40C66FF867C}">
                  <a14:compatExt spid="_x0000_s3797"/>
                </a:ext>
                <a:ext uri="{FF2B5EF4-FFF2-40B4-BE49-F238E27FC236}">
                  <a16:creationId xmlns:a16="http://schemas.microsoft.com/office/drawing/2014/main" id="{00000000-0008-0000-0000-0000D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22" name="Control 750" hidden="1">
              <a:extLst>
                <a:ext uri="{63B3BB69-23CF-44E3-9099-C40C66FF867C}">
                  <a14:compatExt spid="_x0000_s3822"/>
                </a:ext>
                <a:ext uri="{FF2B5EF4-FFF2-40B4-BE49-F238E27FC236}">
                  <a16:creationId xmlns:a16="http://schemas.microsoft.com/office/drawing/2014/main" id="{00000000-0008-0000-0000-0000E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23" name="Control 751" hidden="1">
              <a:extLst>
                <a:ext uri="{63B3BB69-23CF-44E3-9099-C40C66FF867C}">
                  <a14:compatExt spid="_x0000_s3823"/>
                </a:ext>
                <a:ext uri="{FF2B5EF4-FFF2-40B4-BE49-F238E27FC236}">
                  <a16:creationId xmlns:a16="http://schemas.microsoft.com/office/drawing/2014/main" id="{00000000-0008-0000-0000-0000E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24" name="Control 752" hidden="1">
              <a:extLst>
                <a:ext uri="{63B3BB69-23CF-44E3-9099-C40C66FF867C}">
                  <a14:compatExt spid="_x0000_s3824"/>
                </a:ext>
                <a:ext uri="{FF2B5EF4-FFF2-40B4-BE49-F238E27FC236}">
                  <a16:creationId xmlns:a16="http://schemas.microsoft.com/office/drawing/2014/main" id="{00000000-0008-0000-0000-0000F0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25" name="Control 753" hidden="1">
              <a:extLst>
                <a:ext uri="{63B3BB69-23CF-44E3-9099-C40C66FF867C}">
                  <a14:compatExt spid="_x0000_s3825"/>
                </a:ext>
                <a:ext uri="{FF2B5EF4-FFF2-40B4-BE49-F238E27FC236}">
                  <a16:creationId xmlns:a16="http://schemas.microsoft.com/office/drawing/2014/main" id="{00000000-0008-0000-0000-0000F1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26" name="Control 754" hidden="1">
              <a:extLst>
                <a:ext uri="{63B3BB69-23CF-44E3-9099-C40C66FF867C}">
                  <a14:compatExt spid="_x0000_s3826"/>
                </a:ext>
                <a:ext uri="{FF2B5EF4-FFF2-40B4-BE49-F238E27FC236}">
                  <a16:creationId xmlns:a16="http://schemas.microsoft.com/office/drawing/2014/main" id="{00000000-0008-0000-0000-0000F2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27" name="Control 755" hidden="1">
              <a:extLst>
                <a:ext uri="{63B3BB69-23CF-44E3-9099-C40C66FF867C}">
                  <a14:compatExt spid="_x0000_s3827"/>
                </a:ext>
                <a:ext uri="{FF2B5EF4-FFF2-40B4-BE49-F238E27FC236}">
                  <a16:creationId xmlns:a16="http://schemas.microsoft.com/office/drawing/2014/main" id="{00000000-0008-0000-0000-0000F3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28" name="Control 756" hidden="1">
              <a:extLst>
                <a:ext uri="{63B3BB69-23CF-44E3-9099-C40C66FF867C}">
                  <a14:compatExt spid="_x0000_s3828"/>
                </a:ext>
                <a:ext uri="{FF2B5EF4-FFF2-40B4-BE49-F238E27FC236}">
                  <a16:creationId xmlns:a16="http://schemas.microsoft.com/office/drawing/2014/main" id="{00000000-0008-0000-0000-0000F4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29" name="Control 757" hidden="1">
              <a:extLst>
                <a:ext uri="{63B3BB69-23CF-44E3-9099-C40C66FF867C}">
                  <a14:compatExt spid="_x0000_s3829"/>
                </a:ext>
                <a:ext uri="{FF2B5EF4-FFF2-40B4-BE49-F238E27FC236}">
                  <a16:creationId xmlns:a16="http://schemas.microsoft.com/office/drawing/2014/main" id="{00000000-0008-0000-0000-0000F5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30" name="Control 758" hidden="1">
              <a:extLst>
                <a:ext uri="{63B3BB69-23CF-44E3-9099-C40C66FF867C}">
                  <a14:compatExt spid="_x0000_s3830"/>
                </a:ext>
                <a:ext uri="{FF2B5EF4-FFF2-40B4-BE49-F238E27FC236}">
                  <a16:creationId xmlns:a16="http://schemas.microsoft.com/office/drawing/2014/main" id="{00000000-0008-0000-0000-0000F6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31" name="Control 759" hidden="1">
              <a:extLst>
                <a:ext uri="{63B3BB69-23CF-44E3-9099-C40C66FF867C}">
                  <a14:compatExt spid="_x0000_s3831"/>
                </a:ext>
                <a:ext uri="{FF2B5EF4-FFF2-40B4-BE49-F238E27FC236}">
                  <a16:creationId xmlns:a16="http://schemas.microsoft.com/office/drawing/2014/main" id="{00000000-0008-0000-0000-0000F7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32" name="Control 760" hidden="1">
              <a:extLst>
                <a:ext uri="{63B3BB69-23CF-44E3-9099-C40C66FF867C}">
                  <a14:compatExt spid="_x0000_s3832"/>
                </a:ext>
                <a:ext uri="{FF2B5EF4-FFF2-40B4-BE49-F238E27FC236}">
                  <a16:creationId xmlns:a16="http://schemas.microsoft.com/office/drawing/2014/main" id="{00000000-0008-0000-0000-0000F8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33" name="Control 761" hidden="1">
              <a:extLst>
                <a:ext uri="{63B3BB69-23CF-44E3-9099-C40C66FF867C}">
                  <a14:compatExt spid="_x0000_s3833"/>
                </a:ext>
                <a:ext uri="{FF2B5EF4-FFF2-40B4-BE49-F238E27FC236}">
                  <a16:creationId xmlns:a16="http://schemas.microsoft.com/office/drawing/2014/main" id="{00000000-0008-0000-0000-0000F9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34" name="Control 762" hidden="1">
              <a:extLst>
                <a:ext uri="{63B3BB69-23CF-44E3-9099-C40C66FF867C}">
                  <a14:compatExt spid="_x0000_s3834"/>
                </a:ext>
                <a:ext uri="{FF2B5EF4-FFF2-40B4-BE49-F238E27FC236}">
                  <a16:creationId xmlns:a16="http://schemas.microsoft.com/office/drawing/2014/main" id="{00000000-0008-0000-0000-0000FA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35" name="Control 763" hidden="1">
              <a:extLst>
                <a:ext uri="{63B3BB69-23CF-44E3-9099-C40C66FF867C}">
                  <a14:compatExt spid="_x0000_s3835"/>
                </a:ext>
                <a:ext uri="{FF2B5EF4-FFF2-40B4-BE49-F238E27FC236}">
                  <a16:creationId xmlns:a16="http://schemas.microsoft.com/office/drawing/2014/main" id="{00000000-0008-0000-0000-0000FB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36" name="Control 764" hidden="1">
              <a:extLst>
                <a:ext uri="{63B3BB69-23CF-44E3-9099-C40C66FF867C}">
                  <a14:compatExt spid="_x0000_s3836"/>
                </a:ext>
                <a:ext uri="{FF2B5EF4-FFF2-40B4-BE49-F238E27FC236}">
                  <a16:creationId xmlns:a16="http://schemas.microsoft.com/office/drawing/2014/main" id="{00000000-0008-0000-0000-0000FC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37" name="Control 765" hidden="1">
              <a:extLst>
                <a:ext uri="{63B3BB69-23CF-44E3-9099-C40C66FF867C}">
                  <a14:compatExt spid="_x0000_s3837"/>
                </a:ext>
                <a:ext uri="{FF2B5EF4-FFF2-40B4-BE49-F238E27FC236}">
                  <a16:creationId xmlns:a16="http://schemas.microsoft.com/office/drawing/2014/main" id="{00000000-0008-0000-0000-0000FD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38" name="Control 766" hidden="1">
              <a:extLst>
                <a:ext uri="{63B3BB69-23CF-44E3-9099-C40C66FF867C}">
                  <a14:compatExt spid="_x0000_s3838"/>
                </a:ext>
                <a:ext uri="{FF2B5EF4-FFF2-40B4-BE49-F238E27FC236}">
                  <a16:creationId xmlns:a16="http://schemas.microsoft.com/office/drawing/2014/main" id="{00000000-0008-0000-0000-0000FE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39" name="Control 767" hidden="1">
              <a:extLst>
                <a:ext uri="{63B3BB69-23CF-44E3-9099-C40C66FF867C}">
                  <a14:compatExt spid="_x0000_s3839"/>
                </a:ext>
                <a:ext uri="{FF2B5EF4-FFF2-40B4-BE49-F238E27FC236}">
                  <a16:creationId xmlns:a16="http://schemas.microsoft.com/office/drawing/2014/main" id="{00000000-0008-0000-0000-0000FF0E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40" name="Control 768" hidden="1">
              <a:extLst>
                <a:ext uri="{63B3BB69-23CF-44E3-9099-C40C66FF867C}">
                  <a14:compatExt spid="_x0000_s3840"/>
                </a:ext>
                <a:ext uri="{FF2B5EF4-FFF2-40B4-BE49-F238E27FC236}">
                  <a16:creationId xmlns:a16="http://schemas.microsoft.com/office/drawing/2014/main" id="{00000000-0008-0000-0000-00000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41" name="Control 769" hidden="1">
              <a:extLst>
                <a:ext uri="{63B3BB69-23CF-44E3-9099-C40C66FF867C}">
                  <a14:compatExt spid="_x0000_s3841"/>
                </a:ext>
                <a:ext uri="{FF2B5EF4-FFF2-40B4-BE49-F238E27FC236}">
                  <a16:creationId xmlns:a16="http://schemas.microsoft.com/office/drawing/2014/main" id="{00000000-0008-0000-0000-00000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42" name="Control 770" hidden="1">
              <a:extLst>
                <a:ext uri="{63B3BB69-23CF-44E3-9099-C40C66FF867C}">
                  <a14:compatExt spid="_x0000_s3842"/>
                </a:ext>
                <a:ext uri="{FF2B5EF4-FFF2-40B4-BE49-F238E27FC236}">
                  <a16:creationId xmlns:a16="http://schemas.microsoft.com/office/drawing/2014/main" id="{00000000-0008-0000-0000-00000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43" name="Control 771" hidden="1">
              <a:extLst>
                <a:ext uri="{63B3BB69-23CF-44E3-9099-C40C66FF867C}">
                  <a14:compatExt spid="_x0000_s3843"/>
                </a:ext>
                <a:ext uri="{FF2B5EF4-FFF2-40B4-BE49-F238E27FC236}">
                  <a16:creationId xmlns:a16="http://schemas.microsoft.com/office/drawing/2014/main" id="{00000000-0008-0000-0000-00000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44" name="Control 772" hidden="1">
              <a:extLst>
                <a:ext uri="{63B3BB69-23CF-44E3-9099-C40C66FF867C}">
                  <a14:compatExt spid="_x0000_s3844"/>
                </a:ext>
                <a:ext uri="{FF2B5EF4-FFF2-40B4-BE49-F238E27FC236}">
                  <a16:creationId xmlns:a16="http://schemas.microsoft.com/office/drawing/2014/main" id="{00000000-0008-0000-0000-00000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45" name="Control 773" hidden="1">
              <a:extLst>
                <a:ext uri="{63B3BB69-23CF-44E3-9099-C40C66FF867C}">
                  <a14:compatExt spid="_x0000_s3845"/>
                </a:ext>
                <a:ext uri="{FF2B5EF4-FFF2-40B4-BE49-F238E27FC236}">
                  <a16:creationId xmlns:a16="http://schemas.microsoft.com/office/drawing/2014/main" id="{00000000-0008-0000-0000-00000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46" name="Control 774" hidden="1">
              <a:extLst>
                <a:ext uri="{63B3BB69-23CF-44E3-9099-C40C66FF867C}">
                  <a14:compatExt spid="_x0000_s3846"/>
                </a:ext>
                <a:ext uri="{FF2B5EF4-FFF2-40B4-BE49-F238E27FC236}">
                  <a16:creationId xmlns:a16="http://schemas.microsoft.com/office/drawing/2014/main" id="{00000000-0008-0000-0000-00000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47" name="Control 775" hidden="1">
              <a:extLst>
                <a:ext uri="{63B3BB69-23CF-44E3-9099-C40C66FF867C}">
                  <a14:compatExt spid="_x0000_s3847"/>
                </a:ext>
                <a:ext uri="{FF2B5EF4-FFF2-40B4-BE49-F238E27FC236}">
                  <a16:creationId xmlns:a16="http://schemas.microsoft.com/office/drawing/2014/main" id="{00000000-0008-0000-0000-00000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48" name="Control 776" hidden="1">
              <a:extLst>
                <a:ext uri="{63B3BB69-23CF-44E3-9099-C40C66FF867C}">
                  <a14:compatExt spid="_x0000_s3848"/>
                </a:ext>
                <a:ext uri="{FF2B5EF4-FFF2-40B4-BE49-F238E27FC236}">
                  <a16:creationId xmlns:a16="http://schemas.microsoft.com/office/drawing/2014/main" id="{00000000-0008-0000-0000-00000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49" name="Control 777" hidden="1">
              <a:extLst>
                <a:ext uri="{63B3BB69-23CF-44E3-9099-C40C66FF867C}">
                  <a14:compatExt spid="_x0000_s3849"/>
                </a:ext>
                <a:ext uri="{FF2B5EF4-FFF2-40B4-BE49-F238E27FC236}">
                  <a16:creationId xmlns:a16="http://schemas.microsoft.com/office/drawing/2014/main" id="{00000000-0008-0000-0000-00000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50" name="Control 778" hidden="1">
              <a:extLst>
                <a:ext uri="{63B3BB69-23CF-44E3-9099-C40C66FF867C}">
                  <a14:compatExt spid="_x0000_s3850"/>
                </a:ext>
                <a:ext uri="{FF2B5EF4-FFF2-40B4-BE49-F238E27FC236}">
                  <a16:creationId xmlns:a16="http://schemas.microsoft.com/office/drawing/2014/main" id="{00000000-0008-0000-0000-00000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51" name="Control 779" hidden="1">
              <a:extLst>
                <a:ext uri="{63B3BB69-23CF-44E3-9099-C40C66FF867C}">
                  <a14:compatExt spid="_x0000_s3851"/>
                </a:ext>
                <a:ext uri="{FF2B5EF4-FFF2-40B4-BE49-F238E27FC236}">
                  <a16:creationId xmlns:a16="http://schemas.microsoft.com/office/drawing/2014/main" id="{00000000-0008-0000-0000-00000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52" name="Control 780" hidden="1">
              <a:extLst>
                <a:ext uri="{63B3BB69-23CF-44E3-9099-C40C66FF867C}">
                  <a14:compatExt spid="_x0000_s3852"/>
                </a:ext>
                <a:ext uri="{FF2B5EF4-FFF2-40B4-BE49-F238E27FC236}">
                  <a16:creationId xmlns:a16="http://schemas.microsoft.com/office/drawing/2014/main" id="{00000000-0008-0000-0000-00000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53" name="Control 781" hidden="1">
              <a:extLst>
                <a:ext uri="{63B3BB69-23CF-44E3-9099-C40C66FF867C}">
                  <a14:compatExt spid="_x0000_s3853"/>
                </a:ext>
                <a:ext uri="{FF2B5EF4-FFF2-40B4-BE49-F238E27FC236}">
                  <a16:creationId xmlns:a16="http://schemas.microsoft.com/office/drawing/2014/main" id="{00000000-0008-0000-0000-00000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54" name="Control 782" hidden="1">
              <a:extLst>
                <a:ext uri="{63B3BB69-23CF-44E3-9099-C40C66FF867C}">
                  <a14:compatExt spid="_x0000_s3854"/>
                </a:ext>
                <a:ext uri="{FF2B5EF4-FFF2-40B4-BE49-F238E27FC236}">
                  <a16:creationId xmlns:a16="http://schemas.microsoft.com/office/drawing/2014/main" id="{00000000-0008-0000-0000-00000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55" name="Control 783" hidden="1">
              <a:extLst>
                <a:ext uri="{63B3BB69-23CF-44E3-9099-C40C66FF867C}">
                  <a14:compatExt spid="_x0000_s3855"/>
                </a:ext>
                <a:ext uri="{FF2B5EF4-FFF2-40B4-BE49-F238E27FC236}">
                  <a16:creationId xmlns:a16="http://schemas.microsoft.com/office/drawing/2014/main" id="{00000000-0008-0000-0000-00000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56" name="Control 784" hidden="1">
              <a:extLst>
                <a:ext uri="{63B3BB69-23CF-44E3-9099-C40C66FF867C}">
                  <a14:compatExt spid="_x0000_s3856"/>
                </a:ext>
                <a:ext uri="{FF2B5EF4-FFF2-40B4-BE49-F238E27FC236}">
                  <a16:creationId xmlns:a16="http://schemas.microsoft.com/office/drawing/2014/main" id="{00000000-0008-0000-0000-00001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57" name="Control 785" hidden="1">
              <a:extLst>
                <a:ext uri="{63B3BB69-23CF-44E3-9099-C40C66FF867C}">
                  <a14:compatExt spid="_x0000_s3857"/>
                </a:ext>
                <a:ext uri="{FF2B5EF4-FFF2-40B4-BE49-F238E27FC236}">
                  <a16:creationId xmlns:a16="http://schemas.microsoft.com/office/drawing/2014/main" id="{00000000-0008-0000-0000-00001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58" name="Control 786" hidden="1">
              <a:extLst>
                <a:ext uri="{63B3BB69-23CF-44E3-9099-C40C66FF867C}">
                  <a14:compatExt spid="_x0000_s3858"/>
                </a:ext>
                <a:ext uri="{FF2B5EF4-FFF2-40B4-BE49-F238E27FC236}">
                  <a16:creationId xmlns:a16="http://schemas.microsoft.com/office/drawing/2014/main" id="{00000000-0008-0000-0000-00001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59" name="Control 787" hidden="1">
              <a:extLst>
                <a:ext uri="{63B3BB69-23CF-44E3-9099-C40C66FF867C}">
                  <a14:compatExt spid="_x0000_s3859"/>
                </a:ext>
                <a:ext uri="{FF2B5EF4-FFF2-40B4-BE49-F238E27FC236}">
                  <a16:creationId xmlns:a16="http://schemas.microsoft.com/office/drawing/2014/main" id="{00000000-0008-0000-0000-00001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60" name="Control 788" hidden="1">
              <a:extLst>
                <a:ext uri="{63B3BB69-23CF-44E3-9099-C40C66FF867C}">
                  <a14:compatExt spid="_x0000_s3860"/>
                </a:ext>
                <a:ext uri="{FF2B5EF4-FFF2-40B4-BE49-F238E27FC236}">
                  <a16:creationId xmlns:a16="http://schemas.microsoft.com/office/drawing/2014/main" id="{00000000-0008-0000-0000-00001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61" name="Control 789" hidden="1">
              <a:extLst>
                <a:ext uri="{63B3BB69-23CF-44E3-9099-C40C66FF867C}">
                  <a14:compatExt spid="_x0000_s3861"/>
                </a:ext>
                <a:ext uri="{FF2B5EF4-FFF2-40B4-BE49-F238E27FC236}">
                  <a16:creationId xmlns:a16="http://schemas.microsoft.com/office/drawing/2014/main" id="{00000000-0008-0000-0000-00001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62" name="Control 790" hidden="1">
              <a:extLst>
                <a:ext uri="{63B3BB69-23CF-44E3-9099-C40C66FF867C}">
                  <a14:compatExt spid="_x0000_s3862"/>
                </a:ext>
                <a:ext uri="{FF2B5EF4-FFF2-40B4-BE49-F238E27FC236}">
                  <a16:creationId xmlns:a16="http://schemas.microsoft.com/office/drawing/2014/main" id="{00000000-0008-0000-0000-00001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63" name="Control 791" hidden="1">
              <a:extLst>
                <a:ext uri="{63B3BB69-23CF-44E3-9099-C40C66FF867C}">
                  <a14:compatExt spid="_x0000_s3863"/>
                </a:ext>
                <a:ext uri="{FF2B5EF4-FFF2-40B4-BE49-F238E27FC236}">
                  <a16:creationId xmlns:a16="http://schemas.microsoft.com/office/drawing/2014/main" id="{00000000-0008-0000-0000-00001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64" name="Control 792" hidden="1">
              <a:extLst>
                <a:ext uri="{63B3BB69-23CF-44E3-9099-C40C66FF867C}">
                  <a14:compatExt spid="_x0000_s3864"/>
                </a:ext>
                <a:ext uri="{FF2B5EF4-FFF2-40B4-BE49-F238E27FC236}">
                  <a16:creationId xmlns:a16="http://schemas.microsoft.com/office/drawing/2014/main" id="{00000000-0008-0000-0000-00001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65" name="Control 793" hidden="1">
              <a:extLst>
                <a:ext uri="{63B3BB69-23CF-44E3-9099-C40C66FF867C}">
                  <a14:compatExt spid="_x0000_s3865"/>
                </a:ext>
                <a:ext uri="{FF2B5EF4-FFF2-40B4-BE49-F238E27FC236}">
                  <a16:creationId xmlns:a16="http://schemas.microsoft.com/office/drawing/2014/main" id="{00000000-0008-0000-0000-00001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66" name="Control 794" hidden="1">
              <a:extLst>
                <a:ext uri="{63B3BB69-23CF-44E3-9099-C40C66FF867C}">
                  <a14:compatExt spid="_x0000_s3866"/>
                </a:ext>
                <a:ext uri="{FF2B5EF4-FFF2-40B4-BE49-F238E27FC236}">
                  <a16:creationId xmlns:a16="http://schemas.microsoft.com/office/drawing/2014/main" id="{00000000-0008-0000-0000-00001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67" name="Control 795" hidden="1">
              <a:extLst>
                <a:ext uri="{63B3BB69-23CF-44E3-9099-C40C66FF867C}">
                  <a14:compatExt spid="_x0000_s3867"/>
                </a:ext>
                <a:ext uri="{FF2B5EF4-FFF2-40B4-BE49-F238E27FC236}">
                  <a16:creationId xmlns:a16="http://schemas.microsoft.com/office/drawing/2014/main" id="{00000000-0008-0000-0000-00001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68" name="Control 796" hidden="1">
              <a:extLst>
                <a:ext uri="{63B3BB69-23CF-44E3-9099-C40C66FF867C}">
                  <a14:compatExt spid="_x0000_s3868"/>
                </a:ext>
                <a:ext uri="{FF2B5EF4-FFF2-40B4-BE49-F238E27FC236}">
                  <a16:creationId xmlns:a16="http://schemas.microsoft.com/office/drawing/2014/main" id="{00000000-0008-0000-0000-00001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869" name="Control 797" hidden="1">
              <a:extLst>
                <a:ext uri="{63B3BB69-23CF-44E3-9099-C40C66FF867C}">
                  <a14:compatExt spid="_x0000_s3869"/>
                </a:ext>
                <a:ext uri="{FF2B5EF4-FFF2-40B4-BE49-F238E27FC236}">
                  <a16:creationId xmlns:a16="http://schemas.microsoft.com/office/drawing/2014/main" id="{00000000-0008-0000-0000-00001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18" name="Control 846" hidden="1">
              <a:extLst>
                <a:ext uri="{63B3BB69-23CF-44E3-9099-C40C66FF867C}">
                  <a14:compatExt spid="_x0000_s3918"/>
                </a:ext>
                <a:ext uri="{FF2B5EF4-FFF2-40B4-BE49-F238E27FC236}">
                  <a16:creationId xmlns:a16="http://schemas.microsoft.com/office/drawing/2014/main" id="{00000000-0008-0000-0000-00004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19" name="Control 847" hidden="1">
              <a:extLst>
                <a:ext uri="{63B3BB69-23CF-44E3-9099-C40C66FF867C}">
                  <a14:compatExt spid="_x0000_s3919"/>
                </a:ext>
                <a:ext uri="{FF2B5EF4-FFF2-40B4-BE49-F238E27FC236}">
                  <a16:creationId xmlns:a16="http://schemas.microsoft.com/office/drawing/2014/main" id="{00000000-0008-0000-0000-00004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20" name="Control 848" hidden="1">
              <a:extLst>
                <a:ext uri="{63B3BB69-23CF-44E3-9099-C40C66FF867C}">
                  <a14:compatExt spid="_x0000_s3920"/>
                </a:ext>
                <a:ext uri="{FF2B5EF4-FFF2-40B4-BE49-F238E27FC236}">
                  <a16:creationId xmlns:a16="http://schemas.microsoft.com/office/drawing/2014/main" id="{00000000-0008-0000-0000-00005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21" name="Control 849" hidden="1">
              <a:extLst>
                <a:ext uri="{63B3BB69-23CF-44E3-9099-C40C66FF867C}">
                  <a14:compatExt spid="_x0000_s3921"/>
                </a:ext>
                <a:ext uri="{FF2B5EF4-FFF2-40B4-BE49-F238E27FC236}">
                  <a16:creationId xmlns:a16="http://schemas.microsoft.com/office/drawing/2014/main" id="{00000000-0008-0000-0000-00005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22" name="Control 850" hidden="1">
              <a:extLst>
                <a:ext uri="{63B3BB69-23CF-44E3-9099-C40C66FF867C}">
                  <a14:compatExt spid="_x0000_s3922"/>
                </a:ext>
                <a:ext uri="{FF2B5EF4-FFF2-40B4-BE49-F238E27FC236}">
                  <a16:creationId xmlns:a16="http://schemas.microsoft.com/office/drawing/2014/main" id="{00000000-0008-0000-0000-00005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23" name="Control 851" hidden="1">
              <a:extLst>
                <a:ext uri="{63B3BB69-23CF-44E3-9099-C40C66FF867C}">
                  <a14:compatExt spid="_x0000_s3923"/>
                </a:ext>
                <a:ext uri="{FF2B5EF4-FFF2-40B4-BE49-F238E27FC236}">
                  <a16:creationId xmlns:a16="http://schemas.microsoft.com/office/drawing/2014/main" id="{00000000-0008-0000-0000-00005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24" name="Control 852" hidden="1">
              <a:extLst>
                <a:ext uri="{63B3BB69-23CF-44E3-9099-C40C66FF867C}">
                  <a14:compatExt spid="_x0000_s3924"/>
                </a:ext>
                <a:ext uri="{FF2B5EF4-FFF2-40B4-BE49-F238E27FC236}">
                  <a16:creationId xmlns:a16="http://schemas.microsoft.com/office/drawing/2014/main" id="{00000000-0008-0000-0000-00005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25" name="Control 853" hidden="1">
              <a:extLst>
                <a:ext uri="{63B3BB69-23CF-44E3-9099-C40C66FF867C}">
                  <a14:compatExt spid="_x0000_s3925"/>
                </a:ext>
                <a:ext uri="{FF2B5EF4-FFF2-40B4-BE49-F238E27FC236}">
                  <a16:creationId xmlns:a16="http://schemas.microsoft.com/office/drawing/2014/main" id="{00000000-0008-0000-0000-00005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26" name="Control 854" hidden="1">
              <a:extLst>
                <a:ext uri="{63B3BB69-23CF-44E3-9099-C40C66FF867C}">
                  <a14:compatExt spid="_x0000_s3926"/>
                </a:ext>
                <a:ext uri="{FF2B5EF4-FFF2-40B4-BE49-F238E27FC236}">
                  <a16:creationId xmlns:a16="http://schemas.microsoft.com/office/drawing/2014/main" id="{00000000-0008-0000-0000-00005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27" name="Control 855" hidden="1">
              <a:extLst>
                <a:ext uri="{63B3BB69-23CF-44E3-9099-C40C66FF867C}">
                  <a14:compatExt spid="_x0000_s3927"/>
                </a:ext>
                <a:ext uri="{FF2B5EF4-FFF2-40B4-BE49-F238E27FC236}">
                  <a16:creationId xmlns:a16="http://schemas.microsoft.com/office/drawing/2014/main" id="{00000000-0008-0000-0000-00005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28" name="Control 856" hidden="1">
              <a:extLst>
                <a:ext uri="{63B3BB69-23CF-44E3-9099-C40C66FF867C}">
                  <a14:compatExt spid="_x0000_s3928"/>
                </a:ext>
                <a:ext uri="{FF2B5EF4-FFF2-40B4-BE49-F238E27FC236}">
                  <a16:creationId xmlns:a16="http://schemas.microsoft.com/office/drawing/2014/main" id="{00000000-0008-0000-0000-00005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29" name="Control 857" hidden="1">
              <a:extLst>
                <a:ext uri="{63B3BB69-23CF-44E3-9099-C40C66FF867C}">
                  <a14:compatExt spid="_x0000_s3929"/>
                </a:ext>
                <a:ext uri="{FF2B5EF4-FFF2-40B4-BE49-F238E27FC236}">
                  <a16:creationId xmlns:a16="http://schemas.microsoft.com/office/drawing/2014/main" id="{00000000-0008-0000-0000-00005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30" name="Control 858" hidden="1">
              <a:extLst>
                <a:ext uri="{63B3BB69-23CF-44E3-9099-C40C66FF867C}">
                  <a14:compatExt spid="_x0000_s3930"/>
                </a:ext>
                <a:ext uri="{FF2B5EF4-FFF2-40B4-BE49-F238E27FC236}">
                  <a16:creationId xmlns:a16="http://schemas.microsoft.com/office/drawing/2014/main" id="{00000000-0008-0000-0000-00005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31" name="Control 859" hidden="1">
              <a:extLst>
                <a:ext uri="{63B3BB69-23CF-44E3-9099-C40C66FF867C}">
                  <a14:compatExt spid="_x0000_s3931"/>
                </a:ext>
                <a:ext uri="{FF2B5EF4-FFF2-40B4-BE49-F238E27FC236}">
                  <a16:creationId xmlns:a16="http://schemas.microsoft.com/office/drawing/2014/main" id="{00000000-0008-0000-0000-00005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32" name="Control 860" hidden="1">
              <a:extLst>
                <a:ext uri="{63B3BB69-23CF-44E3-9099-C40C66FF867C}">
                  <a14:compatExt spid="_x0000_s3932"/>
                </a:ext>
                <a:ext uri="{FF2B5EF4-FFF2-40B4-BE49-F238E27FC236}">
                  <a16:creationId xmlns:a16="http://schemas.microsoft.com/office/drawing/2014/main" id="{00000000-0008-0000-0000-00005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33" name="Control 861" hidden="1">
              <a:extLst>
                <a:ext uri="{63B3BB69-23CF-44E3-9099-C40C66FF867C}">
                  <a14:compatExt spid="_x0000_s3933"/>
                </a:ext>
                <a:ext uri="{FF2B5EF4-FFF2-40B4-BE49-F238E27FC236}">
                  <a16:creationId xmlns:a16="http://schemas.microsoft.com/office/drawing/2014/main" id="{00000000-0008-0000-0000-00005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34" name="Control 862" hidden="1">
              <a:extLst>
                <a:ext uri="{63B3BB69-23CF-44E3-9099-C40C66FF867C}">
                  <a14:compatExt spid="_x0000_s3934"/>
                </a:ext>
                <a:ext uri="{FF2B5EF4-FFF2-40B4-BE49-F238E27FC236}">
                  <a16:creationId xmlns:a16="http://schemas.microsoft.com/office/drawing/2014/main" id="{00000000-0008-0000-0000-00005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35" name="Control 863" hidden="1">
              <a:extLst>
                <a:ext uri="{63B3BB69-23CF-44E3-9099-C40C66FF867C}">
                  <a14:compatExt spid="_x0000_s3935"/>
                </a:ext>
                <a:ext uri="{FF2B5EF4-FFF2-40B4-BE49-F238E27FC236}">
                  <a16:creationId xmlns:a16="http://schemas.microsoft.com/office/drawing/2014/main" id="{00000000-0008-0000-0000-00005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36" name="Control 864" hidden="1">
              <a:extLst>
                <a:ext uri="{63B3BB69-23CF-44E3-9099-C40C66FF867C}">
                  <a14:compatExt spid="_x0000_s3936"/>
                </a:ext>
                <a:ext uri="{FF2B5EF4-FFF2-40B4-BE49-F238E27FC236}">
                  <a16:creationId xmlns:a16="http://schemas.microsoft.com/office/drawing/2014/main" id="{00000000-0008-0000-0000-00006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37" name="Control 865" hidden="1">
              <a:extLst>
                <a:ext uri="{63B3BB69-23CF-44E3-9099-C40C66FF867C}">
                  <a14:compatExt spid="_x0000_s3937"/>
                </a:ext>
                <a:ext uri="{FF2B5EF4-FFF2-40B4-BE49-F238E27FC236}">
                  <a16:creationId xmlns:a16="http://schemas.microsoft.com/office/drawing/2014/main" id="{00000000-0008-0000-0000-00006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38" name="Control 866" hidden="1">
              <a:extLst>
                <a:ext uri="{63B3BB69-23CF-44E3-9099-C40C66FF867C}">
                  <a14:compatExt spid="_x0000_s3938"/>
                </a:ext>
                <a:ext uri="{FF2B5EF4-FFF2-40B4-BE49-F238E27FC236}">
                  <a16:creationId xmlns:a16="http://schemas.microsoft.com/office/drawing/2014/main" id="{00000000-0008-0000-0000-00006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39" name="Control 867" hidden="1">
              <a:extLst>
                <a:ext uri="{63B3BB69-23CF-44E3-9099-C40C66FF867C}">
                  <a14:compatExt spid="_x0000_s3939"/>
                </a:ext>
                <a:ext uri="{FF2B5EF4-FFF2-40B4-BE49-F238E27FC236}">
                  <a16:creationId xmlns:a16="http://schemas.microsoft.com/office/drawing/2014/main" id="{00000000-0008-0000-0000-00006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40" name="Control 868" hidden="1">
              <a:extLst>
                <a:ext uri="{63B3BB69-23CF-44E3-9099-C40C66FF867C}">
                  <a14:compatExt spid="_x0000_s3940"/>
                </a:ext>
                <a:ext uri="{FF2B5EF4-FFF2-40B4-BE49-F238E27FC236}">
                  <a16:creationId xmlns:a16="http://schemas.microsoft.com/office/drawing/2014/main" id="{00000000-0008-0000-0000-00006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41" name="Control 869" hidden="1">
              <a:extLst>
                <a:ext uri="{63B3BB69-23CF-44E3-9099-C40C66FF867C}">
                  <a14:compatExt spid="_x0000_s3941"/>
                </a:ext>
                <a:ext uri="{FF2B5EF4-FFF2-40B4-BE49-F238E27FC236}">
                  <a16:creationId xmlns:a16="http://schemas.microsoft.com/office/drawing/2014/main" id="{00000000-0008-0000-0000-00006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66" name="Control 894" hidden="1">
              <a:extLst>
                <a:ext uri="{63B3BB69-23CF-44E3-9099-C40C66FF867C}">
                  <a14:compatExt spid="_x0000_s3966"/>
                </a:ext>
                <a:ext uri="{FF2B5EF4-FFF2-40B4-BE49-F238E27FC236}">
                  <a16:creationId xmlns:a16="http://schemas.microsoft.com/office/drawing/2014/main" id="{00000000-0008-0000-0000-00007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67" name="Control 895" hidden="1">
              <a:extLst>
                <a:ext uri="{63B3BB69-23CF-44E3-9099-C40C66FF867C}">
                  <a14:compatExt spid="_x0000_s3967"/>
                </a:ext>
                <a:ext uri="{FF2B5EF4-FFF2-40B4-BE49-F238E27FC236}">
                  <a16:creationId xmlns:a16="http://schemas.microsoft.com/office/drawing/2014/main" id="{00000000-0008-0000-0000-00007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68" name="Control 896" hidden="1">
              <a:extLst>
                <a:ext uri="{63B3BB69-23CF-44E3-9099-C40C66FF867C}">
                  <a14:compatExt spid="_x0000_s3968"/>
                </a:ext>
                <a:ext uri="{FF2B5EF4-FFF2-40B4-BE49-F238E27FC236}">
                  <a16:creationId xmlns:a16="http://schemas.microsoft.com/office/drawing/2014/main" id="{00000000-0008-0000-0000-00008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69" name="Control 897" hidden="1">
              <a:extLst>
                <a:ext uri="{63B3BB69-23CF-44E3-9099-C40C66FF867C}">
                  <a14:compatExt spid="_x0000_s3969"/>
                </a:ext>
                <a:ext uri="{FF2B5EF4-FFF2-40B4-BE49-F238E27FC236}">
                  <a16:creationId xmlns:a16="http://schemas.microsoft.com/office/drawing/2014/main" id="{00000000-0008-0000-0000-00008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70" name="Control 898" hidden="1">
              <a:extLst>
                <a:ext uri="{63B3BB69-23CF-44E3-9099-C40C66FF867C}">
                  <a14:compatExt spid="_x0000_s3970"/>
                </a:ext>
                <a:ext uri="{FF2B5EF4-FFF2-40B4-BE49-F238E27FC236}">
                  <a16:creationId xmlns:a16="http://schemas.microsoft.com/office/drawing/2014/main" id="{00000000-0008-0000-0000-00008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71" name="Control 899" hidden="1">
              <a:extLst>
                <a:ext uri="{63B3BB69-23CF-44E3-9099-C40C66FF867C}">
                  <a14:compatExt spid="_x0000_s3971"/>
                </a:ext>
                <a:ext uri="{FF2B5EF4-FFF2-40B4-BE49-F238E27FC236}">
                  <a16:creationId xmlns:a16="http://schemas.microsoft.com/office/drawing/2014/main" id="{00000000-0008-0000-0000-00008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72" name="Control 900" hidden="1">
              <a:extLst>
                <a:ext uri="{63B3BB69-23CF-44E3-9099-C40C66FF867C}">
                  <a14:compatExt spid="_x0000_s3972"/>
                </a:ext>
                <a:ext uri="{FF2B5EF4-FFF2-40B4-BE49-F238E27FC236}">
                  <a16:creationId xmlns:a16="http://schemas.microsoft.com/office/drawing/2014/main" id="{00000000-0008-0000-0000-00008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73" name="Control 901" hidden="1">
              <a:extLst>
                <a:ext uri="{63B3BB69-23CF-44E3-9099-C40C66FF867C}">
                  <a14:compatExt spid="_x0000_s3973"/>
                </a:ext>
                <a:ext uri="{FF2B5EF4-FFF2-40B4-BE49-F238E27FC236}">
                  <a16:creationId xmlns:a16="http://schemas.microsoft.com/office/drawing/2014/main" id="{00000000-0008-0000-0000-00008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74" name="Control 902" hidden="1">
              <a:extLst>
                <a:ext uri="{63B3BB69-23CF-44E3-9099-C40C66FF867C}">
                  <a14:compatExt spid="_x0000_s3974"/>
                </a:ext>
                <a:ext uri="{FF2B5EF4-FFF2-40B4-BE49-F238E27FC236}">
                  <a16:creationId xmlns:a16="http://schemas.microsoft.com/office/drawing/2014/main" id="{00000000-0008-0000-0000-000086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75" name="Control 903" hidden="1">
              <a:extLst>
                <a:ext uri="{63B3BB69-23CF-44E3-9099-C40C66FF867C}">
                  <a14:compatExt spid="_x0000_s3975"/>
                </a:ext>
                <a:ext uri="{FF2B5EF4-FFF2-40B4-BE49-F238E27FC236}">
                  <a16:creationId xmlns:a16="http://schemas.microsoft.com/office/drawing/2014/main" id="{00000000-0008-0000-0000-00008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76" name="Control 904" hidden="1">
              <a:extLst>
                <a:ext uri="{63B3BB69-23CF-44E3-9099-C40C66FF867C}">
                  <a14:compatExt spid="_x0000_s3976"/>
                </a:ext>
                <a:ext uri="{FF2B5EF4-FFF2-40B4-BE49-F238E27FC236}">
                  <a16:creationId xmlns:a16="http://schemas.microsoft.com/office/drawing/2014/main" id="{00000000-0008-0000-0000-00008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77" name="Control 905" hidden="1">
              <a:extLst>
                <a:ext uri="{63B3BB69-23CF-44E3-9099-C40C66FF867C}">
                  <a14:compatExt spid="_x0000_s3977"/>
                </a:ext>
                <a:ext uri="{FF2B5EF4-FFF2-40B4-BE49-F238E27FC236}">
                  <a16:creationId xmlns:a16="http://schemas.microsoft.com/office/drawing/2014/main" id="{00000000-0008-0000-0000-00008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78" name="Control 906" hidden="1">
              <a:extLst>
                <a:ext uri="{63B3BB69-23CF-44E3-9099-C40C66FF867C}">
                  <a14:compatExt spid="_x0000_s3978"/>
                </a:ext>
                <a:ext uri="{FF2B5EF4-FFF2-40B4-BE49-F238E27FC236}">
                  <a16:creationId xmlns:a16="http://schemas.microsoft.com/office/drawing/2014/main" id="{00000000-0008-0000-0000-00008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79" name="Control 907" hidden="1">
              <a:extLst>
                <a:ext uri="{63B3BB69-23CF-44E3-9099-C40C66FF867C}">
                  <a14:compatExt spid="_x0000_s3979"/>
                </a:ext>
                <a:ext uri="{FF2B5EF4-FFF2-40B4-BE49-F238E27FC236}">
                  <a16:creationId xmlns:a16="http://schemas.microsoft.com/office/drawing/2014/main" id="{00000000-0008-0000-0000-00008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80" name="Control 908" hidden="1">
              <a:extLst>
                <a:ext uri="{63B3BB69-23CF-44E3-9099-C40C66FF867C}">
                  <a14:compatExt spid="_x0000_s3980"/>
                </a:ext>
                <a:ext uri="{FF2B5EF4-FFF2-40B4-BE49-F238E27FC236}">
                  <a16:creationId xmlns:a16="http://schemas.microsoft.com/office/drawing/2014/main" id="{00000000-0008-0000-0000-00008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81" name="Control 909" hidden="1">
              <a:extLst>
                <a:ext uri="{63B3BB69-23CF-44E3-9099-C40C66FF867C}">
                  <a14:compatExt spid="_x0000_s3981"/>
                </a:ext>
                <a:ext uri="{FF2B5EF4-FFF2-40B4-BE49-F238E27FC236}">
                  <a16:creationId xmlns:a16="http://schemas.microsoft.com/office/drawing/2014/main" id="{00000000-0008-0000-0000-00008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82" name="Control 910" hidden="1">
              <a:extLst>
                <a:ext uri="{63B3BB69-23CF-44E3-9099-C40C66FF867C}">
                  <a14:compatExt spid="_x0000_s3982"/>
                </a:ext>
                <a:ext uri="{FF2B5EF4-FFF2-40B4-BE49-F238E27FC236}">
                  <a16:creationId xmlns:a16="http://schemas.microsoft.com/office/drawing/2014/main" id="{00000000-0008-0000-0000-00008E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83" name="Control 911" hidden="1">
              <a:extLst>
                <a:ext uri="{63B3BB69-23CF-44E3-9099-C40C66FF867C}">
                  <a14:compatExt spid="_x0000_s3983"/>
                </a:ext>
                <a:ext uri="{FF2B5EF4-FFF2-40B4-BE49-F238E27FC236}">
                  <a16:creationId xmlns:a16="http://schemas.microsoft.com/office/drawing/2014/main" id="{00000000-0008-0000-0000-00008F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84" name="Control 912" hidden="1">
              <a:extLst>
                <a:ext uri="{63B3BB69-23CF-44E3-9099-C40C66FF867C}">
                  <a14:compatExt spid="_x0000_s3984"/>
                </a:ext>
                <a:ext uri="{FF2B5EF4-FFF2-40B4-BE49-F238E27FC236}">
                  <a16:creationId xmlns:a16="http://schemas.microsoft.com/office/drawing/2014/main" id="{00000000-0008-0000-0000-000090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85" name="Control 913" hidden="1">
              <a:extLst>
                <a:ext uri="{63B3BB69-23CF-44E3-9099-C40C66FF867C}">
                  <a14:compatExt spid="_x0000_s3985"/>
                </a:ext>
                <a:ext uri="{FF2B5EF4-FFF2-40B4-BE49-F238E27FC236}">
                  <a16:creationId xmlns:a16="http://schemas.microsoft.com/office/drawing/2014/main" id="{00000000-0008-0000-0000-000091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86" name="Control 914" hidden="1">
              <a:extLst>
                <a:ext uri="{63B3BB69-23CF-44E3-9099-C40C66FF867C}">
                  <a14:compatExt spid="_x0000_s3986"/>
                </a:ext>
                <a:ext uri="{FF2B5EF4-FFF2-40B4-BE49-F238E27FC236}">
                  <a16:creationId xmlns:a16="http://schemas.microsoft.com/office/drawing/2014/main" id="{00000000-0008-0000-0000-000092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87" name="Control 915" hidden="1">
              <a:extLst>
                <a:ext uri="{63B3BB69-23CF-44E3-9099-C40C66FF867C}">
                  <a14:compatExt spid="_x0000_s3987"/>
                </a:ext>
                <a:ext uri="{FF2B5EF4-FFF2-40B4-BE49-F238E27FC236}">
                  <a16:creationId xmlns:a16="http://schemas.microsoft.com/office/drawing/2014/main" id="{00000000-0008-0000-0000-000093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88" name="Control 916" hidden="1">
              <a:extLst>
                <a:ext uri="{63B3BB69-23CF-44E3-9099-C40C66FF867C}">
                  <a14:compatExt spid="_x0000_s3988"/>
                </a:ext>
                <a:ext uri="{FF2B5EF4-FFF2-40B4-BE49-F238E27FC236}">
                  <a16:creationId xmlns:a16="http://schemas.microsoft.com/office/drawing/2014/main" id="{00000000-0008-0000-0000-000094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3989" name="Control 917" hidden="1">
              <a:extLst>
                <a:ext uri="{63B3BB69-23CF-44E3-9099-C40C66FF867C}">
                  <a14:compatExt spid="_x0000_s3989"/>
                </a:ext>
                <a:ext uri="{FF2B5EF4-FFF2-40B4-BE49-F238E27FC236}">
                  <a16:creationId xmlns:a16="http://schemas.microsoft.com/office/drawing/2014/main" id="{00000000-0008-0000-0000-000095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4039" name="Control 967" hidden="1">
              <a:extLst>
                <a:ext uri="{63B3BB69-23CF-44E3-9099-C40C66FF867C}">
                  <a14:compatExt spid="_x0000_s4039"/>
                </a:ext>
                <a:ext uri="{FF2B5EF4-FFF2-40B4-BE49-F238E27FC236}">
                  <a16:creationId xmlns:a16="http://schemas.microsoft.com/office/drawing/2014/main" id="{00000000-0008-0000-0000-0000C7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4040" name="Control 968" hidden="1">
              <a:extLst>
                <a:ext uri="{63B3BB69-23CF-44E3-9099-C40C66FF867C}">
                  <a14:compatExt spid="_x0000_s4040"/>
                </a:ext>
                <a:ext uri="{FF2B5EF4-FFF2-40B4-BE49-F238E27FC236}">
                  <a16:creationId xmlns:a16="http://schemas.microsoft.com/office/drawing/2014/main" id="{00000000-0008-0000-0000-0000C8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4041" name="Control 969" hidden="1">
              <a:extLst>
                <a:ext uri="{63B3BB69-23CF-44E3-9099-C40C66FF867C}">
                  <a14:compatExt spid="_x0000_s4041"/>
                </a:ext>
                <a:ext uri="{FF2B5EF4-FFF2-40B4-BE49-F238E27FC236}">
                  <a16:creationId xmlns:a16="http://schemas.microsoft.com/office/drawing/2014/main" id="{00000000-0008-0000-0000-0000C9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4042" name="Control 970" hidden="1">
              <a:extLst>
                <a:ext uri="{63B3BB69-23CF-44E3-9099-C40C66FF867C}">
                  <a14:compatExt spid="_x0000_s4042"/>
                </a:ext>
                <a:ext uri="{FF2B5EF4-FFF2-40B4-BE49-F238E27FC236}">
                  <a16:creationId xmlns:a16="http://schemas.microsoft.com/office/drawing/2014/main" id="{00000000-0008-0000-0000-0000CA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4043" name="Control 971" hidden="1">
              <a:extLst>
                <a:ext uri="{63B3BB69-23CF-44E3-9099-C40C66FF867C}">
                  <a14:compatExt spid="_x0000_s4043"/>
                </a:ext>
                <a:ext uri="{FF2B5EF4-FFF2-40B4-BE49-F238E27FC236}">
                  <a16:creationId xmlns:a16="http://schemas.microsoft.com/office/drawing/2014/main" id="{00000000-0008-0000-0000-0000CB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4044" name="Control 972" hidden="1">
              <a:extLst>
                <a:ext uri="{63B3BB69-23CF-44E3-9099-C40C66FF867C}">
                  <a14:compatExt spid="_x0000_s4044"/>
                </a:ext>
                <a:ext uri="{FF2B5EF4-FFF2-40B4-BE49-F238E27FC236}">
                  <a16:creationId xmlns:a16="http://schemas.microsoft.com/office/drawing/2014/main" id="{00000000-0008-0000-0000-0000CC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580</xdr:row>
          <xdr:rowOff>0</xdr:rowOff>
        </xdr:from>
        <xdr:to>
          <xdr:col>1</xdr:col>
          <xdr:colOff>257175</xdr:colOff>
          <xdr:row>666</xdr:row>
          <xdr:rowOff>76200</xdr:rowOff>
        </xdr:to>
        <xdr:sp macro="" textlink="">
          <xdr:nvSpPr>
            <xdr:cNvPr id="4045" name="Control 973" hidden="1">
              <a:extLst>
                <a:ext uri="{63B3BB69-23CF-44E3-9099-C40C66FF867C}">
                  <a14:compatExt spid="_x0000_s4045"/>
                </a:ext>
                <a:ext uri="{FF2B5EF4-FFF2-40B4-BE49-F238E27FC236}">
                  <a16:creationId xmlns:a16="http://schemas.microsoft.com/office/drawing/2014/main" id="{00000000-0008-0000-0000-0000CD0F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123265</xdr:colOff>
      <xdr:row>0</xdr:row>
      <xdr:rowOff>1</xdr:rowOff>
    </xdr:from>
    <xdr:to>
      <xdr:col>10</xdr:col>
      <xdr:colOff>571500</xdr:colOff>
      <xdr:row>1</xdr:row>
      <xdr:rowOff>224119</xdr:rowOff>
    </xdr:to>
    <xdr:sp macro="" textlink="">
      <xdr:nvSpPr>
        <xdr:cNvPr id="10" name="ZoneTexte 1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123265" y="1"/>
          <a:ext cx="8550088" cy="605118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>
              <a:latin typeface="+mn-lt"/>
              <a:ea typeface="+mn-lt"/>
              <a:cs typeface="+mn-lt"/>
            </a:rPr>
            <a:t>FNR</a:t>
          </a:r>
          <a:r>
            <a:rPr lang="en-US" sz="1100" baseline="0">
              <a:latin typeface="+mn-lt"/>
              <a:ea typeface="+mn-lt"/>
              <a:cs typeface="+mn-lt"/>
            </a:rPr>
            <a:t> (column C) &amp; POSITION (column W) to be manually written on the stickers </a:t>
          </a:r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245069</xdr:colOff>
      <xdr:row>14</xdr:row>
      <xdr:rowOff>12889</xdr:rowOff>
    </xdr:from>
    <xdr:to>
      <xdr:col>16</xdr:col>
      <xdr:colOff>530088</xdr:colOff>
      <xdr:row>34</xdr:row>
      <xdr:rowOff>99722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069" y="2986346"/>
          <a:ext cx="10613432" cy="339987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Bordet, Benoit (CACB PL) - AF (ext)" id="{BD58CB76-9399-453F-A0AA-94148AE3CD03}" userId="S::bebordet1-ext@airfrance.fr::92b4b9bf-ddb4-4996-bfc6-2d99b551c7fb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rdet, Benoit (CAIM OA) - AF (ext)" refreshedDate="45244.677566203703" createdVersion="8" refreshedVersion="8" minRefreshableVersion="3" recordCount="1958">
  <cacheSource type="worksheet">
    <worksheetSource name="Tableau6"/>
  </cacheSource>
  <cacheFields count="45">
    <cacheField name="Extraction Date" numFmtId="14">
      <sharedItems containsDate="1" containsMixedTypes="1" minDate="2023-11-10T00:00:00" maxDate="2023-11-15T00:00:00"/>
    </cacheField>
    <cacheField name="LAT" numFmtId="0">
      <sharedItems containsMixedTypes="1" containsNumber="1" containsInteger="1" minValue="5704925200" maxValue="5771333102" count="1105">
        <s v="05704925200"/>
        <s v="05705197080"/>
        <s v="05705209503"/>
        <s v="05746973743"/>
        <s v="05747745320"/>
        <s v="05748285171"/>
        <s v="05748738771"/>
        <s v="05748849861"/>
        <s v="05748955561"/>
        <s v="05753714172"/>
        <s v="05771332822"/>
        <s v="05771333102"/>
        <s v="05771333264"/>
        <s v="07462536740"/>
        <s v="05702550671"/>
        <s v="05702608616"/>
        <s v="05702826854"/>
        <s v="05702864735"/>
        <s v="05702964710"/>
        <s v="05703020500"/>
        <s v="05703062916"/>
        <s v="05703077340"/>
        <s v="05703106493"/>
        <s v="05703108560"/>
        <s v="05703109131"/>
        <s v="05704696705"/>
        <s v="05705111013"/>
        <s v="05705164596"/>
        <s v="05705178563"/>
        <s v="05705188190"/>
        <s v="05705188680"/>
        <s v="05705191723"/>
        <s v="05705196306"/>
        <s v="05705197570"/>
        <s v="05705198406"/>
        <s v="05705199832"/>
        <s v="05705200296"/>
        <s v="05705200996"/>
        <s v="05705202326"/>
        <s v="05705205642"/>
        <s v="05705205966"/>
        <n v="5705207075"/>
        <s v="05705207296"/>
        <s v="05705207366"/>
        <s v="05705209536"/>
        <s v="05705211651"/>
        <s v="05705212001"/>
        <s v="05705212454"/>
        <s v="05705212863"/>
        <s v="05705218905"/>
        <s v="05705218931"/>
        <s v="05705220821"/>
        <s v="05705221005"/>
        <s v="05705222302"/>
        <s v="05705222711"/>
        <s v="05705224365"/>
        <s v="05705225474"/>
        <s v="05705239765"/>
        <s v="05705240292"/>
        <s v="05705244680"/>
        <s v="05705245284"/>
        <s v="05705251805"/>
        <s v="05705260021"/>
        <s v="05705260710"/>
        <s v="05705265050"/>
        <s v="05705265234"/>
        <n v="5705265234"/>
        <s v="05705265746"/>
        <s v="05705267334"/>
        <s v="05705267371"/>
        <s v="05705267415"/>
        <s v="05705276902"/>
        <s v="05705284856"/>
        <s v="05705285700"/>
        <s v="05705285884"/>
        <s v="05705286971"/>
        <s v="05705289955"/>
        <s v="05705290143"/>
        <s v="05705290191"/>
        <s v="05705290574"/>
        <s v="05705292571"/>
        <s v="05705292825"/>
        <s v="05705292862"/>
        <s v="05705292921"/>
        <s v="05705293455"/>
        <s v="05705293772"/>
        <s v="05705302183"/>
        <s v="05705303012"/>
        <s v="05705303513"/>
        <s v="05705304950"/>
        <n v="5705304950"/>
        <s v="05705309780"/>
        <s v="05705326156"/>
        <s v="05705326720"/>
        <s v="05705329516"/>
        <s v="05705332784"/>
        <s v="05705339003"/>
        <s v="05706363685"/>
        <s v="05707740504"/>
        <s v="05708119996"/>
        <s v="05708125876"/>
        <s v="05708125891"/>
        <s v="05708331142"/>
        <s v="05708408315"/>
        <s v="05708903414"/>
        <s v="05708991356"/>
        <s v="05709117220"/>
        <s v="05709367993"/>
        <s v="05709904845"/>
        <s v="05710857066"/>
        <s v="05711379885"/>
        <s v="05711410055"/>
        <s v="5711449115"/>
        <n v="5711449115"/>
        <s v="05712357472"/>
        <s v="05712488711"/>
        <s v="05712550985"/>
        <s v="05712564134"/>
        <s v="05712626876"/>
        <s v="05712964114"/>
        <s v="05713064100"/>
        <s v="05728000221"/>
        <s v="05745067514"/>
        <s v="05745144315"/>
        <n v="5745144326"/>
        <s v="05745163311"/>
        <s v="05745369133"/>
        <s v="05745369155"/>
        <s v="05745516575"/>
        <s v="05745548112"/>
        <s v="05745855003"/>
        <s v="05745855725"/>
        <s v="05745861653"/>
        <s v="05745915623"/>
        <s v="05746201072"/>
        <s v="05746206263"/>
        <s v="05746241543"/>
        <s v="05746306536"/>
        <s v="05746524026"/>
        <s v="05746652001"/>
        <s v="05746868474"/>
        <s v="05746921464"/>
        <s v="05747020761"/>
        <s v="05747024670"/>
        <s v="05747027912"/>
        <s v="05747053985"/>
        <s v="05747073246"/>
        <s v="05747132444"/>
        <s v="05747136213"/>
        <s v="05747139864"/>
        <s v="05747148522"/>
        <s v="05747148592"/>
        <s v="05747156163"/>
        <s v="05747184351"/>
        <s v="05747212185"/>
        <s v="05747287682"/>
        <s v="05747326156"/>
        <s v="05747364623"/>
        <s v="05747427144"/>
        <s v="05747487112"/>
        <s v="05747545083"/>
        <s v="05747621766"/>
        <s v="05747749645"/>
        <s v="05747759596"/>
        <s v="05747778006"/>
        <s v="05747780062"/>
        <s v="05747784892"/>
        <s v="05747851086"/>
        <s v="05747852114"/>
        <s v="05747856933"/>
        <s v="05747906821"/>
        <s v="05747923256"/>
        <s v="05747943755"/>
        <n v="5747964895"/>
        <s v="05747964895"/>
        <s v="05747965223"/>
        <s v="05747989955"/>
        <s v="05748013405"/>
        <s v="05748034092"/>
        <s v="05748057026"/>
        <s v="05748069044"/>
        <s v="05748150373"/>
        <s v="05748154584"/>
        <s v="05748161046"/>
        <s v="05748166650"/>
        <s v="05748172596"/>
        <s v="05748181210"/>
        <s v="05748210584"/>
        <s v="05748212636"/>
        <s v="05748260660"/>
        <s v="05748267741"/>
        <s v="05748279140"/>
        <s v="05748279173"/>
        <s v="05748296430"/>
        <s v="05748333504"/>
        <s v="05748340176"/>
        <s v="05748353734"/>
        <s v="05748355484"/>
        <s v="05748361865"/>
        <s v="05748365903"/>
        <s v="05748451325"/>
        <s v="05748466515"/>
        <s v="05748469330"/>
        <s v="05748480062"/>
        <s v="05748491435"/>
        <s v="05748491450"/>
        <s v="05748511352"/>
        <s v="05748534021"/>
        <s v="05748534150"/>
        <s v="05748541920"/>
        <s v="05748570034"/>
        <s v="05748570196"/>
        <s v="05748570244"/>
        <s v="05748586473"/>
        <s v="05748597452"/>
        <s v="05748602595"/>
        <s v="05748602610"/>
        <s v="05748620051"/>
        <s v="05748632802"/>
        <s v="05748678291"/>
        <s v="05748700923"/>
        <s v="05748710944"/>
        <s v="05748711832"/>
        <s v="05748712042"/>
        <s v="05748720932"/>
        <s v="05748723636"/>
        <s v="05748753025"/>
        <s v="05748780373"/>
        <s v="05748793205"/>
        <s v="05748794911"/>
        <s v="05748794955"/>
        <s v="05748795051"/>
        <s v="05748795596"/>
        <s v="05748797210"/>
        <s v="05748803554"/>
        <s v="05748804044"/>
        <s v="05748806575"/>
        <s v="05748806660"/>
        <s v="05748807942"/>
        <s v="05748810650"/>
        <s v="05748853232"/>
        <s v="05748853534"/>
        <s v="05748857966"/>
        <s v="05748858014"/>
        <s v="05748863592"/>
        <s v="05748866403"/>
        <s v="05748882746"/>
        <s v="05748937151"/>
        <s v="05748964204"/>
        <s v="05748968931"/>
        <s v="05748983513"/>
        <s v="05748983535"/>
        <s v="05748986335"/>
        <s v="05749004163"/>
        <s v="05749005655"/>
        <s v="05749010360"/>
        <s v="05749015702"/>
        <s v="05749021114"/>
        <s v="05749023483"/>
        <s v="05749026191"/>
        <s v="05749027031"/>
        <s v="05749036971"/>
        <s v="05749043514"/>
        <s v="05749043525"/>
        <s v="05749057831"/>
        <s v="05749068972"/>
        <s v="05749100870"/>
        <s v="05749109093"/>
        <s v="05749109174"/>
        <s v="05749139123"/>
        <s v="05749175254"/>
        <s v="05753737073"/>
        <s v="05770653144"/>
        <s v="05770771116"/>
        <s v="05770774141"/>
        <s v="05770790775"/>
        <s v="05770790786"/>
        <s v="05771230795"/>
        <s v="05771297100"/>
        <s v="05771305452"/>
        <s v="05771320896"/>
        <s v="05771332785"/>
        <s v="05771332951"/>
        <s v="05771333544"/>
        <s v="05771333555"/>
        <s v="05771333566"/>
        <s v="05771333684"/>
        <s v="05771486505"/>
        <s v="05771486553"/>
        <s v="05771527783"/>
        <s v="05771532414"/>
        <s v="05771731656"/>
        <s v="05771732861"/>
        <s v="05771750136"/>
        <s v="05771752656"/>
        <s v="05771754642"/>
        <s v="05771754664"/>
        <s v="05771754793"/>
        <s v="05771757722"/>
        <s v="05771761266"/>
        <s v="05771761911"/>
        <s v="05771762003"/>
        <s v="05771762040"/>
        <s v="05771763661"/>
        <s v="05771763672"/>
        <s v="05771765116"/>
        <s v="05771765153"/>
        <s v="05771766085"/>
        <s v="05771766811"/>
        <s v="05771766866"/>
        <s v="05771766892"/>
        <s v="05771768793"/>
        <s v="05771771490"/>
        <s v="05771889193"/>
        <s v="05771889720"/>
        <s v="05771895143"/>
        <s v="05774576143"/>
        <s v="05795591182"/>
        <s v="05797567875"/>
        <s v="05797568914"/>
        <s v="05797569065"/>
        <s v="05797569102"/>
        <s v="05797569183"/>
        <s v="07400873073"/>
        <s v="07458883193"/>
        <s v="07460511776"/>
        <s v="07461109565"/>
        <s v="07461241670"/>
        <s v="07461506944"/>
        <s v="07461859173"/>
        <s v="07462295914"/>
        <s v="07462356512"/>
        <s v="07462445095"/>
        <s v="07462445106"/>
        <s v="07462571084"/>
        <s v="051406736306"/>
        <s v="00635594952"/>
        <s v="00641406901"/>
        <s v="00679798552"/>
        <s v="05702015930"/>
        <s v="05702087503"/>
        <s v="05702270461"/>
        <s v="05702549820"/>
        <s v="05702663474"/>
        <s v="05702877641"/>
        <s v="05702881292"/>
        <s v="05702905862"/>
        <s v="05702963553"/>
        <s v="05703070653"/>
        <s v="05703076054"/>
        <s v="05703170786"/>
        <s v="05704874785"/>
        <s v="05704960561"/>
        <s v="05705171574"/>
        <s v="05705177550"/>
        <s v="05705178261"/>
        <s v="05705179871"/>
        <s v="05705179985"/>
        <s v="05705181621"/>
        <s v="05705184686"/>
        <s v="05705186742"/>
        <s v="05705189004"/>
        <s v="05705189645"/>
        <s v="05705189914"/>
        <s v="05705192412"/>
        <s v="05705196866"/>
        <s v="05705202746"/>
        <s v="05705209186"/>
        <s v="05705209665"/>
        <s v="05705212620"/>
        <s v="05705213014"/>
        <s v="05705219594"/>
        <s v="05705224461"/>
        <s v="05705231741"/>
        <s v="05705232371"/>
        <s v="05705239312"/>
        <s v="05705239872"/>
        <s v="05705242823"/>
        <s v="05705243980"/>
        <s v="05705244061"/>
        <s v="05705244875"/>
        <s v="05705245822"/>
        <s v="05705257630"/>
        <s v="05705258691"/>
        <s v="05705263871"/>
        <s v="05705266995"/>
        <s v="05705268093"/>
        <s v="05705268126"/>
        <s v="05705270226"/>
        <s v="05705274172"/>
        <s v="05705279061"/>
        <s v="05705279503"/>
        <s v="05705285744"/>
        <s v="05705290390"/>
        <s v="05705290445"/>
        <s v="05705290526"/>
        <s v="05705292954"/>
        <s v="05705294026"/>
        <s v="05705294494"/>
        <s v="05705301203"/>
        <s v="05705303616"/>
        <s v="05705309931"/>
        <s v="05705310200"/>
        <s v="05705316415"/>
        <s v="05705325585"/>
        <s v="05705329553"/>
        <s v="05705331933"/>
        <s v="05705334770"/>
        <s v="05705351776"/>
        <s v="05705434214"/>
        <s v="05705541362"/>
        <s v="05705983143"/>
        <s v="05708125880"/>
        <s v="05708731365"/>
        <s v="05709559605"/>
        <s v="05709646416"/>
        <s v="05709853200"/>
        <s v="05710887192"/>
        <s v="05710986286"/>
        <s v="05711000743"/>
        <s v="05711030600"/>
        <s v="05711184401"/>
        <s v="05711266080"/>
        <s v="05711748741"/>
        <s v="05711824142"/>
        <s v="05711899764"/>
        <s v="05711954180"/>
        <s v="05712040560"/>
        <s v="05712224866"/>
        <s v="05712401060"/>
        <s v="05712432696"/>
        <s v="05712560564"/>
        <s v="05712637704"/>
        <s v="05713124204"/>
        <s v="05719532855"/>
        <s v="05719532925"/>
        <s v="05741304885"/>
        <s v="05745061586"/>
        <s v="05745061590"/>
        <s v="05745193374"/>
        <s v="05745270245"/>
        <s v="05745447231"/>
        <s v="05745545640"/>
        <s v="05745622054"/>
        <s v="05745666143"/>
        <s v="05745731335"/>
        <s v="05745972135"/>
        <s v="05746058176"/>
        <s v="05746058213"/>
        <s v="05746058331"/>
        <s v="05746058342"/>
        <s v="05746058353"/>
        <s v="05746058375"/>
        <s v="05746058386"/>
        <s v="05746106406"/>
        <s v="05746227311"/>
        <s v="05746375766"/>
        <s v="05746425094"/>
        <s v="05746524100"/>
        <s v="05746728312"/>
        <s v="05746842504"/>
        <s v="05746849445"/>
        <s v="05746926224"/>
        <s v="05747061453"/>
        <s v="05747065782"/>
        <s v="05747128550"/>
        <s v="05747136994"/>
        <s v="05747184513"/>
        <s v="05747187593"/>
        <s v="05747191760"/>
        <s v="05747232721"/>
        <s v="05747273995"/>
        <s v="05747342621"/>
        <s v="05747447525"/>
        <s v="05747455321"/>
        <s v="05747455505"/>
        <s v="05747469306"/>
        <s v="05747546122"/>
        <s v="05747555196"/>
        <s v="05747555406"/>
        <s v="05747599005"/>
        <s v="05747637660"/>
        <s v="05747639115"/>
        <s v="05747650105"/>
        <s v="05747661854"/>
        <s v="05747661865"/>
        <s v="05747661876"/>
        <s v="05747661891"/>
        <s v="05747751874"/>
        <s v="05747755400"/>
        <s v="05747768055"/>
        <s v="05747772174"/>
        <s v="05747773246"/>
        <s v="05747786034"/>
        <s v="05747847704"/>
        <s v="05747847866"/>
        <s v="05747869441"/>
        <s v="05747879016"/>
        <s v="05747888433"/>
        <s v="05747895934"/>
        <s v="05747905675"/>
        <s v="05747970403"/>
        <s v="05747980531"/>
        <s v="05747982185"/>
        <s v="05747982303"/>
        <s v="05747982314"/>
        <s v="05748028271"/>
        <s v="05748051150"/>
        <s v="05748057085"/>
        <s v="05748065371"/>
        <s v="05748095272"/>
        <s v="05748115620"/>
        <s v="05748136395"/>
        <s v="05748149205"/>
        <s v="05748166101"/>
        <s v="05748178896"/>
        <s v="05748200666"/>
        <s v="05748220712"/>
        <s v="05748224153"/>
        <s v="05748226371"/>
        <s v="05748230490"/>
        <s v="05748246236"/>
        <s v="05748258221"/>
        <s v="05748258232"/>
        <s v="05748275356"/>
        <s v="05748285370"/>
        <s v="05748291972"/>
        <s v="05748293906"/>
        <s v="05748321755"/>
        <s v="05748323855"/>
        <s v="05748365892"/>
        <s v="05748402970"/>
        <s v="05748420794"/>
        <s v="05748448761"/>
        <s v="05748463870"/>
        <s v="05748467790"/>
        <s v="05748467812"/>
        <s v="05748467882"/>
        <s v="05748469304"/>
        <s v="05748482442"/>
        <s v="05748482674"/>
        <s v="05748492474"/>
        <s v="05748535616"/>
        <s v="05748551425"/>
        <s v="05748559103"/>
        <s v="05748564541"/>
        <s v="05748565075"/>
        <s v="05748565226"/>
        <s v="05748570233"/>
        <s v="05748592806"/>
        <s v="05748618835"/>
        <s v="05748621812"/>
        <s v="05748625415"/>
        <s v="05748659015"/>
        <s v="05748659225"/>
        <s v="05748659833"/>
        <s v="05748679072"/>
        <s v="05748684495"/>
        <s v="05748684543"/>
        <s v="05748716533"/>
        <s v="05748752104"/>
        <s v="05748753106"/>
        <s v="05748756584"/>
        <s v="05748763046"/>
        <s v="05748763142"/>
        <s v="05748765990"/>
        <s v="05748770632"/>
        <s v="05748776151"/>
        <s v="05748778726"/>
        <s v="05748780701"/>
        <s v="05748785936"/>
        <s v="05748794896"/>
        <s v="05748803602"/>
        <s v="05748803786"/>
        <s v="05748806936"/>
        <s v="05748866425"/>
        <s v="05748871163"/>
        <s v="05748879655"/>
        <s v="05748879666"/>
        <s v="05748885815"/>
        <s v="05748892981"/>
        <s v="05748895184"/>
        <s v="05748929565"/>
        <s v="05748929580"/>
        <s v="05748929646"/>
        <s v="05748940964"/>
        <s v="05748941012"/>
        <s v="05748945083"/>
        <s v="05748945131"/>
        <s v="05748958372"/>
        <s v="05748967030"/>
        <s v="05748967052"/>
        <s v="05748967063"/>
        <s v="05748969093"/>
        <s v="05748973385"/>
        <s v="05748977412"/>
        <s v="05748977994"/>
        <s v="05748982640"/>
        <s v="05748983572"/>
        <s v="05748989345"/>
        <s v="05749017743"/>
        <s v="05749018502"/>
        <s v="05749023306"/>
        <s v="05749023590"/>
        <s v="05749023612"/>
        <s v="05749023634"/>
        <s v="05749023645"/>
        <s v="05749026434"/>
        <s v="05749040611"/>
        <s v="05749057621"/>
        <s v="05749057912"/>
        <s v="05749057923"/>
        <s v="05749057945"/>
        <s v="05749057971"/>
        <s v="05749060642"/>
        <s v="05749061563"/>
        <s v="05749062182"/>
        <s v="05749062311"/>
        <s v="05749071470"/>
        <s v="05749071492"/>
        <s v="05749072726"/>
        <s v="05749072870"/>
        <s v="05749072881"/>
        <s v="05749072892"/>
        <s v="05749072914"/>
        <s v="05749072925"/>
        <s v="05749072936"/>
        <s v="05749078072"/>
        <s v="05749082703"/>
        <s v="05749083274"/>
        <s v="05749083285"/>
        <s v="05749083300"/>
        <s v="05749085783"/>
        <s v="05749086030"/>
        <s v="05749086590"/>
        <s v="05749091556"/>
        <s v="05749101301"/>
        <s v="05749108102"/>
        <s v="05749112022"/>
        <s v="05749114155"/>
        <s v="05749130491"/>
        <s v="05749140243"/>
        <s v="05749158970"/>
        <s v="05764060824"/>
        <s v="05771224790"/>
        <s v="05771279972"/>
        <s v="05771301366"/>
        <s v="05771307821"/>
        <s v="05771318192"/>
        <s v="05771320045"/>
        <s v="05771323545"/>
        <s v="05771332155"/>
        <s v="05771333286"/>
        <s v="05771333290"/>
        <s v="05771333570"/>
        <s v="05771333603"/>
        <s v="05771333614"/>
        <s v="05771333651"/>
        <s v="05771333662"/>
        <s v="05771333706"/>
        <s v="05771333710"/>
        <s v="05771333721"/>
        <s v="05771333732"/>
        <s v="05771333743"/>
        <s v="05771476661"/>
        <s v="05771484405"/>
        <s v="05771486435"/>
        <s v="05771726594"/>
        <s v="05771738155"/>
        <s v="05771738870"/>
        <s v="05771743416"/>
        <s v="05771750033"/>
        <s v="05771752424"/>
        <s v="05771752660"/>
        <s v="05771758875"/>
        <s v="05771761255"/>
        <s v="05771762902"/>
        <s v="05771768524"/>
        <s v="05771769320"/>
        <s v="05771769434"/>
        <s v="05771772256"/>
        <s v="05771881025"/>
        <s v="05771881040"/>
        <s v="05771886662"/>
        <s v="05771889742"/>
        <s v="05771895224"/>
        <s v="05771895331"/>
        <s v="05771995011"/>
        <s v="05774576191"/>
        <s v="05780333525"/>
        <s v="05781625876"/>
        <s v="05787183762"/>
        <s v="05787402582"/>
        <s v="05788337826"/>
        <s v="05788901595"/>
        <s v="05788914501"/>
        <s v="05792062806"/>
        <s v="05793398255"/>
        <s v="05793639895"/>
        <s v="05795661576"/>
        <s v="05797464076"/>
        <s v="05797569614"/>
        <s v="05797570126"/>
        <s v="07400849424"/>
        <s v="07400879992"/>
        <s v="07400880935"/>
        <s v="07400883002"/>
        <s v="07400884446"/>
        <s v="07400888543"/>
        <s v="07410740785"/>
        <s v="07448028046"/>
        <s v="07448449936"/>
        <s v="07455001111"/>
        <s v="07456280416"/>
        <s v="07457267000"/>
        <s v="07459411041"/>
        <s v="07459745825"/>
        <s v="07461513045"/>
        <s v="07461530976"/>
        <s v="07461531385"/>
        <s v="07461846212"/>
        <s v="07461846245"/>
        <s v="07462357256"/>
        <s v="07462566906"/>
        <s v="07462653566"/>
        <s v="07462788972"/>
        <s v="07462792752"/>
        <s v="07462794782"/>
        <s v="07462794992"/>
        <s v="07462795154"/>
        <s v="07462795246"/>
        <s v="07462795390"/>
        <s v="07462795460"/>
        <s v="07462795611"/>
        <s v="07462918870"/>
        <s v="07462929661"/>
        <s v="07462959654"/>
        <s v="07462975555"/>
        <s v="07462979980"/>
        <s v="07462979991"/>
        <s v="07462980153"/>
        <s v="07462980455"/>
        <s v="07463065214"/>
        <s v="07484758914"/>
        <s v="64309866511"/>
        <s v="00679759116"/>
        <s v="05702367352"/>
        <s v="05702574084"/>
        <s v="05702586065"/>
        <s v="05702734664"/>
        <s v="05703125651"/>
        <s v="05703126815"/>
        <s v="05703135215"/>
        <s v="05703151923"/>
        <s v="05703167301"/>
        <s v="05704624222"/>
        <s v="05704789131"/>
        <s v="05704867284"/>
        <s v="05705161262"/>
        <s v="05705174853"/>
        <s v="05705182656"/>
        <s v="05705203516"/>
        <s v="05705231284"/>
        <s v="05705235381"/>
        <s v="05705242064"/>
        <s v="05705242801"/>
        <s v="05705244400"/>
        <s v="05705245800"/>
        <s v="05705245940"/>
        <s v="05705245984"/>
        <s v="05705246732"/>
        <s v="05705264184"/>
        <s v="05705264453"/>
        <s v="05705266704"/>
        <s v="05705267905"/>
        <s v="05705268292"/>
        <s v="05705272050"/>
        <s v="05705276924"/>
        <s v="05705281846"/>
        <s v="05705285674"/>
        <s v="05705285696"/>
        <s v="05705289620"/>
        <s v="05705292140"/>
        <s v="05705292420"/>
        <s v="05705293142"/>
        <s v="05705294380"/>
        <s v="05705294833"/>
        <s v="05705295161"/>
        <s v="05705295850"/>
        <s v="05705297154"/>
        <s v="05705298016"/>
        <s v="05705298742"/>
        <s v="05705302275"/>
        <s v="05705310826"/>
        <s v="05705314072"/>
        <s v="05705323916"/>
        <n v="5705323916"/>
        <s v="05705331911"/>
        <s v="05705334372"/>
        <s v="05705341943"/>
        <s v="05705342422"/>
        <s v="05705351920"/>
        <s v="05705353246"/>
        <s v="05705362280"/>
        <s v="05706908786"/>
        <s v="05709669730"/>
        <s v="05710611020"/>
        <s v="05711412542"/>
        <s v="05712328551"/>
        <s v="05712484721"/>
        <s v="05712655436"/>
        <s v="05712835233"/>
        <s v="05712888993"/>
        <s v="05712970296"/>
        <s v="05745105885"/>
        <s v="05745510220"/>
        <s v="05745879422"/>
        <s v="05745990081"/>
        <s v="05746441721"/>
        <s v="05746594973"/>
        <s v="05746642201"/>
        <s v="05746727155"/>
        <s v="05746858733"/>
        <s v="05746858744"/>
        <s v="05746967955"/>
        <s v="05746993052"/>
        <s v="05747064194"/>
        <s v="05747206493"/>
        <s v="05747211872"/>
        <s v="05747228215"/>
        <s v="05747273450"/>
        <s v="05747381913"/>
        <s v="05747502674"/>
        <s v="05747652010"/>
        <s v="05747800594"/>
        <s v="05747819041"/>
        <s v="05747847833"/>
        <s v="05747905701"/>
        <s v="05747971733"/>
        <s v="05748046191"/>
        <s v="05748092520"/>
        <s v="05748108664"/>
        <s v="05748108690"/>
        <s v="05748166440"/>
        <s v="05748176332"/>
        <s v="05748197041"/>
        <s v="05748197052"/>
        <s v="05748234572"/>
        <s v="05748237501"/>
        <s v="05748248056"/>
        <s v="05748248071"/>
        <s v="05748248082"/>
        <s v="05748248115"/>
        <s v="05748255852"/>
        <s v="05748285296"/>
        <s v="05748330730"/>
        <n v="5748338754"/>
        <s v="05748338754"/>
        <s v="05748340541"/>
        <s v="05748341075"/>
        <s v="05748386855"/>
        <s v="05748451336"/>
        <s v="05748463881"/>
        <s v="05748467871"/>
        <s v="05748467926"/>
        <s v="05748469341"/>
        <s v="05748479771"/>
        <s v="05748500911"/>
        <s v="05748513511"/>
        <s v="05748596822"/>
        <s v="05748625135"/>
        <s v="05748659704"/>
        <s v="05748670112"/>
        <s v="05748670123"/>
        <s v="05748684311"/>
        <s v="05748710966"/>
        <s v="05748710992"/>
        <s v="05748711003"/>
        <s v="05748720965"/>
        <s v="05748742595"/>
        <s v="05748744765"/>
        <s v="05748750262"/>
        <s v="05748754650"/>
        <s v="05748760423"/>
        <s v="05748763050"/>
        <s v="05748784713"/>
        <s v="05748801944"/>
        <s v="05748807824"/>
        <s v="05748807964"/>
        <s v="05748810646"/>
        <s v="05748810694"/>
        <s v="05748810952"/>
        <s v="05748812105"/>
        <s v="05748812153"/>
        <s v="05748831893"/>
        <s v="05748831915"/>
        <s v="05748831930"/>
        <s v="05748928526"/>
        <s v="05748928935"/>
        <s v="05748933850"/>
        <s v="05748949961"/>
        <s v="05748949972"/>
        <s v="05748959945"/>
        <s v="05748959956"/>
        <s v="05748967041"/>
        <s v="05748968872"/>
        <s v="05748973260"/>
        <s v="05748982603"/>
        <s v="05748983550"/>
        <s v="05749010290"/>
        <s v="05749016575"/>
        <s v="05749021151"/>
        <s v="05749021184"/>
        <s v="05749051133"/>
        <s v="05749056803"/>
        <s v="05749056836"/>
        <s v="05749056873"/>
        <s v="05749067955"/>
        <s v="05749069425"/>
        <s v="05749077674"/>
        <s v="05749077696"/>
        <s v="05749079914"/>
        <s v="05749091512"/>
        <n v="5749109992"/>
        <s v="05749130653"/>
        <s v="05749130664"/>
        <s v="05749130675"/>
        <s v="05749130701"/>
        <s v="05749153333"/>
        <s v="05766769485"/>
        <s v="05770805722"/>
        <s v="05771252996"/>
        <s v="05771253335"/>
        <s v="05771288394"/>
        <s v="05771302453"/>
        <s v="05771324746"/>
        <s v="05771521446"/>
        <s v="05771761933"/>
        <s v="05771772396"/>
        <s v="05787402571"/>
        <s v="05790415345"/>
        <s v="05791539906"/>
        <s v="05797570314"/>
        <s v="05797570325"/>
        <s v="05797570336"/>
        <s v="07400498212"/>
        <s v="07400891844"/>
        <s v="07446547476"/>
        <s v="07461643330"/>
        <s v="07461643352"/>
        <s v="07461960986"/>
        <s v="07462107404"/>
        <s v="07462357315"/>
        <s v="07462360653"/>
        <s v="07462635790"/>
        <s v="07462659822"/>
        <s v="07462915543"/>
        <s v="07462918693"/>
        <s v="07462918995"/>
        <s v="07463066043"/>
        <s v="00655206981"/>
        <s v="00655207003"/>
        <s v="05703062323"/>
        <s v="05704792546"/>
        <s v="05705184734"/>
        <s v="05705186005"/>
        <s v="05705189472"/>
        <s v="05705191351"/>
        <s v="05705191395"/>
        <s v="05705192611"/>
        <s v="05705197511"/>
        <s v="05705201556"/>
        <s v="05705211091"/>
        <s v="05705218150"/>
        <s v="05705219830"/>
        <s v="05705220471"/>
        <s v="05705225172"/>
        <s v="05705240314"/>
        <s v="05705243162"/>
        <s v="05705248106"/>
        <s v="05705285862"/>
        <s v="05705285906"/>
        <s v="05705289900"/>
        <s v="05705290250"/>
        <s v="05705290294"/>
        <s v="05705293245"/>
        <s v="05705306836"/>
        <s v="05705307396"/>
        <s v="05705323581"/>
        <s v="05705325040"/>
        <s v="05705329063"/>
        <s v="05705340753"/>
        <s v="05705344382"/>
        <s v="05705352454"/>
        <s v="05705354112"/>
        <s v="05705372150"/>
        <s v="05705372194"/>
        <s v="05705372253"/>
        <s v="05705372264"/>
        <s v="05705372275"/>
        <s v="05705372301"/>
        <s v="05705393356"/>
        <s v="05705395246"/>
        <s v="05708331304"/>
        <s v="05709490390"/>
        <s v="05710426522"/>
        <s v="05711468925"/>
        <s v="05712964136"/>
        <s v="05713002710"/>
        <s v="05713113881"/>
        <s v="05745732820"/>
        <s v="05745857464"/>
        <s v="05746070603"/>
        <s v="05746479716"/>
        <s v="05747044476"/>
        <s v="05747249823"/>
        <s v="05747323780"/>
        <s v="05747730244"/>
        <s v="05747825492"/>
        <s v="05747836121"/>
        <s v="05747847870"/>
        <s v="05747866733"/>
        <s v="05747904124"/>
        <s v="05747907576"/>
        <s v="05747912896"/>
        <s v="05747990316"/>
        <s v="05747995673"/>
        <s v="05748001004"/>
        <s v="05748013416"/>
        <s v="05748049422"/>
        <s v="05748069103"/>
        <s v="05748104895"/>
        <s v="05748131694"/>
        <s v="05748147120"/>
        <s v="05748214773"/>
        <s v="05748277784"/>
        <s v="05748320613"/>
        <s v="05748321490"/>
        <s v="05748405571"/>
        <s v="05748500804"/>
        <s v="05748543633"/>
        <s v="05748565215"/>
        <s v="05748590592"/>
        <s v="05748602702"/>
        <s v="05748603494"/>
        <s v="05748619233"/>
        <s v="05748654292"/>
        <s v="05748678921"/>
        <s v="05748700912"/>
        <s v="05748724443"/>
        <s v="05748729704"/>
        <s v="05748798573"/>
        <s v="05748799446"/>
        <s v="05748810580"/>
        <s v="05748821054"/>
        <s v="05748853560"/>
        <s v="05748898964"/>
        <s v="05748899480"/>
        <s v="05748929285"/>
        <s v="05748929613"/>
        <s v="05748934896"/>
        <s v="05748969056"/>
        <s v="05748986140"/>
        <s v="05749018966"/>
        <s v="05749045754"/>
        <s v="05749052732"/>
        <s v="05749089876"/>
        <s v="05749091593"/>
        <s v="05749109104"/>
        <s v="05749110202"/>
        <s v="05749114063"/>
        <s v="05749114085"/>
        <s v="05749114096"/>
        <s v="05749145751"/>
        <s v="05749150566"/>
        <s v="05762723032"/>
        <s v="05771290166"/>
        <s v="05771295895"/>
        <s v="05771317680"/>
        <s v="05771487592"/>
        <s v="05771535391"/>
        <s v="05771725964"/>
        <s v="05771738881"/>
        <s v="05771739382"/>
        <s v="05771743335"/>
        <s v="05771754535"/>
        <s v="05771754701"/>
        <s v="05771754712"/>
        <s v="05771761830"/>
        <s v="05771763941"/>
        <s v="05784050551"/>
        <s v="05792269284"/>
        <s v="05794302655"/>
        <s v="05797569150"/>
        <s v="07461594540"/>
        <s v="07462241616"/>
        <n v="5712488711" u="1"/>
        <n v="5748849861" u="1"/>
        <n v="5748955561" u="1"/>
        <n v="5704925200" u="1"/>
        <n v="5747745320" u="1"/>
        <n v="5771332822" u="1"/>
        <n v="5705209503" u="1"/>
        <n v="5747989955" u="1"/>
        <n v="5771333102" u="1"/>
      </sharedItems>
    </cacheField>
    <cacheField name="FNR" numFmtId="0">
      <sharedItems containsBlank="1"/>
    </cacheField>
    <cacheField name="STORAGEUNIT" numFmtId="0">
      <sharedItems containsMixedTypes="1" containsNumber="1" containsInteger="1" minValue="5703070653002" maxValue="5747342621001"/>
    </cacheField>
    <cacheField name="ULD" numFmtId="0">
      <sharedItems containsBlank="1"/>
    </cacheField>
    <cacheField name="WGT" numFmtId="0">
      <sharedItems/>
    </cacheField>
    <cacheField name="PCS" numFmtId="0">
      <sharedItems/>
    </cacheField>
    <cacheField name="VOLUME" numFmtId="0">
      <sharedItems/>
    </cacheField>
    <cacheField name="TRANSIT" numFmtId="0">
      <sharedItems/>
    </cacheField>
    <cacheField name="IsULD" numFmtId="0">
      <sharedItems/>
    </cacheField>
    <cacheField name="AIRLINE" numFmtId="0">
      <sharedItems/>
    </cacheField>
    <cacheField name="FLT NUM" numFmtId="0">
      <sharedItems/>
    </cacheField>
    <cacheField name="FLT DATE" numFmtId="0">
      <sharedItems/>
    </cacheField>
    <cacheField name="SHC1" numFmtId="0">
      <sharedItems containsBlank="1"/>
    </cacheField>
    <cacheField name="SHC2" numFmtId="0">
      <sharedItems containsBlank="1"/>
    </cacheField>
    <cacheField name="SHC3" numFmtId="0">
      <sharedItems containsBlank="1"/>
    </cacheField>
    <cacheField name="SHC4" numFmtId="0">
      <sharedItems containsBlank="1"/>
    </cacheField>
    <cacheField name="SHC5" numFmtId="0">
      <sharedItems containsBlank="1"/>
    </cacheField>
    <cacheField name="ORI" numFmtId="0">
      <sharedItems/>
    </cacheField>
    <cacheField name="DEST" numFmtId="0">
      <sharedItems/>
    </cacheField>
    <cacheField name="OFLD" numFmtId="0">
      <sharedItems/>
    </cacheField>
    <cacheField name="SODEXI" numFmtId="0">
      <sharedItems/>
    </cacheField>
    <cacheField name="POSITION" numFmtId="0">
      <sharedItems containsBlank="1"/>
    </cacheField>
    <cacheField name="CONTOUR" numFmtId="0">
      <sharedItems containsBlank="1"/>
    </cacheField>
    <cacheField name="Unnamed: 22" numFmtId="0">
      <sharedItems containsBlank="1"/>
    </cacheField>
    <cacheField name="Status" numFmtId="0">
      <sharedItems containsBlank="1"/>
    </cacheField>
    <cacheField name="Secured" numFmtId="0">
      <sharedItems containsBlank="1"/>
    </cacheField>
    <cacheField name="Observation" numFmtId="0">
      <sharedItems containsBlank="1" containsMixedTypes="1" containsNumber="1" containsInteger="1" minValue="11410055" maxValue="11410055" count="47">
        <s v="No HAWB (XFZB issue)"/>
        <s v="Executed"/>
        <s v="HAWB PC &gt; MAWB PCs + error routing"/>
        <s v="No FWB"/>
        <s v="No MRN (XCSN issue)"/>
        <m/>
        <s v="Invalid Agent IATA code"/>
        <s v="Maximum amount limit exceeded"/>
        <s v="No HAWB (XFZB issue) - CAFEED DONE - waiting FFM to trigger DG"/>
        <s v="No HAWB (XFZB issue) - CAFEED DONE- waiting FFM to trigger DG"/>
        <s v="Cashdraw warning-Max transaction and amount limit"/>
        <s v="No HAWB (XFZB issue) - CAFEED DONE -waiting FFM to trigger DG"/>
        <s v="Getting internal error on listsing the awb and on clicking as is execute button getting sorry page"/>
        <s v="No HAWB (XFZB issue) - CAFEED DONE -DG captured in ORD ICARGO"/>
        <s v="Error comes as &quot;Please check credit amount&quot; on finalize payment on CSH007 screen"/>
        <s v="Error comes as &quot; Stated volume less than accepted volume &quot;"/>
        <s v="Youssouf Validation by as is execute / OPR 026 Volume was less than accepted volume maybe wrong data capture (volume) in 0PR026"/>
        <s v="Error comes as &quot;Internal Error&quot;"/>
        <s v="Rate note for the OD pair"/>
        <s v="No FWB -CAFEED DONE - DG captured manually in ICARGO"/>
        <s v="No HAWB (XFZB issue) -CAFEED DONE -DG captured manually in ICARGO"/>
        <s v="Dangerous goods details not captured for the SCC - CAFEED DONE"/>
        <s v="HAWB document finalized and executed"/>
        <s v="CAFEED DONE - DG not captured in ICARGO"/>
        <s v="Dangerous goods details not captured for the SCC"/>
        <s v="After execution spx changed to NSC"/>
        <s v="Got error like No MRN or French customs information available against the awb"/>
        <s v="Got error like 'There is an internal server error. Please contact system administrator.'"/>
        <s v="Got error like Shipper Zip/Postal code is not specified for 057-48659833"/>
        <s v="Not secured"/>
        <s v="No FWB  "/>
        <s v="No MRN"/>
        <s v="Invalid Agent data code"/>
        <s v="Invalid Agent"/>
        <s v="No MRN , French custom"/>
        <s v="No HAWB (XFZB issue) - CAFEED DONE - DG captured manually in ICARGO"/>
        <s v="HAWB finalised manually, No booking info"/>
        <s v="No FWB  - CAFEED DONE - DG captured manually in ICARGO"/>
        <s v="Getting Internal error while listing the AWB"/>
        <s v="HAWB finalised checkbox ticked"/>
        <s v="AWB not captured "/>
        <s v="HAWB finalised manually"/>
        <s v="Internal error occurs when AWB is listed in capture AWB ."/>
        <s v="Internal error occurs when 'As is execute' is clicked . "/>
        <s v="HAWB finalized manually and No Booking information"/>
        <s v="Error as SLAC pieces is less than stated pieces"/>
        <n v="11410055" u="1"/>
      </sharedItems>
    </cacheField>
    <cacheField name="Corrected Manually" numFmtId="0">
      <sharedItems containsBlank="1"/>
    </cacheField>
    <cacheField name="Status2" numFmtId="0">
      <sharedItems containsNonDate="0" containsString="0" containsBlank="1"/>
    </cacheField>
    <cacheField name="Observation3" numFmtId="0">
      <sharedItems containsNonDate="0" containsString="0" containsBlank="1"/>
    </cacheField>
    <cacheField name="SU iCargo" numFmtId="49">
      <sharedItems containsBlank="1"/>
    </cacheField>
    <cacheField name="Ready for Carriage" numFmtId="0">
      <sharedItems containsNonDate="0" containsString="0" containsBlank="1"/>
    </cacheField>
    <cacheField name="Status3" numFmtId="0">
      <sharedItems containsNonDate="0" containsString="0" containsBlank="1"/>
    </cacheField>
    <cacheField name="Observation2" numFmtId="0">
      <sharedItems containsNonDate="0" containsString="0" containsBlank="1"/>
    </cacheField>
    <cacheField name="Printed " numFmtId="0">
      <sharedItems containsNonDate="0" containsString="0" containsBlank="1"/>
    </cacheField>
    <cacheField name="Pelican Extraction n°" numFmtId="0">
      <sharedItems containsMixedTypes="1" containsNumber="1" containsInteger="1" minValue="1" maxValue="2"/>
    </cacheField>
    <cacheField name="Nb Repetition" numFmtId="0">
      <sharedItems containsSemiMixedTypes="0" containsString="0" containsNumber="1" minValue="6.6666666666666666E-2" maxValue="1"/>
    </cacheField>
    <cacheField name="Is SCH1 = DG" numFmtId="0">
      <sharedItems/>
    </cacheField>
    <cacheField name="Is SCH2 = DG" numFmtId="0">
      <sharedItems/>
    </cacheField>
    <cacheField name="Is SCH3 = DG" numFmtId="0">
      <sharedItems/>
    </cacheField>
    <cacheField name="Is SCH4= DG" numFmtId="0">
      <sharedItems/>
    </cacheField>
    <cacheField name="Is SCH5 = DG" numFmtId="0">
      <sharedItems/>
    </cacheField>
    <cacheField name="SHC Check" numFmtId="0">
      <sharedItems/>
    </cacheField>
    <cacheField name="Is ORI =iCarg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8">
  <r>
    <d v="2023-11-10T00:00:00"/>
    <x v="0"/>
    <s v="BA"/>
    <s v="05704925200001"/>
    <m/>
    <s v="32.0"/>
    <s v="1"/>
    <s v=".74"/>
    <s v="Y"/>
    <s v="N"/>
    <s v="AF"/>
    <s v="568"/>
    <s v="231116"/>
    <s v="ECP"/>
    <s v="EAP"/>
    <m/>
    <m/>
    <m/>
    <s v="TLS"/>
    <s v="CAI"/>
    <s v="CAI"/>
    <s v="N"/>
    <s v="51103"/>
    <m/>
    <m/>
    <s v="Passed"/>
    <m/>
    <x v="0"/>
    <s v="Yes"/>
    <m/>
    <m/>
    <s v="05704925200001"/>
    <m/>
    <m/>
    <m/>
    <m/>
    <n v="1"/>
    <n v="1"/>
    <b v="0"/>
    <b v="0"/>
    <b v="0"/>
    <b v="0"/>
    <b v="0"/>
    <s v="No"/>
    <s v="No"/>
  </r>
  <r>
    <d v="2023-11-10T00:00:00"/>
    <x v="1"/>
    <s v="BA"/>
    <s v="05705197080001"/>
    <m/>
    <s v="17.0"/>
    <s v="1"/>
    <s v=".26"/>
    <s v="Y"/>
    <s v="N"/>
    <s v="AF"/>
    <s v="670"/>
    <s v="231115"/>
    <s v="ECP"/>
    <s v="EAP"/>
    <m/>
    <m/>
    <m/>
    <s v="LYS"/>
    <s v="JIB"/>
    <s v="JIB"/>
    <s v="N"/>
    <s v="49406"/>
    <m/>
    <m/>
    <s v="Passed"/>
    <m/>
    <x v="1"/>
    <m/>
    <m/>
    <m/>
    <s v="05705197080001"/>
    <m/>
    <m/>
    <m/>
    <m/>
    <n v="1"/>
    <n v="1"/>
    <b v="0"/>
    <b v="0"/>
    <b v="0"/>
    <b v="0"/>
    <b v="0"/>
    <s v="No"/>
    <s v="Yes"/>
  </r>
  <r>
    <d v="2023-11-10T00:00:00"/>
    <x v="2"/>
    <s v="BA"/>
    <s v="05705209503001"/>
    <m/>
    <s v="168.0"/>
    <s v="1"/>
    <s v=".83"/>
    <s v="Y"/>
    <s v="N"/>
    <s v="AF"/>
    <s v="330M"/>
    <s v="231115"/>
    <s v="HEA"/>
    <s v="EAP"/>
    <m/>
    <m/>
    <m/>
    <s v="ATL"/>
    <s v="LJU"/>
    <s v="LJU"/>
    <s v="N"/>
    <s v="22006"/>
    <m/>
    <m/>
    <s v="Passed"/>
    <m/>
    <x v="0"/>
    <s v="Yes"/>
    <m/>
    <m/>
    <s v="05705209503001"/>
    <m/>
    <m/>
    <m/>
    <m/>
    <n v="1"/>
    <n v="0.5"/>
    <b v="0"/>
    <b v="0"/>
    <b v="0"/>
    <b v="0"/>
    <b v="0"/>
    <s v="No"/>
    <s v="No"/>
  </r>
  <r>
    <d v="2023-11-10T00:00:00"/>
    <x v="2"/>
    <s v="DA"/>
    <s v="05705209503002"/>
    <m/>
    <s v="168.0"/>
    <s v="1"/>
    <s v=".83"/>
    <s v="Y"/>
    <s v="N"/>
    <s v="AF"/>
    <s v="330M"/>
    <s v="231115"/>
    <s v="HEA"/>
    <s v="EAP"/>
    <m/>
    <m/>
    <m/>
    <s v="ATL"/>
    <s v="LJU"/>
    <s v="LJU"/>
    <s v="N"/>
    <s v="16105"/>
    <m/>
    <m/>
    <s v="Passed"/>
    <m/>
    <x v="0"/>
    <s v="Yes"/>
    <m/>
    <m/>
    <s v="05705209503002"/>
    <m/>
    <m/>
    <m/>
    <m/>
    <n v="1"/>
    <n v="0.5"/>
    <b v="0"/>
    <b v="0"/>
    <b v="0"/>
    <b v="0"/>
    <b v="0"/>
    <s v="No"/>
    <s v="No"/>
  </r>
  <r>
    <d v="2023-11-10T00:00:00"/>
    <x v="3"/>
    <s v="BA"/>
    <s v="05746973743001"/>
    <s v="PMC31646KL"/>
    <s v="1647.0"/>
    <s v="1"/>
    <s v="10.00"/>
    <s v="Y"/>
    <s v="Y"/>
    <s v="AF"/>
    <s v="174M"/>
    <s v="231115"/>
    <s v="ECC"/>
    <s v="HEA"/>
    <s v="BUP"/>
    <s v="EAW"/>
    <m/>
    <s v="HKG"/>
    <s v="NTE"/>
    <s v="NTE"/>
    <s v="N"/>
    <s v="B2B-4211"/>
    <m/>
    <m/>
    <s v="Failed"/>
    <m/>
    <x v="2"/>
    <m/>
    <m/>
    <m/>
    <m/>
    <m/>
    <m/>
    <m/>
    <m/>
    <n v="1"/>
    <n v="0.33333333333333331"/>
    <b v="0"/>
    <b v="0"/>
    <b v="0"/>
    <b v="0"/>
    <b v="0"/>
    <s v="No"/>
    <s v="No"/>
  </r>
  <r>
    <d v="2023-11-10T00:00:00"/>
    <x v="4"/>
    <s v="BA"/>
    <s v="05747745320001"/>
    <m/>
    <s v="9.5"/>
    <s v="1"/>
    <s v=".05"/>
    <s v="N"/>
    <s v="N"/>
    <s v="AF"/>
    <s v="860"/>
    <s v="231120"/>
    <s v="VAL"/>
    <s v="VIC"/>
    <m/>
    <m/>
    <m/>
    <s v="CDG"/>
    <s v="LFW"/>
    <s v="LFW"/>
    <s v="N"/>
    <s v="VAL0"/>
    <m/>
    <m/>
    <s v="Passed"/>
    <m/>
    <x v="0"/>
    <s v="Yes"/>
    <m/>
    <m/>
    <m/>
    <m/>
    <m/>
    <m/>
    <m/>
    <n v="1"/>
    <n v="1"/>
    <b v="0"/>
    <b v="0"/>
    <b v="0"/>
    <b v="0"/>
    <b v="0"/>
    <s v="No"/>
    <s v="No"/>
  </r>
  <r>
    <d v="2023-11-10T00:00:00"/>
    <x v="5"/>
    <s v="BA"/>
    <s v="05748285171001"/>
    <m/>
    <s v="146.0"/>
    <s v="1"/>
    <s v="1.01"/>
    <s v="Y"/>
    <s v="N"/>
    <s v="AF"/>
    <s v="928"/>
    <s v="231116"/>
    <s v="VIC"/>
    <s v="ECP"/>
    <m/>
    <m/>
    <m/>
    <s v="MRS"/>
    <s v="PNR"/>
    <s v="PNR"/>
    <s v="N"/>
    <s v="S8101"/>
    <m/>
    <m/>
    <s v="Passed"/>
    <m/>
    <x v="1"/>
    <m/>
    <m/>
    <m/>
    <s v="05748285171001"/>
    <m/>
    <m/>
    <m/>
    <m/>
    <n v="1"/>
    <n v="1"/>
    <b v="0"/>
    <b v="0"/>
    <b v="0"/>
    <b v="0"/>
    <b v="0"/>
    <s v="No"/>
    <s v="No"/>
  </r>
  <r>
    <d v="2023-11-10T00:00:00"/>
    <x v="6"/>
    <s v="BA"/>
    <s v="05748738771001"/>
    <m/>
    <s v="490.0"/>
    <s v="1"/>
    <s v="2.11"/>
    <s v="Y"/>
    <s v="N"/>
    <s v="AF"/>
    <s v="132"/>
    <s v="231116"/>
    <s v="HEA"/>
    <m/>
    <m/>
    <m/>
    <m/>
    <s v="IST"/>
    <s v="DFW"/>
    <s v="DFW"/>
    <s v="N"/>
    <s v="XLC20"/>
    <m/>
    <m/>
    <s v="Passed"/>
    <m/>
    <x v="0"/>
    <s v="Yes"/>
    <m/>
    <m/>
    <s v="05748738771001"/>
    <m/>
    <m/>
    <m/>
    <m/>
    <n v="1"/>
    <n v="1"/>
    <b v="0"/>
    <b v="0"/>
    <b v="0"/>
    <b v="0"/>
    <b v="0"/>
    <s v="No"/>
    <s v="No"/>
  </r>
  <r>
    <d v="2023-11-10T00:00:00"/>
    <x v="7"/>
    <s v="BA"/>
    <s v="05748849861001"/>
    <m/>
    <s v="270.0"/>
    <s v="1"/>
    <s v=".75"/>
    <s v="Y"/>
    <s v="N"/>
    <s v="AF"/>
    <s v="090"/>
    <s v="231115"/>
    <s v="HEA"/>
    <m/>
    <m/>
    <m/>
    <m/>
    <s v="IST"/>
    <s v="MIA"/>
    <s v="MIA"/>
    <s v="N"/>
    <s v="51006"/>
    <m/>
    <m/>
    <s v="Passed"/>
    <m/>
    <x v="0"/>
    <s v="Yes"/>
    <m/>
    <m/>
    <s v="05748849861001"/>
    <m/>
    <m/>
    <m/>
    <m/>
    <n v="1"/>
    <n v="1"/>
    <b v="0"/>
    <b v="0"/>
    <b v="0"/>
    <b v="0"/>
    <b v="0"/>
    <s v="No"/>
    <s v="No"/>
  </r>
  <r>
    <s v="13/11/2023"/>
    <x v="8"/>
    <s v="BA"/>
    <s v="05748955561001"/>
    <m/>
    <s v="496.7"/>
    <s v="1"/>
    <s v="1.63"/>
    <s v="Y"/>
    <s v="N"/>
    <s v="AF"/>
    <s v="066"/>
    <s v="231117"/>
    <s v="ECC"/>
    <s v="HEA"/>
    <s v="EAP"/>
    <m/>
    <m/>
    <s v="DEL"/>
    <s v="LAX"/>
    <s v="LAX"/>
    <s v="N"/>
    <s v="HLC005"/>
    <m/>
    <m/>
    <s v="Passed"/>
    <m/>
    <x v="3"/>
    <s v="Yes"/>
    <m/>
    <m/>
    <s v="05748955561001"/>
    <m/>
    <m/>
    <m/>
    <m/>
    <n v="1"/>
    <n v="0.33333333333333331"/>
    <b v="0"/>
    <b v="0"/>
    <b v="0"/>
    <b v="0"/>
    <b v="0"/>
    <s v="No"/>
    <s v="No"/>
  </r>
  <r>
    <d v="2023-11-10T00:00:00"/>
    <x v="8"/>
    <s v="DA"/>
    <s v="05748955561002"/>
    <m/>
    <s v="496.7"/>
    <s v="1"/>
    <s v="1.63"/>
    <s v="Y"/>
    <s v="N"/>
    <s v="AF"/>
    <s v="066"/>
    <s v="231117"/>
    <s v="ECC"/>
    <s v="HEA"/>
    <s v="EAP"/>
    <m/>
    <m/>
    <s v="DEL"/>
    <s v="LAX"/>
    <s v="LAX"/>
    <s v="N"/>
    <s v="HLC065"/>
    <m/>
    <m/>
    <s v="Passed"/>
    <m/>
    <x v="3"/>
    <s v="Yes"/>
    <m/>
    <m/>
    <s v="05748955561002"/>
    <m/>
    <m/>
    <m/>
    <m/>
    <n v="1"/>
    <n v="0.33333333333333331"/>
    <b v="0"/>
    <b v="0"/>
    <b v="0"/>
    <b v="0"/>
    <b v="0"/>
    <s v="No"/>
    <s v="No"/>
  </r>
  <r>
    <d v="2023-11-10T00:00:00"/>
    <x v="8"/>
    <s v="FA"/>
    <s v="05748955561003"/>
    <m/>
    <s v="496.7"/>
    <s v="1"/>
    <s v="1.63"/>
    <s v="Y"/>
    <s v="N"/>
    <s v="AF"/>
    <s v="066"/>
    <s v="231117"/>
    <s v="ECC"/>
    <s v="HEA"/>
    <s v="EAP"/>
    <m/>
    <m/>
    <s v="DEL"/>
    <s v="LAX"/>
    <s v="LAX"/>
    <s v="N"/>
    <s v="HLC066"/>
    <m/>
    <m/>
    <s v="Passed"/>
    <m/>
    <x v="3"/>
    <s v="Yes"/>
    <m/>
    <m/>
    <s v="05748955561003"/>
    <m/>
    <m/>
    <m/>
    <m/>
    <n v="1"/>
    <n v="0.33333333333333331"/>
    <b v="0"/>
    <b v="0"/>
    <b v="0"/>
    <b v="0"/>
    <b v="0"/>
    <s v="No"/>
    <s v="No"/>
  </r>
  <r>
    <d v="2023-11-10T00:00:00"/>
    <x v="9"/>
    <s v="BA"/>
    <s v="05753714172001"/>
    <m/>
    <s v="202.0"/>
    <s v="1"/>
    <s v="1.30"/>
    <s v="Y"/>
    <s v="N"/>
    <s v="AF"/>
    <s v="670"/>
    <s v="231115"/>
    <s v="ELI"/>
    <s v="HEA"/>
    <m/>
    <m/>
    <m/>
    <s v="ATL"/>
    <s v="JIB"/>
    <s v="JIB"/>
    <s v="N"/>
    <s v="HLC085"/>
    <m/>
    <m/>
    <s v="Passed"/>
    <m/>
    <x v="1"/>
    <m/>
    <m/>
    <m/>
    <s v="05753714172001"/>
    <m/>
    <m/>
    <m/>
    <m/>
    <n v="1"/>
    <n v="1"/>
    <b v="0"/>
    <b v="0"/>
    <b v="0"/>
    <b v="0"/>
    <b v="0"/>
    <s v="No"/>
    <s v="No"/>
  </r>
  <r>
    <d v="2023-11-10T00:00:00"/>
    <x v="10"/>
    <s v="BA"/>
    <s v="05771332822001"/>
    <m/>
    <s v="161.9"/>
    <s v="1"/>
    <s v="1.00"/>
    <s v="N"/>
    <s v="N"/>
    <s v="AF"/>
    <s v="972"/>
    <s v="231115"/>
    <s v="ECP"/>
    <s v="HEA"/>
    <s v="FSA"/>
    <s v="EAW"/>
    <s v="SPX"/>
    <s v="CDG"/>
    <s v="LAD"/>
    <s v="LAD"/>
    <s v="N"/>
    <s v="T3104"/>
    <m/>
    <m/>
    <s v="Passed"/>
    <m/>
    <x v="4"/>
    <s v="Yes"/>
    <m/>
    <m/>
    <s v="05771332822001"/>
    <m/>
    <m/>
    <m/>
    <m/>
    <n v="1"/>
    <n v="0.33333333333333331"/>
    <b v="0"/>
    <b v="0"/>
    <b v="0"/>
    <b v="0"/>
    <b v="0"/>
    <s v="No"/>
    <s v="No"/>
  </r>
  <r>
    <d v="2023-11-10T00:00:00"/>
    <x v="10"/>
    <s v="DA"/>
    <s v="05771332822002"/>
    <m/>
    <s v="161.9"/>
    <s v="1"/>
    <s v="1.00"/>
    <s v="N"/>
    <s v="N"/>
    <s v="AF"/>
    <s v="972"/>
    <s v="231115"/>
    <s v="ECP"/>
    <s v="HEA"/>
    <s v="FSA"/>
    <s v="EAW"/>
    <s v="SPX"/>
    <s v="CDG"/>
    <s v="LAD"/>
    <s v="LAD"/>
    <s v="N"/>
    <s v="T4004"/>
    <m/>
    <m/>
    <s v="Passed"/>
    <m/>
    <x v="4"/>
    <s v="Yes"/>
    <m/>
    <m/>
    <s v="05771332822002"/>
    <m/>
    <m/>
    <m/>
    <m/>
    <n v="1"/>
    <n v="0.33333333333333331"/>
    <b v="0"/>
    <b v="0"/>
    <b v="0"/>
    <b v="0"/>
    <b v="0"/>
    <s v="No"/>
    <s v="No"/>
  </r>
  <r>
    <d v="2023-11-10T00:00:00"/>
    <x v="10"/>
    <s v="FA"/>
    <s v="05771332822003"/>
    <m/>
    <s v="161.8"/>
    <s v="1"/>
    <s v="1.00"/>
    <s v="N"/>
    <s v="N"/>
    <s v="AF"/>
    <s v="972"/>
    <s v="231115"/>
    <s v="ECP"/>
    <s v="HEA"/>
    <s v="FSA"/>
    <s v="EAW"/>
    <s v="SPX"/>
    <s v="CDG"/>
    <s v="LAD"/>
    <s v="LAD"/>
    <s v="N"/>
    <s v="S9304"/>
    <m/>
    <m/>
    <s v="Passed"/>
    <m/>
    <x v="4"/>
    <s v="Yes"/>
    <m/>
    <m/>
    <s v="05771332822003"/>
    <m/>
    <m/>
    <m/>
    <m/>
    <n v="1"/>
    <n v="0.33333333333333331"/>
    <b v="0"/>
    <b v="0"/>
    <b v="0"/>
    <b v="0"/>
    <b v="0"/>
    <s v="No"/>
    <s v="No"/>
  </r>
  <r>
    <d v="2023-11-10T00:00:00"/>
    <x v="11"/>
    <s v="BA"/>
    <s v="05771333102001"/>
    <m/>
    <s v="191.3"/>
    <s v="1"/>
    <s v="1.15"/>
    <s v="N"/>
    <s v="N"/>
    <s v="AF"/>
    <s v="670"/>
    <s v="231115"/>
    <s v="ECP"/>
    <s v="HEA"/>
    <s v="FSA"/>
    <s v="EAP"/>
    <s v="SPX"/>
    <s v="CDG"/>
    <s v="JIB"/>
    <s v="JIB"/>
    <s v="N"/>
    <s v="55007"/>
    <m/>
    <m/>
    <s v="Passed"/>
    <m/>
    <x v="4"/>
    <s v="Yes"/>
    <m/>
    <m/>
    <s v="05771333102001"/>
    <m/>
    <m/>
    <m/>
    <m/>
    <n v="1"/>
    <n v="0.5"/>
    <b v="0"/>
    <b v="0"/>
    <b v="0"/>
    <b v="0"/>
    <b v="0"/>
    <s v="No"/>
    <s v="No"/>
  </r>
  <r>
    <d v="2023-11-10T00:00:00"/>
    <x v="11"/>
    <s v="DA"/>
    <s v="05771333102002"/>
    <m/>
    <s v="191.2"/>
    <s v="1"/>
    <s v="1.15"/>
    <s v="N"/>
    <s v="N"/>
    <s v="AF"/>
    <s v="670"/>
    <s v="231115"/>
    <s v="ECP"/>
    <s v="HEA"/>
    <s v="FSA"/>
    <s v="EAP"/>
    <s v="SPX"/>
    <s v="CDG"/>
    <s v="JIB"/>
    <s v="JIB"/>
    <s v="N"/>
    <s v="52403"/>
    <m/>
    <m/>
    <s v="Passed"/>
    <m/>
    <x v="4"/>
    <s v="Yes"/>
    <m/>
    <m/>
    <s v="05771333102002"/>
    <m/>
    <m/>
    <m/>
    <m/>
    <n v="1"/>
    <n v="0.5"/>
    <b v="0"/>
    <b v="0"/>
    <b v="0"/>
    <b v="0"/>
    <b v="0"/>
    <s v="No"/>
    <s v="No"/>
  </r>
  <r>
    <d v="2023-11-10T00:00:00"/>
    <x v="12"/>
    <s v="BA"/>
    <s v="05771333264001"/>
    <s v="PMC87884AF"/>
    <s v="1221.3"/>
    <s v="9"/>
    <s v="10.00"/>
    <s v="N"/>
    <s v="N"/>
    <s v="AF"/>
    <s v="712"/>
    <s v="231115"/>
    <s v="HEA"/>
    <s v="FSB"/>
    <s v="ULD"/>
    <s v="EAW"/>
    <m/>
    <s v="CDG"/>
    <s v="ABJ"/>
    <s v="ABJ"/>
    <s v="N"/>
    <s v="NCX-4528"/>
    <m/>
    <m/>
    <s v="Passed"/>
    <m/>
    <x v="4"/>
    <m/>
    <m/>
    <m/>
    <s v="05771333264002"/>
    <m/>
    <m/>
    <m/>
    <m/>
    <n v="1"/>
    <n v="0.5"/>
    <b v="0"/>
    <b v="0"/>
    <b v="0"/>
    <b v="0"/>
    <b v="0"/>
    <s v="No"/>
    <s v="No"/>
  </r>
  <r>
    <d v="2023-11-10T00:00:00"/>
    <x v="13"/>
    <s v="BA"/>
    <s v="07462536740001"/>
    <m/>
    <s v="331.0"/>
    <s v="5"/>
    <s v=".60"/>
    <s v="Y"/>
    <s v="N"/>
    <s v="AF"/>
    <s v="670"/>
    <s v="231115"/>
    <s v="ECP"/>
    <s v="EAW"/>
    <m/>
    <m/>
    <m/>
    <s v="PVG"/>
    <s v="JIB"/>
    <s v="JIB"/>
    <s v="N"/>
    <s v="21005"/>
    <m/>
    <m/>
    <s v="Passed"/>
    <m/>
    <x v="1"/>
    <m/>
    <m/>
    <m/>
    <s v="07462536740001"/>
    <m/>
    <m/>
    <m/>
    <m/>
    <n v="1"/>
    <n v="1"/>
    <b v="0"/>
    <b v="0"/>
    <b v="0"/>
    <b v="0"/>
    <b v="0"/>
    <s v="No"/>
    <s v="No"/>
  </r>
  <r>
    <d v="2023-11-13T00:00:00"/>
    <x v="14"/>
    <s v="BA"/>
    <s v="05702550671001"/>
    <s v="PMC32403KL"/>
    <s v="1369.0"/>
    <s v="3"/>
    <s v="9.42"/>
    <s v="Y"/>
    <s v="N"/>
    <s v="AF"/>
    <s v="092"/>
    <s v="231116"/>
    <s v="ECC"/>
    <s v="HEA"/>
    <s v="EAP"/>
    <m/>
    <m/>
    <s v="BKK"/>
    <s v="MIA"/>
    <s v="MIA"/>
    <s v="N"/>
    <s v="B2B-4229"/>
    <s v="ML"/>
    <m/>
    <s v="Failed"/>
    <m/>
    <x v="0"/>
    <m/>
    <m/>
    <m/>
    <s v="05702550671001"/>
    <m/>
    <m/>
    <m/>
    <m/>
    <n v="2"/>
    <n v="1"/>
    <b v="0"/>
    <b v="0"/>
    <b v="0"/>
    <b v="0"/>
    <b v="0"/>
    <s v="No"/>
    <s v="No"/>
  </r>
  <r>
    <d v="2023-11-13T00:00:00"/>
    <x v="15"/>
    <s v="BA"/>
    <s v="05702608616001"/>
    <m/>
    <s v="250.0"/>
    <s v="1"/>
    <s v="1.18"/>
    <s v="N"/>
    <s v="N"/>
    <s v="AF"/>
    <s v="566"/>
    <s v="231115"/>
    <s v="ECP"/>
    <s v="HEA"/>
    <s v="EAP"/>
    <s v="SPX"/>
    <m/>
    <s v="CDG"/>
    <s v="BEY"/>
    <s v="BEY"/>
    <s v="N"/>
    <s v="P8001"/>
    <m/>
    <m/>
    <s v="Passed"/>
    <m/>
    <x v="5"/>
    <m/>
    <m/>
    <m/>
    <s v="05702608616001"/>
    <m/>
    <m/>
    <m/>
    <m/>
    <n v="2"/>
    <n v="1"/>
    <b v="0"/>
    <b v="0"/>
    <b v="0"/>
    <b v="0"/>
    <b v="0"/>
    <s v="No"/>
    <s v="No"/>
  </r>
  <r>
    <d v="2023-11-13T00:00:00"/>
    <x v="16"/>
    <s v="DA"/>
    <s v="05702826854002"/>
    <m/>
    <s v="230.0"/>
    <s v="1"/>
    <s v="1.38"/>
    <s v="Y"/>
    <s v="N"/>
    <s v="DL"/>
    <s v="083"/>
    <s v="231115"/>
    <s v="ECC"/>
    <s v="HEA"/>
    <s v="EAW"/>
    <m/>
    <m/>
    <s v="BKK"/>
    <s v="ATL"/>
    <s v="ATL"/>
    <s v="N"/>
    <s v="62106"/>
    <m/>
    <m/>
    <s v="Failed"/>
    <m/>
    <x v="0"/>
    <m/>
    <m/>
    <m/>
    <s v="05702826854001"/>
    <m/>
    <m/>
    <m/>
    <m/>
    <n v="2"/>
    <n v="0.33333333333333331"/>
    <b v="0"/>
    <b v="0"/>
    <b v="0"/>
    <b v="0"/>
    <b v="0"/>
    <s v="No"/>
    <s v="No"/>
  </r>
  <r>
    <d v="2023-11-13T00:00:00"/>
    <x v="16"/>
    <s v="FA"/>
    <s v="05702826854003"/>
    <s v="PMC73891AF"/>
    <s v="623.0"/>
    <s v="5"/>
    <s v="6.47"/>
    <s v="Y"/>
    <s v="N"/>
    <s v="DL"/>
    <s v="083"/>
    <s v="231115"/>
    <s v="ECC"/>
    <s v="HEA"/>
    <s v="EAW"/>
    <m/>
    <m/>
    <s v="BKK"/>
    <s v="ATL"/>
    <s v="ATL"/>
    <s v="N"/>
    <s v="B2D-6338"/>
    <s v="ML"/>
    <m/>
    <s v="Failed"/>
    <m/>
    <x v="0"/>
    <m/>
    <m/>
    <m/>
    <s v="05702826854002"/>
    <m/>
    <m/>
    <m/>
    <m/>
    <n v="2"/>
    <n v="0.33333333333333331"/>
    <b v="0"/>
    <b v="0"/>
    <b v="0"/>
    <b v="0"/>
    <b v="0"/>
    <s v="No"/>
    <s v="No"/>
  </r>
  <r>
    <d v="2023-11-13T00:00:00"/>
    <x v="16"/>
    <s v="HA"/>
    <s v="05702826854004"/>
    <m/>
    <s v="230.0"/>
    <s v="1"/>
    <s v="1.38"/>
    <s v="Y"/>
    <s v="N"/>
    <s v="DL"/>
    <s v="083"/>
    <s v="231115"/>
    <s v="ECC"/>
    <s v="HEA"/>
    <s v="EAW"/>
    <m/>
    <m/>
    <s v="BKK"/>
    <s v="ATL"/>
    <s v="ATL"/>
    <s v="N"/>
    <s v="P9304"/>
    <m/>
    <m/>
    <s v="Failed"/>
    <m/>
    <x v="0"/>
    <m/>
    <m/>
    <m/>
    <s v="05702826854003"/>
    <m/>
    <m/>
    <m/>
    <m/>
    <n v="2"/>
    <n v="0.33333333333333331"/>
    <b v="0"/>
    <b v="0"/>
    <b v="0"/>
    <b v="0"/>
    <b v="0"/>
    <s v="No"/>
    <s v="No"/>
  </r>
  <r>
    <d v="2023-11-13T00:00:00"/>
    <x v="17"/>
    <s v="BA"/>
    <s v="05702864735001"/>
    <m/>
    <s v="100.0"/>
    <s v="1"/>
    <s v=".60"/>
    <s v="Y"/>
    <s v="N"/>
    <s v="AF"/>
    <s v="356"/>
    <s v="231115"/>
    <s v="ECC"/>
    <s v="EAP"/>
    <m/>
    <m/>
    <m/>
    <s v="VIE"/>
    <s v="YYZ"/>
    <s v="YYZ"/>
    <s v="N"/>
    <s v="P2404"/>
    <m/>
    <m/>
    <s v="Failed"/>
    <m/>
    <x v="0"/>
    <m/>
    <m/>
    <m/>
    <s v="05702864735001"/>
    <m/>
    <m/>
    <m/>
    <m/>
    <n v="2"/>
    <n v="1"/>
    <b v="0"/>
    <b v="0"/>
    <b v="0"/>
    <b v="0"/>
    <b v="0"/>
    <s v="No"/>
    <s v="No"/>
  </r>
  <r>
    <d v="2023-11-13T00:00:00"/>
    <x v="18"/>
    <s v="BA"/>
    <s v="05702964710001"/>
    <m/>
    <s v="175.6"/>
    <s v="1"/>
    <s v="1.40"/>
    <s v="Y"/>
    <s v="N"/>
    <s v="DL"/>
    <s v="083"/>
    <s v="231115"/>
    <s v="ECC"/>
    <s v="HEA"/>
    <m/>
    <m/>
    <m/>
    <s v="BUD"/>
    <s v="ATL"/>
    <s v="ATL"/>
    <s v="N"/>
    <s v="63103"/>
    <m/>
    <m/>
    <s v="Failed"/>
    <m/>
    <x v="0"/>
    <m/>
    <m/>
    <m/>
    <s v="05702964710001"/>
    <m/>
    <m/>
    <m/>
    <m/>
    <n v="2"/>
    <n v="0.33333333333333331"/>
    <b v="0"/>
    <b v="0"/>
    <b v="0"/>
    <b v="0"/>
    <b v="0"/>
    <s v="No"/>
    <s v="No"/>
  </r>
  <r>
    <d v="2023-11-13T00:00:00"/>
    <x v="18"/>
    <s v="DA"/>
    <s v="05702964710002"/>
    <m/>
    <s v="175.6"/>
    <s v="1"/>
    <s v="1.40"/>
    <s v="Y"/>
    <s v="N"/>
    <s v="DL"/>
    <s v="083"/>
    <s v="231115"/>
    <s v="ECC"/>
    <s v="HEA"/>
    <m/>
    <m/>
    <m/>
    <s v="BUD"/>
    <s v="ATL"/>
    <s v="ATL"/>
    <s v="N"/>
    <s v="Q9301"/>
    <m/>
    <m/>
    <s v="Failed"/>
    <m/>
    <x v="0"/>
    <m/>
    <m/>
    <m/>
    <s v="05702964710002"/>
    <m/>
    <m/>
    <m/>
    <m/>
    <n v="2"/>
    <n v="0.33333333333333331"/>
    <b v="0"/>
    <b v="0"/>
    <b v="0"/>
    <b v="0"/>
    <b v="0"/>
    <s v="No"/>
    <s v="No"/>
  </r>
  <r>
    <d v="2023-11-13T00:00:00"/>
    <x v="18"/>
    <s v="FA"/>
    <s v="05702964710003"/>
    <m/>
    <s v="175.7"/>
    <s v="1"/>
    <s v="1.41"/>
    <s v="Y"/>
    <s v="N"/>
    <s v="DL"/>
    <s v="083"/>
    <s v="231115"/>
    <s v="ECC"/>
    <s v="HEA"/>
    <m/>
    <m/>
    <m/>
    <s v="BUD"/>
    <s v="ATL"/>
    <s v="ATL"/>
    <s v="N"/>
    <s v="53108"/>
    <m/>
    <m/>
    <s v="Failed"/>
    <m/>
    <x v="0"/>
    <m/>
    <m/>
    <m/>
    <s v="05702964710003"/>
    <m/>
    <m/>
    <m/>
    <m/>
    <n v="2"/>
    <n v="0.33333333333333331"/>
    <b v="0"/>
    <b v="0"/>
    <b v="0"/>
    <b v="0"/>
    <b v="0"/>
    <s v="No"/>
    <s v="No"/>
  </r>
  <r>
    <d v="2023-11-13T00:00:00"/>
    <x v="19"/>
    <s v="BA"/>
    <s v="05703020500001"/>
    <m/>
    <s v="150.4"/>
    <s v="1"/>
    <s v="1.92"/>
    <s v="Y"/>
    <s v="N"/>
    <s v="AF"/>
    <s v="804"/>
    <s v="231115"/>
    <s v="ECP"/>
    <s v="HEA"/>
    <m/>
    <m/>
    <m/>
    <s v="AMS"/>
    <s v="COO"/>
    <s v="COO"/>
    <s v="N"/>
    <s v="HLC111"/>
    <m/>
    <m/>
    <s v="Passed"/>
    <m/>
    <x v="5"/>
    <m/>
    <m/>
    <m/>
    <s v="05703020500001"/>
    <m/>
    <m/>
    <m/>
    <m/>
    <n v="2"/>
    <n v="1"/>
    <b v="0"/>
    <b v="0"/>
    <b v="0"/>
    <b v="0"/>
    <b v="0"/>
    <s v="No"/>
    <s v="No"/>
  </r>
  <r>
    <d v="2023-11-13T00:00:00"/>
    <x v="20"/>
    <s v="BA"/>
    <s v="05703062916001"/>
    <s v="PMC32131KL"/>
    <s v="100.0"/>
    <s v="4"/>
    <s v=".17"/>
    <s v="Y"/>
    <s v="N"/>
    <s v="AF"/>
    <s v="6762"/>
    <s v="231115"/>
    <s v="ECP"/>
    <m/>
    <m/>
    <m/>
    <m/>
    <s v="MIA"/>
    <s v="IST"/>
    <s v="IST"/>
    <s v="N"/>
    <s v="B2B-4023"/>
    <s v="ML"/>
    <m/>
    <s v="Passed"/>
    <m/>
    <x v="5"/>
    <m/>
    <m/>
    <m/>
    <s v="05703062916001"/>
    <m/>
    <m/>
    <m/>
    <m/>
    <n v="2"/>
    <n v="1"/>
    <b v="0"/>
    <b v="0"/>
    <b v="0"/>
    <b v="0"/>
    <b v="0"/>
    <s v="No"/>
    <s v="No"/>
  </r>
  <r>
    <d v="2023-11-13T00:00:00"/>
    <x v="21"/>
    <s v="BA"/>
    <s v="05703077340001"/>
    <m/>
    <s v="435.0"/>
    <s v="1"/>
    <s v="1.30"/>
    <s v="Y"/>
    <s v="N"/>
    <s v="AF"/>
    <s v="6732"/>
    <s v="231115"/>
    <s v="ECC"/>
    <s v="HEA"/>
    <s v="EAW"/>
    <m/>
    <m/>
    <s v="STR"/>
    <s v="ORD"/>
    <s v="ORD"/>
    <s v="N"/>
    <s v="T5102"/>
    <m/>
    <m/>
    <s v="Failed"/>
    <m/>
    <x v="0"/>
    <m/>
    <m/>
    <m/>
    <s v="05703077340001"/>
    <m/>
    <m/>
    <m/>
    <m/>
    <n v="2"/>
    <n v="1"/>
    <b v="0"/>
    <b v="0"/>
    <b v="0"/>
    <b v="0"/>
    <b v="0"/>
    <s v="No"/>
    <s v="No"/>
  </r>
  <r>
    <d v="2023-11-13T00:00:00"/>
    <x v="22"/>
    <s v="BA"/>
    <s v="05703106493001"/>
    <m/>
    <s v="160.3"/>
    <s v="1"/>
    <s v="1.02"/>
    <s v="Y"/>
    <s v="N"/>
    <s v="AF"/>
    <s v="694"/>
    <s v="231115"/>
    <s v="HEA"/>
    <s v="EAW"/>
    <m/>
    <m/>
    <m/>
    <s v="FRA"/>
    <s v="IAH"/>
    <s v="IAH"/>
    <s v="N"/>
    <s v="51405"/>
    <m/>
    <m/>
    <s v="Failed"/>
    <m/>
    <x v="0"/>
    <m/>
    <m/>
    <m/>
    <s v="05703106493001"/>
    <m/>
    <m/>
    <m/>
    <m/>
    <n v="2"/>
    <n v="0.33333333333333331"/>
    <b v="0"/>
    <b v="0"/>
    <b v="0"/>
    <b v="0"/>
    <b v="0"/>
    <s v="No"/>
    <s v="No"/>
  </r>
  <r>
    <d v="2023-11-13T00:00:00"/>
    <x v="22"/>
    <s v="DA"/>
    <s v="05703106493002"/>
    <m/>
    <s v="160.3"/>
    <s v="1"/>
    <s v="1.02"/>
    <s v="Y"/>
    <s v="N"/>
    <s v="AF"/>
    <s v="694"/>
    <s v="231115"/>
    <s v="HEA"/>
    <s v="EAW"/>
    <m/>
    <m/>
    <m/>
    <s v="FRA"/>
    <s v="IAH"/>
    <s v="IAH"/>
    <s v="N"/>
    <s v="55403"/>
    <m/>
    <m/>
    <s v="Failed"/>
    <m/>
    <x v="0"/>
    <m/>
    <m/>
    <m/>
    <s v="05703106493002"/>
    <m/>
    <m/>
    <m/>
    <m/>
    <n v="2"/>
    <n v="0.33333333333333331"/>
    <b v="0"/>
    <b v="0"/>
    <b v="0"/>
    <b v="0"/>
    <b v="0"/>
    <s v="No"/>
    <s v="No"/>
  </r>
  <r>
    <d v="2023-11-13T00:00:00"/>
    <x v="22"/>
    <s v="FA"/>
    <s v="05703106493003"/>
    <m/>
    <s v="160.3"/>
    <s v="1"/>
    <s v="1.02"/>
    <s v="Y"/>
    <s v="N"/>
    <s v="AF"/>
    <s v="694"/>
    <s v="231115"/>
    <s v="HEA"/>
    <s v="EAW"/>
    <m/>
    <m/>
    <m/>
    <s v="FRA"/>
    <s v="IAH"/>
    <s v="IAH"/>
    <s v="N"/>
    <s v="56408"/>
    <m/>
    <m/>
    <s v="Failed"/>
    <m/>
    <x v="0"/>
    <m/>
    <m/>
    <m/>
    <s v="05703106493003"/>
    <m/>
    <m/>
    <m/>
    <m/>
    <n v="2"/>
    <n v="0.33333333333333331"/>
    <b v="0"/>
    <b v="0"/>
    <b v="0"/>
    <b v="0"/>
    <b v="0"/>
    <s v="No"/>
    <s v="No"/>
  </r>
  <r>
    <d v="2023-11-13T00:00:00"/>
    <x v="23"/>
    <s v="BA"/>
    <s v="05703108560001"/>
    <m/>
    <s v="59.6"/>
    <s v="1"/>
    <s v=".63"/>
    <s v="Y"/>
    <s v="N"/>
    <s v="AF"/>
    <s v="990"/>
    <s v="231115"/>
    <s v="ECC"/>
    <s v="EAP"/>
    <m/>
    <m/>
    <m/>
    <s v="BRU"/>
    <s v="JNB"/>
    <s v="JNB"/>
    <s v="N"/>
    <s v="S7403"/>
    <m/>
    <m/>
    <s v="Failed"/>
    <m/>
    <x v="0"/>
    <m/>
    <m/>
    <m/>
    <s v="05703108560001"/>
    <m/>
    <m/>
    <m/>
    <m/>
    <n v="2"/>
    <n v="0.5"/>
    <b v="0"/>
    <b v="0"/>
    <b v="0"/>
    <b v="0"/>
    <b v="0"/>
    <s v="No"/>
    <s v="No"/>
  </r>
  <r>
    <d v="2023-11-13T00:00:00"/>
    <x v="23"/>
    <s v="DA"/>
    <s v="05703108560002"/>
    <m/>
    <s v="59.6"/>
    <s v="1"/>
    <s v=".64"/>
    <s v="Y"/>
    <s v="N"/>
    <s v="AF"/>
    <s v="990"/>
    <s v="231115"/>
    <s v="ECC"/>
    <s v="EAP"/>
    <m/>
    <m/>
    <m/>
    <s v="BRU"/>
    <s v="JNB"/>
    <s v="JNB"/>
    <s v="N"/>
    <s v="52110"/>
    <m/>
    <m/>
    <s v="Failed"/>
    <m/>
    <x v="0"/>
    <m/>
    <m/>
    <m/>
    <s v="05703108560002"/>
    <m/>
    <m/>
    <m/>
    <m/>
    <n v="2"/>
    <n v="0.5"/>
    <b v="0"/>
    <b v="0"/>
    <b v="0"/>
    <b v="0"/>
    <b v="0"/>
    <s v="No"/>
    <s v="No"/>
  </r>
  <r>
    <d v="2023-11-13T00:00:00"/>
    <x v="24"/>
    <s v="BA"/>
    <s v="05703109131001"/>
    <m/>
    <s v="895.0"/>
    <s v="81"/>
    <s v="6.71"/>
    <s v="N"/>
    <s v="N"/>
    <s v="AF"/>
    <s v="688"/>
    <s v="231115"/>
    <s v="ECC"/>
    <s v="EAP"/>
    <m/>
    <m/>
    <m/>
    <s v="CDG"/>
    <s v="ATL"/>
    <s v="ATL"/>
    <s v="N"/>
    <s v="RFK50"/>
    <m/>
    <m/>
    <s v="Passed"/>
    <m/>
    <x v="5"/>
    <m/>
    <m/>
    <m/>
    <s v="05703109131001"/>
    <m/>
    <m/>
    <m/>
    <m/>
    <n v="2"/>
    <n v="1"/>
    <b v="0"/>
    <b v="0"/>
    <b v="0"/>
    <b v="0"/>
    <b v="0"/>
    <s v="No"/>
    <s v="No"/>
  </r>
  <r>
    <d v="2023-11-13T00:00:00"/>
    <x v="25"/>
    <s v="BA"/>
    <s v="05704696705001"/>
    <m/>
    <s v="99.0"/>
    <s v="1"/>
    <s v="1.12"/>
    <s v="Y"/>
    <s v="N"/>
    <s v="AF"/>
    <s v="566"/>
    <s v="231115"/>
    <s v="EAP"/>
    <s v="EAW"/>
    <m/>
    <m/>
    <m/>
    <s v="DFW"/>
    <s v="BEY"/>
    <s v="BEY"/>
    <s v="N"/>
    <s v="N3302"/>
    <m/>
    <m/>
    <s v="Passed"/>
    <m/>
    <x v="5"/>
    <m/>
    <m/>
    <m/>
    <s v="05704696705001"/>
    <m/>
    <m/>
    <m/>
    <m/>
    <n v="2"/>
    <n v="1"/>
    <b v="0"/>
    <b v="0"/>
    <b v="0"/>
    <b v="0"/>
    <b v="0"/>
    <s v="No"/>
    <s v="No"/>
  </r>
  <r>
    <d v="2023-11-13T00:00:00"/>
    <x v="26"/>
    <s v="BA"/>
    <s v="05705111013001"/>
    <m/>
    <s v="344.3"/>
    <s v="1"/>
    <s v="2.27"/>
    <s v="Y"/>
    <s v="N"/>
    <s v="AF"/>
    <s v="822"/>
    <s v="231117"/>
    <s v="HEA"/>
    <m/>
    <m/>
    <m/>
    <m/>
    <s v="MAD"/>
    <s v="SSG"/>
    <s v="SSG"/>
    <s v="N"/>
    <s v="HLC014"/>
    <m/>
    <m/>
    <s v="Failed"/>
    <m/>
    <x v="3"/>
    <m/>
    <m/>
    <m/>
    <s v="05705111013001"/>
    <m/>
    <m/>
    <m/>
    <m/>
    <n v="2"/>
    <n v="0.33333333333333331"/>
    <b v="0"/>
    <b v="0"/>
    <b v="0"/>
    <b v="0"/>
    <b v="0"/>
    <s v="No"/>
    <s v="No"/>
  </r>
  <r>
    <d v="2023-11-13T00:00:00"/>
    <x v="26"/>
    <s v="DA"/>
    <s v="05705111013002"/>
    <m/>
    <s v="344.3"/>
    <s v="1"/>
    <s v="2.27"/>
    <s v="Y"/>
    <s v="N"/>
    <s v="AF"/>
    <s v="822"/>
    <s v="231117"/>
    <s v="HEA"/>
    <m/>
    <m/>
    <m/>
    <m/>
    <s v="MAD"/>
    <s v="SSG"/>
    <s v="SSG"/>
    <s v="N"/>
    <s v="55310"/>
    <m/>
    <m/>
    <s v="Failed"/>
    <m/>
    <x v="3"/>
    <m/>
    <m/>
    <m/>
    <s v="05705111013002"/>
    <m/>
    <m/>
    <m/>
    <m/>
    <n v="2"/>
    <n v="0.33333333333333331"/>
    <b v="0"/>
    <b v="0"/>
    <b v="0"/>
    <b v="0"/>
    <b v="0"/>
    <s v="No"/>
    <s v="No"/>
  </r>
  <r>
    <d v="2023-11-13T00:00:00"/>
    <x v="26"/>
    <s v="FA"/>
    <s v="05705111013003"/>
    <m/>
    <s v="344.3"/>
    <s v="1"/>
    <s v="2.27"/>
    <s v="Y"/>
    <s v="N"/>
    <s v="AF"/>
    <s v="822"/>
    <s v="231117"/>
    <s v="HEA"/>
    <m/>
    <m/>
    <m/>
    <m/>
    <s v="MAD"/>
    <s v="SSG"/>
    <s v="SSG"/>
    <s v="N"/>
    <s v="62303"/>
    <m/>
    <m/>
    <s v="Failed"/>
    <m/>
    <x v="3"/>
    <m/>
    <m/>
    <m/>
    <s v="05705111013003"/>
    <m/>
    <m/>
    <m/>
    <m/>
    <n v="2"/>
    <n v="0.33333333333333331"/>
    <b v="0"/>
    <b v="0"/>
    <b v="0"/>
    <b v="0"/>
    <b v="0"/>
    <s v="No"/>
    <s v="No"/>
  </r>
  <r>
    <d v="2023-11-13T00:00:00"/>
    <x v="27"/>
    <s v="BA"/>
    <s v="05705164596001"/>
    <m/>
    <s v="125.5"/>
    <s v="1"/>
    <s v="1.29"/>
    <s v="Y"/>
    <s v="N"/>
    <s v="AF"/>
    <s v="566"/>
    <s v="231115"/>
    <s v="ECP"/>
    <s v="EAW"/>
    <m/>
    <m/>
    <m/>
    <s v="LHR"/>
    <s v="BEY"/>
    <s v="BEY"/>
    <s v="N"/>
    <s v="N2404"/>
    <m/>
    <m/>
    <s v="Passed"/>
    <m/>
    <x v="5"/>
    <m/>
    <m/>
    <m/>
    <s v="05705164596001"/>
    <m/>
    <m/>
    <m/>
    <m/>
    <n v="2"/>
    <n v="0.5"/>
    <b v="0"/>
    <b v="0"/>
    <b v="0"/>
    <b v="0"/>
    <b v="0"/>
    <s v="No"/>
    <s v="No"/>
  </r>
  <r>
    <d v="2023-11-13T00:00:00"/>
    <x v="27"/>
    <s v="DA"/>
    <s v="05705164596002"/>
    <m/>
    <s v="125.5"/>
    <s v="1"/>
    <s v="1.30"/>
    <s v="Y"/>
    <s v="N"/>
    <s v="AF"/>
    <s v="566"/>
    <s v="231115"/>
    <s v="ECP"/>
    <s v="EAW"/>
    <m/>
    <m/>
    <m/>
    <s v="LHR"/>
    <s v="BEY"/>
    <s v="BEY"/>
    <s v="N"/>
    <s v="N4403"/>
    <m/>
    <m/>
    <s v="Passed"/>
    <m/>
    <x v="5"/>
    <m/>
    <m/>
    <m/>
    <s v="only 1 SU present"/>
    <m/>
    <m/>
    <m/>
    <m/>
    <n v="2"/>
    <n v="0.5"/>
    <b v="0"/>
    <b v="0"/>
    <b v="0"/>
    <b v="0"/>
    <b v="0"/>
    <s v="No"/>
    <s v="No"/>
  </r>
  <r>
    <d v="2023-11-13T00:00:00"/>
    <x v="28"/>
    <s v="BA"/>
    <s v="05705178563001"/>
    <s v="PMC64466AF"/>
    <s v="471.0"/>
    <s v="1"/>
    <s v="1.44"/>
    <s v="Y"/>
    <s v="N"/>
    <s v="AF"/>
    <s v="822"/>
    <s v="231117"/>
    <s v="HEA"/>
    <m/>
    <m/>
    <m/>
    <m/>
    <s v="ABZ"/>
    <s v="SSG"/>
    <s v="SSG"/>
    <s v="N"/>
    <s v="B2A-4929"/>
    <s v="ML"/>
    <m/>
    <s v="Passed"/>
    <m/>
    <x v="5"/>
    <m/>
    <m/>
    <m/>
    <s v="05705178563001"/>
    <m/>
    <m/>
    <m/>
    <m/>
    <n v="2"/>
    <n v="1"/>
    <b v="0"/>
    <b v="0"/>
    <b v="0"/>
    <b v="0"/>
    <b v="0"/>
    <s v="No"/>
    <s v="No"/>
  </r>
  <r>
    <d v="2023-11-13T00:00:00"/>
    <x v="29"/>
    <s v="BA"/>
    <s v="05705188190001"/>
    <m/>
    <s v="179.0"/>
    <s v="1"/>
    <s v="1.77"/>
    <s v="Y"/>
    <s v="N"/>
    <s v="AF"/>
    <s v="148"/>
    <s v="231119"/>
    <s v="ECP"/>
    <s v="HEA"/>
    <s v="EAP"/>
    <m/>
    <m/>
    <s v="ORD"/>
    <s v="LOS"/>
    <s v="LOS"/>
    <s v="N"/>
    <s v="58302"/>
    <m/>
    <m/>
    <s v="Passed"/>
    <m/>
    <x v="5"/>
    <m/>
    <m/>
    <m/>
    <s v="05705188190001"/>
    <m/>
    <m/>
    <m/>
    <m/>
    <n v="2"/>
    <n v="1"/>
    <b v="0"/>
    <b v="0"/>
    <b v="0"/>
    <b v="0"/>
    <b v="0"/>
    <s v="No"/>
    <s v="Yes"/>
  </r>
  <r>
    <d v="2023-11-13T00:00:00"/>
    <x v="30"/>
    <s v="BA"/>
    <s v="05705188680001"/>
    <m/>
    <s v="300.5"/>
    <s v="1"/>
    <s v="2.00"/>
    <s v="Y"/>
    <s v="N"/>
    <s v="AF"/>
    <s v="178"/>
    <s v="231116"/>
    <s v="COL"/>
    <s v="ECC"/>
    <s v="HEA"/>
    <m/>
    <m/>
    <s v="ORD"/>
    <s v="MEX"/>
    <s v="MEX"/>
    <s v="N"/>
    <s v="F3210"/>
    <m/>
    <m/>
    <s v="Passed"/>
    <m/>
    <x v="5"/>
    <m/>
    <m/>
    <m/>
    <s v="05705188680001"/>
    <m/>
    <m/>
    <m/>
    <m/>
    <n v="2"/>
    <n v="0.5"/>
    <b v="0"/>
    <b v="0"/>
    <b v="0"/>
    <b v="0"/>
    <b v="0"/>
    <s v="No"/>
    <s v="Yes"/>
  </r>
  <r>
    <d v="2023-11-13T00:00:00"/>
    <x v="30"/>
    <s v="DA"/>
    <s v="05705188680002"/>
    <m/>
    <s v="300.5"/>
    <s v="1"/>
    <s v="2.01"/>
    <s v="Y"/>
    <s v="N"/>
    <s v="AF"/>
    <s v="178"/>
    <s v="231116"/>
    <s v="COL"/>
    <s v="ECC"/>
    <s v="HEA"/>
    <m/>
    <m/>
    <s v="ORD"/>
    <s v="MEX"/>
    <s v="MEX"/>
    <s v="N"/>
    <s v="F3209"/>
    <m/>
    <m/>
    <s v="Passed"/>
    <m/>
    <x v="5"/>
    <m/>
    <m/>
    <m/>
    <s v="05705188680002"/>
    <m/>
    <m/>
    <m/>
    <m/>
    <n v="2"/>
    <n v="0.5"/>
    <b v="0"/>
    <b v="0"/>
    <b v="0"/>
    <b v="0"/>
    <b v="0"/>
    <s v="No"/>
    <s v="Yes"/>
  </r>
  <r>
    <d v="2023-11-13T00:00:00"/>
    <x v="31"/>
    <s v="BA"/>
    <s v="05705191723001"/>
    <m/>
    <s v="206.9"/>
    <s v="1"/>
    <s v="1.43"/>
    <s v="Y"/>
    <s v="N"/>
    <s v="AF"/>
    <s v="092"/>
    <s v="231116"/>
    <s v="HEA"/>
    <m/>
    <m/>
    <m/>
    <m/>
    <s v="BCN"/>
    <s v="MIA"/>
    <s v="MIA"/>
    <s v="N"/>
    <s v="LO100"/>
    <m/>
    <m/>
    <s v="Failed"/>
    <m/>
    <x v="0"/>
    <m/>
    <m/>
    <m/>
    <s v="05705191723001"/>
    <m/>
    <m/>
    <m/>
    <m/>
    <n v="2"/>
    <n v="0.25"/>
    <b v="0"/>
    <b v="0"/>
    <b v="0"/>
    <b v="0"/>
    <b v="0"/>
    <s v="No"/>
    <s v="No"/>
  </r>
  <r>
    <d v="2023-11-13T00:00:00"/>
    <x v="31"/>
    <s v="DA"/>
    <s v="05705191723002"/>
    <m/>
    <s v="206.9"/>
    <s v="1"/>
    <s v="1.43"/>
    <s v="Y"/>
    <s v="N"/>
    <s v="AF"/>
    <s v="092"/>
    <s v="231116"/>
    <s v="HEA"/>
    <m/>
    <m/>
    <m/>
    <m/>
    <s v="BCN"/>
    <s v="MIA"/>
    <s v="MIA"/>
    <s v="N"/>
    <s v="LO100"/>
    <m/>
    <m/>
    <s v="Failed"/>
    <m/>
    <x v="0"/>
    <m/>
    <m/>
    <m/>
    <s v="05705191723002"/>
    <m/>
    <m/>
    <m/>
    <m/>
    <n v="2"/>
    <n v="0.25"/>
    <b v="0"/>
    <b v="0"/>
    <b v="0"/>
    <b v="0"/>
    <b v="0"/>
    <s v="No"/>
    <s v="No"/>
  </r>
  <r>
    <d v="2023-11-13T00:00:00"/>
    <x v="31"/>
    <s v="FA"/>
    <s v="05705191723003"/>
    <m/>
    <s v="206.9"/>
    <s v="1"/>
    <s v="1.43"/>
    <s v="Y"/>
    <s v="N"/>
    <s v="AF"/>
    <s v="092"/>
    <s v="231116"/>
    <s v="HEA"/>
    <m/>
    <m/>
    <m/>
    <m/>
    <s v="BCN"/>
    <s v="MIA"/>
    <s v="MIA"/>
    <s v="N"/>
    <s v="LO100"/>
    <m/>
    <m/>
    <s v="Failed"/>
    <m/>
    <x v="0"/>
    <m/>
    <m/>
    <m/>
    <s v="05705191723003"/>
    <m/>
    <m/>
    <m/>
    <m/>
    <n v="2"/>
    <n v="0.25"/>
    <b v="0"/>
    <b v="0"/>
    <b v="0"/>
    <b v="0"/>
    <b v="0"/>
    <s v="No"/>
    <s v="No"/>
  </r>
  <r>
    <d v="2023-11-13T00:00:00"/>
    <x v="31"/>
    <s v="HA"/>
    <s v="05705191723004"/>
    <m/>
    <s v="206.9"/>
    <s v="1"/>
    <s v="1.43"/>
    <s v="Y"/>
    <s v="N"/>
    <s v="AF"/>
    <s v="092"/>
    <s v="231116"/>
    <s v="HEA"/>
    <m/>
    <m/>
    <m/>
    <m/>
    <s v="BCN"/>
    <s v="MIA"/>
    <s v="MIA"/>
    <s v="N"/>
    <s v="LO100"/>
    <m/>
    <m/>
    <s v="Failed"/>
    <m/>
    <x v="0"/>
    <m/>
    <m/>
    <m/>
    <s v="05705191723004"/>
    <m/>
    <m/>
    <m/>
    <m/>
    <n v="2"/>
    <n v="0.25"/>
    <b v="0"/>
    <b v="0"/>
    <b v="0"/>
    <b v="0"/>
    <b v="0"/>
    <s v="No"/>
    <s v="No"/>
  </r>
  <r>
    <d v="2023-11-13T00:00:00"/>
    <x v="32"/>
    <s v="BA"/>
    <s v="05705196306001"/>
    <m/>
    <s v="215.0"/>
    <s v="1"/>
    <s v=".57"/>
    <s v="Y"/>
    <s v="N"/>
    <s v="AF"/>
    <s v="6762"/>
    <s v="231115"/>
    <s v="HEA"/>
    <s v="EAW"/>
    <m/>
    <m/>
    <m/>
    <s v="ORD"/>
    <s v="IST"/>
    <s v="IST"/>
    <s v="N"/>
    <s v="Y6303"/>
    <m/>
    <m/>
    <s v="Failed"/>
    <m/>
    <x v="6"/>
    <m/>
    <m/>
    <m/>
    <s v="05705196306001"/>
    <m/>
    <m/>
    <m/>
    <m/>
    <n v="2"/>
    <n v="1"/>
    <b v="0"/>
    <b v="0"/>
    <b v="0"/>
    <b v="0"/>
    <b v="0"/>
    <s v="No"/>
    <s v="Yes"/>
  </r>
  <r>
    <d v="2023-11-13T00:00:00"/>
    <x v="33"/>
    <s v="BA"/>
    <s v="05705197570001"/>
    <m/>
    <s v="460.0"/>
    <s v="1"/>
    <s v="1.98"/>
    <s v="Y"/>
    <s v="N"/>
    <s v="DL"/>
    <s v="083"/>
    <s v="231115"/>
    <s v="HEA"/>
    <s v="EAP"/>
    <m/>
    <m/>
    <m/>
    <s v="FRA"/>
    <s v="ATL"/>
    <s v="ATL"/>
    <s v="N"/>
    <s v="XLC00"/>
    <m/>
    <m/>
    <s v="Failed"/>
    <m/>
    <x v="0"/>
    <m/>
    <m/>
    <m/>
    <s v="05705197570001"/>
    <m/>
    <m/>
    <m/>
    <m/>
    <n v="2"/>
    <n v="1"/>
    <b v="0"/>
    <b v="0"/>
    <b v="0"/>
    <b v="0"/>
    <b v="0"/>
    <s v="No"/>
    <s v="No"/>
  </r>
  <r>
    <d v="2023-11-13T00:00:00"/>
    <x v="34"/>
    <s v="BA"/>
    <s v="05705198406001"/>
    <m/>
    <s v="259.7"/>
    <s v="1"/>
    <s v="1.15"/>
    <s v="Y"/>
    <s v="N"/>
    <s v="AF"/>
    <s v="374"/>
    <s v="231116"/>
    <s v="HEA"/>
    <m/>
    <m/>
    <m/>
    <m/>
    <s v="BCN"/>
    <s v="YVR"/>
    <s v="YVR"/>
    <s v="N"/>
    <s v="52406"/>
    <m/>
    <m/>
    <s v="Failed"/>
    <m/>
    <x v="3"/>
    <m/>
    <m/>
    <m/>
    <s v="05705198406001"/>
    <m/>
    <m/>
    <m/>
    <m/>
    <n v="2"/>
    <n v="0.5"/>
    <b v="0"/>
    <b v="0"/>
    <b v="0"/>
    <b v="0"/>
    <b v="0"/>
    <s v="No"/>
    <s v="No"/>
  </r>
  <r>
    <d v="2023-11-13T00:00:00"/>
    <x v="34"/>
    <s v="FA"/>
    <s v="05705198406003"/>
    <m/>
    <s v="259.7"/>
    <s v="1"/>
    <s v="1.15"/>
    <s v="Y"/>
    <s v="N"/>
    <s v="AF"/>
    <s v="374"/>
    <s v="231116"/>
    <s v="HEA"/>
    <m/>
    <m/>
    <m/>
    <m/>
    <s v="BCN"/>
    <s v="YVR"/>
    <s v="YVR"/>
    <s v="N"/>
    <s v="R5101"/>
    <m/>
    <m/>
    <s v="Failed"/>
    <m/>
    <x v="3"/>
    <m/>
    <m/>
    <m/>
    <s v="05705198406002"/>
    <m/>
    <m/>
    <m/>
    <m/>
    <n v="2"/>
    <n v="0.5"/>
    <b v="0"/>
    <b v="0"/>
    <b v="0"/>
    <b v="0"/>
    <b v="0"/>
    <s v="No"/>
    <s v="No"/>
  </r>
  <r>
    <d v="2023-11-13T00:00:00"/>
    <x v="35"/>
    <s v="BA"/>
    <s v="05705199832001"/>
    <m/>
    <s v="269.0"/>
    <s v="1"/>
    <s v="1.23"/>
    <s v="Y"/>
    <s v="N"/>
    <s v="AF"/>
    <s v="890"/>
    <s v="231117"/>
    <s v="ECC"/>
    <s v="HEA"/>
    <m/>
    <m/>
    <m/>
    <s v="MAD"/>
    <s v="JNB"/>
    <s v="CPT"/>
    <s v="N"/>
    <s v="RFK43"/>
    <m/>
    <m/>
    <s v="Failed"/>
    <m/>
    <x v="0"/>
    <m/>
    <m/>
    <m/>
    <s v="05705199832001"/>
    <m/>
    <m/>
    <m/>
    <m/>
    <n v="2"/>
    <n v="6.6666666666666666E-2"/>
    <b v="0"/>
    <b v="0"/>
    <b v="0"/>
    <b v="0"/>
    <b v="0"/>
    <s v="No"/>
    <s v="No"/>
  </r>
  <r>
    <d v="2023-11-13T00:00:00"/>
    <x v="35"/>
    <s v="DA"/>
    <s v="05705199832002"/>
    <m/>
    <s v="268.1"/>
    <s v="1"/>
    <s v="1.23"/>
    <s v="Y"/>
    <s v="N"/>
    <s v="AF"/>
    <s v="890"/>
    <s v="231117"/>
    <s v="ECC"/>
    <s v="HEA"/>
    <m/>
    <m/>
    <m/>
    <s v="MAD"/>
    <s v="JNB"/>
    <s v="CPT"/>
    <s v="N"/>
    <s v="RFK64"/>
    <m/>
    <m/>
    <s v="Failed"/>
    <m/>
    <x v="0"/>
    <m/>
    <m/>
    <m/>
    <s v="05705199832002"/>
    <m/>
    <m/>
    <m/>
    <m/>
    <n v="2"/>
    <n v="6.6666666666666666E-2"/>
    <b v="0"/>
    <b v="0"/>
    <b v="0"/>
    <b v="0"/>
    <b v="0"/>
    <s v="No"/>
    <s v="No"/>
  </r>
  <r>
    <d v="2023-11-13T00:00:00"/>
    <x v="35"/>
    <s v="FA"/>
    <s v="05705199832003"/>
    <m/>
    <s v="268.1"/>
    <s v="1"/>
    <s v="1.23"/>
    <s v="Y"/>
    <s v="N"/>
    <s v="AF"/>
    <s v="890"/>
    <s v="231117"/>
    <s v="ECC"/>
    <s v="HEA"/>
    <m/>
    <m/>
    <m/>
    <s v="MAD"/>
    <s v="JNB"/>
    <s v="CPT"/>
    <s v="N"/>
    <s v="RFK00"/>
    <m/>
    <m/>
    <s v="Failed"/>
    <m/>
    <x v="0"/>
    <m/>
    <m/>
    <m/>
    <s v="05705199832003"/>
    <m/>
    <m/>
    <m/>
    <m/>
    <n v="2"/>
    <n v="6.6666666666666666E-2"/>
    <b v="0"/>
    <b v="0"/>
    <b v="0"/>
    <b v="0"/>
    <b v="0"/>
    <s v="No"/>
    <s v="No"/>
  </r>
  <r>
    <d v="2023-11-13T00:00:00"/>
    <x v="35"/>
    <s v="HA"/>
    <s v="05705199832004"/>
    <m/>
    <s v="268.1"/>
    <s v="1"/>
    <s v="1.23"/>
    <s v="Y"/>
    <s v="N"/>
    <s v="AF"/>
    <s v="890"/>
    <s v="231117"/>
    <s v="ECC"/>
    <s v="HEA"/>
    <m/>
    <m/>
    <m/>
    <s v="MAD"/>
    <s v="JNB"/>
    <s v="CPT"/>
    <s v="N"/>
    <s v="RFK63"/>
    <m/>
    <m/>
    <s v="Failed"/>
    <m/>
    <x v="0"/>
    <m/>
    <m/>
    <m/>
    <s v="05705199832004"/>
    <m/>
    <m/>
    <m/>
    <m/>
    <n v="2"/>
    <n v="6.6666666666666666E-2"/>
    <b v="0"/>
    <b v="0"/>
    <b v="0"/>
    <b v="0"/>
    <b v="0"/>
    <s v="No"/>
    <s v="No"/>
  </r>
  <r>
    <d v="2023-11-13T00:00:00"/>
    <x v="35"/>
    <s v="JA"/>
    <s v="05705199832005"/>
    <m/>
    <s v="268.1"/>
    <s v="1"/>
    <s v="1.23"/>
    <s v="Y"/>
    <s v="N"/>
    <s v="AF"/>
    <s v="890"/>
    <s v="231117"/>
    <s v="ECC"/>
    <s v="HEA"/>
    <m/>
    <m/>
    <m/>
    <s v="MAD"/>
    <s v="JNB"/>
    <s v="CPT"/>
    <s v="N"/>
    <s v="RFK63"/>
    <m/>
    <m/>
    <s v="Failed"/>
    <m/>
    <x v="0"/>
    <m/>
    <m/>
    <m/>
    <s v="05705199832005"/>
    <m/>
    <m/>
    <m/>
    <m/>
    <n v="2"/>
    <n v="6.6666666666666666E-2"/>
    <b v="0"/>
    <b v="0"/>
    <b v="0"/>
    <b v="0"/>
    <b v="0"/>
    <s v="No"/>
    <s v="No"/>
  </r>
  <r>
    <d v="2023-11-13T00:00:00"/>
    <x v="35"/>
    <s v="LA"/>
    <s v="05705199832006"/>
    <m/>
    <s v="268.1"/>
    <s v="1"/>
    <s v="1.23"/>
    <s v="Y"/>
    <s v="N"/>
    <s v="AF"/>
    <s v="890"/>
    <s v="231117"/>
    <s v="ECC"/>
    <s v="HEA"/>
    <m/>
    <m/>
    <m/>
    <s v="MAD"/>
    <s v="JNB"/>
    <s v="CPT"/>
    <s v="N"/>
    <s v="RFK00"/>
    <m/>
    <m/>
    <s v="Failed"/>
    <m/>
    <x v="0"/>
    <m/>
    <m/>
    <m/>
    <s v="05705199832006"/>
    <m/>
    <m/>
    <m/>
    <m/>
    <n v="2"/>
    <n v="6.6666666666666666E-2"/>
    <b v="0"/>
    <b v="0"/>
    <b v="0"/>
    <b v="0"/>
    <b v="0"/>
    <s v="No"/>
    <s v="No"/>
  </r>
  <r>
    <d v="2023-11-13T00:00:00"/>
    <x v="35"/>
    <m/>
    <s v="05705199832007"/>
    <m/>
    <s v="268.1"/>
    <s v="1"/>
    <s v="1.23"/>
    <s v="Y"/>
    <s v="N"/>
    <s v="AF"/>
    <s v="890"/>
    <s v="231117"/>
    <s v="ECC"/>
    <s v="HEA"/>
    <m/>
    <m/>
    <m/>
    <s v="MAD"/>
    <s v="JNB"/>
    <s v="CPT"/>
    <s v="N"/>
    <s v="RFK64"/>
    <m/>
    <m/>
    <s v="Failed"/>
    <m/>
    <x v="0"/>
    <m/>
    <m/>
    <m/>
    <s v="05705199832007"/>
    <m/>
    <m/>
    <m/>
    <m/>
    <n v="2"/>
    <n v="6.6666666666666666E-2"/>
    <b v="0"/>
    <b v="0"/>
    <b v="0"/>
    <b v="0"/>
    <b v="0"/>
    <s v="No"/>
    <s v="No"/>
  </r>
  <r>
    <d v="2023-11-13T00:00:00"/>
    <x v="35"/>
    <s v="PA"/>
    <s v="05705199832008"/>
    <m/>
    <s v="268.1"/>
    <s v="1"/>
    <s v="1.23"/>
    <s v="Y"/>
    <s v="N"/>
    <s v="AF"/>
    <s v="890"/>
    <s v="231117"/>
    <s v="ECC"/>
    <s v="HEA"/>
    <m/>
    <m/>
    <m/>
    <s v="MAD"/>
    <s v="JNB"/>
    <s v="CPT"/>
    <s v="N"/>
    <s v="RFK63"/>
    <m/>
    <m/>
    <s v="Failed"/>
    <m/>
    <x v="0"/>
    <m/>
    <m/>
    <m/>
    <s v="05705199832008"/>
    <m/>
    <m/>
    <m/>
    <m/>
    <n v="2"/>
    <n v="6.6666666666666666E-2"/>
    <b v="0"/>
    <b v="0"/>
    <b v="0"/>
    <b v="0"/>
    <b v="0"/>
    <s v="No"/>
    <s v="No"/>
  </r>
  <r>
    <d v="2023-11-13T00:00:00"/>
    <x v="35"/>
    <s v="RA"/>
    <s v="05705199832009"/>
    <m/>
    <s v="268.1"/>
    <s v="1"/>
    <s v="1.23"/>
    <s v="Y"/>
    <s v="N"/>
    <s v="AF"/>
    <s v="890"/>
    <s v="231117"/>
    <s v="ECC"/>
    <s v="HEA"/>
    <m/>
    <m/>
    <m/>
    <s v="MAD"/>
    <s v="JNB"/>
    <s v="CPT"/>
    <s v="N"/>
    <s v="RFK63"/>
    <m/>
    <m/>
    <s v="Failed"/>
    <m/>
    <x v="0"/>
    <m/>
    <m/>
    <m/>
    <s v="05705199832009"/>
    <m/>
    <m/>
    <m/>
    <m/>
    <n v="2"/>
    <n v="6.6666666666666666E-2"/>
    <b v="0"/>
    <b v="0"/>
    <b v="0"/>
    <b v="0"/>
    <b v="0"/>
    <s v="No"/>
    <s v="No"/>
  </r>
  <r>
    <d v="2023-11-13T00:00:00"/>
    <x v="35"/>
    <s v="TA"/>
    <s v="05705199832010"/>
    <m/>
    <s v="268.1"/>
    <s v="1"/>
    <s v="1.23"/>
    <s v="Y"/>
    <s v="N"/>
    <s v="AF"/>
    <s v="890"/>
    <s v="231117"/>
    <s v="ECC"/>
    <s v="HEA"/>
    <m/>
    <m/>
    <m/>
    <s v="MAD"/>
    <s v="JNB"/>
    <s v="CPT"/>
    <s v="N"/>
    <s v="RFK64"/>
    <m/>
    <m/>
    <s v="Failed"/>
    <m/>
    <x v="0"/>
    <m/>
    <m/>
    <m/>
    <s v="05705199832010"/>
    <m/>
    <m/>
    <m/>
    <m/>
    <n v="2"/>
    <n v="6.6666666666666666E-2"/>
    <b v="0"/>
    <b v="0"/>
    <b v="0"/>
    <b v="0"/>
    <b v="0"/>
    <s v="No"/>
    <s v="No"/>
  </r>
  <r>
    <d v="2023-11-13T00:00:00"/>
    <x v="35"/>
    <s v="VA"/>
    <s v="05705199832011"/>
    <m/>
    <s v="268.1"/>
    <s v="1"/>
    <s v="1.23"/>
    <s v="Y"/>
    <s v="N"/>
    <s v="AF"/>
    <s v="890"/>
    <s v="231117"/>
    <s v="ECC"/>
    <s v="HEA"/>
    <m/>
    <m/>
    <m/>
    <s v="MAD"/>
    <s v="JNB"/>
    <s v="CPT"/>
    <s v="N"/>
    <s v="RFK64"/>
    <m/>
    <m/>
    <s v="Failed"/>
    <m/>
    <x v="0"/>
    <m/>
    <m/>
    <m/>
    <s v="05705199832011"/>
    <m/>
    <m/>
    <m/>
    <m/>
    <n v="2"/>
    <n v="6.6666666666666666E-2"/>
    <b v="0"/>
    <b v="0"/>
    <b v="0"/>
    <b v="0"/>
    <b v="0"/>
    <s v="No"/>
    <s v="No"/>
  </r>
  <r>
    <d v="2023-11-13T00:00:00"/>
    <x v="35"/>
    <s v="XA"/>
    <s v="05705199832012"/>
    <m/>
    <s v="269.0"/>
    <s v="1"/>
    <s v="1.23"/>
    <s v="Y"/>
    <s v="N"/>
    <s v="AF"/>
    <s v="890"/>
    <s v="231117"/>
    <s v="ECC"/>
    <s v="HEA"/>
    <m/>
    <m/>
    <m/>
    <s v="MAD"/>
    <s v="JNB"/>
    <s v="CPT"/>
    <s v="N"/>
    <s v="RFK43"/>
    <m/>
    <m/>
    <s v="Failed"/>
    <m/>
    <x v="0"/>
    <m/>
    <m/>
    <m/>
    <s v="05705199832012"/>
    <m/>
    <m/>
    <m/>
    <m/>
    <n v="2"/>
    <n v="6.6666666666666666E-2"/>
    <b v="0"/>
    <b v="0"/>
    <b v="0"/>
    <b v="0"/>
    <b v="0"/>
    <s v="No"/>
    <s v="No"/>
  </r>
  <r>
    <d v="2023-11-13T00:00:00"/>
    <x v="35"/>
    <s v="ZA"/>
    <s v="05705199832013"/>
    <m/>
    <s v="269.0"/>
    <s v="1"/>
    <s v="1.23"/>
    <s v="Y"/>
    <s v="N"/>
    <s v="AF"/>
    <s v="890"/>
    <s v="231117"/>
    <s v="ECC"/>
    <s v="HEA"/>
    <m/>
    <m/>
    <m/>
    <s v="MAD"/>
    <s v="JNB"/>
    <s v="CPT"/>
    <s v="N"/>
    <s v="RFK43"/>
    <m/>
    <m/>
    <s v="Failed"/>
    <m/>
    <x v="0"/>
    <m/>
    <m/>
    <m/>
    <s v="05705199832013"/>
    <m/>
    <m/>
    <m/>
    <m/>
    <n v="2"/>
    <n v="6.6666666666666666E-2"/>
    <b v="0"/>
    <b v="0"/>
    <b v="0"/>
    <b v="0"/>
    <b v="0"/>
    <s v="No"/>
    <s v="No"/>
  </r>
  <r>
    <d v="2023-11-13T00:00:00"/>
    <x v="35"/>
    <s v="AB"/>
    <s v="05705199832014"/>
    <m/>
    <s v="269.0"/>
    <s v="1"/>
    <s v="1.23"/>
    <s v="Y"/>
    <s v="N"/>
    <s v="AF"/>
    <s v="890"/>
    <s v="231117"/>
    <s v="ECC"/>
    <s v="HEA"/>
    <m/>
    <m/>
    <m/>
    <s v="MAD"/>
    <s v="JNB"/>
    <s v="CPT"/>
    <s v="N"/>
    <s v="RFK43"/>
    <m/>
    <m/>
    <s v="Failed"/>
    <m/>
    <x v="0"/>
    <m/>
    <m/>
    <m/>
    <s v="05705199832014"/>
    <m/>
    <m/>
    <m/>
    <m/>
    <n v="2"/>
    <n v="6.6666666666666666E-2"/>
    <b v="0"/>
    <b v="0"/>
    <b v="0"/>
    <b v="0"/>
    <b v="0"/>
    <s v="No"/>
    <s v="No"/>
  </r>
  <r>
    <d v="2023-11-13T00:00:00"/>
    <x v="35"/>
    <s v="CB"/>
    <s v="05705199832015"/>
    <m/>
    <s v="269.0"/>
    <s v="1"/>
    <s v="1.23"/>
    <s v="Y"/>
    <s v="N"/>
    <s v="AF"/>
    <s v="890"/>
    <s v="231117"/>
    <s v="ECC"/>
    <s v="HEA"/>
    <m/>
    <m/>
    <m/>
    <s v="MAD"/>
    <s v="JNB"/>
    <s v="CPT"/>
    <s v="N"/>
    <s v="RFK43"/>
    <m/>
    <m/>
    <s v="Failed"/>
    <m/>
    <x v="0"/>
    <m/>
    <m/>
    <m/>
    <s v="05705199832015"/>
    <m/>
    <m/>
    <m/>
    <m/>
    <n v="2"/>
    <n v="6.6666666666666666E-2"/>
    <b v="0"/>
    <b v="0"/>
    <b v="0"/>
    <b v="0"/>
    <b v="0"/>
    <s v="No"/>
    <s v="No"/>
  </r>
  <r>
    <d v="2023-11-13T00:00:00"/>
    <x v="36"/>
    <s v="BA"/>
    <s v="05705200296001"/>
    <m/>
    <s v="350.0"/>
    <s v="1"/>
    <s v=".29"/>
    <s v="Y"/>
    <s v="N"/>
    <s v="DL"/>
    <s v="083"/>
    <s v="231115"/>
    <s v="ECC"/>
    <s v="HEA"/>
    <m/>
    <m/>
    <m/>
    <s v="MAD"/>
    <s v="ATL"/>
    <s v="ATL"/>
    <s v="N"/>
    <s v="61304"/>
    <m/>
    <m/>
    <s v="Failed"/>
    <m/>
    <x v="0"/>
    <m/>
    <m/>
    <m/>
    <s v="05705200296001"/>
    <m/>
    <m/>
    <m/>
    <m/>
    <n v="2"/>
    <n v="1"/>
    <b v="0"/>
    <b v="0"/>
    <b v="0"/>
    <b v="0"/>
    <b v="0"/>
    <s v="No"/>
    <s v="No"/>
  </r>
  <r>
    <d v="2023-11-13T00:00:00"/>
    <x v="37"/>
    <s v="BA"/>
    <s v="05705200996001"/>
    <m/>
    <s v="320.0"/>
    <s v="1"/>
    <s v="4.32"/>
    <s v="Y"/>
    <s v="N"/>
    <s v="AF"/>
    <s v="374"/>
    <s v="231116"/>
    <s v="HEA"/>
    <m/>
    <m/>
    <m/>
    <m/>
    <s v="AMS"/>
    <s v="YVR"/>
    <s v="YVR"/>
    <s v="N"/>
    <s v="LLC00"/>
    <m/>
    <m/>
    <s v="Passed"/>
    <m/>
    <x v="5"/>
    <m/>
    <m/>
    <m/>
    <s v="05705200996003"/>
    <m/>
    <m/>
    <m/>
    <m/>
    <n v="2"/>
    <n v="1"/>
    <b v="0"/>
    <b v="0"/>
    <b v="0"/>
    <b v="0"/>
    <b v="0"/>
    <s v="No"/>
    <s v="No"/>
  </r>
  <r>
    <d v="2023-11-13T00:00:00"/>
    <x v="38"/>
    <s v="BA"/>
    <s v="05705202326001"/>
    <m/>
    <s v="118.5"/>
    <s v="1"/>
    <s v=".39"/>
    <s v="Y"/>
    <s v="N"/>
    <s v="AF"/>
    <s v="342"/>
    <s v="231115"/>
    <s v="ECC"/>
    <s v="EAW"/>
    <m/>
    <m/>
    <m/>
    <s v="HEL"/>
    <s v="YUL"/>
    <s v="YUL"/>
    <s v="N"/>
    <s v="HLC010"/>
    <m/>
    <m/>
    <s v="Failed"/>
    <m/>
    <x v="0"/>
    <m/>
    <m/>
    <m/>
    <s v="05705202326001"/>
    <m/>
    <m/>
    <m/>
    <m/>
    <n v="2"/>
    <n v="0.5"/>
    <b v="0"/>
    <b v="0"/>
    <b v="0"/>
    <b v="0"/>
    <b v="0"/>
    <s v="No"/>
    <s v="No"/>
  </r>
  <r>
    <d v="2023-11-13T00:00:00"/>
    <x v="38"/>
    <s v="DA"/>
    <s v="05705202326002"/>
    <m/>
    <s v="118.5"/>
    <s v="1"/>
    <s v=".39"/>
    <s v="Y"/>
    <s v="N"/>
    <s v="AF"/>
    <s v="342"/>
    <s v="231115"/>
    <s v="ECC"/>
    <s v="EAW"/>
    <m/>
    <m/>
    <m/>
    <s v="HEL"/>
    <s v="YUL"/>
    <s v="YUL"/>
    <s v="N"/>
    <s v="P6401"/>
    <m/>
    <m/>
    <s v="Failed"/>
    <m/>
    <x v="0"/>
    <m/>
    <m/>
    <m/>
    <s v="05705202326002"/>
    <m/>
    <m/>
    <m/>
    <m/>
    <n v="2"/>
    <n v="0.5"/>
    <b v="0"/>
    <b v="0"/>
    <b v="0"/>
    <b v="0"/>
    <b v="0"/>
    <s v="No"/>
    <s v="No"/>
  </r>
  <r>
    <d v="2023-11-13T00:00:00"/>
    <x v="39"/>
    <s v="BA"/>
    <s v="05705205642001"/>
    <m/>
    <s v="252.0"/>
    <s v="1"/>
    <s v=".43"/>
    <s v="Y"/>
    <s v="N"/>
    <s v="AF"/>
    <s v="092"/>
    <s v="231116"/>
    <s v="ECC"/>
    <s v="HEA"/>
    <m/>
    <m/>
    <m/>
    <s v="CGN"/>
    <s v="MIA"/>
    <s v="MIA"/>
    <s v="N"/>
    <s v="N5101"/>
    <m/>
    <m/>
    <s v="Failed"/>
    <m/>
    <x v="0"/>
    <m/>
    <m/>
    <m/>
    <s v="05705205642001"/>
    <m/>
    <m/>
    <m/>
    <m/>
    <n v="2"/>
    <n v="0.25"/>
    <b v="0"/>
    <b v="0"/>
    <b v="0"/>
    <b v="0"/>
    <b v="0"/>
    <s v="No"/>
    <s v="No"/>
  </r>
  <r>
    <d v="2023-11-13T00:00:00"/>
    <x v="39"/>
    <s v="DA"/>
    <s v="05705205642002"/>
    <m/>
    <s v="252.0"/>
    <s v="1"/>
    <s v="1.41"/>
    <s v="Y"/>
    <s v="N"/>
    <s v="AF"/>
    <s v="092"/>
    <s v="231116"/>
    <s v="ECC"/>
    <s v="HEA"/>
    <m/>
    <m/>
    <m/>
    <s v="CGN"/>
    <s v="MIA"/>
    <s v="MIA"/>
    <s v="N"/>
    <s v="71203"/>
    <m/>
    <m/>
    <s v="Failed"/>
    <m/>
    <x v="0"/>
    <m/>
    <m/>
    <m/>
    <s v="05705205642002"/>
    <m/>
    <m/>
    <m/>
    <m/>
    <n v="2"/>
    <n v="0.25"/>
    <b v="0"/>
    <b v="0"/>
    <b v="0"/>
    <b v="0"/>
    <b v="0"/>
    <s v="No"/>
    <s v="No"/>
  </r>
  <r>
    <d v="2023-11-13T00:00:00"/>
    <x v="39"/>
    <s v="FA"/>
    <s v="05705205642003"/>
    <m/>
    <s v="252.0"/>
    <s v="1"/>
    <s v=".43"/>
    <s v="Y"/>
    <s v="N"/>
    <s v="AF"/>
    <s v="092"/>
    <s v="231116"/>
    <s v="ECC"/>
    <s v="HEA"/>
    <m/>
    <m/>
    <m/>
    <s v="CGN"/>
    <s v="MIA"/>
    <s v="MIA"/>
    <s v="N"/>
    <s v="N6101"/>
    <m/>
    <m/>
    <s v="Failed"/>
    <m/>
    <x v="0"/>
    <m/>
    <m/>
    <m/>
    <s v="05705205642003"/>
    <m/>
    <m/>
    <m/>
    <m/>
    <n v="2"/>
    <n v="0.25"/>
    <b v="0"/>
    <b v="0"/>
    <b v="0"/>
    <b v="0"/>
    <b v="0"/>
    <s v="No"/>
    <s v="No"/>
  </r>
  <r>
    <d v="2023-11-13T00:00:00"/>
    <x v="39"/>
    <s v="HA"/>
    <s v="05705205642004"/>
    <m/>
    <s v="252.0"/>
    <s v="1"/>
    <s v=".43"/>
    <s v="Y"/>
    <s v="N"/>
    <s v="AF"/>
    <s v="092"/>
    <s v="231116"/>
    <s v="ECC"/>
    <s v="HEA"/>
    <m/>
    <m/>
    <m/>
    <s v="CGN"/>
    <s v="MIA"/>
    <s v="MIA"/>
    <s v="N"/>
    <s v="54302"/>
    <m/>
    <m/>
    <s v="Failed"/>
    <m/>
    <x v="0"/>
    <m/>
    <m/>
    <m/>
    <s v="05705205642004"/>
    <m/>
    <m/>
    <m/>
    <m/>
    <n v="2"/>
    <n v="0.25"/>
    <b v="0"/>
    <b v="0"/>
    <b v="0"/>
    <b v="0"/>
    <b v="0"/>
    <s v="No"/>
    <s v="No"/>
  </r>
  <r>
    <d v="2023-11-13T00:00:00"/>
    <x v="40"/>
    <s v="BA"/>
    <s v="05705205966001"/>
    <m/>
    <s v="100.0"/>
    <s v="1"/>
    <s v=".45"/>
    <s v="Y"/>
    <s v="N"/>
    <s v="AF"/>
    <s v="054"/>
    <s v="231115"/>
    <s v="ECC"/>
    <m/>
    <m/>
    <m/>
    <m/>
    <s v="MAD"/>
    <s v="IAD"/>
    <s v="IAD"/>
    <s v="N"/>
    <s v="HLC162"/>
    <m/>
    <m/>
    <s v="Failed"/>
    <m/>
    <x v="0"/>
    <m/>
    <m/>
    <m/>
    <s v="05705205966001"/>
    <m/>
    <m/>
    <m/>
    <m/>
    <n v="2"/>
    <n v="1"/>
    <b v="0"/>
    <b v="0"/>
    <b v="0"/>
    <b v="0"/>
    <b v="0"/>
    <s v="No"/>
    <s v="No"/>
  </r>
  <r>
    <d v="2023-11-13T00:00:00"/>
    <x v="41"/>
    <s v="BA"/>
    <s v="05705207075001"/>
    <m/>
    <s v="125.0"/>
    <s v="1"/>
    <s v="1.26"/>
    <s v="N"/>
    <s v="N"/>
    <s v="AF"/>
    <s v="092"/>
    <s v="231116"/>
    <m/>
    <m/>
    <m/>
    <m/>
    <m/>
    <s v="CDG"/>
    <s v="MIA"/>
    <s v="MIA"/>
    <s v="N"/>
    <s v="XLC30"/>
    <m/>
    <m/>
    <s v="Passed"/>
    <m/>
    <x v="6"/>
    <s v="Yes"/>
    <m/>
    <m/>
    <s v="05705207075001"/>
    <m/>
    <m/>
    <m/>
    <m/>
    <n v="2"/>
    <n v="1"/>
    <b v="0"/>
    <b v="0"/>
    <b v="0"/>
    <b v="0"/>
    <b v="0"/>
    <s v="No"/>
    <s v="No"/>
  </r>
  <r>
    <d v="2023-11-13T00:00:00"/>
    <x v="42"/>
    <s v="BA"/>
    <s v="05705207296001"/>
    <s v="PMC24596KL"/>
    <s v="151.0"/>
    <s v="1"/>
    <s v=".43"/>
    <s v="Y"/>
    <s v="N"/>
    <s v="AF"/>
    <s v="178"/>
    <s v="231115"/>
    <s v="HEA"/>
    <m/>
    <m/>
    <m/>
    <m/>
    <s v="SWK"/>
    <s v="MEX"/>
    <s v="MEX"/>
    <s v="N"/>
    <s v="B2A-5119"/>
    <s v="ML"/>
    <m/>
    <s v="Failed"/>
    <m/>
    <x v="3"/>
    <m/>
    <m/>
    <m/>
    <s v="05705207296001"/>
    <m/>
    <m/>
    <m/>
    <m/>
    <n v="2"/>
    <n v="0.5"/>
    <b v="0"/>
    <b v="0"/>
    <b v="0"/>
    <b v="0"/>
    <b v="0"/>
    <s v="No"/>
    <s v="No"/>
  </r>
  <r>
    <d v="2023-11-13T00:00:00"/>
    <x v="43"/>
    <s v="BA"/>
    <s v="05705207366001"/>
    <m/>
    <s v="12.0"/>
    <s v="1"/>
    <s v=".62"/>
    <s v="Y"/>
    <s v="N"/>
    <s v="AF"/>
    <s v="670"/>
    <s v="231115"/>
    <s v="ECP"/>
    <s v="XPH"/>
    <s v="EAP"/>
    <m/>
    <m/>
    <s v="TLS"/>
    <s v="JIB"/>
    <s v="JIB"/>
    <s v="N"/>
    <s v="55406"/>
    <m/>
    <m/>
    <s v="Passed"/>
    <m/>
    <x v="5"/>
    <m/>
    <m/>
    <m/>
    <s v="05705207366001"/>
    <m/>
    <m/>
    <m/>
    <m/>
    <n v="2"/>
    <n v="1"/>
    <b v="0"/>
    <b v="0"/>
    <b v="0"/>
    <b v="0"/>
    <b v="0"/>
    <s v="No"/>
    <s v="No"/>
  </r>
  <r>
    <d v="2023-11-13T00:00:00"/>
    <x v="44"/>
    <s v="DA"/>
    <s v="05705209536002"/>
    <m/>
    <s v="518.9"/>
    <s v="1"/>
    <s v="1.54"/>
    <s v="Y"/>
    <s v="N"/>
    <s v="AF"/>
    <s v="374"/>
    <s v="231115"/>
    <s v="ECC"/>
    <s v="HEA"/>
    <s v="EAP"/>
    <m/>
    <m/>
    <s v="HAM"/>
    <s v="YVR"/>
    <s v="YVR"/>
    <s v="N"/>
    <s v="73001"/>
    <m/>
    <m/>
    <s v="Failed"/>
    <m/>
    <x v="0"/>
    <m/>
    <m/>
    <m/>
    <s v="05705209536001"/>
    <m/>
    <m/>
    <m/>
    <m/>
    <n v="2"/>
    <n v="1"/>
    <b v="0"/>
    <b v="0"/>
    <b v="0"/>
    <b v="0"/>
    <b v="0"/>
    <s v="No"/>
    <s v="No"/>
  </r>
  <r>
    <d v="2023-11-13T00:00:00"/>
    <x v="45"/>
    <s v="BA"/>
    <s v="05705211651001"/>
    <s v="PMC33071KL"/>
    <s v="183.0"/>
    <s v="1"/>
    <s v=".38"/>
    <s v="Y"/>
    <s v="N"/>
    <s v="AF"/>
    <s v="178"/>
    <s v="231115"/>
    <s v="HEA"/>
    <m/>
    <m/>
    <m/>
    <m/>
    <s v="FRA"/>
    <s v="MEX"/>
    <s v="MEX"/>
    <s v="N"/>
    <s v="B1A-3230"/>
    <s v="ML"/>
    <m/>
    <s v="Failed"/>
    <m/>
    <x v="0"/>
    <m/>
    <m/>
    <m/>
    <s v="05705211651001"/>
    <m/>
    <m/>
    <m/>
    <m/>
    <n v="2"/>
    <n v="1"/>
    <b v="0"/>
    <b v="0"/>
    <b v="0"/>
    <b v="0"/>
    <b v="0"/>
    <s v="No"/>
    <s v="No"/>
  </r>
  <r>
    <d v="2023-11-13T00:00:00"/>
    <x v="46"/>
    <s v="BA"/>
    <s v="05705212001001"/>
    <m/>
    <s v="327.0"/>
    <s v="1"/>
    <s v=".96"/>
    <s v="Y"/>
    <s v="N"/>
    <s v="AF"/>
    <s v="374"/>
    <s v="231117"/>
    <s v="HEA"/>
    <m/>
    <m/>
    <m/>
    <m/>
    <s v="BCN"/>
    <s v="YVR"/>
    <s v="YVR"/>
    <s v="N"/>
    <s v="M4103"/>
    <m/>
    <m/>
    <s v="Passed"/>
    <m/>
    <x v="5"/>
    <m/>
    <m/>
    <m/>
    <s v="05705212001001"/>
    <m/>
    <m/>
    <m/>
    <m/>
    <n v="2"/>
    <n v="1"/>
    <b v="0"/>
    <b v="0"/>
    <b v="0"/>
    <b v="0"/>
    <b v="0"/>
    <s v="No"/>
    <s v="No"/>
  </r>
  <r>
    <d v="2023-11-13T00:00:00"/>
    <x v="47"/>
    <s v="BA"/>
    <s v="05705212454001"/>
    <m/>
    <s v="248.0"/>
    <s v="2"/>
    <s v="1.54"/>
    <s v="Y"/>
    <s v="N"/>
    <s v="AF"/>
    <s v="258"/>
    <s v="231116"/>
    <s v="ECP"/>
    <m/>
    <m/>
    <m/>
    <m/>
    <s v="STR"/>
    <s v="SGN"/>
    <s v="SGN"/>
    <s v="N"/>
    <s v="T6201"/>
    <m/>
    <m/>
    <s v="Failed"/>
    <m/>
    <x v="0"/>
    <m/>
    <m/>
    <m/>
    <s v="05705212454001"/>
    <m/>
    <m/>
    <m/>
    <m/>
    <n v="2"/>
    <n v="0.25"/>
    <b v="0"/>
    <b v="0"/>
    <b v="0"/>
    <b v="0"/>
    <b v="0"/>
    <s v="No"/>
    <s v="No"/>
  </r>
  <r>
    <d v="2023-11-13T00:00:00"/>
    <x v="47"/>
    <s v="DA"/>
    <s v="05705212454002"/>
    <m/>
    <s v="248.0"/>
    <s v="2"/>
    <s v="1.54"/>
    <s v="Y"/>
    <s v="N"/>
    <s v="AF"/>
    <s v="258"/>
    <s v="231116"/>
    <s v="ECP"/>
    <m/>
    <m/>
    <m/>
    <m/>
    <s v="STR"/>
    <s v="SGN"/>
    <s v="SGN"/>
    <s v="N"/>
    <s v="T4202"/>
    <m/>
    <m/>
    <s v="Failed"/>
    <m/>
    <x v="0"/>
    <m/>
    <m/>
    <m/>
    <s v="05705212454002"/>
    <m/>
    <m/>
    <m/>
    <m/>
    <n v="2"/>
    <n v="0.25"/>
    <b v="0"/>
    <b v="0"/>
    <b v="0"/>
    <b v="0"/>
    <b v="0"/>
    <s v="No"/>
    <s v="No"/>
  </r>
  <r>
    <d v="2023-11-13T00:00:00"/>
    <x v="47"/>
    <s v="FA"/>
    <s v="05705212454003"/>
    <m/>
    <s v="124.0"/>
    <s v="1"/>
    <s v=".77"/>
    <s v="Y"/>
    <s v="N"/>
    <s v="AF"/>
    <s v="258"/>
    <s v="231116"/>
    <s v="ECP"/>
    <m/>
    <m/>
    <m/>
    <m/>
    <s v="STR"/>
    <s v="SGN"/>
    <s v="SGN"/>
    <s v="N"/>
    <s v="T5302"/>
    <m/>
    <m/>
    <s v="Failed"/>
    <m/>
    <x v="0"/>
    <m/>
    <m/>
    <m/>
    <s v="05705212454003"/>
    <m/>
    <m/>
    <m/>
    <m/>
    <n v="2"/>
    <n v="0.25"/>
    <b v="0"/>
    <b v="0"/>
    <b v="0"/>
    <b v="0"/>
    <b v="0"/>
    <s v="No"/>
    <s v="No"/>
  </r>
  <r>
    <d v="2023-11-13T00:00:00"/>
    <x v="47"/>
    <s v="HA"/>
    <s v="05705212454004"/>
    <m/>
    <s v="124.0"/>
    <s v="1"/>
    <s v=".77"/>
    <s v="Y"/>
    <s v="N"/>
    <s v="AF"/>
    <s v="258"/>
    <s v="231116"/>
    <s v="ECP"/>
    <m/>
    <m/>
    <m/>
    <m/>
    <s v="STR"/>
    <s v="SGN"/>
    <s v="SGN"/>
    <s v="N"/>
    <s v="49310"/>
    <m/>
    <m/>
    <s v="Failed"/>
    <m/>
    <x v="0"/>
    <m/>
    <m/>
    <m/>
    <s v="05705212454004"/>
    <m/>
    <m/>
    <m/>
    <m/>
    <n v="2"/>
    <n v="0.25"/>
    <b v="0"/>
    <b v="0"/>
    <b v="0"/>
    <b v="0"/>
    <b v="0"/>
    <s v="No"/>
    <s v="No"/>
  </r>
  <r>
    <d v="2023-11-13T00:00:00"/>
    <x v="48"/>
    <s v="BA"/>
    <s v="05705212863001"/>
    <m/>
    <s v="383.0"/>
    <s v="5"/>
    <s v="2.55"/>
    <s v="Y"/>
    <s v="N"/>
    <s v="AF"/>
    <s v="344"/>
    <s v="231115"/>
    <s v="ECC"/>
    <m/>
    <m/>
    <m/>
    <m/>
    <s v="AMS"/>
    <s v="YUL"/>
    <s v="YUL"/>
    <s v="N"/>
    <s v="XLC10"/>
    <m/>
    <m/>
    <s v="Passed"/>
    <m/>
    <x v="5"/>
    <m/>
    <m/>
    <m/>
    <s v="05705212863001"/>
    <m/>
    <m/>
    <m/>
    <m/>
    <n v="2"/>
    <n v="1"/>
    <b v="0"/>
    <b v="0"/>
    <b v="0"/>
    <b v="0"/>
    <b v="0"/>
    <s v="No"/>
    <s v="No"/>
  </r>
  <r>
    <d v="2023-11-13T00:00:00"/>
    <x v="49"/>
    <s v="BA"/>
    <s v="05705218905001"/>
    <m/>
    <s v="102.7"/>
    <s v="8"/>
    <s v=".78"/>
    <s v="Y"/>
    <s v="N"/>
    <s v="AF"/>
    <s v="932"/>
    <s v="231115"/>
    <m/>
    <m/>
    <m/>
    <m/>
    <m/>
    <s v="MAD"/>
    <s v="ACC"/>
    <s v="ACC"/>
    <s v="N"/>
    <s v="49111"/>
    <m/>
    <m/>
    <s v="Passed"/>
    <m/>
    <x v="5"/>
    <m/>
    <m/>
    <m/>
    <s v="05705218905001"/>
    <m/>
    <m/>
    <m/>
    <m/>
    <n v="2"/>
    <n v="0.5"/>
    <b v="0"/>
    <b v="0"/>
    <b v="0"/>
    <b v="0"/>
    <b v="0"/>
    <s v="No"/>
    <s v="No"/>
  </r>
  <r>
    <d v="2023-11-13T00:00:00"/>
    <x v="49"/>
    <s v="DA"/>
    <s v="05705218905002"/>
    <m/>
    <s v="51.3"/>
    <s v="4"/>
    <s v=".39"/>
    <s v="Y"/>
    <s v="N"/>
    <s v="AF"/>
    <s v="932"/>
    <s v="231115"/>
    <m/>
    <m/>
    <m/>
    <m/>
    <m/>
    <s v="MAD"/>
    <s v="ACC"/>
    <s v="ACC"/>
    <s v="N"/>
    <s v="49311"/>
    <m/>
    <m/>
    <s v="Passed"/>
    <m/>
    <x v="5"/>
    <m/>
    <m/>
    <m/>
    <s v="05705218905002"/>
    <m/>
    <m/>
    <m/>
    <m/>
    <n v="2"/>
    <n v="0.5"/>
    <b v="0"/>
    <b v="0"/>
    <b v="0"/>
    <b v="0"/>
    <b v="0"/>
    <s v="No"/>
    <s v="No"/>
  </r>
  <r>
    <d v="2023-11-13T00:00:00"/>
    <x v="50"/>
    <s v="BA"/>
    <s v="05705218931001"/>
    <m/>
    <s v="153.0"/>
    <s v="1"/>
    <s v=".79"/>
    <s v="Y"/>
    <s v="N"/>
    <s v="AF"/>
    <s v="092"/>
    <s v="231116"/>
    <s v="HEA"/>
    <s v="EAP"/>
    <m/>
    <m/>
    <m/>
    <s v="BRE"/>
    <s v="MIA"/>
    <s v="MIA"/>
    <s v="N"/>
    <s v="55304"/>
    <m/>
    <m/>
    <s v="Failed"/>
    <m/>
    <x v="0"/>
    <m/>
    <m/>
    <m/>
    <s v="05705218931001"/>
    <m/>
    <m/>
    <m/>
    <m/>
    <n v="2"/>
    <n v="0.5"/>
    <b v="0"/>
    <b v="0"/>
    <b v="0"/>
    <b v="0"/>
    <b v="0"/>
    <s v="No"/>
    <s v="No"/>
  </r>
  <r>
    <d v="2023-11-13T00:00:00"/>
    <x v="50"/>
    <s v="DA"/>
    <s v="05705218931002"/>
    <m/>
    <s v="153.0"/>
    <s v="1"/>
    <s v=".79"/>
    <s v="Y"/>
    <s v="N"/>
    <s v="AF"/>
    <s v="092"/>
    <s v="231116"/>
    <s v="HEA"/>
    <s v="EAP"/>
    <m/>
    <m/>
    <m/>
    <s v="BRE"/>
    <s v="MIA"/>
    <s v="MIA"/>
    <s v="N"/>
    <s v="XLC00"/>
    <m/>
    <m/>
    <s v="Failed"/>
    <m/>
    <x v="0"/>
    <m/>
    <m/>
    <m/>
    <s v="05705218931002"/>
    <m/>
    <m/>
    <m/>
    <m/>
    <n v="2"/>
    <n v="0.5"/>
    <b v="0"/>
    <b v="0"/>
    <b v="0"/>
    <b v="0"/>
    <b v="0"/>
    <s v="No"/>
    <s v="No"/>
  </r>
  <r>
    <d v="2023-11-13T00:00:00"/>
    <x v="51"/>
    <s v="WD"/>
    <s v="05705220821051"/>
    <s v="PMC24596KL"/>
    <s v="444.0"/>
    <s v="3"/>
    <s v="2.82"/>
    <s v="N"/>
    <s v="N"/>
    <s v="AF"/>
    <s v="178"/>
    <s v="231115"/>
    <s v="ECC"/>
    <s v="EAP"/>
    <m/>
    <m/>
    <m/>
    <s v="CDG"/>
    <s v="MEX"/>
    <s v="MEX"/>
    <s v="N"/>
    <s v="B2A-5119"/>
    <s v="ML"/>
    <m/>
    <s v="Passed"/>
    <m/>
    <x v="4"/>
    <s v="Yes"/>
    <m/>
    <m/>
    <s v="05705220821001"/>
    <m/>
    <m/>
    <m/>
    <m/>
    <n v="2"/>
    <n v="0.5"/>
    <b v="0"/>
    <b v="0"/>
    <b v="0"/>
    <b v="0"/>
    <b v="0"/>
    <s v="No"/>
    <s v="No"/>
  </r>
  <r>
    <d v="2023-11-13T00:00:00"/>
    <x v="52"/>
    <s v="BA"/>
    <s v="05705221005001"/>
    <m/>
    <s v="210.0"/>
    <s v="1"/>
    <s v=".81"/>
    <s v="Y"/>
    <s v="N"/>
    <s v="AF"/>
    <s v="356"/>
    <s v="231116"/>
    <s v="ECC"/>
    <s v="HEA"/>
    <m/>
    <m/>
    <m/>
    <s v="AMS"/>
    <s v="YYZ"/>
    <s v="YYZ"/>
    <s v="N"/>
    <s v="P2101"/>
    <m/>
    <m/>
    <s v="Passed"/>
    <m/>
    <x v="5"/>
    <m/>
    <m/>
    <m/>
    <s v="05705221005001"/>
    <m/>
    <m/>
    <m/>
    <m/>
    <n v="2"/>
    <n v="1"/>
    <b v="0"/>
    <b v="0"/>
    <b v="0"/>
    <b v="0"/>
    <b v="0"/>
    <s v="No"/>
    <s v="No"/>
  </r>
  <r>
    <d v="2023-11-13T00:00:00"/>
    <x v="53"/>
    <s v="BA"/>
    <s v="05705222302001"/>
    <m/>
    <s v="155.0"/>
    <s v="1"/>
    <s v="1.48"/>
    <s v="Y"/>
    <s v="N"/>
    <s v="AF"/>
    <s v="148"/>
    <s v="231115"/>
    <s v="HEA"/>
    <m/>
    <m/>
    <m/>
    <m/>
    <s v="BCN"/>
    <s v="LOS"/>
    <s v="LOS"/>
    <s v="N"/>
    <s v="64008"/>
    <m/>
    <m/>
    <s v="Passed"/>
    <m/>
    <x v="5"/>
    <m/>
    <m/>
    <m/>
    <s v="05705222302001"/>
    <m/>
    <m/>
    <m/>
    <m/>
    <n v="2"/>
    <n v="1"/>
    <b v="0"/>
    <b v="0"/>
    <b v="0"/>
    <b v="0"/>
    <b v="0"/>
    <s v="No"/>
    <s v="No"/>
  </r>
  <r>
    <d v="2023-11-13T00:00:00"/>
    <x v="54"/>
    <s v="BA"/>
    <s v="05705222711001"/>
    <m/>
    <s v="100.9"/>
    <s v="1"/>
    <s v="1.12"/>
    <s v="Y"/>
    <s v="N"/>
    <s v="AF"/>
    <s v="692"/>
    <s v="231115"/>
    <m/>
    <m/>
    <m/>
    <m/>
    <m/>
    <s v="PRG"/>
    <s v="RDU"/>
    <s v="RDU"/>
    <s v="N"/>
    <s v="Y5001"/>
    <m/>
    <m/>
    <s v="Failed"/>
    <m/>
    <x v="0"/>
    <m/>
    <m/>
    <m/>
    <s v="05705222711001"/>
    <m/>
    <m/>
    <m/>
    <m/>
    <n v="2"/>
    <n v="0.16666666666666666"/>
    <b v="0"/>
    <b v="0"/>
    <b v="0"/>
    <b v="0"/>
    <b v="0"/>
    <s v="No"/>
    <s v="No"/>
  </r>
  <r>
    <d v="2023-11-13T00:00:00"/>
    <x v="54"/>
    <s v="DA"/>
    <s v="05705222711002"/>
    <m/>
    <s v="163.0"/>
    <s v="1"/>
    <s v="1.12"/>
    <s v="Y"/>
    <s v="N"/>
    <s v="AF"/>
    <s v="692"/>
    <s v="231115"/>
    <s v="HEA"/>
    <m/>
    <m/>
    <m/>
    <m/>
    <s v="PRG"/>
    <s v="RDU"/>
    <s v="RDU"/>
    <s v="N"/>
    <s v="Y5110"/>
    <m/>
    <m/>
    <s v="Failed"/>
    <m/>
    <x v="0"/>
    <m/>
    <m/>
    <m/>
    <s v="05705222711002"/>
    <m/>
    <m/>
    <m/>
    <m/>
    <n v="2"/>
    <n v="0.16666666666666666"/>
    <b v="0"/>
    <b v="0"/>
    <b v="0"/>
    <b v="0"/>
    <b v="0"/>
    <s v="No"/>
    <s v="No"/>
  </r>
  <r>
    <d v="2023-11-13T00:00:00"/>
    <x v="54"/>
    <s v="FA"/>
    <s v="05705222711003"/>
    <m/>
    <s v="181.5"/>
    <s v="1"/>
    <s v="1.12"/>
    <s v="Y"/>
    <s v="N"/>
    <s v="AF"/>
    <s v="692"/>
    <s v="231115"/>
    <s v="ELI"/>
    <s v="HEA"/>
    <m/>
    <m/>
    <m/>
    <s v="PRG"/>
    <s v="RDU"/>
    <s v="RDU"/>
    <s v="N"/>
    <s v="64105"/>
    <m/>
    <m/>
    <s v="Failed"/>
    <m/>
    <x v="0"/>
    <m/>
    <m/>
    <m/>
    <s v="05705222711003"/>
    <m/>
    <m/>
    <m/>
    <m/>
    <n v="2"/>
    <n v="0.16666666666666666"/>
    <b v="0"/>
    <b v="0"/>
    <b v="0"/>
    <b v="0"/>
    <b v="0"/>
    <s v="No"/>
    <s v="No"/>
  </r>
  <r>
    <d v="2023-11-13T00:00:00"/>
    <x v="54"/>
    <s v="HA"/>
    <s v="05705222711004"/>
    <m/>
    <s v="163.0"/>
    <s v="1"/>
    <s v="1.12"/>
    <s v="Y"/>
    <s v="N"/>
    <s v="AF"/>
    <s v="692"/>
    <s v="231115"/>
    <s v="ELI"/>
    <s v="HEA"/>
    <m/>
    <m/>
    <m/>
    <s v="PRG"/>
    <s v="RDU"/>
    <s v="RDU"/>
    <s v="N"/>
    <s v="Y6310"/>
    <m/>
    <m/>
    <s v="Failed"/>
    <m/>
    <x v="0"/>
    <m/>
    <m/>
    <m/>
    <s v="05705222711004"/>
    <m/>
    <m/>
    <m/>
    <m/>
    <n v="2"/>
    <n v="0.16666666666666666"/>
    <b v="0"/>
    <b v="0"/>
    <b v="0"/>
    <b v="0"/>
    <b v="0"/>
    <s v="No"/>
    <s v="No"/>
  </r>
  <r>
    <d v="2023-11-13T00:00:00"/>
    <x v="54"/>
    <s v="JA"/>
    <s v="05705222711005"/>
    <m/>
    <s v="181.5"/>
    <s v="1"/>
    <s v="1.12"/>
    <s v="Y"/>
    <s v="N"/>
    <s v="AF"/>
    <s v="692"/>
    <s v="231115"/>
    <s v="HEA"/>
    <m/>
    <m/>
    <m/>
    <m/>
    <s v="PRG"/>
    <s v="RDU"/>
    <s v="RDU"/>
    <s v="N"/>
    <s v="18003"/>
    <m/>
    <m/>
    <s v="Failed"/>
    <m/>
    <x v="0"/>
    <m/>
    <m/>
    <m/>
    <s v="05705222711005"/>
    <m/>
    <m/>
    <m/>
    <m/>
    <n v="2"/>
    <n v="0.16666666666666666"/>
    <b v="0"/>
    <b v="0"/>
    <b v="0"/>
    <b v="0"/>
    <b v="0"/>
    <s v="No"/>
    <s v="No"/>
  </r>
  <r>
    <d v="2023-11-13T00:00:00"/>
    <x v="54"/>
    <s v="LA"/>
    <s v="05705222711006"/>
    <m/>
    <s v="163.0"/>
    <s v="1"/>
    <s v="1.12"/>
    <s v="Y"/>
    <s v="N"/>
    <s v="AF"/>
    <s v="692"/>
    <s v="231115"/>
    <s v="HEA"/>
    <m/>
    <m/>
    <m/>
    <m/>
    <s v="PRG"/>
    <s v="RDU"/>
    <s v="RDU"/>
    <s v="N"/>
    <s v="Y6312"/>
    <m/>
    <m/>
    <s v="Failed"/>
    <m/>
    <x v="0"/>
    <m/>
    <m/>
    <m/>
    <s v="only 5 SU present"/>
    <m/>
    <m/>
    <m/>
    <m/>
    <n v="2"/>
    <n v="0.16666666666666666"/>
    <b v="0"/>
    <b v="0"/>
    <b v="0"/>
    <b v="0"/>
    <b v="0"/>
    <s v="No"/>
    <s v="No"/>
  </r>
  <r>
    <d v="2023-11-13T00:00:00"/>
    <x v="55"/>
    <s v="BA"/>
    <s v="05705224365001"/>
    <m/>
    <s v="164.0"/>
    <s v="1"/>
    <s v="1.40"/>
    <s v="Y"/>
    <s v="N"/>
    <s v="AF"/>
    <s v="682"/>
    <s v="231115"/>
    <s v="ECC"/>
    <s v="HEA"/>
    <m/>
    <m/>
    <m/>
    <s v="BUD"/>
    <s v="ATL"/>
    <s v="ATL"/>
    <s v="N"/>
    <s v="N1302"/>
    <m/>
    <m/>
    <s v="Failed"/>
    <m/>
    <x v="0"/>
    <m/>
    <m/>
    <m/>
    <s v="05705224365001"/>
    <m/>
    <m/>
    <m/>
    <m/>
    <n v="2"/>
    <n v="0.5"/>
    <b v="0"/>
    <b v="0"/>
    <b v="0"/>
    <b v="0"/>
    <b v="0"/>
    <s v="No"/>
    <s v="No"/>
  </r>
  <r>
    <d v="2023-11-13T00:00:00"/>
    <x v="55"/>
    <s v="DA"/>
    <s v="05705224365002"/>
    <m/>
    <s v="164.0"/>
    <s v="1"/>
    <s v="1.41"/>
    <s v="Y"/>
    <s v="N"/>
    <s v="AF"/>
    <s v="682"/>
    <s v="231115"/>
    <s v="ECC"/>
    <s v="HEA"/>
    <m/>
    <m/>
    <m/>
    <s v="BUD"/>
    <s v="ATL"/>
    <s v="ATL"/>
    <s v="N"/>
    <s v="N1101"/>
    <m/>
    <m/>
    <s v="Failed"/>
    <m/>
    <x v="0"/>
    <m/>
    <m/>
    <m/>
    <s v="05705224365002"/>
    <m/>
    <m/>
    <m/>
    <m/>
    <n v="2"/>
    <n v="0.5"/>
    <b v="0"/>
    <b v="0"/>
    <b v="0"/>
    <b v="0"/>
    <b v="0"/>
    <s v="No"/>
    <s v="No"/>
  </r>
  <r>
    <d v="2023-11-13T00:00:00"/>
    <x v="56"/>
    <s v="BA"/>
    <s v="05705225474001"/>
    <m/>
    <s v="241.1"/>
    <s v="2"/>
    <s v="1.42"/>
    <s v="Y"/>
    <s v="N"/>
    <s v="AF"/>
    <s v="460"/>
    <s v="231115"/>
    <s v="ECP"/>
    <m/>
    <m/>
    <m/>
    <m/>
    <s v="MMX"/>
    <s v="GRU"/>
    <s v="GRU"/>
    <s v="N"/>
    <s v="Q5103"/>
    <m/>
    <m/>
    <s v="Failed"/>
    <m/>
    <x v="0"/>
    <m/>
    <m/>
    <m/>
    <s v="05705225474001"/>
    <m/>
    <m/>
    <m/>
    <m/>
    <n v="2"/>
    <n v="0.33333333333333331"/>
    <b v="0"/>
    <b v="0"/>
    <b v="0"/>
    <b v="0"/>
    <b v="0"/>
    <s v="No"/>
    <s v="No"/>
  </r>
  <r>
    <d v="2023-11-13T00:00:00"/>
    <x v="56"/>
    <s v="DA"/>
    <s v="05705225474002"/>
    <m/>
    <s v="241.1"/>
    <s v="2"/>
    <s v="1.42"/>
    <s v="Y"/>
    <s v="N"/>
    <s v="AF"/>
    <s v="460"/>
    <s v="231115"/>
    <s v="ECP"/>
    <m/>
    <m/>
    <m/>
    <m/>
    <s v="MMX"/>
    <s v="GRU"/>
    <s v="GRU"/>
    <s v="N"/>
    <s v="74001"/>
    <m/>
    <m/>
    <s v="Failed"/>
    <m/>
    <x v="0"/>
    <m/>
    <m/>
    <m/>
    <s v="05705225474002"/>
    <m/>
    <m/>
    <m/>
    <m/>
    <n v="2"/>
    <n v="0.33333333333333331"/>
    <b v="0"/>
    <b v="0"/>
    <b v="0"/>
    <b v="0"/>
    <b v="0"/>
    <s v="No"/>
    <s v="No"/>
  </r>
  <r>
    <d v="2023-11-13T00:00:00"/>
    <x v="56"/>
    <s v="FA"/>
    <s v="05705225474003"/>
    <m/>
    <s v="241.1"/>
    <s v="2"/>
    <s v="1.42"/>
    <s v="Y"/>
    <s v="N"/>
    <s v="AF"/>
    <s v="460"/>
    <s v="231115"/>
    <s v="ECP"/>
    <m/>
    <m/>
    <m/>
    <m/>
    <s v="MMX"/>
    <s v="GRU"/>
    <s v="GRU"/>
    <s v="N"/>
    <s v="73201"/>
    <m/>
    <m/>
    <s v="Failed"/>
    <m/>
    <x v="0"/>
    <m/>
    <m/>
    <m/>
    <s v="05705225474003"/>
    <m/>
    <m/>
    <m/>
    <m/>
    <n v="2"/>
    <n v="0.33333333333333331"/>
    <b v="0"/>
    <b v="0"/>
    <b v="0"/>
    <b v="0"/>
    <b v="0"/>
    <s v="No"/>
    <s v="No"/>
  </r>
  <r>
    <d v="2023-11-13T00:00:00"/>
    <x v="57"/>
    <s v="BA"/>
    <s v="05705239765001"/>
    <m/>
    <s v="68.0"/>
    <s v="1"/>
    <s v=".40"/>
    <s v="Y"/>
    <s v="N"/>
    <s v="AF"/>
    <s v="374"/>
    <s v="231116"/>
    <m/>
    <m/>
    <m/>
    <m/>
    <m/>
    <s v="WAW"/>
    <s v="YVR"/>
    <s v="YVR"/>
    <s v="N"/>
    <s v="N7301"/>
    <m/>
    <m/>
    <s v="Failed"/>
    <m/>
    <x v="0"/>
    <m/>
    <m/>
    <m/>
    <s v="05705239765001"/>
    <m/>
    <m/>
    <m/>
    <m/>
    <n v="2"/>
    <n v="1"/>
    <b v="0"/>
    <b v="0"/>
    <b v="0"/>
    <b v="0"/>
    <b v="0"/>
    <s v="No"/>
    <s v="No"/>
  </r>
  <r>
    <d v="2023-11-13T00:00:00"/>
    <x v="58"/>
    <s v="BA"/>
    <s v="05705240292001"/>
    <m/>
    <s v="191.4"/>
    <s v="2"/>
    <s v="2.92"/>
    <s v="N"/>
    <s v="N"/>
    <s v="AF"/>
    <s v="928"/>
    <s v="231116"/>
    <s v="EAP"/>
    <m/>
    <m/>
    <m/>
    <m/>
    <s v="CDG"/>
    <s v="PNR"/>
    <s v="PNR"/>
    <s v="N"/>
    <s v="LO400"/>
    <m/>
    <m/>
    <s v="Passed"/>
    <m/>
    <x v="7"/>
    <s v="Yes"/>
    <m/>
    <m/>
    <s v="05705240292001"/>
    <m/>
    <m/>
    <m/>
    <m/>
    <n v="2"/>
    <n v="0.33333333333333331"/>
    <b v="0"/>
    <b v="0"/>
    <b v="0"/>
    <b v="0"/>
    <b v="0"/>
    <s v="No"/>
    <s v="No"/>
  </r>
  <r>
    <d v="2023-11-13T00:00:00"/>
    <x v="58"/>
    <s v="WD"/>
    <s v="05705240292051"/>
    <s v="PMC69611AF"/>
    <s v="478.5"/>
    <s v="5"/>
    <s v="7.31"/>
    <s v="N"/>
    <s v="N"/>
    <s v="AF"/>
    <s v="928"/>
    <s v="231116"/>
    <s v="EAP"/>
    <m/>
    <m/>
    <m/>
    <m/>
    <s v="CDG"/>
    <s v="PNR"/>
    <s v="PNR"/>
    <s v="N"/>
    <s v="B2B-4035"/>
    <s v="ML"/>
    <m/>
    <s v="Passed"/>
    <m/>
    <x v="7"/>
    <s v="Yes"/>
    <m/>
    <m/>
    <s v="05705240292002"/>
    <m/>
    <m/>
    <m/>
    <m/>
    <n v="2"/>
    <n v="0.33333333333333331"/>
    <b v="0"/>
    <b v="0"/>
    <b v="0"/>
    <b v="0"/>
    <b v="0"/>
    <s v="No"/>
    <s v="No"/>
  </r>
  <r>
    <d v="2023-11-13T00:00:00"/>
    <x v="58"/>
    <s v="YD"/>
    <s v="05705240292052"/>
    <s v="PAG15317KL"/>
    <s v="478.6"/>
    <s v="5"/>
    <s v="7.31"/>
    <s v="N"/>
    <s v="N"/>
    <s v="AF"/>
    <s v="928"/>
    <s v="231116"/>
    <s v="EAP"/>
    <m/>
    <m/>
    <m/>
    <m/>
    <s v="CDG"/>
    <s v="PNR"/>
    <s v="PNR"/>
    <s v="N"/>
    <s v="B1C-2539"/>
    <s v="AL"/>
    <m/>
    <s v="Passed"/>
    <m/>
    <x v="7"/>
    <s v="Yes"/>
    <m/>
    <m/>
    <s v="05705240292003"/>
    <m/>
    <m/>
    <m/>
    <m/>
    <n v="2"/>
    <n v="0.33333333333333331"/>
    <b v="0"/>
    <b v="0"/>
    <b v="0"/>
    <b v="0"/>
    <b v="0"/>
    <s v="No"/>
    <s v="No"/>
  </r>
  <r>
    <d v="2023-11-13T00:00:00"/>
    <x v="59"/>
    <s v="BA"/>
    <s v="05705244680001"/>
    <s v="PMC32141KL"/>
    <s v="751.0"/>
    <s v="6"/>
    <s v="7.71"/>
    <s v="Y"/>
    <s v="N"/>
    <s v="AF"/>
    <s v="152"/>
    <s v="231115"/>
    <s v="REQ"/>
    <m/>
    <m/>
    <m/>
    <m/>
    <s v="FRA"/>
    <s v="BKK"/>
    <s v="BKK"/>
    <s v="N"/>
    <s v="B2B-4140"/>
    <s v="ML"/>
    <s v="REQ NO DGR"/>
    <s v="Failed"/>
    <m/>
    <x v="0"/>
    <m/>
    <m/>
    <m/>
    <m/>
    <m/>
    <m/>
    <m/>
    <m/>
    <n v="2"/>
    <n v="1"/>
    <s v="Yes"/>
    <b v="0"/>
    <b v="0"/>
    <b v="0"/>
    <b v="0"/>
    <s v="Yes"/>
    <s v="No"/>
  </r>
  <r>
    <d v="2023-11-13T00:00:00"/>
    <x v="60"/>
    <s v="BA"/>
    <s v="05705245284001"/>
    <m/>
    <s v="660.0"/>
    <s v="1"/>
    <s v="2.30"/>
    <s v="Y"/>
    <s v="N"/>
    <s v="AF"/>
    <s v="258"/>
    <s v="231116"/>
    <s v="HEA"/>
    <m/>
    <m/>
    <m/>
    <m/>
    <s v="LJU"/>
    <s v="SGN"/>
    <s v="SGN"/>
    <s v="N"/>
    <s v="XLC10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61"/>
    <s v="BA"/>
    <s v="05705251805001"/>
    <m/>
    <s v="182.0"/>
    <s v="1"/>
    <s v=".67"/>
    <s v="Y"/>
    <s v="N"/>
    <s v="AF"/>
    <s v="712"/>
    <s v="231115"/>
    <s v="HEA"/>
    <s v="EAP"/>
    <m/>
    <m/>
    <m/>
    <s v="BRE"/>
    <s v="ABJ"/>
    <s v="ABJ"/>
    <s v="N"/>
    <s v="S5402"/>
    <m/>
    <m/>
    <s v="Passed"/>
    <m/>
    <x v="5"/>
    <m/>
    <m/>
    <m/>
    <s v="05705251805001"/>
    <m/>
    <m/>
    <m/>
    <m/>
    <n v="2"/>
    <n v="1"/>
    <b v="0"/>
    <b v="0"/>
    <b v="0"/>
    <b v="0"/>
    <b v="0"/>
    <s v="No"/>
    <s v="No"/>
  </r>
  <r>
    <d v="2023-11-13T00:00:00"/>
    <x v="62"/>
    <s v="BA"/>
    <s v="05705260021001"/>
    <m/>
    <s v="250.2"/>
    <s v="1"/>
    <s v="2.02"/>
    <s v="Y"/>
    <s v="N"/>
    <s v="AF"/>
    <s v="084"/>
    <s v="231116"/>
    <s v="HEA"/>
    <m/>
    <m/>
    <m/>
    <m/>
    <s v="PRG"/>
    <s v="SFO"/>
    <s v="SFO"/>
    <s v="N"/>
    <s v="RFK00"/>
    <m/>
    <m/>
    <s v="Failed"/>
    <m/>
    <x v="0"/>
    <m/>
    <m/>
    <m/>
    <s v="05705260021001"/>
    <m/>
    <m/>
    <m/>
    <m/>
    <n v="2"/>
    <n v="0.25"/>
    <b v="0"/>
    <b v="0"/>
    <b v="0"/>
    <b v="0"/>
    <b v="0"/>
    <s v="No"/>
    <s v="No"/>
  </r>
  <r>
    <d v="2023-11-13T00:00:00"/>
    <x v="62"/>
    <s v="DA"/>
    <s v="05705260021002"/>
    <m/>
    <s v="250.3"/>
    <s v="1"/>
    <s v="2.02"/>
    <s v="Y"/>
    <s v="N"/>
    <s v="AF"/>
    <s v="084"/>
    <s v="231116"/>
    <s v="HEA"/>
    <m/>
    <m/>
    <m/>
    <m/>
    <s v="PRG"/>
    <s v="SFO"/>
    <s v="SFO"/>
    <s v="N"/>
    <s v="RFK00"/>
    <m/>
    <m/>
    <s v="Failed"/>
    <m/>
    <x v="0"/>
    <m/>
    <m/>
    <m/>
    <s v="05705260021002"/>
    <m/>
    <m/>
    <m/>
    <m/>
    <n v="2"/>
    <n v="0.25"/>
    <b v="0"/>
    <b v="0"/>
    <b v="0"/>
    <b v="0"/>
    <b v="0"/>
    <s v="No"/>
    <s v="No"/>
  </r>
  <r>
    <d v="2023-11-13T00:00:00"/>
    <x v="62"/>
    <s v="FA"/>
    <s v="05705260021003"/>
    <m/>
    <s v="250.3"/>
    <s v="1"/>
    <s v="2.02"/>
    <s v="Y"/>
    <s v="N"/>
    <s v="AF"/>
    <s v="084"/>
    <s v="231116"/>
    <s v="HEA"/>
    <m/>
    <m/>
    <m/>
    <m/>
    <s v="PRG"/>
    <s v="SFO"/>
    <s v="SFO"/>
    <s v="N"/>
    <s v="RFK00"/>
    <m/>
    <m/>
    <s v="Failed"/>
    <m/>
    <x v="0"/>
    <m/>
    <m/>
    <m/>
    <s v="05705260021003"/>
    <m/>
    <m/>
    <m/>
    <m/>
    <n v="2"/>
    <n v="0.25"/>
    <b v="0"/>
    <b v="0"/>
    <b v="0"/>
    <b v="0"/>
    <b v="0"/>
    <s v="No"/>
    <s v="No"/>
  </r>
  <r>
    <d v="2023-11-13T00:00:00"/>
    <x v="62"/>
    <s v="HA"/>
    <s v="05705260021004"/>
    <m/>
    <s v="250.3"/>
    <s v="1"/>
    <s v="2.02"/>
    <s v="Y"/>
    <s v="N"/>
    <s v="AF"/>
    <s v="084"/>
    <s v="231116"/>
    <s v="HEA"/>
    <m/>
    <m/>
    <m/>
    <m/>
    <s v="PRG"/>
    <s v="SFO"/>
    <s v="SFO"/>
    <s v="N"/>
    <s v="RFK00"/>
    <m/>
    <m/>
    <s v="Failed"/>
    <m/>
    <x v="0"/>
    <m/>
    <m/>
    <m/>
    <s v="only 3 SU present"/>
    <m/>
    <m/>
    <m/>
    <m/>
    <n v="2"/>
    <n v="0.25"/>
    <b v="0"/>
    <b v="0"/>
    <b v="0"/>
    <b v="0"/>
    <b v="0"/>
    <s v="No"/>
    <s v="No"/>
  </r>
  <r>
    <d v="2023-11-13T00:00:00"/>
    <x v="63"/>
    <s v="BA"/>
    <s v="05705260710001"/>
    <m/>
    <s v="872.5"/>
    <s v="1"/>
    <s v="4.59"/>
    <s v="Y"/>
    <s v="N"/>
    <s v="AF"/>
    <s v="6732"/>
    <s v="231115"/>
    <s v="ECC"/>
    <s v="HEA"/>
    <s v="OHG"/>
    <s v="EAP"/>
    <m/>
    <s v="NUE"/>
    <s v="ORD"/>
    <s v="ORD"/>
    <s v="N"/>
    <s v="HLC072"/>
    <m/>
    <m/>
    <s v="Failed"/>
    <m/>
    <x v="0"/>
    <m/>
    <m/>
    <m/>
    <s v="05705260710001"/>
    <m/>
    <m/>
    <m/>
    <m/>
    <n v="2"/>
    <n v="0.5"/>
    <b v="0"/>
    <b v="0"/>
    <b v="0"/>
    <b v="0"/>
    <b v="0"/>
    <s v="No"/>
    <s v="No"/>
  </r>
  <r>
    <d v="2023-11-13T00:00:00"/>
    <x v="63"/>
    <s v="DA"/>
    <s v="05705260710002"/>
    <m/>
    <s v="872.5"/>
    <s v="1"/>
    <s v="4.60"/>
    <s v="Y"/>
    <s v="N"/>
    <s v="AF"/>
    <s v="6732"/>
    <s v="231115"/>
    <s v="ECC"/>
    <s v="HEA"/>
    <s v="OHG"/>
    <s v="EAP"/>
    <m/>
    <s v="NUE"/>
    <s v="ORD"/>
    <s v="ORD"/>
    <s v="N"/>
    <s v="XLC30"/>
    <m/>
    <m/>
    <s v="Failed"/>
    <m/>
    <x v="0"/>
    <m/>
    <m/>
    <m/>
    <s v=" "/>
    <m/>
    <m/>
    <m/>
    <m/>
    <n v="2"/>
    <n v="0.5"/>
    <b v="0"/>
    <b v="0"/>
    <b v="0"/>
    <b v="0"/>
    <b v="0"/>
    <s v="No"/>
    <s v="No"/>
  </r>
  <r>
    <d v="2023-11-13T00:00:00"/>
    <x v="64"/>
    <s v="BA"/>
    <s v="05705265050001"/>
    <m/>
    <s v="855.0"/>
    <s v="1"/>
    <s v="5.13"/>
    <s v="Y"/>
    <s v="N"/>
    <s v="AF"/>
    <s v="084"/>
    <s v="231115"/>
    <s v="ECC"/>
    <s v="HEA"/>
    <m/>
    <m/>
    <m/>
    <s v="MRS"/>
    <s v="SFO"/>
    <s v="SFO"/>
    <s v="N"/>
    <s v="HLC011"/>
    <m/>
    <m/>
    <s v="Failed"/>
    <m/>
    <x v="0"/>
    <m/>
    <m/>
    <m/>
    <s v="05705265050001"/>
    <m/>
    <m/>
    <m/>
    <m/>
    <n v="2"/>
    <n v="1"/>
    <b v="0"/>
    <b v="0"/>
    <b v="0"/>
    <b v="0"/>
    <b v="0"/>
    <s v="No"/>
    <s v="No"/>
  </r>
  <r>
    <d v="2023-11-13T00:00:00"/>
    <x v="65"/>
    <s v="BA"/>
    <s v="05705265234001"/>
    <m/>
    <s v="107.5"/>
    <s v="1"/>
    <s v=".54"/>
    <s v="Y"/>
    <s v="N"/>
    <s v="AF"/>
    <s v="330M"/>
    <s v="231115"/>
    <s v="ECC"/>
    <s v="EAP"/>
    <m/>
    <m/>
    <m/>
    <s v="ORD"/>
    <s v="LJU"/>
    <s v="LJU"/>
    <s v="N"/>
    <s v="26000"/>
    <m/>
    <m/>
    <s v="Failed"/>
    <m/>
    <x v="0"/>
    <m/>
    <m/>
    <m/>
    <s v="05705265234001"/>
    <m/>
    <m/>
    <m/>
    <m/>
    <n v="2"/>
    <n v="0.5"/>
    <b v="0"/>
    <b v="0"/>
    <b v="0"/>
    <b v="0"/>
    <b v="0"/>
    <s v="No"/>
    <s v="Yes"/>
  </r>
  <r>
    <d v="2023-11-13T00:00:00"/>
    <x v="66"/>
    <s v="DA"/>
    <s v="05705265234002"/>
    <m/>
    <s v="107.5"/>
    <s v="1"/>
    <s v=".55"/>
    <s v="Y"/>
    <s v="N"/>
    <s v="AF"/>
    <s v="330M"/>
    <s v="231115"/>
    <s v="RMD"/>
    <s v="ECC"/>
    <s v="EAP"/>
    <m/>
    <m/>
    <s v="ORD"/>
    <s v="LJU"/>
    <s v="LJU"/>
    <s v="N"/>
    <s v="17104"/>
    <m/>
    <m/>
    <s v="Passed"/>
    <m/>
    <x v="0"/>
    <s v="Y"/>
    <m/>
    <m/>
    <s v="05705265234002"/>
    <m/>
    <m/>
    <m/>
    <m/>
    <n v="2"/>
    <n v="0.5"/>
    <b v="0"/>
    <b v="0"/>
    <b v="0"/>
    <b v="0"/>
    <b v="0"/>
    <s v="No"/>
    <s v="Yes"/>
  </r>
  <r>
    <d v="2023-11-13T00:00:00"/>
    <x v="67"/>
    <s v="BA"/>
    <s v="05705265746001"/>
    <m/>
    <s v="79.0"/>
    <s v="1"/>
    <s v=".20"/>
    <s v="Y"/>
    <s v="N"/>
    <s v="AF"/>
    <s v="090"/>
    <s v="231115"/>
    <s v="ECC"/>
    <s v="EAP"/>
    <m/>
    <m/>
    <m/>
    <s v="HAM"/>
    <s v="MIA"/>
    <s v="MIA"/>
    <s v="N"/>
    <s v="HLC190"/>
    <m/>
    <m/>
    <s v="Passed"/>
    <m/>
    <x v="5"/>
    <m/>
    <m/>
    <m/>
    <s v="05705265746001"/>
    <m/>
    <m/>
    <m/>
    <m/>
    <n v="2"/>
    <n v="1"/>
    <b v="0"/>
    <b v="0"/>
    <b v="0"/>
    <b v="0"/>
    <b v="0"/>
    <s v="No"/>
    <s v="No"/>
  </r>
  <r>
    <d v="2023-11-13T00:00:00"/>
    <x v="68"/>
    <s v="BA"/>
    <s v="05705267334001"/>
    <m/>
    <s v="314.0"/>
    <s v="1"/>
    <s v=".59"/>
    <s v="N"/>
    <s v="N"/>
    <s v="AF"/>
    <s v="712"/>
    <s v="231115"/>
    <s v="ECC"/>
    <s v="HEA"/>
    <s v="EAP"/>
    <s v="SPX"/>
    <m/>
    <s v="CDG"/>
    <s v="ABJ"/>
    <s v="ABJ"/>
    <s v="N"/>
    <s v="XLC30"/>
    <m/>
    <m/>
    <s v="Passed"/>
    <m/>
    <x v="0"/>
    <s v="Yes"/>
    <m/>
    <m/>
    <s v="05705267334001"/>
    <m/>
    <m/>
    <m/>
    <m/>
    <n v="2"/>
    <n v="1"/>
    <b v="0"/>
    <b v="0"/>
    <b v="0"/>
    <b v="0"/>
    <b v="0"/>
    <s v="No"/>
    <s v="No"/>
  </r>
  <r>
    <d v="2023-11-13T00:00:00"/>
    <x v="69"/>
    <s v="BA"/>
    <s v="05705267371001"/>
    <m/>
    <s v="130.0"/>
    <s v="1"/>
    <s v=".58"/>
    <s v="Y"/>
    <s v="N"/>
    <s v="AF"/>
    <s v="330M"/>
    <s v="231115"/>
    <s v="AOG"/>
    <s v="NCC"/>
    <s v="ECC"/>
    <s v="XPH"/>
    <s v="EAW"/>
    <s v="LYS"/>
    <s v="LJU"/>
    <s v="LJU"/>
    <s v="N"/>
    <s v="LLC00"/>
    <m/>
    <m/>
    <s v="Failed"/>
    <m/>
    <x v="3"/>
    <m/>
    <m/>
    <m/>
    <s v="05705267371001"/>
    <m/>
    <m/>
    <m/>
    <m/>
    <n v="2"/>
    <n v="1"/>
    <b v="0"/>
    <b v="0"/>
    <b v="0"/>
    <b v="0"/>
    <b v="0"/>
    <s v="No"/>
    <s v="Yes"/>
  </r>
  <r>
    <d v="2023-11-13T00:00:00"/>
    <x v="70"/>
    <s v="BA"/>
    <s v="05705267415001"/>
    <m/>
    <s v="237.0"/>
    <s v="1"/>
    <s v="1.17"/>
    <s v="Y"/>
    <s v="N"/>
    <s v="AF"/>
    <s v="092"/>
    <s v="231116"/>
    <s v="HEA"/>
    <m/>
    <m/>
    <m/>
    <m/>
    <s v="SWK"/>
    <s v="MIA"/>
    <s v="MIA"/>
    <s v="N"/>
    <s v="XLC00"/>
    <m/>
    <m/>
    <s v="Failed"/>
    <m/>
    <x v="0"/>
    <m/>
    <m/>
    <m/>
    <s v="05705267415001"/>
    <m/>
    <m/>
    <m/>
    <m/>
    <n v="2"/>
    <n v="1"/>
    <b v="0"/>
    <b v="0"/>
    <b v="0"/>
    <b v="0"/>
    <b v="0"/>
    <s v="No"/>
    <s v="No"/>
  </r>
  <r>
    <d v="2023-11-13T00:00:00"/>
    <x v="71"/>
    <s v="BA"/>
    <s v="05705276902001"/>
    <m/>
    <s v="194.0"/>
    <s v="2"/>
    <s v="1.09"/>
    <s v="Y"/>
    <s v="N"/>
    <s v="AF"/>
    <s v="658M"/>
    <s v="231115"/>
    <m/>
    <m/>
    <m/>
    <m/>
    <m/>
    <s v="DTW"/>
    <s v="VLC"/>
    <s v="VLC"/>
    <s v="N"/>
    <s v="20005"/>
    <m/>
    <m/>
    <s v="Passed"/>
    <m/>
    <x v="5"/>
    <m/>
    <m/>
    <m/>
    <s v="05705276902001"/>
    <m/>
    <m/>
    <m/>
    <m/>
    <n v="2"/>
    <n v="1"/>
    <b v="0"/>
    <b v="0"/>
    <b v="0"/>
    <b v="0"/>
    <b v="0"/>
    <s v="No"/>
    <s v="Yes"/>
  </r>
  <r>
    <d v="2023-11-13T00:00:00"/>
    <x v="72"/>
    <s v="BA"/>
    <s v="05705284856001"/>
    <m/>
    <s v="33.2"/>
    <s v="1"/>
    <s v=".33"/>
    <s v="Y"/>
    <s v="N"/>
    <s v="AF"/>
    <s v="474"/>
    <s v="231115"/>
    <s v="ECP"/>
    <s v="EAW"/>
    <m/>
    <m/>
    <m/>
    <s v="MXP"/>
    <s v="PTY"/>
    <s v="PTY"/>
    <s v="N"/>
    <s v="Y5010"/>
    <m/>
    <m/>
    <s v="Failed"/>
    <m/>
    <x v="0"/>
    <m/>
    <m/>
    <m/>
    <s v="05705284856001"/>
    <m/>
    <m/>
    <m/>
    <m/>
    <n v="2"/>
    <n v="0.33333333333333331"/>
    <b v="0"/>
    <b v="0"/>
    <b v="0"/>
    <b v="0"/>
    <b v="0"/>
    <s v="No"/>
    <s v="No"/>
  </r>
  <r>
    <d v="2023-11-13T00:00:00"/>
    <x v="72"/>
    <s v="DA"/>
    <s v="05705284856002"/>
    <m/>
    <s v="232.6"/>
    <s v="7"/>
    <s v="2.34"/>
    <s v="Y"/>
    <s v="N"/>
    <s v="AF"/>
    <s v="474"/>
    <s v="231115"/>
    <s v="ECP"/>
    <s v="EAW"/>
    <m/>
    <m/>
    <m/>
    <s v="MXP"/>
    <s v="PTY"/>
    <s v="PTY"/>
    <s v="N"/>
    <s v="Y5016"/>
    <m/>
    <m/>
    <s v="Failed"/>
    <m/>
    <x v="0"/>
    <m/>
    <m/>
    <m/>
    <s v="05705284856002"/>
    <m/>
    <m/>
    <m/>
    <m/>
    <n v="2"/>
    <n v="0.33333333333333331"/>
    <b v="0"/>
    <b v="0"/>
    <b v="0"/>
    <b v="0"/>
    <b v="0"/>
    <s v="No"/>
    <s v="No"/>
  </r>
  <r>
    <d v="2023-11-13T00:00:00"/>
    <x v="72"/>
    <s v="FA"/>
    <s v="05705284856003"/>
    <m/>
    <s v="33.2"/>
    <s v="1"/>
    <s v=".33"/>
    <s v="Y"/>
    <s v="N"/>
    <s v="AF"/>
    <s v="474"/>
    <s v="231115"/>
    <s v="ECP"/>
    <s v="EAW"/>
    <m/>
    <m/>
    <m/>
    <s v="MXP"/>
    <s v="PTY"/>
    <s v="PTY"/>
    <s v="N"/>
    <s v="Y5012"/>
    <m/>
    <m/>
    <s v="Failed"/>
    <m/>
    <x v="0"/>
    <m/>
    <m/>
    <m/>
    <s v="05705284856003"/>
    <m/>
    <m/>
    <m/>
    <m/>
    <n v="2"/>
    <n v="0.33333333333333331"/>
    <b v="0"/>
    <b v="0"/>
    <b v="0"/>
    <b v="0"/>
    <b v="0"/>
    <s v="No"/>
    <s v="No"/>
  </r>
  <r>
    <d v="2023-11-13T00:00:00"/>
    <x v="73"/>
    <s v="BA"/>
    <s v="05705285700001"/>
    <m/>
    <s v="560.0"/>
    <s v="1"/>
    <s v="1.06"/>
    <s v="Y"/>
    <s v="N"/>
    <s v="AF"/>
    <s v="090"/>
    <s v="231115"/>
    <s v="ECC"/>
    <s v="HEA"/>
    <s v="EAP"/>
    <m/>
    <m/>
    <s v="STR"/>
    <s v="MIA"/>
    <s v="MIA"/>
    <s v="N"/>
    <s v="HLC015"/>
    <m/>
    <m/>
    <s v="Failed"/>
    <m/>
    <x v="0"/>
    <m/>
    <m/>
    <m/>
    <s v="05705285700001"/>
    <m/>
    <m/>
    <m/>
    <m/>
    <n v="2"/>
    <n v="1"/>
    <b v="0"/>
    <b v="0"/>
    <b v="0"/>
    <b v="0"/>
    <b v="0"/>
    <s v="No"/>
    <s v="No"/>
  </r>
  <r>
    <d v="2023-11-13T00:00:00"/>
    <x v="74"/>
    <s v="BA"/>
    <s v="05705285884001"/>
    <m/>
    <s v="95.2"/>
    <s v="1"/>
    <s v=".39"/>
    <s v="Y"/>
    <s v="N"/>
    <s v="AF"/>
    <s v="090"/>
    <s v="231115"/>
    <s v="ECC"/>
    <s v="EAW"/>
    <m/>
    <m/>
    <m/>
    <s v="STR"/>
    <s v="ATL"/>
    <s v="MIA"/>
    <s v="N"/>
    <s v="LLC13"/>
    <m/>
    <m/>
    <s v="Failed"/>
    <m/>
    <x v="0"/>
    <m/>
    <m/>
    <m/>
    <s v="05705285884001"/>
    <m/>
    <m/>
    <m/>
    <m/>
    <n v="2"/>
    <n v="0.2"/>
    <b v="0"/>
    <b v="0"/>
    <b v="0"/>
    <b v="0"/>
    <b v="0"/>
    <s v="No"/>
    <s v="No"/>
  </r>
  <r>
    <d v="2023-11-13T00:00:00"/>
    <x v="74"/>
    <s v="DA"/>
    <s v="05705285884002"/>
    <m/>
    <s v="95.2"/>
    <s v="1"/>
    <s v=".39"/>
    <s v="Y"/>
    <s v="N"/>
    <s v="AF"/>
    <s v="090"/>
    <s v="231115"/>
    <s v="ECC"/>
    <s v="EAW"/>
    <m/>
    <m/>
    <m/>
    <s v="STR"/>
    <s v="ATL"/>
    <s v="MIA"/>
    <s v="N"/>
    <s v="LLC42"/>
    <m/>
    <m/>
    <s v="Failed"/>
    <m/>
    <x v="0"/>
    <m/>
    <m/>
    <m/>
    <s v="05705285884002"/>
    <m/>
    <m/>
    <m/>
    <m/>
    <n v="2"/>
    <n v="0.2"/>
    <b v="0"/>
    <b v="0"/>
    <b v="0"/>
    <b v="0"/>
    <b v="0"/>
    <s v="No"/>
    <s v="No"/>
  </r>
  <r>
    <d v="2023-11-13T00:00:00"/>
    <x v="74"/>
    <s v="FA"/>
    <s v="05705285884003"/>
    <m/>
    <s v="95.2"/>
    <s v="1"/>
    <s v=".39"/>
    <s v="Y"/>
    <s v="N"/>
    <s v="AF"/>
    <s v="090"/>
    <s v="231115"/>
    <s v="ECC"/>
    <s v="EAW"/>
    <m/>
    <m/>
    <m/>
    <s v="STR"/>
    <s v="ATL"/>
    <s v="MIA"/>
    <s v="N"/>
    <s v="LLC52"/>
    <m/>
    <m/>
    <s v="Failed"/>
    <m/>
    <x v="0"/>
    <m/>
    <m/>
    <m/>
    <s v="05705285884003"/>
    <m/>
    <m/>
    <m/>
    <m/>
    <n v="2"/>
    <n v="0.2"/>
    <b v="0"/>
    <b v="0"/>
    <b v="0"/>
    <b v="0"/>
    <b v="0"/>
    <s v="No"/>
    <s v="No"/>
  </r>
  <r>
    <d v="2023-11-13T00:00:00"/>
    <x v="74"/>
    <s v="HA"/>
    <s v="05705285884004"/>
    <m/>
    <s v="95.2"/>
    <s v="1"/>
    <s v=".39"/>
    <s v="Y"/>
    <s v="N"/>
    <s v="AF"/>
    <s v="090"/>
    <s v="231115"/>
    <s v="ECC"/>
    <s v="EAW"/>
    <m/>
    <m/>
    <m/>
    <s v="STR"/>
    <s v="ATL"/>
    <s v="MIA"/>
    <s v="N"/>
    <s v="LLC23"/>
    <m/>
    <m/>
    <s v="Failed"/>
    <m/>
    <x v="0"/>
    <m/>
    <m/>
    <m/>
    <s v="05705285884004"/>
    <m/>
    <m/>
    <m/>
    <m/>
    <n v="2"/>
    <n v="0.2"/>
    <b v="0"/>
    <b v="0"/>
    <b v="0"/>
    <b v="0"/>
    <b v="0"/>
    <s v="No"/>
    <s v="No"/>
  </r>
  <r>
    <d v="2023-11-13T00:00:00"/>
    <x v="74"/>
    <s v="JA"/>
    <s v="05705285884005"/>
    <m/>
    <s v="95.2"/>
    <s v="1"/>
    <s v=".39"/>
    <s v="Y"/>
    <s v="N"/>
    <s v="AF"/>
    <s v="090"/>
    <s v="231115"/>
    <s v="ECC"/>
    <s v="EAW"/>
    <m/>
    <m/>
    <m/>
    <s v="STR"/>
    <s v="ATL"/>
    <s v="MIA"/>
    <s v="N"/>
    <s v="LLC13"/>
    <m/>
    <m/>
    <s v="Failed"/>
    <m/>
    <x v="0"/>
    <m/>
    <m/>
    <m/>
    <s v="05705285884005"/>
    <m/>
    <m/>
    <m/>
    <m/>
    <n v="2"/>
    <n v="0.2"/>
    <b v="0"/>
    <b v="0"/>
    <b v="0"/>
    <b v="0"/>
    <b v="0"/>
    <s v="No"/>
    <s v="No"/>
  </r>
  <r>
    <d v="2023-11-13T00:00:00"/>
    <x v="75"/>
    <s v="BA"/>
    <s v="05705286971001"/>
    <m/>
    <s v="218.2"/>
    <s v="1"/>
    <s v=".73"/>
    <s v="Y"/>
    <s v="N"/>
    <s v="AF"/>
    <s v="682"/>
    <s v="231116"/>
    <s v="ECC"/>
    <s v="HEA"/>
    <s v="EAW"/>
    <m/>
    <m/>
    <s v="STR"/>
    <s v="ATL"/>
    <s v="ATL"/>
    <s v="N"/>
    <s v="51107"/>
    <m/>
    <m/>
    <s v="Failed"/>
    <m/>
    <x v="0"/>
    <m/>
    <m/>
    <m/>
    <s v="05705286971001"/>
    <m/>
    <m/>
    <m/>
    <m/>
    <n v="2"/>
    <n v="0.5"/>
    <b v="0"/>
    <b v="0"/>
    <b v="0"/>
    <b v="0"/>
    <b v="0"/>
    <s v="No"/>
    <s v="No"/>
  </r>
  <r>
    <d v="2023-11-13T00:00:00"/>
    <x v="75"/>
    <s v="DA"/>
    <s v="05705286971002"/>
    <m/>
    <s v="218.3"/>
    <s v="1"/>
    <s v=".74"/>
    <s v="Y"/>
    <s v="N"/>
    <s v="AF"/>
    <s v="682"/>
    <s v="231116"/>
    <s v="ECC"/>
    <s v="HEA"/>
    <s v="EAW"/>
    <m/>
    <m/>
    <s v="STR"/>
    <s v="ATL"/>
    <s v="ATL"/>
    <s v="N"/>
    <s v="49301"/>
    <m/>
    <m/>
    <s v="Failed"/>
    <m/>
    <x v="0"/>
    <m/>
    <m/>
    <m/>
    <s v="05705286971002"/>
    <m/>
    <m/>
    <m/>
    <m/>
    <n v="2"/>
    <n v="0.5"/>
    <b v="0"/>
    <b v="0"/>
    <b v="0"/>
    <b v="0"/>
    <b v="0"/>
    <s v="No"/>
    <s v="No"/>
  </r>
  <r>
    <d v="2023-11-13T00:00:00"/>
    <x v="76"/>
    <s v="BA"/>
    <s v="05705289955001"/>
    <m/>
    <s v="144.0"/>
    <s v="1"/>
    <s v=".73"/>
    <s v="Y"/>
    <s v="N"/>
    <s v="AF"/>
    <s v="712"/>
    <s v="231115"/>
    <s v="ECC"/>
    <s v="EAW"/>
    <m/>
    <m/>
    <m/>
    <s v="MAD"/>
    <s v="ABJ"/>
    <s v="ABJ"/>
    <s v="N"/>
    <s v="S3304"/>
    <m/>
    <m/>
    <s v="Passed"/>
    <m/>
    <x v="5"/>
    <m/>
    <m/>
    <m/>
    <s v="05705289955001"/>
    <m/>
    <m/>
    <m/>
    <m/>
    <n v="2"/>
    <n v="1"/>
    <b v="0"/>
    <b v="0"/>
    <b v="0"/>
    <b v="0"/>
    <b v="0"/>
    <s v="No"/>
    <s v="No"/>
  </r>
  <r>
    <d v="2023-11-13T00:00:00"/>
    <x v="77"/>
    <s v="BA"/>
    <s v="05705290143001"/>
    <m/>
    <s v="130.0"/>
    <s v="1"/>
    <s v=".99"/>
    <s v="Y"/>
    <s v="N"/>
    <s v="AF"/>
    <s v="702"/>
    <s v="231115"/>
    <s v="EAP"/>
    <m/>
    <m/>
    <m/>
    <m/>
    <s v="BRE"/>
    <s v="ABJ"/>
    <s v="ABJ"/>
    <s v="N"/>
    <s v="XLC00"/>
    <m/>
    <m/>
    <s v="Passed"/>
    <m/>
    <x v="5"/>
    <m/>
    <m/>
    <m/>
    <s v="05705290143001"/>
    <m/>
    <m/>
    <m/>
    <m/>
    <n v="2"/>
    <n v="1"/>
    <b v="0"/>
    <b v="0"/>
    <b v="0"/>
    <b v="0"/>
    <b v="0"/>
    <s v="No"/>
    <s v="No"/>
  </r>
  <r>
    <d v="2023-11-13T00:00:00"/>
    <x v="78"/>
    <s v="BA"/>
    <s v="05705290191001"/>
    <m/>
    <s v="79.0"/>
    <s v="1"/>
    <s v=".67"/>
    <s v="Y"/>
    <s v="N"/>
    <s v="AF"/>
    <s v="090"/>
    <s v="231115"/>
    <s v="ECC"/>
    <s v="EAP"/>
    <m/>
    <m/>
    <m/>
    <s v="GRZ"/>
    <s v="MIA"/>
    <s v="MIA"/>
    <s v="N"/>
    <s v="M4301"/>
    <m/>
    <m/>
    <s v="Failed"/>
    <m/>
    <x v="0"/>
    <m/>
    <m/>
    <m/>
    <s v="05705290191001"/>
    <m/>
    <m/>
    <m/>
    <m/>
    <n v="2"/>
    <n v="1"/>
    <b v="0"/>
    <b v="0"/>
    <b v="0"/>
    <b v="0"/>
    <b v="0"/>
    <s v="No"/>
    <s v="No"/>
  </r>
  <r>
    <d v="2023-11-13T00:00:00"/>
    <x v="79"/>
    <s v="BA"/>
    <s v="05705290574001"/>
    <m/>
    <s v="207.0"/>
    <s v="1"/>
    <s v=".60"/>
    <s v="Y"/>
    <s v="N"/>
    <s v="AF"/>
    <s v="178"/>
    <s v="231115"/>
    <s v="ECC"/>
    <s v="HEA"/>
    <m/>
    <m/>
    <m/>
    <s v="LYS"/>
    <s v="MEX"/>
    <s v="MEX"/>
    <s v="N"/>
    <s v="63105"/>
    <m/>
    <m/>
    <s v="Passed"/>
    <m/>
    <x v="5"/>
    <m/>
    <m/>
    <m/>
    <s v="05705290574001"/>
    <m/>
    <m/>
    <m/>
    <m/>
    <n v="2"/>
    <n v="1"/>
    <b v="0"/>
    <b v="0"/>
    <b v="0"/>
    <b v="0"/>
    <b v="0"/>
    <s v="No"/>
    <s v="Yes"/>
  </r>
  <r>
    <d v="2023-11-13T00:00:00"/>
    <x v="80"/>
    <s v="BA"/>
    <s v="05705292571001"/>
    <m/>
    <s v="356.4"/>
    <s v="1"/>
    <s v=".33"/>
    <s v="Y"/>
    <s v="N"/>
    <s v="AF"/>
    <s v="342"/>
    <s v="231116"/>
    <s v="HEA"/>
    <m/>
    <m/>
    <m/>
    <m/>
    <s v="DUB"/>
    <s v="YUL"/>
    <s v="YUL"/>
    <s v="N"/>
    <s v="P4103"/>
    <m/>
    <m/>
    <s v="Failed"/>
    <m/>
    <x v="0"/>
    <m/>
    <m/>
    <m/>
    <s v="05705292571001"/>
    <m/>
    <m/>
    <m/>
    <m/>
    <n v="2"/>
    <n v="0.125"/>
    <b v="0"/>
    <b v="0"/>
    <b v="0"/>
    <b v="0"/>
    <b v="0"/>
    <s v="No"/>
    <s v="No"/>
  </r>
  <r>
    <d v="2023-11-13T00:00:00"/>
    <x v="80"/>
    <s v="DA"/>
    <s v="05705292571002"/>
    <m/>
    <s v="356.4"/>
    <s v="1"/>
    <s v=".33"/>
    <s v="Y"/>
    <s v="N"/>
    <s v="AF"/>
    <s v="342"/>
    <s v="231116"/>
    <s v="HEA"/>
    <m/>
    <m/>
    <m/>
    <m/>
    <s v="DUB"/>
    <s v="YUL"/>
    <s v="YUL"/>
    <s v="N"/>
    <s v="RFK24"/>
    <m/>
    <m/>
    <s v="Failed"/>
    <m/>
    <x v="0"/>
    <m/>
    <m/>
    <m/>
    <s v="05705292571002"/>
    <m/>
    <m/>
    <m/>
    <m/>
    <n v="2"/>
    <n v="0.125"/>
    <b v="0"/>
    <b v="0"/>
    <b v="0"/>
    <b v="0"/>
    <b v="0"/>
    <s v="No"/>
    <s v="No"/>
  </r>
  <r>
    <d v="2023-11-13T00:00:00"/>
    <x v="80"/>
    <s v="FA"/>
    <s v="05705292571003"/>
    <m/>
    <s v="712.7"/>
    <s v="2"/>
    <s v=".66"/>
    <s v="Y"/>
    <s v="N"/>
    <s v="AF"/>
    <s v="342"/>
    <s v="231116"/>
    <s v="HEA"/>
    <m/>
    <m/>
    <m/>
    <m/>
    <s v="DUB"/>
    <s v="YUL"/>
    <s v="YUL"/>
    <s v="N"/>
    <s v="LO100"/>
    <m/>
    <m/>
    <s v="Failed"/>
    <m/>
    <x v="0"/>
    <m/>
    <m/>
    <m/>
    <s v="05705292571003"/>
    <m/>
    <m/>
    <m/>
    <m/>
    <n v="2"/>
    <n v="0.125"/>
    <b v="0"/>
    <b v="0"/>
    <b v="0"/>
    <b v="0"/>
    <b v="0"/>
    <s v="No"/>
    <s v="No"/>
  </r>
  <r>
    <d v="2023-11-13T00:00:00"/>
    <x v="80"/>
    <s v="HA"/>
    <s v="05705292571004"/>
    <m/>
    <s v="712.7"/>
    <s v="2"/>
    <s v=".66"/>
    <s v="Y"/>
    <s v="N"/>
    <s v="AF"/>
    <s v="342"/>
    <s v="231116"/>
    <s v="HEA"/>
    <m/>
    <m/>
    <m/>
    <m/>
    <s v="DUB"/>
    <s v="YUL"/>
    <s v="YUL"/>
    <s v="N"/>
    <s v="RFK24"/>
    <m/>
    <m/>
    <s v="Failed"/>
    <m/>
    <x v="0"/>
    <m/>
    <m/>
    <m/>
    <s v="05705292571004"/>
    <m/>
    <m/>
    <m/>
    <m/>
    <n v="2"/>
    <n v="0.125"/>
    <b v="0"/>
    <b v="0"/>
    <b v="0"/>
    <b v="0"/>
    <b v="0"/>
    <s v="No"/>
    <s v="No"/>
  </r>
  <r>
    <d v="2023-11-13T00:00:00"/>
    <x v="80"/>
    <s v="JA"/>
    <s v="05705292571005"/>
    <m/>
    <s v="712.7"/>
    <s v="2"/>
    <s v=".66"/>
    <s v="Y"/>
    <s v="N"/>
    <s v="AF"/>
    <s v="342"/>
    <s v="231116"/>
    <s v="HEA"/>
    <m/>
    <m/>
    <m/>
    <m/>
    <s v="DUB"/>
    <s v="YUL"/>
    <s v="YUL"/>
    <s v="N"/>
    <s v="RFK24"/>
    <m/>
    <m/>
    <s v="Failed"/>
    <m/>
    <x v="0"/>
    <m/>
    <m/>
    <m/>
    <s v="05705292571005"/>
    <m/>
    <m/>
    <m/>
    <m/>
    <n v="2"/>
    <n v="0.125"/>
    <b v="0"/>
    <b v="0"/>
    <b v="0"/>
    <b v="0"/>
    <b v="0"/>
    <s v="No"/>
    <s v="No"/>
  </r>
  <r>
    <d v="2023-11-13T00:00:00"/>
    <x v="80"/>
    <s v="LA"/>
    <s v="05705292571006"/>
    <m/>
    <s v="356.4"/>
    <s v="1"/>
    <s v=".33"/>
    <s v="Y"/>
    <s v="N"/>
    <s v="AF"/>
    <s v="342"/>
    <s v="231116"/>
    <s v="HEA"/>
    <m/>
    <m/>
    <m/>
    <m/>
    <s v="DUB"/>
    <s v="YUL"/>
    <s v="YUL"/>
    <s v="N"/>
    <s v="RFK24"/>
    <m/>
    <m/>
    <s v="Failed"/>
    <m/>
    <x v="0"/>
    <m/>
    <m/>
    <m/>
    <s v="05705292571006"/>
    <m/>
    <m/>
    <m/>
    <m/>
    <n v="2"/>
    <n v="0.125"/>
    <b v="0"/>
    <b v="0"/>
    <b v="0"/>
    <b v="0"/>
    <b v="0"/>
    <s v="No"/>
    <s v="No"/>
  </r>
  <r>
    <d v="2023-11-13T00:00:00"/>
    <x v="80"/>
    <m/>
    <s v="05705292571007"/>
    <m/>
    <s v="356.4"/>
    <s v="1"/>
    <s v=".33"/>
    <s v="Y"/>
    <s v="N"/>
    <s v="AF"/>
    <s v="342"/>
    <s v="231116"/>
    <s v="HEA"/>
    <m/>
    <m/>
    <m/>
    <m/>
    <s v="DUB"/>
    <s v="YUL"/>
    <s v="YUL"/>
    <s v="N"/>
    <s v="RFK24"/>
    <m/>
    <m/>
    <s v="Failed"/>
    <m/>
    <x v="0"/>
    <m/>
    <m/>
    <m/>
    <s v="05705292571007"/>
    <m/>
    <m/>
    <m/>
    <m/>
    <n v="2"/>
    <n v="0.125"/>
    <b v="0"/>
    <b v="0"/>
    <b v="0"/>
    <b v="0"/>
    <b v="0"/>
    <s v="No"/>
    <s v="No"/>
  </r>
  <r>
    <d v="2023-11-13T00:00:00"/>
    <x v="80"/>
    <s v="PA"/>
    <s v="05705292571008"/>
    <m/>
    <s v="356.4"/>
    <s v="1"/>
    <s v=".33"/>
    <s v="Y"/>
    <s v="N"/>
    <s v="AF"/>
    <s v="342"/>
    <s v="231116"/>
    <s v="HEA"/>
    <m/>
    <m/>
    <m/>
    <m/>
    <s v="DUB"/>
    <s v="YUL"/>
    <s v="YUL"/>
    <s v="N"/>
    <s v="LO100"/>
    <m/>
    <m/>
    <s v="Failed"/>
    <m/>
    <x v="0"/>
    <m/>
    <m/>
    <m/>
    <s v="05705292571008"/>
    <m/>
    <m/>
    <m/>
    <m/>
    <n v="2"/>
    <n v="0.125"/>
    <b v="0"/>
    <b v="0"/>
    <b v="0"/>
    <b v="0"/>
    <b v="0"/>
    <s v="No"/>
    <s v="No"/>
  </r>
  <r>
    <d v="2023-11-13T00:00:00"/>
    <x v="81"/>
    <s v="BA"/>
    <s v="05705292825001"/>
    <m/>
    <s v="307.0"/>
    <s v="1"/>
    <s v="1.01"/>
    <s v="Y"/>
    <s v="N"/>
    <s v="AF"/>
    <s v="6732"/>
    <s v="231115"/>
    <s v="ECC"/>
    <s v="HEA"/>
    <s v="EAP"/>
    <m/>
    <m/>
    <s v="DUS"/>
    <s v="ORD"/>
    <s v="ORD"/>
    <s v="N"/>
    <s v="S6001"/>
    <m/>
    <m/>
    <s v="Failed"/>
    <m/>
    <x v="0"/>
    <m/>
    <m/>
    <m/>
    <s v="05705292825001"/>
    <m/>
    <m/>
    <m/>
    <m/>
    <n v="2"/>
    <n v="1"/>
    <b v="0"/>
    <b v="0"/>
    <b v="0"/>
    <b v="0"/>
    <b v="0"/>
    <s v="No"/>
    <s v="No"/>
  </r>
  <r>
    <d v="2023-11-13T00:00:00"/>
    <x v="82"/>
    <s v="BA"/>
    <s v="05705292862001"/>
    <m/>
    <s v="918.0"/>
    <s v="2"/>
    <s v="2.87"/>
    <s v="Y"/>
    <s v="N"/>
    <s v="AF"/>
    <s v="6732"/>
    <s v="231115"/>
    <s v="HEA"/>
    <s v="OHG"/>
    <m/>
    <m/>
    <m/>
    <s v="OPO"/>
    <s v="ORD"/>
    <s v="ORD"/>
    <s v="N"/>
    <s v="XLC00"/>
    <m/>
    <m/>
    <s v="Failed"/>
    <m/>
    <x v="0"/>
    <m/>
    <m/>
    <m/>
    <s v="05705292862001"/>
    <m/>
    <m/>
    <m/>
    <m/>
    <n v="2"/>
    <n v="1"/>
    <b v="0"/>
    <b v="0"/>
    <b v="0"/>
    <b v="0"/>
    <b v="0"/>
    <s v="No"/>
    <s v="No"/>
  </r>
  <r>
    <d v="2023-11-13T00:00:00"/>
    <x v="83"/>
    <s v="BA"/>
    <s v="05705292921001"/>
    <m/>
    <s v="268.0"/>
    <s v="1"/>
    <s v=".19"/>
    <s v="Y"/>
    <s v="N"/>
    <s v="AF"/>
    <s v="178"/>
    <s v="231115"/>
    <s v="ECC"/>
    <s v="HEA"/>
    <m/>
    <m/>
    <m/>
    <s v="BCN"/>
    <s v="MEX"/>
    <s v="MEX"/>
    <s v="N"/>
    <s v="N3402"/>
    <m/>
    <m/>
    <s v="Failed"/>
    <m/>
    <x v="0"/>
    <m/>
    <m/>
    <m/>
    <s v="05705292921001"/>
    <m/>
    <m/>
    <m/>
    <m/>
    <n v="2"/>
    <n v="1"/>
    <b v="0"/>
    <b v="0"/>
    <b v="0"/>
    <b v="0"/>
    <b v="0"/>
    <s v="No"/>
    <s v="No"/>
  </r>
  <r>
    <d v="2023-11-13T00:00:00"/>
    <x v="84"/>
    <s v="BA"/>
    <s v="05705293455001"/>
    <m/>
    <s v="743.0"/>
    <s v="1"/>
    <s v="1.35"/>
    <s v="Y"/>
    <s v="N"/>
    <s v="AF"/>
    <s v="374"/>
    <s v="231116"/>
    <s v="ECC"/>
    <s v="HEA"/>
    <m/>
    <m/>
    <m/>
    <s v="AMS"/>
    <s v="YVR"/>
    <s v="YVR"/>
    <s v="N"/>
    <s v="51012"/>
    <m/>
    <m/>
    <s v="Passed"/>
    <m/>
    <x v="5"/>
    <m/>
    <m/>
    <m/>
    <s v="05705293455001"/>
    <m/>
    <m/>
    <m/>
    <m/>
    <n v="2"/>
    <n v="1"/>
    <b v="0"/>
    <b v="0"/>
    <b v="0"/>
    <b v="0"/>
    <b v="0"/>
    <s v="No"/>
    <s v="No"/>
  </r>
  <r>
    <d v="2023-11-13T00:00:00"/>
    <x v="85"/>
    <s v="BA"/>
    <s v="05705293772001"/>
    <m/>
    <s v="155.0"/>
    <s v="1"/>
    <s v=".39"/>
    <s v="Y"/>
    <s v="N"/>
    <s v="AF"/>
    <s v="378"/>
    <s v="231115"/>
    <s v="ECC"/>
    <s v="HEA"/>
    <s v="EAW"/>
    <m/>
    <m/>
    <s v="BIO"/>
    <s v="DTW"/>
    <s v="DTW"/>
    <s v="N"/>
    <s v="N3003"/>
    <m/>
    <m/>
    <s v="Failed"/>
    <m/>
    <x v="0"/>
    <m/>
    <m/>
    <m/>
    <s v="05705293772001"/>
    <m/>
    <m/>
    <m/>
    <m/>
    <n v="2"/>
    <n v="0.2"/>
    <b v="0"/>
    <b v="0"/>
    <b v="0"/>
    <b v="0"/>
    <b v="0"/>
    <s v="No"/>
    <s v="No"/>
  </r>
  <r>
    <d v="2023-11-13T00:00:00"/>
    <x v="85"/>
    <s v="DA"/>
    <s v="05705293772002"/>
    <m/>
    <s v="155.0"/>
    <s v="1"/>
    <s v=".39"/>
    <s v="Y"/>
    <s v="N"/>
    <s v="AF"/>
    <s v="378"/>
    <s v="231115"/>
    <s v="ECC"/>
    <s v="HEA"/>
    <s v="EAW"/>
    <m/>
    <m/>
    <s v="BIO"/>
    <s v="DTW"/>
    <s v="DTW"/>
    <s v="N"/>
    <s v="61314"/>
    <m/>
    <m/>
    <s v="Failed"/>
    <m/>
    <x v="0"/>
    <m/>
    <m/>
    <m/>
    <s v="05705293772002"/>
    <m/>
    <m/>
    <m/>
    <m/>
    <n v="2"/>
    <n v="0.2"/>
    <b v="0"/>
    <b v="0"/>
    <b v="0"/>
    <b v="0"/>
    <b v="0"/>
    <s v="No"/>
    <s v="No"/>
  </r>
  <r>
    <d v="2023-11-13T00:00:00"/>
    <x v="85"/>
    <s v="FA"/>
    <s v="05705293772003"/>
    <m/>
    <s v="155.0"/>
    <s v="1"/>
    <s v=".39"/>
    <s v="Y"/>
    <s v="N"/>
    <s v="AF"/>
    <s v="378"/>
    <s v="231115"/>
    <s v="ECC"/>
    <s v="HEA"/>
    <s v="EAW"/>
    <m/>
    <m/>
    <s v="BIO"/>
    <s v="DTW"/>
    <s v="DTW"/>
    <s v="N"/>
    <s v="58310"/>
    <m/>
    <m/>
    <s v="Failed"/>
    <m/>
    <x v="0"/>
    <m/>
    <m/>
    <m/>
    <s v="05705293772003"/>
    <m/>
    <m/>
    <m/>
    <m/>
    <n v="2"/>
    <n v="0.2"/>
    <b v="0"/>
    <b v="0"/>
    <b v="0"/>
    <b v="0"/>
    <b v="0"/>
    <s v="No"/>
    <s v="No"/>
  </r>
  <r>
    <d v="2023-11-13T00:00:00"/>
    <x v="85"/>
    <s v="HA"/>
    <s v="05705293772004"/>
    <m/>
    <s v="155.0"/>
    <s v="1"/>
    <s v=".39"/>
    <s v="Y"/>
    <s v="N"/>
    <s v="AF"/>
    <s v="378"/>
    <s v="231115"/>
    <s v="ECC"/>
    <s v="HEA"/>
    <s v="EAW"/>
    <m/>
    <m/>
    <s v="BIO"/>
    <s v="DTW"/>
    <s v="DTW"/>
    <s v="N"/>
    <s v="LLC00"/>
    <m/>
    <m/>
    <s v="Failed"/>
    <m/>
    <x v="0"/>
    <m/>
    <m/>
    <m/>
    <s v="05705293772004"/>
    <m/>
    <m/>
    <m/>
    <m/>
    <n v="2"/>
    <n v="0.2"/>
    <b v="0"/>
    <b v="0"/>
    <b v="0"/>
    <b v="0"/>
    <b v="0"/>
    <s v="No"/>
    <s v="No"/>
  </r>
  <r>
    <d v="2023-11-13T00:00:00"/>
    <x v="85"/>
    <s v="JA"/>
    <s v="05705293772005"/>
    <m/>
    <s v="155.0"/>
    <s v="1"/>
    <s v=".39"/>
    <s v="Y"/>
    <s v="N"/>
    <s v="AF"/>
    <s v="378"/>
    <s v="231115"/>
    <s v="ECC"/>
    <s v="HEA"/>
    <s v="EAW"/>
    <m/>
    <m/>
    <s v="BIO"/>
    <s v="DTW"/>
    <s v="DTW"/>
    <s v="N"/>
    <s v="LLC00"/>
    <m/>
    <m/>
    <s v="Failed"/>
    <m/>
    <x v="0"/>
    <m/>
    <m/>
    <m/>
    <s v="05705293772005"/>
    <m/>
    <m/>
    <m/>
    <m/>
    <n v="2"/>
    <n v="0.2"/>
    <b v="0"/>
    <b v="0"/>
    <b v="0"/>
    <b v="0"/>
    <b v="0"/>
    <s v="No"/>
    <s v="No"/>
  </r>
  <r>
    <d v="2023-11-13T00:00:00"/>
    <x v="86"/>
    <s v="BA"/>
    <s v="05705302183001"/>
    <m/>
    <s v="68.0"/>
    <s v="4"/>
    <s v=".15"/>
    <s v="Y"/>
    <s v="N"/>
    <s v="AF"/>
    <s v="568"/>
    <s v="231115"/>
    <m/>
    <m/>
    <m/>
    <m/>
    <m/>
    <s v="ORD"/>
    <s v="CAI"/>
    <s v="CAI"/>
    <s v="N"/>
    <s v="T4404"/>
    <m/>
    <m/>
    <s v="Passed"/>
    <m/>
    <x v="0"/>
    <m/>
    <m/>
    <m/>
    <s v="05705302183001"/>
    <m/>
    <m/>
    <m/>
    <m/>
    <n v="2"/>
    <n v="1"/>
    <b v="0"/>
    <b v="0"/>
    <b v="0"/>
    <b v="0"/>
    <b v="0"/>
    <s v="No"/>
    <s v="Yes"/>
  </r>
  <r>
    <d v="2023-11-13T00:00:00"/>
    <x v="87"/>
    <s v="BA"/>
    <s v="05705303012001"/>
    <m/>
    <s v="349.0"/>
    <s v="2"/>
    <s v="4.80"/>
    <s v="Y"/>
    <s v="N"/>
    <s v="DL"/>
    <s v="153"/>
    <s v="231115"/>
    <s v="ECC"/>
    <s v="HEA"/>
    <m/>
    <m/>
    <m/>
    <s v="BOD"/>
    <s v="ORD"/>
    <s v="MSP"/>
    <s v="N"/>
    <s v="XLC00"/>
    <m/>
    <m/>
    <s v="Failed"/>
    <m/>
    <x v="0"/>
    <m/>
    <m/>
    <m/>
    <s v="05705303012001"/>
    <m/>
    <m/>
    <m/>
    <m/>
    <n v="2"/>
    <n v="1"/>
    <b v="0"/>
    <b v="0"/>
    <b v="0"/>
    <b v="0"/>
    <b v="0"/>
    <s v="No"/>
    <s v="No"/>
  </r>
  <r>
    <d v="2023-11-13T00:00:00"/>
    <x v="88"/>
    <s v="BA"/>
    <s v="05705303513001"/>
    <m/>
    <s v="145.0"/>
    <s v="1"/>
    <s v="1.95"/>
    <s v="Y"/>
    <s v="N"/>
    <s v="AF"/>
    <s v="470M"/>
    <s v="231115"/>
    <s v="ECC"/>
    <m/>
    <m/>
    <m/>
    <m/>
    <s v="ORD"/>
    <s v="ARN"/>
    <s v="MMX"/>
    <s v="N"/>
    <s v="MMX01"/>
    <m/>
    <m/>
    <s v="Passed"/>
    <m/>
    <x v="5"/>
    <m/>
    <m/>
    <m/>
    <s v="05705303513001"/>
    <m/>
    <m/>
    <m/>
    <m/>
    <n v="2"/>
    <n v="1"/>
    <b v="0"/>
    <b v="0"/>
    <b v="0"/>
    <b v="0"/>
    <b v="0"/>
    <s v="No"/>
    <s v="Yes"/>
  </r>
  <r>
    <d v="2023-11-13T00:00:00"/>
    <x v="89"/>
    <s v="DA"/>
    <s v="05705304950002"/>
    <m/>
    <s v="606.7"/>
    <s v="1"/>
    <s v="1.34"/>
    <s v="Y"/>
    <s v="N"/>
    <s v="AF"/>
    <s v="026"/>
    <s v="231115"/>
    <s v="HEA"/>
    <s v="EAP"/>
    <m/>
    <m/>
    <m/>
    <s v="STR"/>
    <s v="IAD"/>
    <s v="IAD"/>
    <s v="N"/>
    <s v="HLC162"/>
    <m/>
    <m/>
    <s v="Failed"/>
    <m/>
    <x v="0"/>
    <m/>
    <m/>
    <m/>
    <s v="05705304950001"/>
    <m/>
    <m/>
    <m/>
    <m/>
    <n v="2"/>
    <n v="0.33333333333333331"/>
    <b v="0"/>
    <b v="0"/>
    <b v="0"/>
    <b v="0"/>
    <b v="0"/>
    <s v="No"/>
    <s v="No"/>
  </r>
  <r>
    <d v="2023-11-13T00:00:00"/>
    <x v="90"/>
    <s v="FA"/>
    <s v="05705304950003"/>
    <m/>
    <s v="606.7"/>
    <s v="1"/>
    <s v="1.34"/>
    <s v="Y"/>
    <s v="N"/>
    <s v="AF"/>
    <s v="026"/>
    <s v="231115"/>
    <s v="HEA"/>
    <s v="EAP"/>
    <m/>
    <m/>
    <m/>
    <s v="STR"/>
    <s v="IAD"/>
    <s v="IAD"/>
    <s v="N"/>
    <s v="XLC00"/>
    <m/>
    <m/>
    <s v="Failed"/>
    <m/>
    <x v="0"/>
    <m/>
    <m/>
    <m/>
    <s v="05705304950002"/>
    <m/>
    <m/>
    <m/>
    <m/>
    <n v="2"/>
    <n v="0.33333333333333331"/>
    <b v="0"/>
    <b v="0"/>
    <b v="0"/>
    <b v="0"/>
    <b v="0"/>
    <s v="No"/>
    <s v="No"/>
  </r>
  <r>
    <d v="2023-11-13T00:00:00"/>
    <x v="89"/>
    <s v="HA"/>
    <s v="05705304950004"/>
    <m/>
    <s v="606.7"/>
    <s v="1"/>
    <s v="1.34"/>
    <s v="Y"/>
    <s v="N"/>
    <s v="AF"/>
    <s v="026"/>
    <s v="231115"/>
    <s v="HEA"/>
    <s v="EAP"/>
    <m/>
    <m/>
    <m/>
    <s v="STR"/>
    <s v="IAD"/>
    <s v="IAD"/>
    <s v="N"/>
    <s v="51010"/>
    <m/>
    <m/>
    <s v="Failed"/>
    <m/>
    <x v="0"/>
    <m/>
    <m/>
    <m/>
    <s v="05705304950003"/>
    <m/>
    <m/>
    <m/>
    <m/>
    <n v="2"/>
    <n v="0.33333333333333331"/>
    <b v="0"/>
    <b v="0"/>
    <b v="0"/>
    <b v="0"/>
    <b v="0"/>
    <s v="No"/>
    <s v="No"/>
  </r>
  <r>
    <d v="2023-11-13T00:00:00"/>
    <x v="91"/>
    <s v="BA"/>
    <s v="05705309780001"/>
    <m/>
    <s v="379.0"/>
    <s v="1"/>
    <s v="1.16"/>
    <s v="Y"/>
    <s v="N"/>
    <s v="AF"/>
    <s v="342"/>
    <s v="231115"/>
    <s v="ECC"/>
    <s v="HEA"/>
    <m/>
    <m/>
    <m/>
    <s v="MAD"/>
    <s v="YUL"/>
    <s v="YUL"/>
    <s v="N"/>
    <s v="LLC30"/>
    <m/>
    <m/>
    <s v="Failed"/>
    <m/>
    <x v="0"/>
    <m/>
    <m/>
    <m/>
    <s v="05705309780001"/>
    <m/>
    <m/>
    <m/>
    <m/>
    <n v="2"/>
    <n v="0.5"/>
    <b v="0"/>
    <b v="0"/>
    <b v="0"/>
    <b v="0"/>
    <b v="0"/>
    <s v="No"/>
    <s v="No"/>
  </r>
  <r>
    <d v="2023-11-13T00:00:00"/>
    <x v="91"/>
    <s v="DA"/>
    <s v="05705309780002"/>
    <m/>
    <s v="379.0"/>
    <s v="1"/>
    <s v="1.17"/>
    <s v="Y"/>
    <s v="N"/>
    <s v="AF"/>
    <s v="342"/>
    <s v="231115"/>
    <s v="ECC"/>
    <s v="HEA"/>
    <m/>
    <m/>
    <m/>
    <s v="MAD"/>
    <s v="YUL"/>
    <s v="YUL"/>
    <s v="N"/>
    <s v="HLC125"/>
    <m/>
    <m/>
    <s v="Failed"/>
    <m/>
    <x v="0"/>
    <m/>
    <m/>
    <m/>
    <s v="05705309780002"/>
    <m/>
    <m/>
    <m/>
    <m/>
    <n v="2"/>
    <n v="0.5"/>
    <b v="0"/>
    <b v="0"/>
    <b v="0"/>
    <b v="0"/>
    <b v="0"/>
    <s v="No"/>
    <s v="No"/>
  </r>
  <r>
    <d v="2023-11-13T00:00:00"/>
    <x v="92"/>
    <s v="BA"/>
    <s v="05705326156001"/>
    <s v="PMC24596KL"/>
    <s v="120.0"/>
    <s v="1"/>
    <s v=".98"/>
    <s v="Y"/>
    <s v="N"/>
    <s v="AF"/>
    <s v="178"/>
    <s v="231115"/>
    <s v="XPH"/>
    <m/>
    <m/>
    <m/>
    <m/>
    <s v="LYS"/>
    <s v="MEX"/>
    <s v="MEX"/>
    <s v="N"/>
    <s v="B2A-5119"/>
    <s v="ML"/>
    <m/>
    <s v="Failed"/>
    <m/>
    <x v="5"/>
    <m/>
    <m/>
    <m/>
    <s v="05705326156001"/>
    <m/>
    <m/>
    <m/>
    <m/>
    <n v="2"/>
    <n v="1"/>
    <b v="0"/>
    <b v="0"/>
    <b v="0"/>
    <b v="0"/>
    <b v="0"/>
    <s v="No"/>
    <s v="Yes"/>
  </r>
  <r>
    <d v="2023-11-13T00:00:00"/>
    <x v="93"/>
    <s v="BA"/>
    <s v="05705326720001"/>
    <m/>
    <s v="397.0"/>
    <s v="1"/>
    <s v=".95"/>
    <s v="Y"/>
    <s v="N"/>
    <s v="AF"/>
    <s v="658M"/>
    <s v="231115"/>
    <s v="ECC"/>
    <s v="HEA"/>
    <s v="EAP"/>
    <m/>
    <m/>
    <s v="ORD"/>
    <s v="BCN"/>
    <s v="BCN"/>
    <s v="N"/>
    <s v="BCN01"/>
    <m/>
    <m/>
    <s v="Failed"/>
    <m/>
    <x v="3"/>
    <m/>
    <m/>
    <m/>
    <m/>
    <m/>
    <m/>
    <m/>
    <m/>
    <n v="2"/>
    <n v="1"/>
    <b v="0"/>
    <b v="0"/>
    <b v="0"/>
    <b v="0"/>
    <b v="0"/>
    <s v="No"/>
    <s v="Yes"/>
  </r>
  <r>
    <d v="2023-11-13T00:00:00"/>
    <x v="94"/>
    <s v="BA"/>
    <s v="05705329516001"/>
    <m/>
    <s v="97.0"/>
    <s v="1"/>
    <s v=".88"/>
    <s v="Y"/>
    <s v="N"/>
    <s v="AF"/>
    <s v="664M"/>
    <s v="231119"/>
    <m/>
    <m/>
    <m/>
    <m/>
    <m/>
    <s v="ATL"/>
    <s v="BIO"/>
    <s v="BIO"/>
    <s v="N"/>
    <s v="16005"/>
    <m/>
    <m/>
    <s v="Failed"/>
    <m/>
    <x v="0"/>
    <m/>
    <m/>
    <m/>
    <s v="05705329516001"/>
    <m/>
    <m/>
    <m/>
    <m/>
    <n v="2"/>
    <n v="1"/>
    <b v="0"/>
    <b v="0"/>
    <b v="0"/>
    <b v="0"/>
    <b v="0"/>
    <s v="No"/>
    <s v="No"/>
  </r>
  <r>
    <d v="2023-11-13T00:00:00"/>
    <x v="95"/>
    <s v="BA"/>
    <s v="05705332784001"/>
    <m/>
    <s v="129.0"/>
    <s v="1"/>
    <s v=".98"/>
    <s v="Y"/>
    <s v="N"/>
    <s v="AF"/>
    <s v="712"/>
    <s v="231115"/>
    <s v="PRC"/>
    <s v="ECC"/>
    <s v="EAP"/>
    <m/>
    <m/>
    <s v="IAH"/>
    <s v="ABJ"/>
    <s v="ABJ"/>
    <s v="N"/>
    <s v="S1104"/>
    <m/>
    <m/>
    <s v="Passed"/>
    <m/>
    <x v="5"/>
    <m/>
    <m/>
    <m/>
    <s v="05705332784001"/>
    <m/>
    <m/>
    <m/>
    <m/>
    <n v="2"/>
    <n v="1"/>
    <b v="0"/>
    <b v="0"/>
    <b v="0"/>
    <b v="0"/>
    <b v="0"/>
    <s v="No"/>
    <s v="Yes"/>
  </r>
  <r>
    <d v="2023-11-13T00:00:00"/>
    <x v="96"/>
    <s v="BA"/>
    <s v="05705339003001"/>
    <m/>
    <s v="190.0"/>
    <s v="1"/>
    <s v=".69"/>
    <s v="Y"/>
    <s v="N"/>
    <s v="AF"/>
    <s v="990"/>
    <s v="231115"/>
    <s v="ECC"/>
    <s v="HEA"/>
    <s v="EAP"/>
    <s v="EAW"/>
    <m/>
    <s v="LAX"/>
    <s v="JNB"/>
    <s v="JNB"/>
    <s v="N"/>
    <s v="53305"/>
    <m/>
    <m/>
    <s v="Failed"/>
    <m/>
    <x v="0"/>
    <m/>
    <m/>
    <m/>
    <s v="05705339003001"/>
    <m/>
    <m/>
    <m/>
    <m/>
    <n v="2"/>
    <n v="1"/>
    <b v="0"/>
    <b v="0"/>
    <b v="0"/>
    <b v="0"/>
    <b v="0"/>
    <s v="No"/>
    <s v="No"/>
  </r>
  <r>
    <d v="2023-11-13T00:00:00"/>
    <x v="97"/>
    <s v="BA"/>
    <s v="05706363685001"/>
    <m/>
    <s v="135.0"/>
    <s v="1"/>
    <s v="1.81"/>
    <s v="Y"/>
    <s v="N"/>
    <s v="AF"/>
    <s v="682"/>
    <s v="231115"/>
    <s v="ECC"/>
    <s v="EAP"/>
    <m/>
    <m/>
    <m/>
    <s v="SIN"/>
    <s v="ATL"/>
    <s v="ATL"/>
    <s v="N"/>
    <s v="56208"/>
    <m/>
    <m/>
    <s v="Failed"/>
    <m/>
    <x v="0"/>
    <m/>
    <m/>
    <m/>
    <s v="05706363685001"/>
    <m/>
    <m/>
    <m/>
    <m/>
    <n v="2"/>
    <n v="0.5"/>
    <b v="0"/>
    <b v="0"/>
    <b v="0"/>
    <b v="0"/>
    <b v="0"/>
    <s v="No"/>
    <s v="No"/>
  </r>
  <r>
    <d v="2023-11-13T00:00:00"/>
    <x v="97"/>
    <s v="DA"/>
    <s v="05706363685002"/>
    <m/>
    <s v="135.0"/>
    <s v="1"/>
    <s v="1.82"/>
    <s v="Y"/>
    <s v="N"/>
    <s v="AF"/>
    <s v="682"/>
    <s v="231115"/>
    <s v="ECC"/>
    <s v="EAP"/>
    <m/>
    <m/>
    <m/>
    <s v="SIN"/>
    <s v="ATL"/>
    <s v="ATL"/>
    <s v="N"/>
    <s v="M3301"/>
    <m/>
    <m/>
    <s v="Failed"/>
    <m/>
    <x v="0"/>
    <m/>
    <m/>
    <m/>
    <s v="05706363685002"/>
    <m/>
    <m/>
    <m/>
    <m/>
    <n v="2"/>
    <n v="0.5"/>
    <b v="0"/>
    <b v="0"/>
    <b v="0"/>
    <b v="0"/>
    <b v="0"/>
    <s v="No"/>
    <s v="No"/>
  </r>
  <r>
    <d v="2023-11-13T00:00:00"/>
    <x v="98"/>
    <s v="BA"/>
    <s v="05707740504001"/>
    <m/>
    <s v="144.0"/>
    <s v="1"/>
    <s v="1.05"/>
    <s v="Y"/>
    <s v="N"/>
    <s v="AF"/>
    <s v="712"/>
    <s v="231115"/>
    <s v="ECC"/>
    <m/>
    <m/>
    <m/>
    <m/>
    <s v="BRU"/>
    <s v="ABJ"/>
    <s v="ABJ"/>
    <s v="N"/>
    <s v="R7102"/>
    <m/>
    <m/>
    <s v="Failed"/>
    <m/>
    <x v="0"/>
    <m/>
    <m/>
    <m/>
    <s v="05707740504001"/>
    <m/>
    <m/>
    <m/>
    <m/>
    <n v="2"/>
    <n v="1"/>
    <b v="0"/>
    <b v="0"/>
    <b v="0"/>
    <b v="0"/>
    <b v="0"/>
    <s v="No"/>
    <s v="No"/>
  </r>
  <r>
    <d v="2023-11-13T00:00:00"/>
    <x v="99"/>
    <s v="BA"/>
    <s v="05708119996001"/>
    <m/>
    <s v="204.1"/>
    <s v="1"/>
    <s v=".44"/>
    <s v="Y"/>
    <s v="N"/>
    <s v="AF"/>
    <s v="928"/>
    <s v="231116"/>
    <s v="PRC"/>
    <s v="ECP"/>
    <s v="HEA"/>
    <s v="EAP"/>
    <m/>
    <s v="IAH"/>
    <s v="PNR"/>
    <s v="PNR"/>
    <s v="N"/>
    <s v="S1302"/>
    <m/>
    <m/>
    <s v="Passed"/>
    <m/>
    <x v="5"/>
    <m/>
    <m/>
    <m/>
    <s v="05708119996001"/>
    <m/>
    <m/>
    <m/>
    <m/>
    <n v="2"/>
    <n v="1"/>
    <b v="0"/>
    <b v="0"/>
    <b v="0"/>
    <b v="0"/>
    <b v="0"/>
    <s v="No"/>
    <s v="Yes"/>
  </r>
  <r>
    <d v="2023-11-13T00:00:00"/>
    <x v="100"/>
    <s v="BA"/>
    <s v="05708125876001"/>
    <m/>
    <s v="253.0"/>
    <s v="1"/>
    <s v="1.37"/>
    <s v="Y"/>
    <s v="N"/>
    <s v="AF"/>
    <s v="568"/>
    <s v="231115"/>
    <s v="ECP"/>
    <s v="HEA"/>
    <s v="EAP"/>
    <m/>
    <m/>
    <s v="LAX"/>
    <s v="CAI"/>
    <s v="CAI"/>
    <s v="N"/>
    <s v="S8104"/>
    <m/>
    <m/>
    <s v="Passed"/>
    <m/>
    <x v="5"/>
    <m/>
    <m/>
    <m/>
    <s v="05708125876001"/>
    <m/>
    <m/>
    <m/>
    <m/>
    <n v="2"/>
    <n v="1"/>
    <b v="0"/>
    <b v="0"/>
    <b v="0"/>
    <b v="0"/>
    <b v="0"/>
    <s v="No"/>
    <s v="No"/>
  </r>
  <r>
    <d v="2023-11-13T00:00:00"/>
    <x v="101"/>
    <s v="BA"/>
    <s v="05708125891001"/>
    <m/>
    <s v="204.0"/>
    <s v="1"/>
    <s v="1.32"/>
    <s v="Y"/>
    <s v="N"/>
    <s v="AF"/>
    <s v="568"/>
    <s v="231115"/>
    <s v="ECP"/>
    <s v="HEA"/>
    <s v="EAP"/>
    <m/>
    <m/>
    <s v="LAX"/>
    <s v="CAI"/>
    <s v="CAI"/>
    <s v="N"/>
    <s v="49305"/>
    <m/>
    <m/>
    <s v="Passed"/>
    <m/>
    <x v="5"/>
    <m/>
    <m/>
    <m/>
    <s v="05708125891001"/>
    <m/>
    <m/>
    <m/>
    <m/>
    <n v="2"/>
    <n v="1"/>
    <b v="0"/>
    <b v="0"/>
    <b v="0"/>
    <b v="0"/>
    <b v="0"/>
    <s v="No"/>
    <s v="No"/>
  </r>
  <r>
    <d v="2023-11-13T00:00:00"/>
    <x v="102"/>
    <s v="BA"/>
    <s v="05708331142001"/>
    <m/>
    <s v="285.0"/>
    <s v="1"/>
    <s v=".19"/>
    <s v="Y"/>
    <s v="N"/>
    <s v="AF"/>
    <s v="374"/>
    <s v="231116"/>
    <s v="ECC"/>
    <s v="HEA"/>
    <m/>
    <m/>
    <m/>
    <s v="MXP"/>
    <s v="YVR"/>
    <s v="YVR"/>
    <s v="N"/>
    <s v="M2304"/>
    <m/>
    <m/>
    <s v="Failed"/>
    <m/>
    <x v="0"/>
    <m/>
    <m/>
    <m/>
    <s v="05708331142001"/>
    <m/>
    <m/>
    <m/>
    <m/>
    <n v="2"/>
    <n v="1"/>
    <b v="0"/>
    <b v="0"/>
    <b v="0"/>
    <b v="0"/>
    <b v="0"/>
    <s v="No"/>
    <s v="No"/>
  </r>
  <r>
    <d v="2023-11-13T00:00:00"/>
    <x v="103"/>
    <s v="BA"/>
    <s v="05708408315001"/>
    <m/>
    <s v="1100.0"/>
    <s v="1"/>
    <s v="2.21"/>
    <s v="Y"/>
    <s v="N"/>
    <s v="AF"/>
    <s v="148"/>
    <s v="231115"/>
    <s v="ECC"/>
    <s v="HEA"/>
    <s v="EAP"/>
    <m/>
    <m/>
    <s v="MTY"/>
    <s v="LOS"/>
    <s v="LOS"/>
    <s v="N"/>
    <s v="XLC20"/>
    <m/>
    <m/>
    <s v="Failed"/>
    <m/>
    <x v="0"/>
    <m/>
    <m/>
    <m/>
    <s v="05708408315001"/>
    <m/>
    <m/>
    <m/>
    <m/>
    <n v="2"/>
    <n v="1"/>
    <b v="0"/>
    <b v="0"/>
    <b v="0"/>
    <b v="0"/>
    <b v="0"/>
    <s v="No"/>
    <s v="No"/>
  </r>
  <r>
    <d v="2023-11-13T00:00:00"/>
    <x v="104"/>
    <s v="BA"/>
    <s v="05708903414001"/>
    <m/>
    <s v="152.5"/>
    <s v="1"/>
    <s v="1.29"/>
    <s v="Y"/>
    <s v="N"/>
    <s v="AF"/>
    <s v="084"/>
    <s v="231116"/>
    <s v="HEA"/>
    <m/>
    <m/>
    <m/>
    <m/>
    <s v="BRU"/>
    <s v="SFO"/>
    <s v="SFO"/>
    <s v="N"/>
    <s v="M4304"/>
    <m/>
    <m/>
    <s v="Failed"/>
    <m/>
    <x v="0"/>
    <m/>
    <m/>
    <m/>
    <s v="05708903414001"/>
    <m/>
    <m/>
    <m/>
    <m/>
    <n v="2"/>
    <n v="0.5"/>
    <b v="0"/>
    <b v="0"/>
    <b v="0"/>
    <b v="0"/>
    <b v="0"/>
    <s v="No"/>
    <s v="No"/>
  </r>
  <r>
    <d v="2023-11-13T00:00:00"/>
    <x v="104"/>
    <s v="DA"/>
    <s v="05708903414002"/>
    <m/>
    <s v="152.5"/>
    <s v="1"/>
    <s v="1.30"/>
    <s v="Y"/>
    <s v="N"/>
    <s v="AF"/>
    <s v="084"/>
    <s v="231116"/>
    <s v="HEA"/>
    <m/>
    <m/>
    <m/>
    <m/>
    <s v="BRU"/>
    <s v="SFO"/>
    <s v="SFO"/>
    <s v="N"/>
    <s v="N5304"/>
    <m/>
    <m/>
    <s v="Failed"/>
    <m/>
    <x v="0"/>
    <m/>
    <m/>
    <m/>
    <s v=" "/>
    <m/>
    <m/>
    <m/>
    <m/>
    <n v="2"/>
    <n v="0.5"/>
    <b v="0"/>
    <b v="0"/>
    <b v="0"/>
    <b v="0"/>
    <b v="0"/>
    <s v="No"/>
    <s v="No"/>
  </r>
  <r>
    <d v="2023-11-13T00:00:00"/>
    <x v="105"/>
    <s v="BA"/>
    <s v="05708991356001"/>
    <m/>
    <s v="374.0"/>
    <s v="1"/>
    <s v=".71"/>
    <s v="Y"/>
    <s v="N"/>
    <s v="AF"/>
    <s v="178"/>
    <s v="231115"/>
    <s v="VIC"/>
    <s v="HEA"/>
    <m/>
    <m/>
    <m/>
    <s v="LJU"/>
    <s v="MEX"/>
    <s v="MEX"/>
    <s v="N"/>
    <s v="Y8012"/>
    <m/>
    <m/>
    <s v="Passed"/>
    <m/>
    <x v="5"/>
    <m/>
    <m/>
    <m/>
    <s v="05708991356001"/>
    <m/>
    <m/>
    <m/>
    <m/>
    <n v="2"/>
    <n v="1"/>
    <b v="0"/>
    <b v="0"/>
    <b v="0"/>
    <b v="0"/>
    <b v="0"/>
    <s v="No"/>
    <s v="No"/>
  </r>
  <r>
    <d v="2023-11-13T00:00:00"/>
    <x v="106"/>
    <s v="FA"/>
    <s v="05709117220003"/>
    <m/>
    <s v="266.0"/>
    <s v="1"/>
    <s v="1.11"/>
    <s v="Y"/>
    <s v="N"/>
    <s v="AF"/>
    <s v="804"/>
    <s v="231115"/>
    <s v="NCC"/>
    <s v="ECP"/>
    <s v="HEA"/>
    <s v="EAP"/>
    <s v="EAW"/>
    <s v="BOM"/>
    <s v="COO"/>
    <s v="COO"/>
    <s v="N"/>
    <s v="XLC00"/>
    <m/>
    <m/>
    <s v="Failed"/>
    <m/>
    <x v="0"/>
    <m/>
    <m/>
    <m/>
    <s v="05709117220001"/>
    <m/>
    <m/>
    <m/>
    <m/>
    <n v="2"/>
    <n v="0.5"/>
    <b v="0"/>
    <b v="0"/>
    <b v="0"/>
    <b v="0"/>
    <b v="0"/>
    <s v="No"/>
    <s v="No"/>
  </r>
  <r>
    <d v="2023-11-13T00:00:00"/>
    <x v="106"/>
    <s v="HA"/>
    <s v="05709117220004"/>
    <m/>
    <s v="266.0"/>
    <s v="1"/>
    <s v="1.12"/>
    <s v="Y"/>
    <s v="N"/>
    <s v="AF"/>
    <s v="804"/>
    <s v="231115"/>
    <s v="NCC"/>
    <s v="ECP"/>
    <s v="HEA"/>
    <s v="EAP"/>
    <s v="EAW"/>
    <s v="BOM"/>
    <s v="COO"/>
    <s v="COO"/>
    <s v="N"/>
    <s v="XLC00"/>
    <m/>
    <m/>
    <s v="Failed"/>
    <m/>
    <x v="0"/>
    <m/>
    <m/>
    <m/>
    <s v="05709117220002"/>
    <m/>
    <m/>
    <m/>
    <m/>
    <n v="2"/>
    <n v="0.5"/>
    <b v="0"/>
    <b v="0"/>
    <b v="0"/>
    <b v="0"/>
    <b v="0"/>
    <s v="No"/>
    <s v="No"/>
  </r>
  <r>
    <d v="2023-11-13T00:00:00"/>
    <x v="107"/>
    <s v="BA"/>
    <s v="05709367993001"/>
    <m/>
    <s v="145.0"/>
    <s v="1"/>
    <s v=".91"/>
    <s v="Y"/>
    <s v="N"/>
    <s v="AF"/>
    <s v="722"/>
    <s v="231118"/>
    <m/>
    <m/>
    <m/>
    <m/>
    <m/>
    <s v="LIS"/>
    <s v="FIH"/>
    <s v="FIH"/>
    <s v="N"/>
    <s v="63310"/>
    <m/>
    <m/>
    <s v="Passed"/>
    <m/>
    <x v="5"/>
    <m/>
    <m/>
    <m/>
    <s v="05709367993001"/>
    <m/>
    <m/>
    <m/>
    <m/>
    <n v="2"/>
    <n v="1"/>
    <b v="0"/>
    <b v="0"/>
    <b v="0"/>
    <b v="0"/>
    <b v="0"/>
    <s v="No"/>
    <s v="No"/>
  </r>
  <r>
    <d v="2023-11-13T00:00:00"/>
    <x v="108"/>
    <s v="BA"/>
    <s v="05709904845001"/>
    <m/>
    <s v="254.0"/>
    <s v="1"/>
    <s v="2.75"/>
    <s v="Y"/>
    <s v="N"/>
    <s v="AF"/>
    <s v="474"/>
    <s v="231115"/>
    <s v="CRT"/>
    <s v="PIL"/>
    <s v="ECP"/>
    <s v="HEA"/>
    <m/>
    <s v="GVA"/>
    <s v="PTY"/>
    <s v="PTY"/>
    <s v="N"/>
    <s v="C2016"/>
    <m/>
    <m/>
    <s v="Failed"/>
    <m/>
    <x v="0"/>
    <m/>
    <m/>
    <m/>
    <s v="05709904845001"/>
    <m/>
    <m/>
    <m/>
    <m/>
    <n v="2"/>
    <n v="0.5"/>
    <b v="0"/>
    <b v="0"/>
    <b v="0"/>
    <b v="0"/>
    <b v="0"/>
    <s v="No"/>
    <s v="No"/>
  </r>
  <r>
    <d v="2023-11-13T00:00:00"/>
    <x v="108"/>
    <s v="DA"/>
    <s v="05709904845002"/>
    <m/>
    <s v="254.0"/>
    <s v="1"/>
    <s v="2.76"/>
    <s v="Y"/>
    <s v="N"/>
    <s v="AF"/>
    <s v="474"/>
    <s v="231115"/>
    <s v="CRT"/>
    <s v="PIL"/>
    <s v="ECP"/>
    <s v="HEA"/>
    <m/>
    <s v="GVA"/>
    <s v="PTY"/>
    <s v="PTY"/>
    <s v="N"/>
    <s v="C2101"/>
    <m/>
    <m/>
    <s v="Failed"/>
    <m/>
    <x v="0"/>
    <m/>
    <m/>
    <m/>
    <s v=" "/>
    <m/>
    <m/>
    <m/>
    <m/>
    <n v="2"/>
    <n v="0.5"/>
    <b v="0"/>
    <b v="0"/>
    <b v="0"/>
    <b v="0"/>
    <b v="0"/>
    <s v="No"/>
    <s v="No"/>
  </r>
  <r>
    <d v="2023-11-13T00:00:00"/>
    <x v="109"/>
    <s v="BA"/>
    <s v="05710857066001"/>
    <m/>
    <s v="95.0"/>
    <s v="1"/>
    <s v=".67"/>
    <s v="Y"/>
    <s v="N"/>
    <s v="AF"/>
    <s v="712"/>
    <s v="231115"/>
    <m/>
    <m/>
    <m/>
    <m/>
    <m/>
    <s v="OPO"/>
    <s v="ABJ"/>
    <s v="ABJ"/>
    <s v="N"/>
    <s v="P9302"/>
    <m/>
    <m/>
    <s v="Failed"/>
    <m/>
    <x v="0"/>
    <m/>
    <m/>
    <m/>
    <s v="05710857066001"/>
    <m/>
    <m/>
    <m/>
    <m/>
    <n v="2"/>
    <n v="0.25"/>
    <b v="0"/>
    <b v="0"/>
    <b v="0"/>
    <b v="0"/>
    <b v="0"/>
    <s v="No"/>
    <s v="No"/>
  </r>
  <r>
    <d v="2023-11-13T00:00:00"/>
    <x v="109"/>
    <s v="DA"/>
    <s v="05710857066002"/>
    <m/>
    <s v="95.0"/>
    <s v="1"/>
    <s v=".68"/>
    <s v="Y"/>
    <s v="N"/>
    <s v="AF"/>
    <s v="712"/>
    <s v="231115"/>
    <m/>
    <m/>
    <m/>
    <m/>
    <m/>
    <s v="OPO"/>
    <s v="ABJ"/>
    <s v="ABJ"/>
    <s v="N"/>
    <s v="Y6106"/>
    <m/>
    <m/>
    <s v="Failed"/>
    <m/>
    <x v="0"/>
    <m/>
    <m/>
    <m/>
    <s v="05710857066002"/>
    <m/>
    <m/>
    <m/>
    <m/>
    <n v="2"/>
    <n v="0.25"/>
    <b v="0"/>
    <b v="0"/>
    <b v="0"/>
    <b v="0"/>
    <b v="0"/>
    <s v="No"/>
    <s v="No"/>
  </r>
  <r>
    <d v="2023-11-13T00:00:00"/>
    <x v="109"/>
    <s v="FA"/>
    <s v="05710857066003"/>
    <m/>
    <s v="95.0"/>
    <s v="1"/>
    <s v=".68"/>
    <s v="Y"/>
    <s v="N"/>
    <s v="AF"/>
    <s v="712"/>
    <s v="231115"/>
    <m/>
    <m/>
    <m/>
    <m/>
    <m/>
    <s v="OPO"/>
    <s v="ABJ"/>
    <s v="ABJ"/>
    <s v="N"/>
    <s v="Y6104"/>
    <m/>
    <m/>
    <s v="Failed"/>
    <m/>
    <x v="0"/>
    <m/>
    <m/>
    <m/>
    <s v="05710857066003"/>
    <m/>
    <m/>
    <m/>
    <m/>
    <n v="2"/>
    <n v="0.25"/>
    <b v="0"/>
    <b v="0"/>
    <b v="0"/>
    <b v="0"/>
    <b v="0"/>
    <s v="No"/>
    <s v="No"/>
  </r>
  <r>
    <d v="2023-11-13T00:00:00"/>
    <x v="109"/>
    <s v="HA"/>
    <s v="05710857066004"/>
    <m/>
    <s v="95.0"/>
    <s v="1"/>
    <s v=".68"/>
    <s v="Y"/>
    <s v="N"/>
    <s v="AF"/>
    <s v="712"/>
    <s v="231115"/>
    <m/>
    <m/>
    <m/>
    <m/>
    <m/>
    <s v="OPO"/>
    <s v="ABJ"/>
    <s v="ABJ"/>
    <s v="N"/>
    <s v="HLC033"/>
    <m/>
    <m/>
    <s v="Failed"/>
    <m/>
    <x v="0"/>
    <m/>
    <m/>
    <m/>
    <s v=" "/>
    <m/>
    <m/>
    <m/>
    <m/>
    <n v="2"/>
    <n v="0.25"/>
    <b v="0"/>
    <b v="0"/>
    <b v="0"/>
    <b v="0"/>
    <b v="0"/>
    <s v="No"/>
    <s v="No"/>
  </r>
  <r>
    <d v="2023-11-13T00:00:00"/>
    <x v="110"/>
    <s v="BA"/>
    <s v="05711379885001"/>
    <m/>
    <s v="215.0"/>
    <s v="9"/>
    <s v="1.06"/>
    <s v="Y"/>
    <s v="N"/>
    <s v="AF"/>
    <s v="026"/>
    <s v="231115"/>
    <m/>
    <m/>
    <m/>
    <m/>
    <m/>
    <s v="FLR"/>
    <s v="CLT"/>
    <s v="IAD"/>
    <s v="N"/>
    <s v="N1404"/>
    <m/>
    <m/>
    <s v="Failed"/>
    <m/>
    <x v="0"/>
    <m/>
    <m/>
    <m/>
    <s v="05710857066001"/>
    <m/>
    <m/>
    <m/>
    <m/>
    <n v="2"/>
    <n v="1"/>
    <b v="0"/>
    <b v="0"/>
    <b v="0"/>
    <b v="0"/>
    <b v="0"/>
    <s v="No"/>
    <s v="No"/>
  </r>
  <r>
    <d v="2023-11-13T00:00:00"/>
    <x v="111"/>
    <s v="BA"/>
    <s v="05711410055001"/>
    <m/>
    <s v="346.5"/>
    <s v="1"/>
    <s v="1.16"/>
    <s v="Y"/>
    <s v="N"/>
    <s v="AF"/>
    <s v="658M"/>
    <s v="231115"/>
    <s v="ECC"/>
    <s v="HEA"/>
    <m/>
    <m/>
    <m/>
    <s v="ORD"/>
    <s v="VLC"/>
    <s v="VLC"/>
    <s v="N"/>
    <s v="18301"/>
    <m/>
    <m/>
    <s v="Passed"/>
    <m/>
    <x v="0"/>
    <m/>
    <m/>
    <m/>
    <s v="05711410055001"/>
    <m/>
    <m/>
    <m/>
    <m/>
    <n v="2"/>
    <n v="1"/>
    <b v="0"/>
    <b v="0"/>
    <b v="0"/>
    <b v="0"/>
    <b v="0"/>
    <s v="No"/>
    <s v="Yes"/>
  </r>
  <r>
    <d v="2023-11-13T00:00:00"/>
    <x v="112"/>
    <s v="BA"/>
    <s v="05711449115001"/>
    <s v="PMC24114KL"/>
    <s v="5870.0"/>
    <s v="9"/>
    <s v=".01"/>
    <s v="Y"/>
    <s v="N"/>
    <s v="AF"/>
    <s v="6732"/>
    <s v="231115"/>
    <s v="CAO"/>
    <s v="RFL"/>
    <s v="ECC"/>
    <s v="HEA"/>
    <s v="EAP"/>
    <s v="FMO"/>
    <s v="ORD"/>
    <s v="ORD"/>
    <s v="N"/>
    <s v="B2C-5725"/>
    <s v="MJ"/>
    <m/>
    <s v="Failed"/>
    <m/>
    <x v="8"/>
    <m/>
    <m/>
    <m/>
    <s v="05711449115001"/>
    <m/>
    <m/>
    <m/>
    <m/>
    <n v="2"/>
    <n v="0.5"/>
    <s v="Yes"/>
    <s v="Yes"/>
    <b v="0"/>
    <b v="0"/>
    <b v="0"/>
    <s v="Yes"/>
    <s v="No"/>
  </r>
  <r>
    <d v="2023-11-13T00:00:00"/>
    <x v="113"/>
    <s v="DA"/>
    <s v="05711449115002"/>
    <s v="PMC66303AF"/>
    <s v="5380.0"/>
    <s v="9"/>
    <s v=".01"/>
    <s v="Y"/>
    <s v="N"/>
    <s v="AF"/>
    <s v="6732"/>
    <s v="231115"/>
    <s v="CAO"/>
    <s v="RFL"/>
    <s v="ECC"/>
    <s v="HEA"/>
    <s v="EAP"/>
    <s v="FMO"/>
    <s v="ORD"/>
    <s v="ORD"/>
    <s v="N"/>
    <s v="B2D-6231"/>
    <s v="MJ"/>
    <m/>
    <s v="Failed"/>
    <m/>
    <x v="9"/>
    <m/>
    <m/>
    <m/>
    <s v=" "/>
    <m/>
    <m/>
    <m/>
    <m/>
    <n v="2"/>
    <n v="0.5"/>
    <s v="Yes"/>
    <s v="Yes"/>
    <b v="0"/>
    <b v="0"/>
    <b v="0"/>
    <s v="Yes"/>
    <s v="No"/>
  </r>
  <r>
    <d v="2023-11-13T00:00:00"/>
    <x v="114"/>
    <s v="BA"/>
    <s v="05712357472001"/>
    <m/>
    <s v="55.7"/>
    <s v="2"/>
    <s v=".28"/>
    <s v="Y"/>
    <s v="N"/>
    <s v="AF"/>
    <s v="404"/>
    <s v="231117"/>
    <s v="BIG"/>
    <s v="ECC"/>
    <s v="XPH"/>
    <s v="EAP"/>
    <m/>
    <s v="BOM"/>
    <s v="FOR"/>
    <s v="FOR"/>
    <s v="N"/>
    <s v="61310"/>
    <m/>
    <m/>
    <s v="Passed"/>
    <m/>
    <x v="5"/>
    <m/>
    <m/>
    <m/>
    <s v="05712357472001"/>
    <m/>
    <m/>
    <m/>
    <m/>
    <n v="2"/>
    <n v="1"/>
    <b v="0"/>
    <b v="0"/>
    <b v="0"/>
    <b v="0"/>
    <b v="0"/>
    <s v="No"/>
    <s v="No"/>
  </r>
  <r>
    <d v="2023-11-13T00:00:00"/>
    <x v="115"/>
    <s v="BA"/>
    <s v="05712488711001"/>
    <m/>
    <s v="176.0"/>
    <s v="1"/>
    <s v="1.17"/>
    <s v="N"/>
    <s v="N"/>
    <s v="AF"/>
    <s v="092"/>
    <s v="231116"/>
    <s v="ELI"/>
    <s v="ECC"/>
    <s v="HEA"/>
    <s v="EAP"/>
    <s v="SPX"/>
    <s v="CDG"/>
    <s v="MIA"/>
    <s v="MIA"/>
    <s v="N"/>
    <s v="52107"/>
    <m/>
    <m/>
    <s v="Passed"/>
    <m/>
    <x v="4"/>
    <s v="Yes"/>
    <m/>
    <m/>
    <s v="05712488711001"/>
    <m/>
    <m/>
    <m/>
    <m/>
    <n v="2"/>
    <n v="1"/>
    <b v="0"/>
    <b v="0"/>
    <b v="0"/>
    <b v="0"/>
    <b v="0"/>
    <s v="No"/>
    <s v="No"/>
  </r>
  <r>
    <d v="2023-11-13T00:00:00"/>
    <x v="116"/>
    <s v="BA"/>
    <s v="05712550985001"/>
    <m/>
    <s v="96.9"/>
    <s v="1"/>
    <s v=".33"/>
    <s v="Y"/>
    <s v="N"/>
    <s v="AF"/>
    <s v="932"/>
    <s v="231115"/>
    <s v="HEA"/>
    <m/>
    <m/>
    <m/>
    <m/>
    <s v="SFO"/>
    <s v="ACC"/>
    <s v="ACC"/>
    <s v="N"/>
    <s v="62102"/>
    <m/>
    <m/>
    <s v="Failed"/>
    <m/>
    <x v="0"/>
    <m/>
    <m/>
    <m/>
    <s v="05712550985001"/>
    <m/>
    <m/>
    <m/>
    <m/>
    <n v="2"/>
    <n v="0.25"/>
    <b v="0"/>
    <b v="0"/>
    <b v="0"/>
    <b v="0"/>
    <b v="0"/>
    <s v="No"/>
    <s v="No"/>
  </r>
  <r>
    <d v="2023-11-13T00:00:00"/>
    <x v="116"/>
    <s v="DA"/>
    <s v="05712550985002"/>
    <m/>
    <s v="96.9"/>
    <s v="1"/>
    <s v=".33"/>
    <s v="Y"/>
    <s v="N"/>
    <s v="AF"/>
    <s v="932"/>
    <s v="231115"/>
    <s v="HEA"/>
    <m/>
    <m/>
    <m/>
    <m/>
    <s v="SFO"/>
    <s v="ACC"/>
    <s v="ACC"/>
    <s v="N"/>
    <s v="61000"/>
    <m/>
    <m/>
    <s v="Failed"/>
    <m/>
    <x v="0"/>
    <m/>
    <m/>
    <m/>
    <s v="05712550985002"/>
    <m/>
    <m/>
    <m/>
    <m/>
    <n v="2"/>
    <n v="0.25"/>
    <b v="0"/>
    <b v="0"/>
    <b v="0"/>
    <b v="0"/>
    <b v="0"/>
    <s v="No"/>
    <s v="No"/>
  </r>
  <r>
    <d v="2023-11-13T00:00:00"/>
    <x v="116"/>
    <s v="FA"/>
    <s v="05712550985003"/>
    <m/>
    <s v="96.9"/>
    <s v="1"/>
    <s v=".33"/>
    <s v="Y"/>
    <s v="N"/>
    <s v="AF"/>
    <s v="932"/>
    <s v="231115"/>
    <s v="HEA"/>
    <m/>
    <m/>
    <m/>
    <m/>
    <s v="SFO"/>
    <s v="ACC"/>
    <s v="ACC"/>
    <s v="N"/>
    <s v="62307"/>
    <m/>
    <m/>
    <s v="Failed"/>
    <m/>
    <x v="0"/>
    <m/>
    <m/>
    <m/>
    <s v="05712550985003"/>
    <m/>
    <m/>
    <m/>
    <m/>
    <n v="2"/>
    <n v="0.25"/>
    <b v="0"/>
    <b v="0"/>
    <b v="0"/>
    <b v="0"/>
    <b v="0"/>
    <s v="No"/>
    <s v="No"/>
  </r>
  <r>
    <d v="2023-11-13T00:00:00"/>
    <x v="116"/>
    <s v="HA"/>
    <s v="05712550985004"/>
    <m/>
    <s v="96.9"/>
    <s v="1"/>
    <s v=".33"/>
    <s v="Y"/>
    <s v="N"/>
    <s v="AF"/>
    <s v="932"/>
    <s v="231115"/>
    <s v="HEA"/>
    <m/>
    <m/>
    <m/>
    <m/>
    <s v="SFO"/>
    <s v="ACC"/>
    <s v="ACC"/>
    <s v="N"/>
    <s v="54102"/>
    <m/>
    <m/>
    <s v="Failed"/>
    <m/>
    <x v="0"/>
    <m/>
    <m/>
    <m/>
    <s v="05712550985004"/>
    <m/>
    <m/>
    <m/>
    <m/>
    <n v="2"/>
    <n v="0.25"/>
    <b v="0"/>
    <b v="0"/>
    <b v="0"/>
    <b v="0"/>
    <b v="0"/>
    <s v="No"/>
    <s v="No"/>
  </r>
  <r>
    <d v="2023-11-13T00:00:00"/>
    <x v="117"/>
    <s v="BA"/>
    <s v="05712564134001"/>
    <m/>
    <s v="155.6"/>
    <s v="6"/>
    <s v=".19"/>
    <s v="Y"/>
    <s v="N"/>
    <s v="AF"/>
    <s v="148"/>
    <s v="231115"/>
    <m/>
    <m/>
    <m/>
    <m/>
    <m/>
    <s v="DUB"/>
    <s v="LOS"/>
    <s v="LOS"/>
    <s v="N"/>
    <s v="HLC156"/>
    <m/>
    <m/>
    <s v="Passed"/>
    <m/>
    <x v="5"/>
    <m/>
    <m/>
    <m/>
    <s v="05712564134001"/>
    <m/>
    <m/>
    <m/>
    <m/>
    <n v="2"/>
    <n v="0.1111111111111111"/>
    <b v="0"/>
    <b v="0"/>
    <b v="0"/>
    <b v="0"/>
    <b v="0"/>
    <s v="No"/>
    <s v="No"/>
  </r>
  <r>
    <d v="2023-11-13T00:00:00"/>
    <x v="117"/>
    <s v="DA"/>
    <s v="05712564134002"/>
    <m/>
    <s v="103.7"/>
    <s v="4"/>
    <s v=".12"/>
    <s v="Y"/>
    <s v="N"/>
    <s v="AF"/>
    <s v="148"/>
    <s v="231115"/>
    <m/>
    <m/>
    <m/>
    <m/>
    <m/>
    <s v="DUB"/>
    <s v="LOS"/>
    <s v="LOS"/>
    <s v="N"/>
    <s v="LO100"/>
    <m/>
    <m/>
    <s v="Passed"/>
    <m/>
    <x v="5"/>
    <m/>
    <m/>
    <m/>
    <s v="05712564134002"/>
    <m/>
    <m/>
    <m/>
    <m/>
    <n v="2"/>
    <n v="0.1111111111111111"/>
    <b v="0"/>
    <b v="0"/>
    <b v="0"/>
    <b v="0"/>
    <b v="0"/>
    <s v="No"/>
    <s v="No"/>
  </r>
  <r>
    <d v="2023-11-13T00:00:00"/>
    <x v="117"/>
    <s v="FA"/>
    <s v="05712564134003"/>
    <m/>
    <s v="259.3"/>
    <s v="10"/>
    <s v=".32"/>
    <s v="Y"/>
    <s v="N"/>
    <s v="AF"/>
    <s v="148"/>
    <s v="231115"/>
    <m/>
    <m/>
    <m/>
    <m/>
    <m/>
    <s v="DUB"/>
    <s v="LOS"/>
    <s v="LOS"/>
    <s v="N"/>
    <s v="LO100"/>
    <m/>
    <m/>
    <s v="Passed"/>
    <m/>
    <x v="5"/>
    <m/>
    <m/>
    <m/>
    <s v="05712564134003"/>
    <m/>
    <m/>
    <m/>
    <m/>
    <n v="2"/>
    <n v="0.1111111111111111"/>
    <b v="0"/>
    <b v="0"/>
    <b v="0"/>
    <b v="0"/>
    <b v="0"/>
    <s v="No"/>
    <s v="No"/>
  </r>
  <r>
    <d v="2023-11-13T00:00:00"/>
    <x v="117"/>
    <s v="HA"/>
    <s v="05712564134004"/>
    <m/>
    <s v="259.3"/>
    <s v="10"/>
    <s v=".32"/>
    <s v="Y"/>
    <s v="N"/>
    <s v="AF"/>
    <s v="148"/>
    <s v="231115"/>
    <m/>
    <m/>
    <m/>
    <m/>
    <m/>
    <s v="DUB"/>
    <s v="LOS"/>
    <s v="LOS"/>
    <s v="N"/>
    <s v="LO100"/>
    <m/>
    <m/>
    <s v="Passed"/>
    <m/>
    <x v="5"/>
    <m/>
    <m/>
    <m/>
    <s v="05712564134004"/>
    <m/>
    <m/>
    <m/>
    <m/>
    <n v="2"/>
    <n v="0.1111111111111111"/>
    <b v="0"/>
    <b v="0"/>
    <b v="0"/>
    <b v="0"/>
    <b v="0"/>
    <s v="No"/>
    <s v="No"/>
  </r>
  <r>
    <d v="2023-11-13T00:00:00"/>
    <x v="117"/>
    <s v="JA"/>
    <s v="05712564134005"/>
    <m/>
    <s v="259.3"/>
    <s v="10"/>
    <s v=".32"/>
    <s v="Y"/>
    <s v="N"/>
    <s v="AF"/>
    <s v="148"/>
    <s v="231115"/>
    <m/>
    <m/>
    <m/>
    <m/>
    <m/>
    <s v="DUB"/>
    <s v="LOS"/>
    <s v="LOS"/>
    <s v="N"/>
    <s v="LO100"/>
    <m/>
    <m/>
    <s v="Passed"/>
    <m/>
    <x v="5"/>
    <m/>
    <m/>
    <m/>
    <s v="05712564134005"/>
    <m/>
    <m/>
    <m/>
    <m/>
    <n v="2"/>
    <n v="0.1111111111111111"/>
    <b v="0"/>
    <b v="0"/>
    <b v="0"/>
    <b v="0"/>
    <b v="0"/>
    <s v="No"/>
    <s v="No"/>
  </r>
  <r>
    <d v="2023-11-13T00:00:00"/>
    <x v="117"/>
    <s v="LA"/>
    <s v="05712564134006"/>
    <m/>
    <s v="259.2"/>
    <s v="10"/>
    <s v=".32"/>
    <s v="Y"/>
    <s v="N"/>
    <s v="AF"/>
    <s v="148"/>
    <s v="231115"/>
    <m/>
    <m/>
    <m/>
    <m/>
    <m/>
    <s v="DUB"/>
    <s v="LOS"/>
    <s v="LOS"/>
    <s v="N"/>
    <s v="LO100"/>
    <m/>
    <m/>
    <s v="Passed"/>
    <m/>
    <x v="5"/>
    <m/>
    <m/>
    <m/>
    <s v="05712564134006"/>
    <m/>
    <m/>
    <m/>
    <m/>
    <n v="2"/>
    <n v="0.1111111111111111"/>
    <b v="0"/>
    <b v="0"/>
    <b v="0"/>
    <b v="0"/>
    <b v="0"/>
    <s v="No"/>
    <s v="No"/>
  </r>
  <r>
    <d v="2023-11-13T00:00:00"/>
    <x v="117"/>
    <m/>
    <s v="05712564134007"/>
    <m/>
    <s v="103.7"/>
    <s v="4"/>
    <s v=".13"/>
    <s v="Y"/>
    <s v="N"/>
    <s v="AF"/>
    <s v="148"/>
    <s v="231115"/>
    <m/>
    <m/>
    <m/>
    <m/>
    <m/>
    <s v="DUB"/>
    <s v="LOS"/>
    <s v="LOS"/>
    <s v="N"/>
    <s v="LO100"/>
    <m/>
    <m/>
    <s v="Passed"/>
    <m/>
    <x v="5"/>
    <m/>
    <m/>
    <m/>
    <s v="05712564134007"/>
    <m/>
    <m/>
    <m/>
    <m/>
    <n v="2"/>
    <n v="0.1111111111111111"/>
    <b v="0"/>
    <b v="0"/>
    <b v="0"/>
    <b v="0"/>
    <b v="0"/>
    <s v="No"/>
    <s v="No"/>
  </r>
  <r>
    <d v="2023-11-13T00:00:00"/>
    <x v="118"/>
    <s v="BA"/>
    <s v="05712626876001"/>
    <m/>
    <s v="408.5"/>
    <s v="1"/>
    <s v=".83"/>
    <s v="Y"/>
    <s v="N"/>
    <s v="AF"/>
    <s v="374"/>
    <s v="231116"/>
    <s v="HEA"/>
    <m/>
    <m/>
    <m/>
    <m/>
    <s v="HAM"/>
    <s v="YVR"/>
    <s v="YVR"/>
    <s v="N"/>
    <s v="XLC10"/>
    <m/>
    <m/>
    <s v="Failed"/>
    <m/>
    <x v="0"/>
    <m/>
    <m/>
    <m/>
    <s v="05712626876001"/>
    <m/>
    <m/>
    <m/>
    <m/>
    <n v="2"/>
    <n v="0.25"/>
    <b v="0"/>
    <b v="0"/>
    <b v="0"/>
    <b v="0"/>
    <b v="0"/>
    <s v="No"/>
    <s v="No"/>
  </r>
  <r>
    <d v="2023-11-13T00:00:00"/>
    <x v="118"/>
    <s v="DA"/>
    <s v="05712626876002"/>
    <m/>
    <s v="408.5"/>
    <s v="1"/>
    <s v=".83"/>
    <s v="Y"/>
    <s v="N"/>
    <s v="AF"/>
    <s v="374"/>
    <s v="231116"/>
    <s v="HEA"/>
    <m/>
    <m/>
    <m/>
    <m/>
    <s v="HAM"/>
    <s v="YVR"/>
    <s v="YVR"/>
    <s v="N"/>
    <s v="62005"/>
    <m/>
    <m/>
    <s v="Failed"/>
    <m/>
    <x v="0"/>
    <m/>
    <m/>
    <m/>
    <s v="05712626876002"/>
    <m/>
    <m/>
    <m/>
    <m/>
    <n v="2"/>
    <n v="0.25"/>
    <b v="0"/>
    <b v="0"/>
    <b v="0"/>
    <b v="0"/>
    <b v="0"/>
    <s v="No"/>
    <s v="No"/>
  </r>
  <r>
    <d v="2023-11-13T00:00:00"/>
    <x v="118"/>
    <s v="FA"/>
    <s v="05712626876003"/>
    <m/>
    <s v="408.5"/>
    <s v="1"/>
    <s v=".83"/>
    <s v="Y"/>
    <s v="N"/>
    <s v="AF"/>
    <s v="374"/>
    <s v="231116"/>
    <s v="HEA"/>
    <m/>
    <m/>
    <m/>
    <m/>
    <s v="HAM"/>
    <s v="YVR"/>
    <s v="YVR"/>
    <s v="N"/>
    <s v="S2001"/>
    <m/>
    <m/>
    <s v="Failed"/>
    <m/>
    <x v="0"/>
    <m/>
    <m/>
    <m/>
    <s v="05712626876003"/>
    <m/>
    <m/>
    <m/>
    <m/>
    <n v="2"/>
    <n v="0.25"/>
    <b v="0"/>
    <b v="0"/>
    <b v="0"/>
    <b v="0"/>
    <b v="0"/>
    <s v="No"/>
    <s v="No"/>
  </r>
  <r>
    <d v="2023-11-13T00:00:00"/>
    <x v="118"/>
    <s v="HA"/>
    <s v="05712626876004"/>
    <m/>
    <s v="408.5"/>
    <s v="1"/>
    <s v=".83"/>
    <s v="Y"/>
    <s v="N"/>
    <s v="AF"/>
    <s v="374"/>
    <s v="231116"/>
    <s v="HEA"/>
    <m/>
    <m/>
    <m/>
    <m/>
    <s v="HAM"/>
    <s v="YVR"/>
    <s v="YVR"/>
    <s v="N"/>
    <s v="HLC164"/>
    <m/>
    <m/>
    <s v="Failed"/>
    <m/>
    <x v="0"/>
    <m/>
    <m/>
    <m/>
    <s v="05712626876004"/>
    <m/>
    <m/>
    <m/>
    <m/>
    <n v="2"/>
    <n v="0.25"/>
    <b v="0"/>
    <b v="0"/>
    <b v="0"/>
    <b v="0"/>
    <b v="0"/>
    <s v="No"/>
    <s v="No"/>
  </r>
  <r>
    <d v="2023-11-13T00:00:00"/>
    <x v="119"/>
    <s v="BA"/>
    <s v="05712964114001"/>
    <m/>
    <s v="127.5"/>
    <s v="1"/>
    <s v=".91"/>
    <s v="Y"/>
    <s v="N"/>
    <s v="AF"/>
    <s v="092"/>
    <s v="231116"/>
    <s v="ECC"/>
    <s v="EAW"/>
    <m/>
    <m/>
    <m/>
    <s v="FLR"/>
    <s v="MIA"/>
    <s v="MIA"/>
    <s v="N"/>
    <s v="N8403"/>
    <m/>
    <m/>
    <s v="Failed"/>
    <m/>
    <x v="0"/>
    <m/>
    <m/>
    <m/>
    <s v="05712964114001"/>
    <m/>
    <m/>
    <m/>
    <m/>
    <n v="2"/>
    <n v="0.5"/>
    <b v="0"/>
    <b v="0"/>
    <b v="0"/>
    <b v="0"/>
    <b v="0"/>
    <s v="No"/>
    <s v="No"/>
  </r>
  <r>
    <d v="2023-11-13T00:00:00"/>
    <x v="119"/>
    <s v="DA"/>
    <s v="05712964114002"/>
    <m/>
    <s v="127.5"/>
    <s v="1"/>
    <s v=".91"/>
    <s v="Y"/>
    <s v="N"/>
    <s v="AF"/>
    <s v="092"/>
    <s v="231116"/>
    <s v="ECC"/>
    <s v="EAW"/>
    <m/>
    <m/>
    <m/>
    <s v="FLR"/>
    <s v="MIA"/>
    <s v="MIA"/>
    <s v="N"/>
    <s v="N6403"/>
    <m/>
    <m/>
    <s v="Failed"/>
    <m/>
    <x v="0"/>
    <m/>
    <m/>
    <m/>
    <s v="05712964114002"/>
    <m/>
    <m/>
    <m/>
    <m/>
    <n v="2"/>
    <n v="0.5"/>
    <b v="0"/>
    <b v="0"/>
    <b v="0"/>
    <b v="0"/>
    <b v="0"/>
    <s v="No"/>
    <s v="No"/>
  </r>
  <r>
    <d v="2023-11-13T00:00:00"/>
    <x v="120"/>
    <s v="BA"/>
    <s v="05713064100001"/>
    <m/>
    <s v="386.0"/>
    <s v="1"/>
    <s v="1.58"/>
    <s v="Y"/>
    <s v="N"/>
    <s v="AF"/>
    <s v="330M"/>
    <s v="231115"/>
    <s v="ECC"/>
    <s v="HEA"/>
    <s v="EAP"/>
    <m/>
    <m/>
    <s v="ORD"/>
    <s v="LJU"/>
    <s v="LJU"/>
    <s v="N"/>
    <s v="17005"/>
    <m/>
    <m/>
    <s v="Passed"/>
    <m/>
    <x v="0"/>
    <m/>
    <m/>
    <m/>
    <s v="05713064100001"/>
    <m/>
    <m/>
    <m/>
    <m/>
    <n v="2"/>
    <n v="1"/>
    <b v="0"/>
    <b v="0"/>
    <b v="0"/>
    <b v="0"/>
    <b v="0"/>
    <s v="No"/>
    <s v="Yes"/>
  </r>
  <r>
    <d v="2023-11-13T00:00:00"/>
    <x v="121"/>
    <s v="BA"/>
    <s v="05728000221001"/>
    <m/>
    <s v="700.0"/>
    <s v="1"/>
    <s v="2.17"/>
    <s v="Y"/>
    <s v="N"/>
    <s v="AF"/>
    <s v="702"/>
    <s v="231115"/>
    <s v="ECC"/>
    <s v="HEA"/>
    <s v="EAP"/>
    <m/>
    <m/>
    <s v="RTM"/>
    <s v="ABJ"/>
    <s v="ABJ"/>
    <s v="N"/>
    <s v="XLC10"/>
    <m/>
    <m/>
    <s v="Failed"/>
    <m/>
    <x v="6"/>
    <m/>
    <m/>
    <m/>
    <s v="05728000221001"/>
    <m/>
    <m/>
    <m/>
    <m/>
    <n v="2"/>
    <n v="1"/>
    <b v="0"/>
    <b v="0"/>
    <b v="0"/>
    <b v="0"/>
    <b v="0"/>
    <s v="No"/>
    <s v="No"/>
  </r>
  <r>
    <d v="2023-11-13T00:00:00"/>
    <x v="122"/>
    <s v="BA"/>
    <s v="05745067514001"/>
    <m/>
    <s v="135.0"/>
    <s v="1"/>
    <s v=".67"/>
    <s v="Y"/>
    <s v="N"/>
    <s v="AF"/>
    <s v="6724"/>
    <s v="231116"/>
    <s v="ELM"/>
    <s v="ECC"/>
    <s v="EAW"/>
    <m/>
    <m/>
    <s v="ORK"/>
    <s v="NRT"/>
    <s v="NRT"/>
    <s v="N"/>
    <s v="R2404"/>
    <m/>
    <m/>
    <s v="Failed"/>
    <m/>
    <x v="0"/>
    <m/>
    <m/>
    <m/>
    <s v="05745067514001"/>
    <m/>
    <m/>
    <m/>
    <m/>
    <n v="2"/>
    <n v="1"/>
    <b v="0"/>
    <b v="0"/>
    <b v="0"/>
    <b v="0"/>
    <b v="0"/>
    <s v="No"/>
    <s v="No"/>
  </r>
  <r>
    <d v="2023-11-13T00:00:00"/>
    <x v="123"/>
    <s v="BA"/>
    <s v="05745144315001"/>
    <m/>
    <s v="210.0"/>
    <s v="1"/>
    <s v="1.15"/>
    <s v="Y"/>
    <s v="N"/>
    <s v="AF"/>
    <s v="722"/>
    <s v="231118"/>
    <s v="HEA"/>
    <s v="EAP"/>
    <m/>
    <m/>
    <m/>
    <s v="BRE"/>
    <s v="FIH"/>
    <s v="FIH"/>
    <s v="N"/>
    <s v="R6403"/>
    <m/>
    <m/>
    <s v="Passed"/>
    <m/>
    <x v="5"/>
    <m/>
    <m/>
    <m/>
    <s v="05745144315001"/>
    <m/>
    <m/>
    <m/>
    <m/>
    <n v="2"/>
    <n v="1"/>
    <b v="0"/>
    <b v="0"/>
    <b v="0"/>
    <b v="0"/>
    <b v="0"/>
    <s v="No"/>
    <s v="No"/>
  </r>
  <r>
    <d v="2023-11-13T00:00:00"/>
    <x v="124"/>
    <s v="BA"/>
    <s v="05745144326001"/>
    <m/>
    <s v="247.0"/>
    <s v="1"/>
    <s v=".97"/>
    <s v="Y"/>
    <s v="N"/>
    <s v="AF"/>
    <s v="174"/>
    <s v="231117"/>
    <s v="RFL"/>
    <s v="HEA"/>
    <s v="EAP"/>
    <m/>
    <m/>
    <s v="BRE"/>
    <s v="MEX"/>
    <s v="MEX"/>
    <s v="N"/>
    <s v="94307"/>
    <m/>
    <m/>
    <s v="Failed"/>
    <m/>
    <x v="8"/>
    <m/>
    <m/>
    <m/>
    <s v="05745144326001"/>
    <m/>
    <m/>
    <m/>
    <m/>
    <n v="2"/>
    <n v="1"/>
    <s v="Yes"/>
    <b v="0"/>
    <b v="0"/>
    <b v="0"/>
    <b v="0"/>
    <s v="Yes"/>
    <s v="No"/>
  </r>
  <r>
    <d v="2023-11-13T00:00:00"/>
    <x v="125"/>
    <s v="BA"/>
    <s v="05745163311001"/>
    <m/>
    <s v="3985.0"/>
    <s v="2"/>
    <s v="72.00"/>
    <s v="Y"/>
    <s v="N"/>
    <s v="AF"/>
    <s v="6732"/>
    <s v="231115"/>
    <s v="NCC"/>
    <s v="BIG"/>
    <s v="ECC"/>
    <s v="HEA"/>
    <s v="ULD"/>
    <s v="LIS"/>
    <s v="ORD"/>
    <s v="ORD"/>
    <s v="N"/>
    <s v="DXP00"/>
    <m/>
    <m/>
    <s v="Failed"/>
    <m/>
    <x v="0"/>
    <m/>
    <m/>
    <m/>
    <s v="05745163311001"/>
    <m/>
    <m/>
    <m/>
    <m/>
    <n v="2"/>
    <n v="1"/>
    <b v="0"/>
    <b v="0"/>
    <b v="0"/>
    <b v="0"/>
    <b v="0"/>
    <s v="No"/>
    <s v="No"/>
  </r>
  <r>
    <d v="2023-11-13T00:00:00"/>
    <x v="126"/>
    <s v="BA"/>
    <s v="05745369133001"/>
    <m/>
    <s v="190.0"/>
    <s v="1"/>
    <s v=".34"/>
    <s v="Y"/>
    <s v="N"/>
    <s v="AF"/>
    <s v="702"/>
    <s v="231116"/>
    <s v="ECC"/>
    <s v="HEA"/>
    <m/>
    <m/>
    <m/>
    <s v="OPO"/>
    <s v="ABJ"/>
    <s v="ABJ"/>
    <s v="N"/>
    <s v="S2402"/>
    <m/>
    <m/>
    <s v="Passed"/>
    <m/>
    <x v="5"/>
    <m/>
    <m/>
    <m/>
    <s v="05745369133001"/>
    <m/>
    <m/>
    <m/>
    <m/>
    <n v="2"/>
    <n v="1"/>
    <b v="0"/>
    <b v="0"/>
    <b v="0"/>
    <b v="0"/>
    <b v="0"/>
    <s v="No"/>
    <s v="No"/>
  </r>
  <r>
    <d v="2023-11-13T00:00:00"/>
    <x v="127"/>
    <s v="BA"/>
    <s v="05745369155001"/>
    <m/>
    <s v="220.0"/>
    <s v="1"/>
    <s v=".57"/>
    <s v="Y"/>
    <s v="N"/>
    <s v="AF"/>
    <s v="712"/>
    <s v="231116"/>
    <s v="ECC"/>
    <s v="HEA"/>
    <m/>
    <m/>
    <m/>
    <s v="OPO"/>
    <s v="ABJ"/>
    <s v="ABJ"/>
    <s v="N"/>
    <s v="HLC032"/>
    <m/>
    <m/>
    <s v="Passed"/>
    <m/>
    <x v="5"/>
    <m/>
    <m/>
    <m/>
    <s v="05745369155001"/>
    <m/>
    <m/>
    <m/>
    <m/>
    <n v="2"/>
    <n v="0.5"/>
    <b v="0"/>
    <b v="0"/>
    <b v="0"/>
    <b v="0"/>
    <b v="0"/>
    <s v="No"/>
    <s v="No"/>
  </r>
  <r>
    <d v="2023-11-13T00:00:00"/>
    <x v="127"/>
    <s v="DA"/>
    <s v="05745369155002"/>
    <m/>
    <s v="220.0"/>
    <s v="1"/>
    <s v=".57"/>
    <s v="Y"/>
    <s v="N"/>
    <s v="AF"/>
    <s v="712"/>
    <s v="231116"/>
    <s v="ECC"/>
    <s v="HEA"/>
    <m/>
    <m/>
    <m/>
    <s v="OPO"/>
    <s v="ABJ"/>
    <s v="ABJ"/>
    <s v="N"/>
    <s v="R2402"/>
    <m/>
    <m/>
    <s v="Passed"/>
    <m/>
    <x v="5"/>
    <m/>
    <m/>
    <m/>
    <s v="05745369155002"/>
    <m/>
    <m/>
    <m/>
    <m/>
    <n v="2"/>
    <n v="0.5"/>
    <b v="0"/>
    <b v="0"/>
    <b v="0"/>
    <b v="0"/>
    <b v="0"/>
    <s v="No"/>
    <s v="No"/>
  </r>
  <r>
    <d v="2023-11-13T00:00:00"/>
    <x v="128"/>
    <s v="BA"/>
    <s v="05745516575001"/>
    <m/>
    <s v="28.4"/>
    <s v="1"/>
    <s v=".12"/>
    <s v="Y"/>
    <s v="N"/>
    <s v="AF"/>
    <s v="670"/>
    <s v="231115"/>
    <s v="XPS"/>
    <s v="SKR"/>
    <s v="EAP"/>
    <m/>
    <m/>
    <s v="FRA"/>
    <s v="JIB"/>
    <s v="JIB"/>
    <s v="N"/>
    <s v="53412"/>
    <m/>
    <m/>
    <s v="Passed"/>
    <m/>
    <x v="5"/>
    <m/>
    <m/>
    <m/>
    <s v="05745516575001"/>
    <m/>
    <m/>
    <m/>
    <m/>
    <n v="2"/>
    <n v="1"/>
    <b v="0"/>
    <b v="0"/>
    <b v="0"/>
    <b v="0"/>
    <b v="0"/>
    <s v="No"/>
    <s v="No"/>
  </r>
  <r>
    <d v="2023-11-13T00:00:00"/>
    <x v="129"/>
    <s v="BA"/>
    <s v="05745548112001"/>
    <m/>
    <s v="268.5"/>
    <s v="1"/>
    <s v=".88"/>
    <s v="Y"/>
    <s v="N"/>
    <s v="AF"/>
    <s v="092"/>
    <s v="231116"/>
    <s v="ELI"/>
    <s v="HEA"/>
    <s v="EAP"/>
    <m/>
    <m/>
    <s v="DXB"/>
    <s v="MIA"/>
    <s v="MIA"/>
    <s v="N"/>
    <s v="LO100"/>
    <m/>
    <m/>
    <s v="Passed"/>
    <m/>
    <x v="5"/>
    <m/>
    <m/>
    <m/>
    <s v="05745548112001"/>
    <m/>
    <m/>
    <m/>
    <m/>
    <n v="2"/>
    <n v="0.25"/>
    <b v="0"/>
    <b v="0"/>
    <b v="0"/>
    <b v="0"/>
    <b v="0"/>
    <s v="No"/>
    <s v="No"/>
  </r>
  <r>
    <d v="2023-11-13T00:00:00"/>
    <x v="129"/>
    <s v="DA"/>
    <s v="05745548112002"/>
    <m/>
    <s v="268.5"/>
    <s v="1"/>
    <s v=".88"/>
    <s v="Y"/>
    <s v="N"/>
    <s v="AF"/>
    <s v="092"/>
    <s v="231116"/>
    <s v="ELI"/>
    <s v="HEA"/>
    <s v="EAP"/>
    <m/>
    <m/>
    <s v="DXB"/>
    <s v="MIA"/>
    <s v="MIA"/>
    <s v="N"/>
    <s v="LO100"/>
    <m/>
    <m/>
    <s v="Passed"/>
    <m/>
    <x v="5"/>
    <m/>
    <m/>
    <m/>
    <s v="05745548112002"/>
    <m/>
    <m/>
    <m/>
    <m/>
    <n v="2"/>
    <n v="0.25"/>
    <b v="0"/>
    <b v="0"/>
    <b v="0"/>
    <b v="0"/>
    <b v="0"/>
    <s v="No"/>
    <s v="No"/>
  </r>
  <r>
    <d v="2023-11-13T00:00:00"/>
    <x v="129"/>
    <s v="FA"/>
    <s v="05745548112003"/>
    <m/>
    <s v="268.5"/>
    <s v="1"/>
    <s v=".88"/>
    <s v="Y"/>
    <s v="N"/>
    <s v="AF"/>
    <s v="092"/>
    <s v="231116"/>
    <s v="ELI"/>
    <s v="HEA"/>
    <s v="EAP"/>
    <m/>
    <m/>
    <s v="DXB"/>
    <s v="MIA"/>
    <s v="MIA"/>
    <s v="N"/>
    <s v="LO100"/>
    <m/>
    <m/>
    <s v="Passed"/>
    <m/>
    <x v="5"/>
    <m/>
    <m/>
    <m/>
    <s v="05745548112003"/>
    <m/>
    <m/>
    <m/>
    <m/>
    <n v="2"/>
    <n v="0.25"/>
    <b v="0"/>
    <b v="0"/>
    <b v="0"/>
    <b v="0"/>
    <b v="0"/>
    <s v="No"/>
    <s v="No"/>
  </r>
  <r>
    <d v="2023-11-13T00:00:00"/>
    <x v="129"/>
    <s v="HA"/>
    <s v="05745548112004"/>
    <m/>
    <s v="268.5"/>
    <s v="1"/>
    <s v=".88"/>
    <s v="Y"/>
    <s v="N"/>
    <s v="AF"/>
    <s v="092"/>
    <s v="231116"/>
    <s v="ELI"/>
    <s v="HEA"/>
    <s v="EAP"/>
    <m/>
    <m/>
    <s v="DXB"/>
    <s v="MIA"/>
    <s v="MIA"/>
    <s v="N"/>
    <s v="LO100"/>
    <m/>
    <m/>
    <s v="Passed"/>
    <m/>
    <x v="5"/>
    <m/>
    <m/>
    <m/>
    <s v="05745548112004"/>
    <m/>
    <m/>
    <m/>
    <m/>
    <n v="2"/>
    <n v="0.25"/>
    <b v="0"/>
    <b v="0"/>
    <b v="0"/>
    <b v="0"/>
    <b v="0"/>
    <s v="No"/>
    <s v="No"/>
  </r>
  <r>
    <d v="2023-11-13T00:00:00"/>
    <x v="130"/>
    <s v="BA"/>
    <s v="05745855003001"/>
    <m/>
    <s v="88.5"/>
    <s v="1"/>
    <s v=".40"/>
    <s v="Y"/>
    <s v="N"/>
    <s v="AF"/>
    <s v="948"/>
    <s v="231116"/>
    <s v="ECP"/>
    <s v="EAP"/>
    <m/>
    <m/>
    <m/>
    <s v="MTY"/>
    <s v="DLA"/>
    <s v="DLA"/>
    <s v="N"/>
    <s v="49412"/>
    <m/>
    <m/>
    <s v="Passed"/>
    <m/>
    <x v="5"/>
    <m/>
    <m/>
    <m/>
    <s v="05745855003001"/>
    <m/>
    <m/>
    <m/>
    <m/>
    <n v="2"/>
    <n v="0.5"/>
    <b v="0"/>
    <b v="0"/>
    <b v="0"/>
    <b v="0"/>
    <b v="0"/>
    <s v="No"/>
    <s v="No"/>
  </r>
  <r>
    <d v="2023-11-13T00:00:00"/>
    <x v="130"/>
    <s v="DA"/>
    <s v="05745855003002"/>
    <m/>
    <s v="88.5"/>
    <s v="1"/>
    <s v=".41"/>
    <s v="Y"/>
    <s v="N"/>
    <s v="AF"/>
    <s v="948"/>
    <s v="231116"/>
    <s v="ECP"/>
    <s v="EAP"/>
    <m/>
    <m/>
    <m/>
    <s v="MTY"/>
    <s v="DLA"/>
    <s v="DLA"/>
    <s v="N"/>
    <s v="50011"/>
    <m/>
    <m/>
    <s v="Passed"/>
    <m/>
    <x v="5"/>
    <m/>
    <m/>
    <m/>
    <s v="05745855003002"/>
    <m/>
    <m/>
    <m/>
    <m/>
    <n v="2"/>
    <n v="0.5"/>
    <b v="0"/>
    <b v="0"/>
    <b v="0"/>
    <b v="0"/>
    <b v="0"/>
    <s v="No"/>
    <s v="No"/>
  </r>
  <r>
    <d v="2023-11-13T00:00:00"/>
    <x v="131"/>
    <s v="BA"/>
    <s v="05745855725001"/>
    <m/>
    <s v="286.0"/>
    <s v="1"/>
    <s v="1.35"/>
    <s v="Y"/>
    <s v="N"/>
    <s v="AF"/>
    <s v="148"/>
    <s v="231115"/>
    <s v="ECC"/>
    <s v="HEA"/>
    <s v="EAP"/>
    <m/>
    <m/>
    <s v="MTY"/>
    <s v="LOS"/>
    <s v="LOS"/>
    <s v="N"/>
    <s v="XLC20"/>
    <m/>
    <m/>
    <s v="Failed"/>
    <m/>
    <x v="0"/>
    <m/>
    <m/>
    <m/>
    <s v="05745855725001"/>
    <m/>
    <m/>
    <m/>
    <m/>
    <n v="2"/>
    <n v="1"/>
    <b v="0"/>
    <b v="0"/>
    <b v="0"/>
    <b v="0"/>
    <b v="0"/>
    <s v="No"/>
    <s v="No"/>
  </r>
  <r>
    <d v="2023-11-13T00:00:00"/>
    <x v="132"/>
    <s v="BA"/>
    <s v="05745861653001"/>
    <m/>
    <s v="140.0"/>
    <s v="1"/>
    <s v=".97"/>
    <s v="Y"/>
    <s v="N"/>
    <s v="AF"/>
    <s v="952"/>
    <s v="231115"/>
    <s v="ECP"/>
    <s v="EAP"/>
    <m/>
    <m/>
    <m/>
    <s v="TLS"/>
    <s v="CAY"/>
    <s v="CAY"/>
    <s v="N"/>
    <s v="HLC030"/>
    <m/>
    <m/>
    <s v="Passed"/>
    <m/>
    <x v="5"/>
    <m/>
    <m/>
    <m/>
    <s v="05745861653001"/>
    <m/>
    <m/>
    <m/>
    <m/>
    <n v="2"/>
    <n v="1"/>
    <b v="0"/>
    <b v="0"/>
    <b v="0"/>
    <b v="0"/>
    <b v="0"/>
    <s v="No"/>
    <s v="No"/>
  </r>
  <r>
    <d v="2023-11-13T00:00:00"/>
    <x v="133"/>
    <s v="BA"/>
    <s v="05745915623001"/>
    <m/>
    <s v="57.0"/>
    <s v="1"/>
    <s v=".14"/>
    <s v="Y"/>
    <s v="N"/>
    <s v="AF"/>
    <s v="670"/>
    <s v="231115"/>
    <s v="PRC"/>
    <s v="ECP"/>
    <s v="XPH"/>
    <m/>
    <m/>
    <s v="AMS"/>
    <s v="JIB"/>
    <s v="JIB"/>
    <s v="N"/>
    <s v="49408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134"/>
    <s v="BA"/>
    <s v="05746201072001"/>
    <m/>
    <s v="165.0"/>
    <s v="1"/>
    <s v=".61"/>
    <s v="Y"/>
    <s v="N"/>
    <s v="AF"/>
    <s v="682"/>
    <s v="231115"/>
    <s v="ECC"/>
    <s v="HEA"/>
    <s v="EAP"/>
    <m/>
    <m/>
    <s v="VIE"/>
    <s v="ATL"/>
    <s v="ATL"/>
    <s v="N"/>
    <s v="50302"/>
    <m/>
    <m/>
    <s v="Failed"/>
    <m/>
    <x v="0"/>
    <m/>
    <m/>
    <m/>
    <s v="05746201072001"/>
    <m/>
    <m/>
    <m/>
    <m/>
    <n v="2"/>
    <n v="0.5"/>
    <b v="0"/>
    <b v="0"/>
    <b v="0"/>
    <b v="0"/>
    <b v="0"/>
    <s v="No"/>
    <s v="No"/>
  </r>
  <r>
    <d v="2023-11-13T00:00:00"/>
    <x v="134"/>
    <s v="DA"/>
    <s v="05746201072002"/>
    <m/>
    <s v="165.0"/>
    <s v="1"/>
    <s v=".62"/>
    <s v="Y"/>
    <s v="N"/>
    <s v="AF"/>
    <s v="682"/>
    <s v="231115"/>
    <s v="ECC"/>
    <s v="HEA"/>
    <s v="EAP"/>
    <m/>
    <m/>
    <s v="VIE"/>
    <s v="ATL"/>
    <s v="ATL"/>
    <s v="N"/>
    <s v="50308"/>
    <m/>
    <m/>
    <s v="Failed"/>
    <m/>
    <x v="0"/>
    <m/>
    <m/>
    <m/>
    <s v="05746201072002"/>
    <m/>
    <m/>
    <m/>
    <m/>
    <n v="2"/>
    <n v="0.5"/>
    <b v="0"/>
    <b v="0"/>
    <b v="0"/>
    <b v="0"/>
    <b v="0"/>
    <s v="No"/>
    <s v="No"/>
  </r>
  <r>
    <d v="2023-11-13T00:00:00"/>
    <x v="135"/>
    <s v="BA"/>
    <s v="05746206263001"/>
    <m/>
    <s v="155.0"/>
    <s v="1"/>
    <s v=".93"/>
    <s v="Y"/>
    <s v="N"/>
    <s v="AF"/>
    <s v="658M"/>
    <s v="231115"/>
    <s v="ELI"/>
    <s v="ECC"/>
    <s v="HEA"/>
    <s v="EAP"/>
    <m/>
    <s v="PVG"/>
    <s v="VLC"/>
    <s v="VLC"/>
    <s v="N"/>
    <s v="17102"/>
    <m/>
    <m/>
    <s v="Failed"/>
    <m/>
    <x v="0"/>
    <m/>
    <m/>
    <m/>
    <s v="05746206263001"/>
    <m/>
    <m/>
    <m/>
    <m/>
    <n v="2"/>
    <n v="1"/>
    <b v="0"/>
    <b v="0"/>
    <b v="0"/>
    <b v="0"/>
    <b v="0"/>
    <s v="No"/>
    <s v="No"/>
  </r>
  <r>
    <d v="2023-11-13T00:00:00"/>
    <x v="136"/>
    <s v="BA"/>
    <s v="05746241543001"/>
    <s v="PMC96556DL"/>
    <s v="741.8"/>
    <s v="6"/>
    <s v="7.81"/>
    <s v="Y"/>
    <s v="N"/>
    <s v="AF"/>
    <s v="688"/>
    <s v="231115"/>
    <s v="ELI"/>
    <s v="ECC"/>
    <s v="NPR"/>
    <s v="EAW"/>
    <m/>
    <s v="PRG"/>
    <s v="ATL"/>
    <s v="ATL"/>
    <s v="N"/>
    <s v="B1B-3042"/>
    <s v="ML"/>
    <m/>
    <s v="Failed"/>
    <m/>
    <x v="3"/>
    <m/>
    <m/>
    <m/>
    <s v="05746241543001"/>
    <m/>
    <m/>
    <m/>
    <m/>
    <n v="2"/>
    <n v="0.5"/>
    <b v="0"/>
    <b v="0"/>
    <b v="0"/>
    <b v="0"/>
    <b v="0"/>
    <s v="No"/>
    <s v="No"/>
  </r>
  <r>
    <d v="2023-11-13T00:00:00"/>
    <x v="136"/>
    <s v="DA"/>
    <s v="05746241543002"/>
    <s v="PMC96556DL"/>
    <s v="247.3"/>
    <s v="2"/>
    <s v="2.60"/>
    <s v="Y"/>
    <s v="N"/>
    <s v="AF"/>
    <s v="688"/>
    <s v="231115"/>
    <s v="ECC"/>
    <s v="NPR"/>
    <s v="EAW"/>
    <m/>
    <m/>
    <s v="PRG"/>
    <s v="ATL"/>
    <s v="ATL"/>
    <s v="N"/>
    <s v="B1B-3042"/>
    <s v="ML"/>
    <m/>
    <s v="Failed"/>
    <m/>
    <x v="3"/>
    <m/>
    <m/>
    <m/>
    <s v="05746241543002"/>
    <m/>
    <m/>
    <m/>
    <m/>
    <n v="2"/>
    <n v="0.5"/>
    <b v="0"/>
    <b v="0"/>
    <b v="0"/>
    <b v="0"/>
    <b v="0"/>
    <s v="No"/>
    <s v="No"/>
  </r>
  <r>
    <d v="2023-11-13T00:00:00"/>
    <x v="137"/>
    <s v="BA"/>
    <s v="05746306536001"/>
    <m/>
    <s v="180.0"/>
    <s v="1"/>
    <s v=".36"/>
    <s v="Y"/>
    <s v="N"/>
    <s v="AF"/>
    <s v="682"/>
    <s v="231115"/>
    <s v="ECC"/>
    <s v="HEA"/>
    <s v="EAW"/>
    <m/>
    <m/>
    <s v="MUC"/>
    <s v="ATL"/>
    <s v="ATL"/>
    <s v="N"/>
    <s v="LLC00"/>
    <m/>
    <m/>
    <s v="Failed"/>
    <m/>
    <x v="0"/>
    <m/>
    <m/>
    <m/>
    <s v="05746306536001"/>
    <m/>
    <m/>
    <m/>
    <m/>
    <n v="2"/>
    <n v="0.33333333333333331"/>
    <b v="0"/>
    <b v="0"/>
    <b v="0"/>
    <b v="0"/>
    <b v="0"/>
    <s v="No"/>
    <s v="No"/>
  </r>
  <r>
    <d v="2023-11-13T00:00:00"/>
    <x v="137"/>
    <s v="DA"/>
    <s v="05746306536002"/>
    <m/>
    <s v="180.0"/>
    <s v="1"/>
    <s v=".36"/>
    <s v="Y"/>
    <s v="N"/>
    <s v="AF"/>
    <s v="682"/>
    <s v="231115"/>
    <s v="ECC"/>
    <s v="HEA"/>
    <s v="EAW"/>
    <m/>
    <m/>
    <s v="MUC"/>
    <s v="ATL"/>
    <s v="ATL"/>
    <s v="N"/>
    <s v="52404"/>
    <m/>
    <m/>
    <s v="Failed"/>
    <m/>
    <x v="0"/>
    <m/>
    <m/>
    <m/>
    <s v="05746306536002"/>
    <m/>
    <m/>
    <m/>
    <m/>
    <n v="2"/>
    <n v="0.33333333333333331"/>
    <b v="0"/>
    <b v="0"/>
    <b v="0"/>
    <b v="0"/>
    <b v="0"/>
    <s v="No"/>
    <s v="No"/>
  </r>
  <r>
    <d v="2023-11-13T00:00:00"/>
    <x v="137"/>
    <s v="FA"/>
    <s v="05746306536003"/>
    <m/>
    <s v="180.0"/>
    <s v="1"/>
    <s v=".36"/>
    <s v="Y"/>
    <s v="N"/>
    <s v="AF"/>
    <s v="682"/>
    <s v="231115"/>
    <s v="ECC"/>
    <s v="HEA"/>
    <s v="EAW"/>
    <m/>
    <m/>
    <s v="MUC"/>
    <s v="ATL"/>
    <s v="ATL"/>
    <s v="N"/>
    <s v="64307"/>
    <m/>
    <m/>
    <s v="Failed"/>
    <m/>
    <x v="0"/>
    <m/>
    <m/>
    <m/>
    <s v="05746306536003"/>
    <m/>
    <m/>
    <m/>
    <m/>
    <n v="2"/>
    <n v="0.33333333333333331"/>
    <b v="0"/>
    <b v="0"/>
    <b v="0"/>
    <b v="0"/>
    <b v="0"/>
    <s v="No"/>
    <s v="No"/>
  </r>
  <r>
    <d v="2023-11-13T00:00:00"/>
    <x v="138"/>
    <s v="BA"/>
    <s v="05746524026001"/>
    <m/>
    <s v="529.5"/>
    <s v="1"/>
    <s v="1.15"/>
    <s v="Y"/>
    <s v="N"/>
    <s v="AF"/>
    <s v="148"/>
    <s v="231116"/>
    <s v="HEA"/>
    <s v="EAP"/>
    <m/>
    <m/>
    <m/>
    <s v="CPH"/>
    <s v="LOS"/>
    <s v="LOS"/>
    <s v="N"/>
    <s v="R3003"/>
    <m/>
    <m/>
    <s v="Passed"/>
    <m/>
    <x v="5"/>
    <m/>
    <m/>
    <m/>
    <s v=" "/>
    <m/>
    <m/>
    <m/>
    <m/>
    <n v="2"/>
    <n v="0.5"/>
    <b v="0"/>
    <b v="0"/>
    <b v="0"/>
    <b v="0"/>
    <b v="0"/>
    <s v="No"/>
    <s v="No"/>
  </r>
  <r>
    <d v="2023-11-13T00:00:00"/>
    <x v="138"/>
    <s v="DA"/>
    <s v="05746524026002"/>
    <m/>
    <s v="529.5"/>
    <s v="1"/>
    <s v="1.15"/>
    <s v="Y"/>
    <s v="N"/>
    <s v="AF"/>
    <s v="148"/>
    <s v="231116"/>
    <s v="HEA"/>
    <s v="EAP"/>
    <m/>
    <m/>
    <m/>
    <s v="CPH"/>
    <s v="LOS"/>
    <s v="LOS"/>
    <s v="N"/>
    <s v="S8003"/>
    <m/>
    <m/>
    <s v="Passed"/>
    <m/>
    <x v="5"/>
    <m/>
    <m/>
    <m/>
    <s v=" "/>
    <m/>
    <m/>
    <m/>
    <m/>
    <n v="2"/>
    <n v="0.5"/>
    <b v="0"/>
    <b v="0"/>
    <b v="0"/>
    <b v="0"/>
    <b v="0"/>
    <s v="No"/>
    <s v="No"/>
  </r>
  <r>
    <d v="2023-11-13T00:00:00"/>
    <x v="139"/>
    <s v="DA"/>
    <s v="05746652001002"/>
    <s v="PMC64466AF"/>
    <s v="2807.1"/>
    <s v="10"/>
    <s v="3.95"/>
    <s v="Y"/>
    <s v="N"/>
    <s v="AF"/>
    <s v="822"/>
    <s v="231117"/>
    <m/>
    <m/>
    <m/>
    <m/>
    <m/>
    <s v="ABZ"/>
    <s v="SSG"/>
    <s v="SSG"/>
    <s v="N"/>
    <s v="B2A-4929"/>
    <s v="ML"/>
    <m/>
    <s v="Failed"/>
    <m/>
    <x v="3"/>
    <m/>
    <m/>
    <m/>
    <s v="05746652001001"/>
    <m/>
    <m/>
    <m/>
    <m/>
    <n v="2"/>
    <n v="1"/>
    <b v="0"/>
    <b v="0"/>
    <b v="0"/>
    <b v="0"/>
    <b v="0"/>
    <s v="No"/>
    <s v="No"/>
  </r>
  <r>
    <d v="2023-11-13T00:00:00"/>
    <x v="140"/>
    <s v="BA"/>
    <s v="05746868474001"/>
    <m/>
    <s v="108.0"/>
    <s v="1"/>
    <s v="1.63"/>
    <s v="Y"/>
    <s v="N"/>
    <s v="AF"/>
    <s v="084"/>
    <s v="231116"/>
    <s v="ECC"/>
    <s v="EAP"/>
    <m/>
    <m/>
    <m/>
    <s v="VIE"/>
    <s v="SFO"/>
    <s v="SFO"/>
    <s v="N"/>
    <s v="M2104"/>
    <m/>
    <m/>
    <s v="Failed"/>
    <m/>
    <x v="0"/>
    <m/>
    <m/>
    <m/>
    <s v="05746868474001"/>
    <m/>
    <m/>
    <m/>
    <m/>
    <n v="2"/>
    <n v="1"/>
    <b v="0"/>
    <b v="0"/>
    <b v="0"/>
    <b v="0"/>
    <b v="0"/>
    <s v="No"/>
    <s v="No"/>
  </r>
  <r>
    <d v="2023-11-13T00:00:00"/>
    <x v="141"/>
    <s v="BA"/>
    <s v="05746921464001"/>
    <m/>
    <s v="127.0"/>
    <s v="1"/>
    <s v="1.22"/>
    <s v="Y"/>
    <s v="N"/>
    <s v="AF"/>
    <s v="084"/>
    <s v="231116"/>
    <s v="ECC"/>
    <s v="EAP"/>
    <s v="EAW"/>
    <m/>
    <m/>
    <s v="SIN"/>
    <s v="SFO"/>
    <s v="SFO"/>
    <s v="N"/>
    <s v="N4001"/>
    <m/>
    <m/>
    <s v="Failed"/>
    <m/>
    <x v="6"/>
    <m/>
    <m/>
    <m/>
    <s v="05746921464001"/>
    <m/>
    <m/>
    <m/>
    <m/>
    <n v="2"/>
    <n v="1"/>
    <b v="0"/>
    <b v="0"/>
    <b v="0"/>
    <b v="0"/>
    <b v="0"/>
    <s v="No"/>
    <s v="No"/>
  </r>
  <r>
    <d v="2023-11-13T00:00:00"/>
    <x v="142"/>
    <s v="BA"/>
    <s v="05747020761001"/>
    <m/>
    <s v="44.0"/>
    <s v="4"/>
    <s v=".18"/>
    <s v="Y"/>
    <s v="N"/>
    <s v="AF"/>
    <s v="404"/>
    <s v="231115"/>
    <s v="ELI"/>
    <s v="ECC"/>
    <s v="EAP"/>
    <m/>
    <m/>
    <s v="PVG"/>
    <s v="FOR"/>
    <s v="FOR"/>
    <s v="N"/>
    <s v="54406"/>
    <m/>
    <m/>
    <s v="Failed"/>
    <m/>
    <x v="0"/>
    <m/>
    <m/>
    <m/>
    <s v="05747020761001"/>
    <m/>
    <m/>
    <m/>
    <m/>
    <n v="2"/>
    <n v="1"/>
    <b v="0"/>
    <b v="0"/>
    <b v="0"/>
    <b v="0"/>
    <b v="0"/>
    <s v="No"/>
    <s v="No"/>
  </r>
  <r>
    <d v="2023-11-13T00:00:00"/>
    <x v="143"/>
    <s v="BA"/>
    <s v="05747024670001"/>
    <m/>
    <s v="726.0"/>
    <s v="1"/>
    <s v="2.15"/>
    <s v="Y"/>
    <s v="N"/>
    <s v="AF"/>
    <s v="682"/>
    <s v="231115"/>
    <s v="HEA"/>
    <m/>
    <m/>
    <m/>
    <m/>
    <s v="BCN"/>
    <s v="ATL"/>
    <s v="ATL"/>
    <s v="N"/>
    <s v="XLC00"/>
    <m/>
    <m/>
    <s v="Failed"/>
    <m/>
    <x v="0"/>
    <m/>
    <m/>
    <m/>
    <s v="05747024670001"/>
    <m/>
    <m/>
    <m/>
    <m/>
    <n v="2"/>
    <n v="1"/>
    <b v="0"/>
    <b v="0"/>
    <b v="0"/>
    <b v="0"/>
    <b v="0"/>
    <s v="No"/>
    <s v="No"/>
  </r>
  <r>
    <d v="2023-11-13T00:00:00"/>
    <x v="144"/>
    <s v="BA"/>
    <s v="05747027912001"/>
    <m/>
    <s v="76.7"/>
    <s v="2"/>
    <s v="1.19"/>
    <s v="Y"/>
    <s v="N"/>
    <s v="AF"/>
    <s v="460"/>
    <s v="231116"/>
    <m/>
    <m/>
    <m/>
    <m/>
    <m/>
    <s v="BIO"/>
    <s v="GRU"/>
    <s v="GRU"/>
    <s v="N"/>
    <s v="EC300"/>
    <m/>
    <m/>
    <s v="Failed"/>
    <m/>
    <x v="0"/>
    <m/>
    <m/>
    <m/>
    <s v="05747027912001"/>
    <m/>
    <m/>
    <m/>
    <m/>
    <n v="2"/>
    <n v="0.5"/>
    <b v="0"/>
    <b v="0"/>
    <b v="0"/>
    <b v="0"/>
    <b v="0"/>
    <s v="No"/>
    <s v="No"/>
  </r>
  <r>
    <d v="2023-11-13T00:00:00"/>
    <x v="144"/>
    <s v="DA"/>
    <s v="05747027912002"/>
    <m/>
    <s v="38.3"/>
    <s v="1"/>
    <s v=".60"/>
    <s v="Y"/>
    <s v="N"/>
    <s v="AF"/>
    <s v="460"/>
    <s v="231116"/>
    <m/>
    <m/>
    <m/>
    <m/>
    <m/>
    <s v="BIO"/>
    <s v="GRU"/>
    <s v="GRU"/>
    <s v="N"/>
    <s v="EC300"/>
    <m/>
    <m/>
    <s v="Failed"/>
    <m/>
    <x v="0"/>
    <m/>
    <m/>
    <m/>
    <s v="05747027912002"/>
    <m/>
    <m/>
    <m/>
    <m/>
    <n v="2"/>
    <n v="0.5"/>
    <b v="0"/>
    <b v="0"/>
    <b v="0"/>
    <b v="0"/>
    <b v="0"/>
    <s v="No"/>
    <s v="No"/>
  </r>
  <r>
    <d v="2023-11-13T00:00:00"/>
    <x v="145"/>
    <s v="BA"/>
    <s v="05747053985001"/>
    <m/>
    <s v="230.3"/>
    <s v="1"/>
    <s v=".79"/>
    <s v="Y"/>
    <s v="N"/>
    <s v="DL"/>
    <s v="085"/>
    <s v="231117"/>
    <s v="RMD"/>
    <s v="ECC"/>
    <s v="HEA"/>
    <m/>
    <m/>
    <s v="CGN"/>
    <s v="ATL"/>
    <s v="ATL"/>
    <s v="N"/>
    <s v="55003"/>
    <m/>
    <m/>
    <s v="Failed"/>
    <m/>
    <x v="0"/>
    <m/>
    <m/>
    <m/>
    <s v="05747053985001"/>
    <m/>
    <m/>
    <m/>
    <m/>
    <n v="2"/>
    <n v="0.33333333333333331"/>
    <b v="0"/>
    <b v="0"/>
    <b v="0"/>
    <b v="0"/>
    <b v="0"/>
    <s v="No"/>
    <s v="No"/>
  </r>
  <r>
    <d v="2023-11-13T00:00:00"/>
    <x v="145"/>
    <s v="DA"/>
    <s v="05747053985002"/>
    <m/>
    <s v="230.3"/>
    <s v="1"/>
    <s v=".79"/>
    <s v="Y"/>
    <s v="N"/>
    <s v="DL"/>
    <s v="085"/>
    <s v="231117"/>
    <s v="RMD"/>
    <s v="ECC"/>
    <s v="HEA"/>
    <m/>
    <m/>
    <s v="CGN"/>
    <s v="ATL"/>
    <s v="ATL"/>
    <s v="N"/>
    <s v="54301"/>
    <m/>
    <m/>
    <s v="Failed"/>
    <m/>
    <x v="0"/>
    <m/>
    <m/>
    <m/>
    <s v="05747053985002"/>
    <m/>
    <m/>
    <m/>
    <m/>
    <n v="2"/>
    <n v="0.33333333333333331"/>
    <b v="0"/>
    <b v="0"/>
    <b v="0"/>
    <b v="0"/>
    <b v="0"/>
    <s v="No"/>
    <s v="No"/>
  </r>
  <r>
    <d v="2023-11-13T00:00:00"/>
    <x v="145"/>
    <s v="FA"/>
    <s v="05747053985003"/>
    <m/>
    <s v="230.3"/>
    <s v="1"/>
    <s v=".79"/>
    <s v="Y"/>
    <s v="N"/>
    <s v="DL"/>
    <s v="085"/>
    <s v="231117"/>
    <s v="RMD"/>
    <s v="ECC"/>
    <s v="HEA"/>
    <m/>
    <m/>
    <s v="CGN"/>
    <s v="ATL"/>
    <s v="ATL"/>
    <s v="N"/>
    <s v="55302"/>
    <m/>
    <m/>
    <s v="Failed"/>
    <m/>
    <x v="0"/>
    <m/>
    <m/>
    <m/>
    <s v="05747053985003"/>
    <m/>
    <m/>
    <m/>
    <m/>
    <n v="2"/>
    <n v="0.33333333333333331"/>
    <b v="0"/>
    <b v="0"/>
    <b v="0"/>
    <b v="0"/>
    <b v="0"/>
    <s v="No"/>
    <s v="No"/>
  </r>
  <r>
    <d v="2023-11-13T00:00:00"/>
    <x v="146"/>
    <s v="BA"/>
    <s v="05747073246001"/>
    <m/>
    <s v="997.1"/>
    <s v="15"/>
    <s v="10.81"/>
    <s v="N"/>
    <s v="N"/>
    <s v="AF"/>
    <s v="702"/>
    <s v="231116"/>
    <s v="ERT"/>
    <s v="PIL"/>
    <s v="HEA"/>
    <s v="SPX"/>
    <m/>
    <s v="CDG"/>
    <s v="ABJ"/>
    <s v="ABJ"/>
    <s v="N"/>
    <s v="XLC00"/>
    <m/>
    <m/>
    <s v="Passed"/>
    <m/>
    <x v="10"/>
    <s v="Yes"/>
    <m/>
    <m/>
    <s v="05747073246001"/>
    <m/>
    <m/>
    <m/>
    <m/>
    <n v="2"/>
    <n v="0.14285714285714285"/>
    <b v="0"/>
    <b v="0"/>
    <b v="0"/>
    <b v="0"/>
    <b v="0"/>
    <s v="No"/>
    <s v="No"/>
  </r>
  <r>
    <d v="2023-11-13T00:00:00"/>
    <x v="146"/>
    <s v="DE"/>
    <s v="05747073246054"/>
    <s v="PMC23876KL"/>
    <s v="600.0"/>
    <s v="6"/>
    <s v="6.50"/>
    <s v="N"/>
    <s v="N"/>
    <s v="AF"/>
    <s v="702"/>
    <s v="231116"/>
    <s v="ERT"/>
    <s v="PIL"/>
    <s v="HEA"/>
    <s v="SPX"/>
    <m/>
    <s v="CDG"/>
    <s v="ABJ"/>
    <s v="ABJ"/>
    <s v="N"/>
    <s v="B2A-5336"/>
    <s v="ML"/>
    <m/>
    <s v="Passed"/>
    <m/>
    <x v="10"/>
    <s v="Yes"/>
    <m/>
    <m/>
    <s v="05747073246002"/>
    <m/>
    <m/>
    <m/>
    <m/>
    <n v="2"/>
    <n v="0.14285714285714285"/>
    <b v="0"/>
    <b v="0"/>
    <b v="0"/>
    <b v="0"/>
    <b v="0"/>
    <s v="No"/>
    <s v="No"/>
  </r>
  <r>
    <d v="2023-11-13T00:00:00"/>
    <x v="146"/>
    <s v="FE"/>
    <s v="05747073246055"/>
    <s v="PMC76351AF"/>
    <s v="550.0"/>
    <s v="6"/>
    <s v="5.96"/>
    <s v="N"/>
    <s v="N"/>
    <s v="AF"/>
    <s v="702"/>
    <s v="231116"/>
    <s v="ERT"/>
    <s v="PIL"/>
    <s v="HEA"/>
    <s v="SPX"/>
    <m/>
    <s v="CDG"/>
    <s v="ABJ"/>
    <s v="ABJ"/>
    <s v="N"/>
    <s v="B2A-5130"/>
    <s v="ML"/>
    <m/>
    <s v="Passed"/>
    <m/>
    <x v="10"/>
    <s v="Yes"/>
    <m/>
    <m/>
    <s v="05747073246003"/>
    <m/>
    <m/>
    <m/>
    <m/>
    <n v="2"/>
    <n v="0.14285714285714285"/>
    <b v="0"/>
    <b v="0"/>
    <b v="0"/>
    <b v="0"/>
    <b v="0"/>
    <s v="No"/>
    <s v="No"/>
  </r>
  <r>
    <d v="2023-11-13T00:00:00"/>
    <x v="146"/>
    <s v="HE"/>
    <s v="05747073246056"/>
    <s v="PMC66515AF"/>
    <s v="398.9"/>
    <s v="6"/>
    <s v="4.32"/>
    <s v="N"/>
    <s v="N"/>
    <s v="AF"/>
    <s v="702"/>
    <s v="231116"/>
    <s v="ERT"/>
    <s v="PIL"/>
    <s v="HEA"/>
    <s v="SPX"/>
    <m/>
    <s v="CDG"/>
    <s v="ABJ"/>
    <s v="ABJ"/>
    <s v="N"/>
    <s v="B1B-3019"/>
    <s v="ML"/>
    <m/>
    <s v="Passed"/>
    <m/>
    <x v="10"/>
    <s v="Yes"/>
    <m/>
    <m/>
    <s v="05747073246004"/>
    <m/>
    <m/>
    <m/>
    <m/>
    <n v="2"/>
    <n v="0.14285714285714285"/>
    <b v="0"/>
    <b v="0"/>
    <b v="0"/>
    <b v="0"/>
    <b v="0"/>
    <s v="No"/>
    <s v="No"/>
  </r>
  <r>
    <d v="2023-11-13T00:00:00"/>
    <x v="146"/>
    <s v="JE"/>
    <s v="05747073246057"/>
    <s v="PMC32263KL"/>
    <s v="398.8"/>
    <s v="6"/>
    <s v="4.32"/>
    <s v="N"/>
    <s v="N"/>
    <s v="AF"/>
    <s v="702"/>
    <s v="231116"/>
    <s v="ERT"/>
    <s v="PIL"/>
    <s v="HEA"/>
    <s v="SPX"/>
    <m/>
    <s v="CDG"/>
    <s v="ABJ"/>
    <s v="ABJ"/>
    <s v="N"/>
    <s v="B2D-6331"/>
    <s v="ML"/>
    <m/>
    <s v="Passed"/>
    <m/>
    <x v="10"/>
    <s v="Yes"/>
    <m/>
    <m/>
    <s v="05747073246005"/>
    <m/>
    <m/>
    <m/>
    <m/>
    <n v="2"/>
    <n v="0.14285714285714285"/>
    <b v="0"/>
    <b v="0"/>
    <b v="0"/>
    <b v="0"/>
    <b v="0"/>
    <s v="No"/>
    <s v="No"/>
  </r>
  <r>
    <d v="2023-11-13T00:00:00"/>
    <x v="146"/>
    <s v="LE"/>
    <s v="05747073246058"/>
    <s v="PMC73668AF"/>
    <s v="398.9"/>
    <s v="6"/>
    <s v="4.32"/>
    <s v="N"/>
    <s v="N"/>
    <s v="AF"/>
    <s v="702"/>
    <s v="231116"/>
    <s v="ERT"/>
    <s v="PIL"/>
    <s v="HEA"/>
    <s v="SPX"/>
    <m/>
    <s v="CDG"/>
    <s v="ABJ"/>
    <s v="ABJ"/>
    <s v="N"/>
    <s v="B2A-5324"/>
    <s v="ML"/>
    <m/>
    <s v="Passed"/>
    <m/>
    <x v="10"/>
    <s v="Yes"/>
    <m/>
    <m/>
    <s v="05747073246006"/>
    <m/>
    <m/>
    <m/>
    <m/>
    <n v="2"/>
    <n v="0.14285714285714285"/>
    <b v="0"/>
    <b v="0"/>
    <b v="0"/>
    <b v="0"/>
    <b v="0"/>
    <s v="No"/>
    <s v="No"/>
  </r>
  <r>
    <d v="2023-11-13T00:00:00"/>
    <x v="147"/>
    <s v="BA"/>
    <s v="05747132444001"/>
    <m/>
    <s v="200.0"/>
    <s v="1"/>
    <s v="2.13"/>
    <s v="Y"/>
    <s v="N"/>
    <s v="AF"/>
    <s v="374"/>
    <s v="231117"/>
    <s v="ECC"/>
    <s v="HEA"/>
    <s v="EAP"/>
    <m/>
    <m/>
    <s v="DXB"/>
    <s v="YVR"/>
    <s v="YVR"/>
    <s v="N"/>
    <s v="XLC00"/>
    <m/>
    <m/>
    <s v="Passed"/>
    <m/>
    <x v="5"/>
    <m/>
    <m/>
    <m/>
    <s v="05747132444001"/>
    <m/>
    <m/>
    <m/>
    <m/>
    <n v="2"/>
    <n v="0.5"/>
    <b v="0"/>
    <b v="0"/>
    <b v="0"/>
    <b v="0"/>
    <b v="0"/>
    <s v="No"/>
    <s v="No"/>
  </r>
  <r>
    <d v="2023-11-13T00:00:00"/>
    <x v="147"/>
    <s v="DA"/>
    <s v="05747132444002"/>
    <m/>
    <s v="200.0"/>
    <s v="1"/>
    <s v="2.13"/>
    <s v="Y"/>
    <s v="N"/>
    <s v="AF"/>
    <s v="374"/>
    <s v="231117"/>
    <s v="ECC"/>
    <s v="HEA"/>
    <s v="EAP"/>
    <m/>
    <m/>
    <s v="DXB"/>
    <s v="YVR"/>
    <s v="YVR"/>
    <s v="N"/>
    <s v="XLC00"/>
    <m/>
    <m/>
    <s v="Passed"/>
    <m/>
    <x v="5"/>
    <m/>
    <m/>
    <m/>
    <s v="05747132444002"/>
    <m/>
    <m/>
    <m/>
    <m/>
    <n v="2"/>
    <n v="0.5"/>
    <b v="0"/>
    <b v="0"/>
    <b v="0"/>
    <b v="0"/>
    <b v="0"/>
    <s v="No"/>
    <s v="No"/>
  </r>
  <r>
    <d v="2023-11-13T00:00:00"/>
    <x v="148"/>
    <s v="BA"/>
    <s v="05747136213001"/>
    <m/>
    <s v="309.0"/>
    <s v="6"/>
    <s v="5.51"/>
    <s v="N"/>
    <s v="N"/>
    <s v="AF"/>
    <s v="344"/>
    <s v="231115"/>
    <s v="ECC"/>
    <s v="EAP"/>
    <m/>
    <m/>
    <m/>
    <s v="CDG"/>
    <s v="YUL"/>
    <s v="YUL"/>
    <s v="N"/>
    <s v="LO400"/>
    <m/>
    <m/>
    <s v="Passed"/>
    <m/>
    <x v="4"/>
    <s v="Yes"/>
    <m/>
    <m/>
    <s v="05747136213001"/>
    <m/>
    <m/>
    <m/>
    <m/>
    <n v="2"/>
    <n v="0.5"/>
    <b v="0"/>
    <b v="0"/>
    <b v="0"/>
    <b v="0"/>
    <b v="0"/>
    <s v="No"/>
    <s v="No"/>
  </r>
  <r>
    <d v="2023-11-13T00:00:00"/>
    <x v="149"/>
    <s v="BA"/>
    <s v="05747139864001"/>
    <m/>
    <s v="74.0"/>
    <s v="1"/>
    <s v=".44"/>
    <s v="Y"/>
    <s v="N"/>
    <s v="AF"/>
    <s v="404"/>
    <s v="231115"/>
    <s v="ECC"/>
    <m/>
    <m/>
    <m/>
    <m/>
    <s v="PVG"/>
    <s v="FOR"/>
    <s v="FOR"/>
    <s v="N"/>
    <s v="55306"/>
    <m/>
    <m/>
    <s v="Failed"/>
    <m/>
    <x v="0"/>
    <m/>
    <m/>
    <m/>
    <s v="05747139864001"/>
    <m/>
    <m/>
    <m/>
    <m/>
    <n v="2"/>
    <n v="1"/>
    <b v="0"/>
    <b v="0"/>
    <b v="0"/>
    <b v="0"/>
    <b v="0"/>
    <s v="No"/>
    <s v="No"/>
  </r>
  <r>
    <d v="2023-11-13T00:00:00"/>
    <x v="150"/>
    <s v="BA"/>
    <s v="05747148522001"/>
    <m/>
    <s v="100.0"/>
    <s v="2"/>
    <s v=".28"/>
    <s v="Y"/>
    <s v="N"/>
    <s v="AF"/>
    <s v="474"/>
    <s v="231115"/>
    <s v="ECP"/>
    <s v="EAW"/>
    <m/>
    <m/>
    <m/>
    <s v="PVG"/>
    <s v="PTY"/>
    <s v="PTY"/>
    <s v="N"/>
    <s v="53105"/>
    <m/>
    <m/>
    <s v="Passed"/>
    <m/>
    <x v="5"/>
    <m/>
    <m/>
    <m/>
    <s v="05747148522001"/>
    <m/>
    <m/>
    <m/>
    <m/>
    <n v="2"/>
    <n v="1"/>
    <b v="0"/>
    <b v="0"/>
    <b v="0"/>
    <b v="0"/>
    <b v="0"/>
    <s v="No"/>
    <s v="No"/>
  </r>
  <r>
    <d v="2023-11-13T00:00:00"/>
    <x v="151"/>
    <s v="BA"/>
    <s v="05747148592001"/>
    <m/>
    <s v="116.0"/>
    <s v="2"/>
    <s v=".69"/>
    <s v="Y"/>
    <s v="N"/>
    <s v="AF"/>
    <s v="474"/>
    <s v="231115"/>
    <s v="ECP"/>
    <s v="EAW"/>
    <m/>
    <m/>
    <m/>
    <s v="PVG"/>
    <s v="PTY"/>
    <s v="PTY"/>
    <s v="N"/>
    <s v="50004"/>
    <m/>
    <m/>
    <s v="Passed"/>
    <m/>
    <x v="5"/>
    <m/>
    <m/>
    <m/>
    <s v="05747148592001"/>
    <m/>
    <m/>
    <m/>
    <m/>
    <n v="2"/>
    <n v="1"/>
    <b v="0"/>
    <b v="0"/>
    <b v="0"/>
    <b v="0"/>
    <b v="0"/>
    <s v="No"/>
    <s v="No"/>
  </r>
  <r>
    <d v="2023-11-13T00:00:00"/>
    <x v="152"/>
    <s v="DA"/>
    <s v="05747156163002"/>
    <m/>
    <s v="24.3"/>
    <s v="1"/>
    <s v=".22"/>
    <s v="Y"/>
    <s v="N"/>
    <s v="AF"/>
    <s v="374"/>
    <s v="231117"/>
    <s v="EAP"/>
    <m/>
    <m/>
    <m/>
    <m/>
    <s v="STR"/>
    <s v="YVR"/>
    <s v="YVR"/>
    <s v="N"/>
    <s v="S4401"/>
    <m/>
    <m/>
    <s v="Failed"/>
    <m/>
    <x v="0"/>
    <m/>
    <m/>
    <m/>
    <s v="05747156163001"/>
    <m/>
    <m/>
    <m/>
    <m/>
    <n v="2"/>
    <n v="0.16666666666666666"/>
    <b v="0"/>
    <b v="0"/>
    <b v="0"/>
    <b v="0"/>
    <b v="0"/>
    <s v="No"/>
    <s v="No"/>
  </r>
  <r>
    <d v="2023-11-13T00:00:00"/>
    <x v="152"/>
    <s v="FA"/>
    <s v="05747156163003"/>
    <m/>
    <s v="121.3"/>
    <s v="5"/>
    <s v="1.12"/>
    <s v="Y"/>
    <s v="N"/>
    <s v="AF"/>
    <s v="374"/>
    <s v="231117"/>
    <s v="EAP"/>
    <m/>
    <m/>
    <m/>
    <m/>
    <s v="STR"/>
    <s v="YVR"/>
    <s v="YVR"/>
    <s v="N"/>
    <s v="53010"/>
    <m/>
    <m/>
    <s v="Failed"/>
    <m/>
    <x v="0"/>
    <m/>
    <m/>
    <m/>
    <s v="05747156163002"/>
    <m/>
    <m/>
    <m/>
    <m/>
    <n v="2"/>
    <n v="0.16666666666666666"/>
    <b v="0"/>
    <b v="0"/>
    <b v="0"/>
    <b v="0"/>
    <b v="0"/>
    <s v="No"/>
    <s v="No"/>
  </r>
  <r>
    <d v="2023-11-13T00:00:00"/>
    <x v="152"/>
    <s v="HA"/>
    <s v="05747156163004"/>
    <m/>
    <s v="169.8"/>
    <s v="7"/>
    <s v="1.56"/>
    <s v="Y"/>
    <s v="N"/>
    <s v="AF"/>
    <s v="374"/>
    <s v="231117"/>
    <s v="EAP"/>
    <m/>
    <m/>
    <m/>
    <m/>
    <s v="STR"/>
    <s v="YVR"/>
    <s v="YVR"/>
    <s v="N"/>
    <s v="71001"/>
    <m/>
    <m/>
    <s v="Failed"/>
    <m/>
    <x v="0"/>
    <m/>
    <m/>
    <m/>
    <s v="05747156163003"/>
    <m/>
    <m/>
    <m/>
    <m/>
    <n v="2"/>
    <n v="0.16666666666666666"/>
    <b v="0"/>
    <b v="0"/>
    <b v="0"/>
    <b v="0"/>
    <b v="0"/>
    <s v="No"/>
    <s v="No"/>
  </r>
  <r>
    <d v="2023-11-13T00:00:00"/>
    <x v="152"/>
    <s v="JA"/>
    <s v="05747156163005"/>
    <m/>
    <s v="169.8"/>
    <s v="7"/>
    <s v="1.56"/>
    <s v="Y"/>
    <s v="N"/>
    <s v="AF"/>
    <s v="374"/>
    <s v="231117"/>
    <s v="EAP"/>
    <m/>
    <m/>
    <m/>
    <m/>
    <s v="STR"/>
    <s v="YVR"/>
    <s v="YVR"/>
    <s v="N"/>
    <s v="S5304"/>
    <m/>
    <m/>
    <s v="Failed"/>
    <m/>
    <x v="0"/>
    <m/>
    <m/>
    <m/>
    <s v="05747156163004"/>
    <m/>
    <m/>
    <m/>
    <m/>
    <n v="2"/>
    <n v="0.16666666666666666"/>
    <b v="0"/>
    <b v="0"/>
    <b v="0"/>
    <b v="0"/>
    <b v="0"/>
    <s v="No"/>
    <s v="No"/>
  </r>
  <r>
    <d v="2023-11-13T00:00:00"/>
    <x v="152"/>
    <s v="LA"/>
    <s v="05747156163006"/>
    <m/>
    <s v="24.3"/>
    <s v="1"/>
    <s v=".22"/>
    <s v="Y"/>
    <s v="N"/>
    <s v="AF"/>
    <s v="374"/>
    <s v="231117"/>
    <s v="EAP"/>
    <m/>
    <m/>
    <m/>
    <m/>
    <s v="STR"/>
    <s v="YVR"/>
    <s v="YVR"/>
    <s v="N"/>
    <s v="R9101"/>
    <m/>
    <m/>
    <s v="Failed"/>
    <m/>
    <x v="0"/>
    <m/>
    <m/>
    <m/>
    <s v="05747156163005"/>
    <m/>
    <m/>
    <m/>
    <m/>
    <n v="2"/>
    <n v="0.16666666666666666"/>
    <b v="0"/>
    <b v="0"/>
    <b v="0"/>
    <b v="0"/>
    <b v="0"/>
    <s v="No"/>
    <s v="No"/>
  </r>
  <r>
    <d v="2023-11-13T00:00:00"/>
    <x v="152"/>
    <m/>
    <s v="05747156163007"/>
    <m/>
    <s v="24.3"/>
    <s v="1"/>
    <s v=".22"/>
    <s v="Y"/>
    <s v="N"/>
    <s v="AF"/>
    <s v="374"/>
    <s v="231117"/>
    <s v="EAP"/>
    <m/>
    <m/>
    <m/>
    <m/>
    <s v="STR"/>
    <s v="YVR"/>
    <s v="YVR"/>
    <s v="N"/>
    <s v="49110"/>
    <m/>
    <m/>
    <s v="Failed"/>
    <m/>
    <x v="0"/>
    <m/>
    <m/>
    <m/>
    <s v="05747156163006"/>
    <m/>
    <m/>
    <m/>
    <m/>
    <n v="2"/>
    <n v="0.16666666666666666"/>
    <b v="0"/>
    <b v="0"/>
    <b v="0"/>
    <b v="0"/>
    <b v="0"/>
    <s v="No"/>
    <s v="No"/>
  </r>
  <r>
    <d v="2023-11-13T00:00:00"/>
    <x v="153"/>
    <s v="BA"/>
    <s v="05747184351001"/>
    <m/>
    <s v="346.8"/>
    <s v="5"/>
    <s v="1.12"/>
    <s v="Y"/>
    <s v="N"/>
    <s v="AF"/>
    <s v="6732"/>
    <s v="231115"/>
    <s v="ECC"/>
    <s v="EAP"/>
    <m/>
    <m/>
    <m/>
    <s v="BLR"/>
    <s v="ORD"/>
    <s v="ORD"/>
    <s v="N"/>
    <s v="LO100"/>
    <m/>
    <m/>
    <s v="Failed"/>
    <m/>
    <x v="0"/>
    <m/>
    <m/>
    <m/>
    <s v="05747184351001"/>
    <m/>
    <m/>
    <m/>
    <m/>
    <n v="2"/>
    <n v="0.25"/>
    <b v="0"/>
    <b v="0"/>
    <b v="0"/>
    <b v="0"/>
    <b v="0"/>
    <s v="No"/>
    <s v="No"/>
  </r>
  <r>
    <d v="2023-11-13T00:00:00"/>
    <x v="153"/>
    <s v="DA"/>
    <s v="05747184351002"/>
    <m/>
    <s v="277.4"/>
    <s v="4"/>
    <s v=".90"/>
    <s v="Y"/>
    <s v="N"/>
    <s v="AF"/>
    <s v="6732"/>
    <s v="231115"/>
    <s v="ECC"/>
    <s v="EAP"/>
    <m/>
    <m/>
    <m/>
    <s v="BLR"/>
    <s v="ORD"/>
    <s v="ORD"/>
    <s v="N"/>
    <s v="LO100"/>
    <m/>
    <m/>
    <s v="Failed"/>
    <m/>
    <x v="0"/>
    <m/>
    <m/>
    <m/>
    <s v="05747184351002"/>
    <m/>
    <m/>
    <m/>
    <m/>
    <n v="2"/>
    <n v="0.25"/>
    <b v="0"/>
    <b v="0"/>
    <b v="0"/>
    <b v="0"/>
    <b v="0"/>
    <s v="No"/>
    <s v="No"/>
  </r>
  <r>
    <d v="2023-11-13T00:00:00"/>
    <x v="153"/>
    <s v="FA"/>
    <s v="05747184351003"/>
    <m/>
    <s v="277.4"/>
    <s v="4"/>
    <s v=".90"/>
    <s v="Y"/>
    <s v="N"/>
    <s v="AF"/>
    <s v="6732"/>
    <s v="231115"/>
    <s v="ECC"/>
    <s v="EAP"/>
    <m/>
    <m/>
    <m/>
    <s v="BLR"/>
    <s v="ORD"/>
    <s v="ORD"/>
    <s v="N"/>
    <s v="LO100"/>
    <m/>
    <m/>
    <s v="Failed"/>
    <m/>
    <x v="0"/>
    <m/>
    <m/>
    <m/>
    <s v="05747184351003"/>
    <m/>
    <m/>
    <m/>
    <m/>
    <n v="2"/>
    <n v="0.25"/>
    <b v="0"/>
    <b v="0"/>
    <b v="0"/>
    <b v="0"/>
    <b v="0"/>
    <s v="No"/>
    <s v="No"/>
  </r>
  <r>
    <d v="2023-11-13T00:00:00"/>
    <x v="153"/>
    <s v="HA"/>
    <s v="05747184351004"/>
    <m/>
    <s v="277.4"/>
    <s v="4"/>
    <s v=".90"/>
    <s v="Y"/>
    <s v="N"/>
    <s v="AF"/>
    <s v="6732"/>
    <s v="231115"/>
    <s v="ECC"/>
    <s v="EAP"/>
    <m/>
    <m/>
    <m/>
    <s v="BLR"/>
    <s v="ORD"/>
    <s v="ORD"/>
    <s v="N"/>
    <s v="LO100"/>
    <m/>
    <m/>
    <s v="Failed"/>
    <m/>
    <x v="0"/>
    <m/>
    <m/>
    <m/>
    <s v="05747184351004"/>
    <m/>
    <m/>
    <m/>
    <m/>
    <n v="2"/>
    <n v="0.25"/>
    <b v="0"/>
    <b v="0"/>
    <b v="0"/>
    <b v="0"/>
    <b v="0"/>
    <s v="No"/>
    <s v="No"/>
  </r>
  <r>
    <d v="2023-11-13T00:00:00"/>
    <x v="154"/>
    <s v="BA"/>
    <s v="05747212185001"/>
    <m/>
    <s v="874.0"/>
    <s v="1"/>
    <s v="1.49"/>
    <s v="Y"/>
    <s v="N"/>
    <s v="AF"/>
    <s v="174"/>
    <s v="231115"/>
    <s v="ECC"/>
    <s v="HEA"/>
    <m/>
    <m/>
    <m/>
    <s v="STR"/>
    <s v="MEX"/>
    <s v="MEX"/>
    <s v="N"/>
    <s v="HLC132"/>
    <m/>
    <m/>
    <s v="Failed"/>
    <m/>
    <x v="0"/>
    <m/>
    <m/>
    <m/>
    <s v="05747212185001"/>
    <m/>
    <m/>
    <m/>
    <m/>
    <n v="2"/>
    <n v="0.5"/>
    <b v="0"/>
    <b v="0"/>
    <b v="0"/>
    <b v="0"/>
    <b v="0"/>
    <s v="No"/>
    <s v="No"/>
  </r>
  <r>
    <d v="2023-11-13T00:00:00"/>
    <x v="154"/>
    <s v="DA"/>
    <s v="05747212185002"/>
    <m/>
    <s v="874.0"/>
    <s v="1"/>
    <s v="1.49"/>
    <s v="Y"/>
    <s v="N"/>
    <s v="AF"/>
    <s v="174"/>
    <s v="231115"/>
    <s v="ECC"/>
    <s v="HEA"/>
    <m/>
    <m/>
    <m/>
    <s v="STR"/>
    <s v="MEX"/>
    <s v="MEX"/>
    <s v="N"/>
    <s v="HLC115"/>
    <m/>
    <m/>
    <s v="Failed"/>
    <m/>
    <x v="0"/>
    <m/>
    <m/>
    <m/>
    <s v="05747212185002"/>
    <m/>
    <m/>
    <m/>
    <m/>
    <n v="2"/>
    <n v="0.5"/>
    <b v="0"/>
    <b v="0"/>
    <b v="0"/>
    <b v="0"/>
    <b v="0"/>
    <s v="No"/>
    <s v="No"/>
  </r>
  <r>
    <d v="2023-11-13T00:00:00"/>
    <x v="155"/>
    <s v="BA"/>
    <s v="05747287682001"/>
    <m/>
    <s v="380.0"/>
    <s v="1"/>
    <s v="1.84"/>
    <s v="Y"/>
    <s v="N"/>
    <s v="AF"/>
    <s v="374"/>
    <s v="231117"/>
    <s v="ECC"/>
    <s v="HEA"/>
    <s v="EAP"/>
    <m/>
    <m/>
    <s v="BIO"/>
    <s v="YVR"/>
    <s v="YVR"/>
    <s v="N"/>
    <s v="EC300"/>
    <m/>
    <m/>
    <s v="Failed"/>
    <m/>
    <x v="0"/>
    <m/>
    <m/>
    <m/>
    <s v="05747287682001"/>
    <m/>
    <m/>
    <m/>
    <m/>
    <n v="2"/>
    <n v="1"/>
    <b v="0"/>
    <b v="0"/>
    <b v="0"/>
    <b v="0"/>
    <b v="0"/>
    <s v="No"/>
    <s v="No"/>
  </r>
  <r>
    <d v="2023-11-13T00:00:00"/>
    <x v="156"/>
    <s v="BA"/>
    <s v="05747326156001"/>
    <m/>
    <s v="286.2"/>
    <s v="1"/>
    <s v="1.71"/>
    <s v="Y"/>
    <s v="N"/>
    <s v="AF"/>
    <s v="804"/>
    <s v="231115"/>
    <s v="HEA"/>
    <m/>
    <m/>
    <m/>
    <m/>
    <s v="BRU"/>
    <s v="COO"/>
    <s v="COO"/>
    <s v="N"/>
    <s v="49307"/>
    <m/>
    <m/>
    <s v="Passed"/>
    <m/>
    <x v="5"/>
    <m/>
    <m/>
    <m/>
    <s v="05747326156001"/>
    <m/>
    <m/>
    <m/>
    <m/>
    <n v="2"/>
    <n v="0.5"/>
    <b v="0"/>
    <b v="0"/>
    <b v="0"/>
    <b v="0"/>
    <b v="0"/>
    <s v="No"/>
    <s v="No"/>
  </r>
  <r>
    <d v="2023-11-13T00:00:00"/>
    <x v="156"/>
    <s v="DA"/>
    <s v="05747326156002"/>
    <m/>
    <s v="286.2"/>
    <s v="1"/>
    <s v="1.72"/>
    <s v="Y"/>
    <s v="N"/>
    <s v="AF"/>
    <s v="804"/>
    <s v="231115"/>
    <s v="HEA"/>
    <m/>
    <m/>
    <m/>
    <m/>
    <s v="BRU"/>
    <s v="COO"/>
    <s v="COO"/>
    <s v="N"/>
    <s v="S3303"/>
    <m/>
    <m/>
    <s v="Passed"/>
    <m/>
    <x v="5"/>
    <m/>
    <m/>
    <m/>
    <s v=" "/>
    <m/>
    <m/>
    <m/>
    <m/>
    <n v="2"/>
    <n v="0.5"/>
    <b v="0"/>
    <b v="0"/>
    <b v="0"/>
    <b v="0"/>
    <b v="0"/>
    <s v="No"/>
    <s v="No"/>
  </r>
  <r>
    <d v="2023-11-13T00:00:00"/>
    <x v="157"/>
    <s v="BA"/>
    <s v="05747364623001"/>
    <m/>
    <s v="99.6"/>
    <s v="1"/>
    <s v=".77"/>
    <s v="Y"/>
    <s v="N"/>
    <s v="AF"/>
    <s v="460"/>
    <s v="231115"/>
    <s v="ERT"/>
    <s v="PIL"/>
    <s v="ECP"/>
    <s v="EAP"/>
    <m/>
    <s v="DUS"/>
    <s v="GRU"/>
    <s v="GRU"/>
    <s v="N"/>
    <s v="66005"/>
    <m/>
    <m/>
    <s v="Failed"/>
    <m/>
    <x v="0"/>
    <m/>
    <m/>
    <m/>
    <s v="05747364623001"/>
    <m/>
    <m/>
    <m/>
    <m/>
    <n v="2"/>
    <n v="0.5"/>
    <b v="0"/>
    <b v="0"/>
    <b v="0"/>
    <b v="0"/>
    <b v="0"/>
    <s v="No"/>
    <s v="No"/>
  </r>
  <r>
    <d v="2023-11-13T00:00:00"/>
    <x v="157"/>
    <s v="DA"/>
    <s v="05747364623002"/>
    <m/>
    <s v="99.7"/>
    <s v="1"/>
    <s v=".77"/>
    <s v="Y"/>
    <s v="N"/>
    <s v="AF"/>
    <s v="460"/>
    <s v="231115"/>
    <s v="ERT"/>
    <s v="PIL"/>
    <s v="ECP"/>
    <s v="EAP"/>
    <m/>
    <s v="DUS"/>
    <s v="GRU"/>
    <s v="GRU"/>
    <s v="N"/>
    <s v="66004"/>
    <m/>
    <m/>
    <s v="Failed"/>
    <m/>
    <x v="0"/>
    <m/>
    <m/>
    <m/>
    <s v="05747364623002"/>
    <m/>
    <m/>
    <m/>
    <m/>
    <n v="2"/>
    <n v="0.5"/>
    <b v="0"/>
    <b v="0"/>
    <b v="0"/>
    <b v="0"/>
    <b v="0"/>
    <s v="No"/>
    <s v="No"/>
  </r>
  <r>
    <d v="2023-11-13T00:00:00"/>
    <x v="158"/>
    <s v="BA"/>
    <s v="05747427144001"/>
    <s v="PMC32456KL"/>
    <s v="1038.0"/>
    <s v="6"/>
    <s v="7.63"/>
    <s v="Y"/>
    <s v="N"/>
    <s v="AF"/>
    <s v="568"/>
    <s v="231116"/>
    <s v="ECP"/>
    <s v="HEA"/>
    <s v="EAP"/>
    <m/>
    <m/>
    <s v="HND"/>
    <s v="CAI"/>
    <s v="CAI"/>
    <s v="N"/>
    <s v="B2A-4737"/>
    <s v="ML"/>
    <m/>
    <s v="Failed"/>
    <m/>
    <x v="0"/>
    <m/>
    <m/>
    <m/>
    <s v="05747427144001"/>
    <m/>
    <m/>
    <m/>
    <m/>
    <n v="2"/>
    <n v="0.33333333333333331"/>
    <b v="0"/>
    <b v="0"/>
    <b v="0"/>
    <b v="0"/>
    <b v="0"/>
    <s v="No"/>
    <s v="No"/>
  </r>
  <r>
    <d v="2023-11-13T00:00:00"/>
    <x v="158"/>
    <s v="DA"/>
    <s v="05747427144002"/>
    <s v="PMC22341MP"/>
    <s v="692.0"/>
    <s v="4"/>
    <s v="5.09"/>
    <s v="Y"/>
    <s v="N"/>
    <s v="AF"/>
    <s v="568"/>
    <s v="231116"/>
    <s v="ECP"/>
    <s v="HEA"/>
    <s v="EAP"/>
    <m/>
    <m/>
    <s v="HND"/>
    <s v="CAI"/>
    <s v="CAI"/>
    <s v="N"/>
    <s v="B2D-6228"/>
    <s v="ML"/>
    <m/>
    <s v="Failed"/>
    <m/>
    <x v="0"/>
    <m/>
    <m/>
    <m/>
    <s v="05747427144002"/>
    <m/>
    <m/>
    <m/>
    <m/>
    <n v="2"/>
    <n v="0.33333333333333331"/>
    <b v="0"/>
    <b v="0"/>
    <b v="0"/>
    <b v="0"/>
    <b v="0"/>
    <s v="No"/>
    <s v="No"/>
  </r>
  <r>
    <d v="2023-11-13T00:00:00"/>
    <x v="158"/>
    <s v="FA"/>
    <s v="05747427144003"/>
    <s v="PMC64064AF"/>
    <s v="692.0"/>
    <s v="4"/>
    <s v="5.09"/>
    <s v="Y"/>
    <s v="N"/>
    <s v="AF"/>
    <s v="568"/>
    <s v="231116"/>
    <s v="ECP"/>
    <s v="HEA"/>
    <s v="EAP"/>
    <m/>
    <m/>
    <s v="HND"/>
    <s v="CAI"/>
    <s v="CAI"/>
    <s v="N"/>
    <s v="B1A-3329"/>
    <s v="ML"/>
    <m/>
    <s v="Failed"/>
    <m/>
    <x v="0"/>
    <m/>
    <m/>
    <m/>
    <s v="05747427144003"/>
    <m/>
    <m/>
    <m/>
    <m/>
    <n v="2"/>
    <n v="0.33333333333333331"/>
    <b v="0"/>
    <b v="0"/>
    <b v="0"/>
    <b v="0"/>
    <b v="0"/>
    <s v="No"/>
    <s v="No"/>
  </r>
  <r>
    <d v="2023-11-13T00:00:00"/>
    <x v="159"/>
    <s v="DA"/>
    <s v="05747487112002"/>
    <m/>
    <s v="159.0"/>
    <s v="1"/>
    <s v=".15"/>
    <s v="Y"/>
    <s v="N"/>
    <s v="AF"/>
    <s v="342"/>
    <s v="231115"/>
    <s v="ECC"/>
    <s v="HEA"/>
    <s v="EAP"/>
    <m/>
    <m/>
    <s v="ZAG"/>
    <s v="YYZ"/>
    <s v="YUL"/>
    <s v="N"/>
    <s v="P5104"/>
    <m/>
    <m/>
    <s v="Failed"/>
    <m/>
    <x v="0"/>
    <m/>
    <m/>
    <m/>
    <s v="05747487112001"/>
    <m/>
    <m/>
    <m/>
    <m/>
    <n v="2"/>
    <n v="1"/>
    <b v="0"/>
    <b v="0"/>
    <b v="0"/>
    <b v="0"/>
    <b v="0"/>
    <s v="No"/>
    <s v="No"/>
  </r>
  <r>
    <d v="2023-11-13T00:00:00"/>
    <x v="160"/>
    <s v="BA"/>
    <s v="05747545083001"/>
    <m/>
    <s v="419.7"/>
    <s v="1"/>
    <s v="4.47"/>
    <s v="Y"/>
    <s v="N"/>
    <s v="AF"/>
    <s v="6734"/>
    <s v="231117"/>
    <s v="ECC"/>
    <s v="HEA"/>
    <s v="OHG"/>
    <m/>
    <m/>
    <s v="MAD"/>
    <s v="ORD"/>
    <s v="ORD"/>
    <s v="N"/>
    <s v="HLC031"/>
    <m/>
    <m/>
    <s v="Failed"/>
    <m/>
    <x v="0"/>
    <m/>
    <m/>
    <m/>
    <s v=" "/>
    <m/>
    <m/>
    <m/>
    <m/>
    <n v="2"/>
    <n v="0.25"/>
    <b v="0"/>
    <b v="0"/>
    <b v="0"/>
    <b v="0"/>
    <b v="0"/>
    <s v="No"/>
    <s v="No"/>
  </r>
  <r>
    <d v="2023-11-13T00:00:00"/>
    <x v="160"/>
    <s v="DA"/>
    <s v="05747545083002"/>
    <m/>
    <s v="1260.0"/>
    <s v="1"/>
    <s v="4.47"/>
    <s v="Y"/>
    <s v="N"/>
    <s v="AF"/>
    <s v="6734"/>
    <s v="231117"/>
    <s v="ECC"/>
    <s v="HEA"/>
    <s v="OHG"/>
    <m/>
    <m/>
    <s v="MAD"/>
    <s v="ORD"/>
    <s v="ORD"/>
    <s v="N"/>
    <s v="XLC00"/>
    <m/>
    <m/>
    <s v="Failed"/>
    <m/>
    <x v="0"/>
    <m/>
    <m/>
    <m/>
    <s v="05747545083002"/>
    <m/>
    <m/>
    <m/>
    <m/>
    <n v="2"/>
    <n v="0.25"/>
    <b v="0"/>
    <b v="0"/>
    <b v="0"/>
    <b v="0"/>
    <b v="0"/>
    <s v="No"/>
    <s v="No"/>
  </r>
  <r>
    <d v="2023-11-13T00:00:00"/>
    <x v="160"/>
    <s v="FA"/>
    <s v="05747545083003"/>
    <m/>
    <s v="840.0"/>
    <s v="1"/>
    <s v="4.47"/>
    <s v="Y"/>
    <s v="N"/>
    <s v="AF"/>
    <s v="6734"/>
    <s v="231117"/>
    <s v="ECC"/>
    <s v="HEA"/>
    <s v="OHG"/>
    <m/>
    <m/>
    <s v="MAD"/>
    <s v="ORD"/>
    <s v="ORD"/>
    <s v="N"/>
    <s v="XLC00"/>
    <m/>
    <m/>
    <s v="Failed"/>
    <m/>
    <x v="0"/>
    <m/>
    <m/>
    <m/>
    <s v="05747545083003"/>
    <m/>
    <m/>
    <m/>
    <m/>
    <n v="2"/>
    <n v="0.25"/>
    <b v="0"/>
    <b v="0"/>
    <b v="0"/>
    <b v="0"/>
    <b v="0"/>
    <s v="No"/>
    <s v="No"/>
  </r>
  <r>
    <d v="2023-11-13T00:00:00"/>
    <x v="160"/>
    <s v="HA"/>
    <s v="05747545083004"/>
    <m/>
    <s v="839.3"/>
    <s v="2"/>
    <s v="8.93"/>
    <s v="Y"/>
    <s v="N"/>
    <s v="AF"/>
    <s v="6734"/>
    <s v="231117"/>
    <s v="ECC"/>
    <s v="HEA"/>
    <s v="OHG"/>
    <m/>
    <m/>
    <s v="MAD"/>
    <s v="ORD"/>
    <s v="ORD"/>
    <s v="N"/>
    <s v="XLC30"/>
    <m/>
    <m/>
    <s v="Failed"/>
    <m/>
    <x v="0"/>
    <m/>
    <m/>
    <m/>
    <s v="05747545083004"/>
    <m/>
    <m/>
    <m/>
    <m/>
    <n v="2"/>
    <n v="0.25"/>
    <b v="0"/>
    <b v="0"/>
    <b v="0"/>
    <b v="0"/>
    <b v="0"/>
    <s v="No"/>
    <s v="No"/>
  </r>
  <r>
    <d v="2023-11-13T00:00:00"/>
    <x v="161"/>
    <s v="BA"/>
    <s v="05747621766001"/>
    <m/>
    <s v="188.5"/>
    <s v="1"/>
    <s v="1.82"/>
    <s v="Y"/>
    <s v="N"/>
    <s v="DL"/>
    <s v="153"/>
    <s v="231116"/>
    <s v="ECC"/>
    <s v="HEA"/>
    <s v="EAP"/>
    <m/>
    <m/>
    <s v="SIN"/>
    <s v="MSP"/>
    <s v="MSP"/>
    <s v="N"/>
    <s v="N1301"/>
    <m/>
    <m/>
    <s v="Failed"/>
    <m/>
    <x v="0"/>
    <m/>
    <m/>
    <m/>
    <s v="05747621766001"/>
    <m/>
    <m/>
    <m/>
    <m/>
    <n v="2"/>
    <n v="0.5"/>
    <b v="0"/>
    <b v="0"/>
    <b v="0"/>
    <b v="0"/>
    <b v="0"/>
    <s v="No"/>
    <s v="No"/>
  </r>
  <r>
    <d v="2023-11-13T00:00:00"/>
    <x v="161"/>
    <s v="DA"/>
    <s v="05747621766002"/>
    <m/>
    <s v="188.5"/>
    <s v="1"/>
    <s v="1.83"/>
    <s v="Y"/>
    <s v="N"/>
    <s v="DL"/>
    <s v="153"/>
    <s v="231116"/>
    <s v="ECC"/>
    <s v="HEA"/>
    <s v="EAP"/>
    <m/>
    <m/>
    <s v="SIN"/>
    <s v="MSP"/>
    <s v="MSP"/>
    <s v="N"/>
    <s v="N3103"/>
    <m/>
    <m/>
    <s v="Failed"/>
    <m/>
    <x v="0"/>
    <m/>
    <m/>
    <m/>
    <s v="05747621766002"/>
    <m/>
    <m/>
    <m/>
    <m/>
    <n v="2"/>
    <n v="0.5"/>
    <b v="0"/>
    <b v="0"/>
    <b v="0"/>
    <b v="0"/>
    <b v="0"/>
    <s v="No"/>
    <s v="No"/>
  </r>
  <r>
    <d v="2023-11-13T00:00:00"/>
    <x v="162"/>
    <s v="BA"/>
    <s v="05747749645001"/>
    <m/>
    <s v="127.5"/>
    <s v="1"/>
    <s v=".58"/>
    <s v="Y"/>
    <s v="N"/>
    <s v="AF"/>
    <s v="140M"/>
    <s v="231115"/>
    <m/>
    <m/>
    <m/>
    <m/>
    <m/>
    <s v="MEX"/>
    <s v="MRS"/>
    <s v="MRS"/>
    <s v="N"/>
    <s v="MRS00"/>
    <m/>
    <m/>
    <s v="Failed"/>
    <m/>
    <x v="0"/>
    <m/>
    <m/>
    <m/>
    <s v="05747749645001"/>
    <m/>
    <m/>
    <m/>
    <m/>
    <n v="2"/>
    <n v="0.5"/>
    <b v="0"/>
    <b v="0"/>
    <b v="0"/>
    <b v="0"/>
    <b v="0"/>
    <s v="No"/>
    <s v="No"/>
  </r>
  <r>
    <d v="2023-11-13T00:00:00"/>
    <x v="162"/>
    <s v="DA"/>
    <s v="05747749645002"/>
    <m/>
    <s v="127.5"/>
    <s v="1"/>
    <s v=".59"/>
    <s v="Y"/>
    <s v="N"/>
    <s v="AF"/>
    <s v="140M"/>
    <s v="231115"/>
    <m/>
    <m/>
    <m/>
    <m/>
    <m/>
    <s v="MEX"/>
    <s v="MRS"/>
    <s v="MRS"/>
    <s v="N"/>
    <s v="MRS00"/>
    <m/>
    <m/>
    <s v="Failed"/>
    <m/>
    <x v="0"/>
    <m/>
    <m/>
    <m/>
    <s v="05747749645002"/>
    <m/>
    <m/>
    <m/>
    <m/>
    <n v="2"/>
    <n v="0.5"/>
    <b v="0"/>
    <b v="0"/>
    <b v="0"/>
    <b v="0"/>
    <b v="0"/>
    <s v="No"/>
    <s v="No"/>
  </r>
  <r>
    <d v="2023-11-13T00:00:00"/>
    <x v="163"/>
    <s v="BA"/>
    <s v="05747759596001"/>
    <m/>
    <s v="526.0"/>
    <s v="2"/>
    <s v="2.77"/>
    <s v="Y"/>
    <s v="N"/>
    <s v="AF"/>
    <s v="6722"/>
    <s v="231117"/>
    <s v="ECP"/>
    <s v="XPH"/>
    <s v="HEA"/>
    <s v="EAP"/>
    <m/>
    <s v="KIX"/>
    <s v="NLU"/>
    <s v="NLU"/>
    <s v="N"/>
    <s v="XLC30"/>
    <m/>
    <m/>
    <s v="Failed"/>
    <m/>
    <x v="0"/>
    <m/>
    <m/>
    <m/>
    <s v="05747759596001"/>
    <m/>
    <m/>
    <m/>
    <m/>
    <n v="2"/>
    <n v="1"/>
    <b v="0"/>
    <b v="0"/>
    <b v="0"/>
    <b v="0"/>
    <b v="0"/>
    <s v="No"/>
    <s v="No"/>
  </r>
  <r>
    <d v="2023-11-13T00:00:00"/>
    <x v="164"/>
    <s v="BA"/>
    <s v="05747778006001"/>
    <m/>
    <s v="254.0"/>
    <s v="1"/>
    <s v=".60"/>
    <s v="Y"/>
    <s v="N"/>
    <s v="AF"/>
    <s v="356"/>
    <s v="231115"/>
    <s v="HEA"/>
    <m/>
    <m/>
    <m/>
    <m/>
    <s v="BRU"/>
    <s v="YYZ"/>
    <s v="YYZ"/>
    <s v="N"/>
    <s v="P4302"/>
    <m/>
    <m/>
    <s v="Failed"/>
    <m/>
    <x v="0"/>
    <m/>
    <m/>
    <m/>
    <s v="05747778006001"/>
    <m/>
    <m/>
    <m/>
    <m/>
    <n v="2"/>
    <n v="1"/>
    <b v="0"/>
    <b v="0"/>
    <b v="0"/>
    <b v="0"/>
    <b v="0"/>
    <s v="No"/>
    <s v="No"/>
  </r>
  <r>
    <d v="2023-11-13T00:00:00"/>
    <x v="165"/>
    <s v="FA"/>
    <s v="05747780062003"/>
    <s v="PMC71569AF"/>
    <s v="454.7"/>
    <s v="1"/>
    <s v="1.40"/>
    <s v="Y"/>
    <s v="N"/>
    <s v="AF"/>
    <s v="084"/>
    <s v="231115"/>
    <s v="ECC"/>
    <s v="HEA"/>
    <m/>
    <m/>
    <m/>
    <s v="BOD"/>
    <s v="SFO"/>
    <s v="SFO"/>
    <s v="N"/>
    <s v="B1C-2527"/>
    <s v="ML"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166"/>
    <s v="BA"/>
    <s v="05747784892001"/>
    <m/>
    <s v="114.6"/>
    <s v="1"/>
    <s v=".89"/>
    <s v="Y"/>
    <s v="N"/>
    <s v="AF"/>
    <s v="474"/>
    <s v="231115"/>
    <s v="CRT"/>
    <s v="PIL"/>
    <s v="ECP"/>
    <m/>
    <m/>
    <s v="MAD"/>
    <s v="PTY"/>
    <s v="PTY"/>
    <s v="N"/>
    <s v="C1112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166"/>
    <s v="DA"/>
    <s v="05747784892002"/>
    <m/>
    <s v="229.2"/>
    <s v="2"/>
    <s v="1.78"/>
    <s v="Y"/>
    <s v="N"/>
    <s v="AF"/>
    <s v="474"/>
    <s v="231115"/>
    <s v="CRT"/>
    <s v="PIL"/>
    <s v="ECP"/>
    <m/>
    <m/>
    <s v="MAD"/>
    <s v="PTY"/>
    <s v="PTY"/>
    <s v="N"/>
    <s v="C1309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166"/>
    <s v="FA"/>
    <s v="05747784892003"/>
    <m/>
    <s v="114.6"/>
    <s v="1"/>
    <s v=".89"/>
    <s v="Y"/>
    <s v="N"/>
    <s v="AF"/>
    <s v="474"/>
    <s v="231115"/>
    <s v="CRT"/>
    <s v="PIL"/>
    <s v="ECP"/>
    <m/>
    <m/>
    <s v="MAD"/>
    <s v="PTY"/>
    <s v="PTY"/>
    <s v="N"/>
    <s v="C1316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166"/>
    <s v="HA"/>
    <s v="05747784892004"/>
    <m/>
    <s v="114.6"/>
    <s v="1"/>
    <s v=".89"/>
    <s v="Y"/>
    <s v="N"/>
    <s v="AF"/>
    <s v="474"/>
    <s v="231115"/>
    <s v="CRT"/>
    <s v="PIL"/>
    <s v="ECP"/>
    <m/>
    <m/>
    <s v="MAD"/>
    <s v="PTY"/>
    <s v="PTY"/>
    <s v="N"/>
    <s v="C1305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167"/>
    <s v="BA"/>
    <s v="05747851086001"/>
    <m/>
    <s v="56.0"/>
    <s v="2"/>
    <s v=".10"/>
    <s v="Y"/>
    <s v="N"/>
    <s v="AF"/>
    <s v="140M"/>
    <s v="231115"/>
    <s v="ECC"/>
    <s v="EAP"/>
    <s v="SPX"/>
    <m/>
    <m/>
    <s v="TNR"/>
    <s v="MRS"/>
    <s v="MRS"/>
    <s v="N"/>
    <s v="MRS00"/>
    <m/>
    <m/>
    <s v="Failed"/>
    <m/>
    <x v="0"/>
    <m/>
    <m/>
    <m/>
    <m/>
    <m/>
    <m/>
    <m/>
    <m/>
    <n v="2"/>
    <n v="1"/>
    <b v="0"/>
    <b v="0"/>
    <b v="0"/>
    <b v="0"/>
    <b v="0"/>
    <s v="No"/>
    <s v="Yes"/>
  </r>
  <r>
    <d v="2023-11-13T00:00:00"/>
    <x v="168"/>
    <s v="BA"/>
    <s v="05747852114001"/>
    <s v="PMC64441AF"/>
    <s v="773.5"/>
    <s v="28"/>
    <s v="4.54"/>
    <s v="Y"/>
    <s v="N"/>
    <s v="AF"/>
    <s v="670"/>
    <s v="231115"/>
    <s v="ERT"/>
    <s v="PIL"/>
    <s v="EAP"/>
    <m/>
    <m/>
    <s v="FRA"/>
    <s v="JIB"/>
    <s v="JIB"/>
    <s v="N"/>
    <s v="B2A-5042"/>
    <s v="ML"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169"/>
    <s v="BA"/>
    <s v="05747856933001"/>
    <m/>
    <s v="434.4"/>
    <s v="3"/>
    <s v="4.14"/>
    <s v="N"/>
    <s v="N"/>
    <s v="AF"/>
    <s v="566"/>
    <s v="231115"/>
    <s v="NSC"/>
    <s v="ECP"/>
    <s v="HEA"/>
    <s v="EAP"/>
    <m/>
    <s v="CDG"/>
    <s v="BEY"/>
    <s v="BEY"/>
    <s v="N"/>
    <s v="RFK12"/>
    <m/>
    <m/>
    <s v="Passed"/>
    <m/>
    <x v="4"/>
    <s v="Yes"/>
    <m/>
    <m/>
    <m/>
    <m/>
    <m/>
    <m/>
    <m/>
    <n v="2"/>
    <n v="0.5"/>
    <b v="0"/>
    <b v="0"/>
    <b v="0"/>
    <b v="0"/>
    <b v="0"/>
    <s v="No"/>
    <s v="No"/>
  </r>
  <r>
    <d v="2023-11-13T00:00:00"/>
    <x v="169"/>
    <s v="DA"/>
    <s v="05747856933002"/>
    <m/>
    <s v="289.6"/>
    <s v="2"/>
    <s v="2.76"/>
    <s v="N"/>
    <s v="N"/>
    <s v="AF"/>
    <s v="566"/>
    <s v="231115"/>
    <s v="ELI"/>
    <s v="NSC"/>
    <s v="ECP"/>
    <s v="HEA"/>
    <s v="EAP"/>
    <s v="CDG"/>
    <s v="BEY"/>
    <s v="BEY"/>
    <s v="N"/>
    <s v="RFK12"/>
    <m/>
    <m/>
    <s v="Passed"/>
    <m/>
    <x v="4"/>
    <s v="Yes"/>
    <m/>
    <m/>
    <m/>
    <m/>
    <m/>
    <m/>
    <m/>
    <n v="2"/>
    <n v="0.5"/>
    <b v="0"/>
    <b v="0"/>
    <b v="0"/>
    <b v="0"/>
    <b v="0"/>
    <s v="No"/>
    <s v="No"/>
  </r>
  <r>
    <d v="2023-11-13T00:00:00"/>
    <x v="170"/>
    <s v="BA"/>
    <s v="05747906821001"/>
    <s v="PMC32141KL"/>
    <s v="137.0"/>
    <s v="2"/>
    <s v="1.44"/>
    <s v="Y"/>
    <s v="N"/>
    <s v="AF"/>
    <s v="152"/>
    <s v="231115"/>
    <s v="EAP"/>
    <m/>
    <m/>
    <m/>
    <m/>
    <s v="FRA"/>
    <s v="BKK"/>
    <s v="BKK"/>
    <s v="N"/>
    <s v="B2B-4140"/>
    <s v="ML"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171"/>
    <s v="BA"/>
    <s v="05747923256001"/>
    <m/>
    <s v="246.0"/>
    <s v="1"/>
    <s v=".70"/>
    <s v="Y"/>
    <s v="N"/>
    <s v="AF"/>
    <s v="090"/>
    <s v="231115"/>
    <s v="HEA"/>
    <s v="EAP"/>
    <m/>
    <m/>
    <m/>
    <s v="BOM"/>
    <s v="MIA"/>
    <s v="MIA"/>
    <s v="N"/>
    <s v="55012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171"/>
    <s v="DA"/>
    <s v="05747923256002"/>
    <m/>
    <s v="492.0"/>
    <s v="2"/>
    <s v="1.39"/>
    <s v="Y"/>
    <s v="N"/>
    <s v="AF"/>
    <s v="090"/>
    <s v="231115"/>
    <s v="HEA"/>
    <s v="EAP"/>
    <m/>
    <m/>
    <m/>
    <s v="BOM"/>
    <s v="MIA"/>
    <s v="MIA"/>
    <s v="N"/>
    <s v="54012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172"/>
    <s v="BA"/>
    <s v="05747943755001"/>
    <s v="PMC94237DL"/>
    <s v="736.0"/>
    <s v="2"/>
    <s v="7.36"/>
    <s v="Y"/>
    <s v="N"/>
    <s v="AF"/>
    <s v="334"/>
    <s v="231115"/>
    <s v="ECC"/>
    <s v="HEA"/>
    <s v="EAP"/>
    <m/>
    <m/>
    <s v="FRA"/>
    <s v="BOS"/>
    <s v="BOS"/>
    <s v="N"/>
    <s v="B2A-5333"/>
    <s v="ML"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72"/>
    <s v="DA"/>
    <s v="05747943755002"/>
    <s v="PMC95201DL"/>
    <s v="368.0"/>
    <s v="1"/>
    <s v="3.68"/>
    <s v="Y"/>
    <s v="N"/>
    <s v="AF"/>
    <s v="334"/>
    <s v="231115"/>
    <s v="ECC"/>
    <s v="HEA"/>
    <s v="EAP"/>
    <m/>
    <m/>
    <s v="FRA"/>
    <s v="BOS"/>
    <s v="BOS"/>
    <s v="N"/>
    <s v="B2C-5936"/>
    <s v="ML"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72"/>
    <s v="FA"/>
    <s v="05747943755003"/>
    <s v="PMC03846DL"/>
    <s v="736.0"/>
    <s v="2"/>
    <s v="7.36"/>
    <s v="Y"/>
    <s v="N"/>
    <s v="AF"/>
    <s v="334"/>
    <s v="231115"/>
    <s v="ECC"/>
    <s v="HEA"/>
    <s v="EAP"/>
    <m/>
    <m/>
    <s v="FRA"/>
    <s v="BOS"/>
    <s v="BOS"/>
    <s v="N"/>
    <s v="B1A-3443"/>
    <s v="ML"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73"/>
    <s v="BA"/>
    <s v="05747964895001"/>
    <m/>
    <s v="184.0"/>
    <s v="4"/>
    <s v="3.29"/>
    <s v="N"/>
    <s v="N"/>
    <s v="AF"/>
    <s v="090"/>
    <s v="231116"/>
    <s v="HEA"/>
    <m/>
    <m/>
    <m/>
    <m/>
    <s v="CDG"/>
    <s v="MIA"/>
    <s v="MIA"/>
    <s v="N"/>
    <s v="XLC00"/>
    <m/>
    <m/>
    <s v="Passed"/>
    <m/>
    <x v="3"/>
    <s v="Yes"/>
    <m/>
    <m/>
    <m/>
    <m/>
    <m/>
    <m/>
    <m/>
    <n v="2"/>
    <n v="0.5"/>
    <b v="0"/>
    <b v="0"/>
    <b v="0"/>
    <b v="0"/>
    <b v="0"/>
    <s v="No"/>
    <s v="No"/>
  </r>
  <r>
    <d v="2023-11-13T00:00:00"/>
    <x v="174"/>
    <s v="DA"/>
    <s v="05747964895002"/>
    <m/>
    <s v="46.0"/>
    <s v="1"/>
    <s v=".82"/>
    <s v="N"/>
    <s v="N"/>
    <s v="AF"/>
    <s v="090"/>
    <s v="231116"/>
    <m/>
    <m/>
    <m/>
    <m/>
    <m/>
    <s v="CDG"/>
    <s v="MIA"/>
    <s v="MIA"/>
    <s v="N"/>
    <s v="XLC00"/>
    <m/>
    <m/>
    <s v="Passed"/>
    <m/>
    <x v="3"/>
    <s v="Yes"/>
    <m/>
    <m/>
    <m/>
    <m/>
    <m/>
    <m/>
    <m/>
    <n v="2"/>
    <n v="0.5"/>
    <b v="0"/>
    <b v="0"/>
    <b v="0"/>
    <b v="0"/>
    <b v="0"/>
    <s v="No"/>
    <s v="No"/>
  </r>
  <r>
    <d v="2023-11-13T00:00:00"/>
    <x v="175"/>
    <s v="BA"/>
    <s v="05747965223001"/>
    <s v="PMC67650AF"/>
    <s v="1464.3"/>
    <s v="10"/>
    <s v="5.88"/>
    <s v="Y"/>
    <s v="N"/>
    <s v="AF"/>
    <s v="194"/>
    <s v="231115"/>
    <s v="ULD"/>
    <m/>
    <m/>
    <m/>
    <m/>
    <s v="FRA"/>
    <s v="BLR"/>
    <s v="BLR"/>
    <s v="N"/>
    <s v="B1A-3312"/>
    <s v="ML"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75"/>
    <s v="DA"/>
    <s v="05747965223002"/>
    <s v="PMC24513KL"/>
    <s v="1464.3"/>
    <s v="10"/>
    <s v="5.88"/>
    <s v="Y"/>
    <s v="N"/>
    <s v="AF"/>
    <s v="194"/>
    <s v="231115"/>
    <s v="ULD"/>
    <m/>
    <m/>
    <m/>
    <m/>
    <s v="FRA"/>
    <s v="BLR"/>
    <s v="BLR"/>
    <s v="N"/>
    <s v="B2D-6443"/>
    <s v="ML"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75"/>
    <s v="FA"/>
    <s v="05747965223003"/>
    <s v="PMC67650AF"/>
    <s v="2050.0"/>
    <s v="14"/>
    <s v="8.24"/>
    <s v="Y"/>
    <s v="N"/>
    <s v="AF"/>
    <s v="194"/>
    <s v="231115"/>
    <s v="ULD"/>
    <m/>
    <m/>
    <m/>
    <m/>
    <s v="FRA"/>
    <s v="BLR"/>
    <s v="BLR"/>
    <s v="N"/>
    <s v="B1A-3312"/>
    <s v="ML"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76"/>
    <s v="DA"/>
    <s v="05747989955002"/>
    <s v="PMC70200AF"/>
    <s v="1593.5"/>
    <s v="1"/>
    <s v="10.00"/>
    <s v="N"/>
    <s v="N"/>
    <s v="AF"/>
    <s v="356"/>
    <s v="231115"/>
    <s v="RMD"/>
    <s v="HEA"/>
    <s v="EAP"/>
    <m/>
    <m/>
    <s v="CDG"/>
    <s v="YYZ"/>
    <s v="YYZ"/>
    <s v="N"/>
    <s v="B1A-3631"/>
    <s v="ML"/>
    <m/>
    <s v="Passed"/>
    <m/>
    <x v="5"/>
    <s v="Yes"/>
    <m/>
    <m/>
    <m/>
    <m/>
    <m/>
    <m/>
    <m/>
    <n v="2"/>
    <n v="1"/>
    <b v="0"/>
    <b v="0"/>
    <b v="0"/>
    <b v="0"/>
    <b v="0"/>
    <s v="No"/>
    <s v="No"/>
  </r>
  <r>
    <d v="2023-11-13T00:00:00"/>
    <x v="177"/>
    <s v="BA"/>
    <s v="05748013405001"/>
    <s v="PMC24596KL"/>
    <s v="49.0"/>
    <s v="1"/>
    <s v=".51"/>
    <s v="Y"/>
    <s v="N"/>
    <s v="AF"/>
    <s v="178"/>
    <s v="231115"/>
    <s v="ECC"/>
    <s v="XPH"/>
    <s v="EAW"/>
    <m/>
    <m/>
    <s v="DEL"/>
    <s v="GDL"/>
    <s v="MEX"/>
    <s v="N"/>
    <s v="B2A-5119"/>
    <s v="ML"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178"/>
    <s v="BA"/>
    <s v="05748034092001"/>
    <m/>
    <s v="273.2"/>
    <s v="3"/>
    <s v="1.78"/>
    <s v="Y"/>
    <s v="N"/>
    <s v="AF"/>
    <s v="148"/>
    <s v="231115"/>
    <m/>
    <m/>
    <m/>
    <m/>
    <m/>
    <s v="ZRH"/>
    <s v="LOS"/>
    <s v="LOS"/>
    <s v="N"/>
    <s v="R3104"/>
    <m/>
    <m/>
    <s v="Passed"/>
    <m/>
    <x v="5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78"/>
    <s v="DA"/>
    <s v="05748034092002"/>
    <m/>
    <s v="91.1"/>
    <s v="1"/>
    <s v=".59"/>
    <s v="Y"/>
    <s v="N"/>
    <s v="AF"/>
    <s v="148"/>
    <s v="231115"/>
    <m/>
    <m/>
    <m/>
    <m/>
    <m/>
    <s v="ZRH"/>
    <s v="LOS"/>
    <s v="LOS"/>
    <s v="N"/>
    <s v="LLC00"/>
    <m/>
    <m/>
    <s v="Passed"/>
    <m/>
    <x v="5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78"/>
    <s v="FA"/>
    <s v="05748034092003"/>
    <m/>
    <s v="91.1"/>
    <s v="1"/>
    <s v=".59"/>
    <s v="Y"/>
    <s v="N"/>
    <s v="AF"/>
    <s v="148"/>
    <s v="231115"/>
    <m/>
    <m/>
    <m/>
    <m/>
    <m/>
    <s v="ZRH"/>
    <s v="LOS"/>
    <s v="LOS"/>
    <s v="N"/>
    <s v="LLC00"/>
    <m/>
    <m/>
    <s v="Passed"/>
    <m/>
    <x v="5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79"/>
    <s v="DA"/>
    <s v="05748057026002"/>
    <s v="AKE12890AF"/>
    <s v="993.0"/>
    <s v="46"/>
    <s v="3.46"/>
    <s v="Y"/>
    <s v="N"/>
    <s v="AF"/>
    <s v="404"/>
    <s v="231115"/>
    <s v="ELI"/>
    <s v="ECC"/>
    <s v="EAP"/>
    <m/>
    <m/>
    <s v="HKG"/>
    <s v="FOR"/>
    <s v="FOR"/>
    <s v="N"/>
    <s v="RCD-0000"/>
    <s v="KE"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180"/>
    <s v="BA"/>
    <s v="05748069044001"/>
    <m/>
    <s v="200.0"/>
    <s v="1"/>
    <s v="1.09"/>
    <s v="Y"/>
    <s v="N"/>
    <s v="AF"/>
    <s v="008"/>
    <s v="231115"/>
    <s v="ECC"/>
    <s v="HEA"/>
    <m/>
    <m/>
    <m/>
    <s v="VIE"/>
    <s v="JFK"/>
    <s v="JFK"/>
    <s v="N"/>
    <s v="N4302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181"/>
    <s v="BA"/>
    <s v="05748150373001"/>
    <m/>
    <s v="234.6"/>
    <s v="1"/>
    <s v=".97"/>
    <s v="Y"/>
    <s v="N"/>
    <s v="AF"/>
    <s v="682"/>
    <s v="231116"/>
    <s v="ECC"/>
    <s v="HEA"/>
    <s v="EAW"/>
    <m/>
    <m/>
    <s v="BKK"/>
    <s v="ATL"/>
    <s v="ATL"/>
    <s v="N"/>
    <s v="RFK07"/>
    <m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81"/>
    <s v="DA"/>
    <s v="05748150373002"/>
    <m/>
    <s v="469.2"/>
    <s v="2"/>
    <s v="1.93"/>
    <s v="Y"/>
    <s v="N"/>
    <s v="AF"/>
    <s v="682"/>
    <s v="231116"/>
    <s v="ECC"/>
    <s v="HEA"/>
    <s v="EAW"/>
    <m/>
    <m/>
    <s v="BKK"/>
    <s v="ATL"/>
    <s v="ATL"/>
    <s v="N"/>
    <s v="RFK07"/>
    <m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81"/>
    <s v="FA"/>
    <s v="05748150373003"/>
    <m/>
    <s v="469.2"/>
    <s v="2"/>
    <s v="1.93"/>
    <s v="Y"/>
    <s v="N"/>
    <s v="AF"/>
    <s v="682"/>
    <s v="231116"/>
    <s v="ECC"/>
    <s v="HEA"/>
    <s v="EAW"/>
    <m/>
    <m/>
    <s v="BKK"/>
    <s v="ATL"/>
    <s v="ATL"/>
    <s v="N"/>
    <s v="RFK07"/>
    <m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82"/>
    <s v="BA"/>
    <s v="05748154584001"/>
    <s v="PMC33071KL"/>
    <s v="209.3"/>
    <s v="6"/>
    <s v="1.40"/>
    <s v="Y"/>
    <s v="N"/>
    <s v="AF"/>
    <s v="178"/>
    <s v="231115"/>
    <s v="ECC"/>
    <s v="EAP"/>
    <m/>
    <m/>
    <m/>
    <s v="FRA"/>
    <s v="MEX"/>
    <s v="MEX"/>
    <s v="N"/>
    <s v="B1A-3230"/>
    <s v="ML"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183"/>
    <s v="BA"/>
    <s v="05748161046001"/>
    <m/>
    <s v="117.0"/>
    <s v="5"/>
    <s v=".39"/>
    <s v="Y"/>
    <s v="N"/>
    <s v="AF"/>
    <s v="054"/>
    <s v="231116"/>
    <s v="ECC"/>
    <s v="EAW"/>
    <m/>
    <m/>
    <m/>
    <s v="MAA"/>
    <s v="IAD"/>
    <s v="IAD"/>
    <s v="N"/>
    <s v="N8001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184"/>
    <s v="BA"/>
    <s v="05748166650001"/>
    <m/>
    <s v="130.0"/>
    <s v="1"/>
    <s v=".78"/>
    <s v="Y"/>
    <s v="N"/>
    <s v="AF"/>
    <s v="702"/>
    <s v="231116"/>
    <m/>
    <m/>
    <m/>
    <m/>
    <m/>
    <s v="LHR"/>
    <s v="ABJ"/>
    <s v="ABJ"/>
    <s v="N"/>
    <s v="S1102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185"/>
    <s v="BA"/>
    <s v="05748172596001"/>
    <s v="PZA5985MP"/>
    <s v="1079.0"/>
    <s v="1"/>
    <s v="4.14"/>
    <s v="Y"/>
    <s v="N"/>
    <s v="AF"/>
    <s v="6732"/>
    <s v="231115"/>
    <s v="ECC"/>
    <s v="HEA"/>
    <s v="OHG"/>
    <s v="EAW"/>
    <m/>
    <s v="FMO"/>
    <s v="ORD"/>
    <s v="ORD"/>
    <s v="N"/>
    <m/>
    <m/>
    <m/>
    <s v="Failed"/>
    <m/>
    <x v="6"/>
    <m/>
    <m/>
    <m/>
    <m/>
    <m/>
    <m/>
    <m/>
    <m/>
    <n v="2"/>
    <n v="0.5"/>
    <b v="0"/>
    <b v="0"/>
    <b v="0"/>
    <b v="0"/>
    <b v="0"/>
    <s v="No"/>
    <s v="No"/>
  </r>
  <r>
    <d v="2023-11-13T00:00:00"/>
    <x v="185"/>
    <s v="DA"/>
    <s v="05748172596002"/>
    <m/>
    <s v="1079.0"/>
    <s v="1"/>
    <s v="4.15"/>
    <s v="Y"/>
    <s v="N"/>
    <s v="AF"/>
    <s v="6732"/>
    <s v="231115"/>
    <s v="ECC"/>
    <s v="HEA"/>
    <s v="OHG"/>
    <s v="EAW"/>
    <m/>
    <s v="FMO"/>
    <s v="ORD"/>
    <s v="ORD"/>
    <s v="N"/>
    <s v="S1003"/>
    <m/>
    <m/>
    <s v="Failed"/>
    <m/>
    <x v="6"/>
    <m/>
    <m/>
    <m/>
    <m/>
    <m/>
    <m/>
    <m/>
    <m/>
    <n v="2"/>
    <n v="0.5"/>
    <b v="0"/>
    <b v="0"/>
    <b v="0"/>
    <b v="0"/>
    <b v="0"/>
    <s v="No"/>
    <s v="No"/>
  </r>
  <r>
    <d v="2023-11-13T00:00:00"/>
    <x v="186"/>
    <s v="BA"/>
    <s v="05748181210001"/>
    <m/>
    <s v="600.0"/>
    <s v="3"/>
    <s v="2.50"/>
    <s v="Y"/>
    <s v="N"/>
    <s v="AF"/>
    <s v="6732"/>
    <s v="231115"/>
    <s v="ECC"/>
    <s v="HEA"/>
    <m/>
    <m/>
    <m/>
    <s v="BCN"/>
    <s v="ORD"/>
    <s v="ORD"/>
    <s v="N"/>
    <s v="LLC00"/>
    <m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86"/>
    <s v="DA"/>
    <s v="05748181210002"/>
    <m/>
    <s v="394.0"/>
    <s v="1"/>
    <s v=".83"/>
    <s v="Y"/>
    <s v="N"/>
    <s v="AF"/>
    <s v="6732"/>
    <s v="231115"/>
    <s v="ECC"/>
    <s v="HEA"/>
    <m/>
    <m/>
    <m/>
    <s v="BCN"/>
    <s v="ORD"/>
    <s v="ORD"/>
    <s v="N"/>
    <s v="61308"/>
    <m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86"/>
    <s v="FA"/>
    <s v="05748181210003"/>
    <m/>
    <s v="200.0"/>
    <s v="1"/>
    <s v=".84"/>
    <s v="Y"/>
    <s v="N"/>
    <s v="AF"/>
    <s v="6732"/>
    <s v="231115"/>
    <s v="ECC"/>
    <s v="HEA"/>
    <m/>
    <m/>
    <m/>
    <s v="BCN"/>
    <s v="ORD"/>
    <s v="ORD"/>
    <s v="N"/>
    <s v="HLC165"/>
    <m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187"/>
    <s v="BA"/>
    <s v="05748210584001"/>
    <m/>
    <s v="100.0"/>
    <s v="2"/>
    <s v=".16"/>
    <s v="Y"/>
    <s v="N"/>
    <s v="AF"/>
    <s v="178"/>
    <s v="231115"/>
    <s v="ECC"/>
    <m/>
    <m/>
    <m/>
    <m/>
    <s v="MAN"/>
    <s v="MEX"/>
    <s v="MEX"/>
    <s v="N"/>
    <s v="Q8404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188"/>
    <s v="DA"/>
    <s v="05748212636002"/>
    <m/>
    <s v="200.8"/>
    <s v="1"/>
    <s v="1.34"/>
    <s v="Y"/>
    <s v="N"/>
    <s v="AF"/>
    <s v="140M"/>
    <s v="231115"/>
    <s v="HEA"/>
    <m/>
    <m/>
    <m/>
    <m/>
    <s v="YUL"/>
    <s v="MRS"/>
    <s v="MRS"/>
    <s v="N"/>
    <s v="MRS00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189"/>
    <s v="BA"/>
    <s v="05748260660001"/>
    <m/>
    <s v="46.0"/>
    <s v="1"/>
    <s v=".30"/>
    <s v="Y"/>
    <s v="N"/>
    <s v="AF"/>
    <s v="008"/>
    <s v="231115"/>
    <s v="ECC"/>
    <m/>
    <m/>
    <m/>
    <m/>
    <s v="BRU"/>
    <s v="JFK"/>
    <s v="JFK"/>
    <s v="N"/>
    <s v="54103"/>
    <m/>
    <m/>
    <s v="Passed"/>
    <m/>
    <x v="5"/>
    <m/>
    <m/>
    <m/>
    <m/>
    <m/>
    <m/>
    <m/>
    <m/>
    <n v="2"/>
    <n v="0.5"/>
    <b v="0"/>
    <b v="0"/>
    <b v="0"/>
    <b v="0"/>
    <b v="0"/>
    <s v="No"/>
    <s v="No"/>
  </r>
  <r>
    <d v="2023-11-13T00:00:00"/>
    <x v="189"/>
    <s v="DA"/>
    <s v="05748260660002"/>
    <m/>
    <s v="138.0"/>
    <s v="3"/>
    <s v=".91"/>
    <s v="Y"/>
    <s v="N"/>
    <s v="AF"/>
    <s v="008"/>
    <s v="231115"/>
    <s v="ECC"/>
    <m/>
    <m/>
    <m/>
    <m/>
    <s v="BRU"/>
    <s v="JFK"/>
    <s v="JFK"/>
    <s v="N"/>
    <s v="M7304"/>
    <m/>
    <m/>
    <s v="Passed"/>
    <m/>
    <x v="5"/>
    <m/>
    <m/>
    <m/>
    <m/>
    <m/>
    <m/>
    <m/>
    <m/>
    <n v="2"/>
    <n v="0.5"/>
    <b v="0"/>
    <b v="0"/>
    <b v="0"/>
    <b v="0"/>
    <b v="0"/>
    <s v="No"/>
    <s v="No"/>
  </r>
  <r>
    <d v="2023-11-13T00:00:00"/>
    <x v="190"/>
    <s v="BA"/>
    <s v="05748267741001"/>
    <m/>
    <s v="145.0"/>
    <s v="1"/>
    <s v=".30"/>
    <s v="Y"/>
    <s v="N"/>
    <s v="AF"/>
    <s v="568"/>
    <s v="231115"/>
    <s v="ECP"/>
    <m/>
    <m/>
    <m/>
    <m/>
    <s v="MAD"/>
    <s v="CAI"/>
    <s v="CAI"/>
    <s v="N"/>
    <s v="T5404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191"/>
    <s v="BA"/>
    <s v="05748279140001"/>
    <m/>
    <s v="410.5"/>
    <s v="1"/>
    <s v="1.15"/>
    <s v="Y"/>
    <s v="N"/>
    <s v="AF"/>
    <s v="148"/>
    <s v="231115"/>
    <s v="ECP"/>
    <s v="HEA"/>
    <m/>
    <m/>
    <m/>
    <s v="HAM"/>
    <s v="LOS"/>
    <s v="LOS"/>
    <s v="N"/>
    <s v="P5003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191"/>
    <s v="DA"/>
    <s v="05748279140002"/>
    <m/>
    <s v="410.5"/>
    <s v="1"/>
    <s v="1.16"/>
    <s v="Y"/>
    <s v="N"/>
    <s v="AF"/>
    <s v="148"/>
    <s v="231115"/>
    <s v="ECP"/>
    <s v="HEA"/>
    <m/>
    <m/>
    <m/>
    <s v="HAM"/>
    <s v="LOS"/>
    <s v="LOS"/>
    <s v="N"/>
    <s v="HLC103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192"/>
    <s v="BA"/>
    <s v="05748279173001"/>
    <m/>
    <s v="340.0"/>
    <s v="1"/>
    <s v="1.44"/>
    <s v="Y"/>
    <s v="N"/>
    <s v="AF"/>
    <s v="460"/>
    <s v="231115"/>
    <s v="ECP"/>
    <s v="HEA"/>
    <m/>
    <m/>
    <m/>
    <s v="HAM"/>
    <s v="GRU"/>
    <s v="GRU"/>
    <s v="N"/>
    <s v="Q7304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193"/>
    <s v="BA"/>
    <s v="05748296430001"/>
    <m/>
    <s v="529.0"/>
    <s v="1"/>
    <s v="2.11"/>
    <s v="Y"/>
    <s v="N"/>
    <s v="AF"/>
    <s v="712"/>
    <s v="231116"/>
    <s v="ECC"/>
    <s v="HEA"/>
    <s v="EAP"/>
    <m/>
    <m/>
    <s v="LHR"/>
    <s v="ABJ"/>
    <s v="ABJ"/>
    <s v="N"/>
    <s v="XLC00"/>
    <m/>
    <m/>
    <s v="Failed"/>
    <m/>
    <x v="3"/>
    <m/>
    <m/>
    <m/>
    <m/>
    <m/>
    <m/>
    <m/>
    <m/>
    <n v="2"/>
    <n v="1"/>
    <b v="0"/>
    <b v="0"/>
    <b v="0"/>
    <b v="0"/>
    <b v="0"/>
    <s v="No"/>
    <s v="No"/>
  </r>
  <r>
    <d v="2023-11-13T00:00:00"/>
    <x v="194"/>
    <s v="BA"/>
    <s v="05748333504001"/>
    <s v="PMC71569AF"/>
    <s v="54.0"/>
    <s v="10"/>
    <s v="1.06"/>
    <s v="Y"/>
    <s v="N"/>
    <s v="AF"/>
    <s v="084"/>
    <s v="231115"/>
    <s v="EAP"/>
    <m/>
    <m/>
    <m/>
    <m/>
    <s v="DEL"/>
    <s v="SFO"/>
    <s v="SFO"/>
    <s v="N"/>
    <s v="B1C-2527"/>
    <s v="ML"/>
    <m/>
    <s v="Failed"/>
    <m/>
    <x v="3"/>
    <m/>
    <m/>
    <m/>
    <m/>
    <m/>
    <m/>
    <m/>
    <m/>
    <n v="2"/>
    <n v="0.5"/>
    <b v="0"/>
    <b v="0"/>
    <b v="0"/>
    <b v="0"/>
    <b v="0"/>
    <s v="No"/>
    <s v="No"/>
  </r>
  <r>
    <d v="2023-11-13T00:00:00"/>
    <x v="194"/>
    <s v="DA"/>
    <s v="05748333504002"/>
    <s v="PMC71569AF"/>
    <s v="141.0"/>
    <s v="4"/>
    <s v=".42"/>
    <s v="Y"/>
    <s v="N"/>
    <s v="AF"/>
    <s v="084"/>
    <s v="231115"/>
    <s v="EAP"/>
    <m/>
    <m/>
    <m/>
    <m/>
    <s v="DEL"/>
    <s v="SFO"/>
    <s v="SFO"/>
    <s v="N"/>
    <s v="B1C-2527"/>
    <s v="ML"/>
    <m/>
    <s v="Failed"/>
    <m/>
    <x v="3"/>
    <m/>
    <m/>
    <m/>
    <m/>
    <m/>
    <m/>
    <m/>
    <m/>
    <n v="2"/>
    <n v="0.5"/>
    <b v="0"/>
    <b v="0"/>
    <b v="0"/>
    <b v="0"/>
    <b v="0"/>
    <s v="No"/>
    <s v="No"/>
  </r>
  <r>
    <d v="2023-11-13T00:00:00"/>
    <x v="195"/>
    <s v="BA"/>
    <s v="05748340176001"/>
    <m/>
    <s v="70.0"/>
    <s v="1"/>
    <s v=".46"/>
    <s v="Y"/>
    <s v="N"/>
    <s v="AF"/>
    <s v="374"/>
    <s v="231116"/>
    <s v="ECC"/>
    <s v="EAP"/>
    <m/>
    <m/>
    <m/>
    <s v="BCN"/>
    <s v="YVR"/>
    <s v="YVR"/>
    <s v="N"/>
    <s v="HLC083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195"/>
    <s v="DA"/>
    <s v="05748340176002"/>
    <m/>
    <s v="24.0"/>
    <s v="3"/>
    <s v="1.37"/>
    <s v="Y"/>
    <s v="N"/>
    <s v="AF"/>
    <s v="374"/>
    <s v="231116"/>
    <s v="ECC"/>
    <s v="EAP"/>
    <m/>
    <m/>
    <m/>
    <s v="BCN"/>
    <s v="YVR"/>
    <s v="YVR"/>
    <s v="N"/>
    <s v="HLC043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196"/>
    <s v="DA"/>
    <s v="05748353734002"/>
    <m/>
    <s v="150.0"/>
    <s v="1"/>
    <s v=".88"/>
    <s v="Y"/>
    <s v="N"/>
    <s v="AF"/>
    <s v="460"/>
    <s v="231115"/>
    <s v="HEA"/>
    <s v="OHG"/>
    <m/>
    <m/>
    <m/>
    <s v="LYS"/>
    <s v="GRU"/>
    <s v="GRU"/>
    <s v="N"/>
    <s v="LLC10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Yes"/>
  </r>
  <r>
    <d v="2023-11-13T00:00:00"/>
    <x v="196"/>
    <s v="FA"/>
    <s v="05748353734003"/>
    <m/>
    <s v="187.2"/>
    <s v="3"/>
    <s v="1.09"/>
    <s v="Y"/>
    <s v="N"/>
    <s v="AF"/>
    <s v="460"/>
    <s v="231115"/>
    <s v="OHG"/>
    <m/>
    <m/>
    <m/>
    <m/>
    <s v="LYS"/>
    <s v="GRU"/>
    <s v="GRU"/>
    <s v="N"/>
    <s v="LO100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Yes"/>
  </r>
  <r>
    <d v="2023-11-13T00:00:00"/>
    <x v="196"/>
    <s v="HA"/>
    <s v="05748353734004"/>
    <m/>
    <s v="124.8"/>
    <s v="2"/>
    <s v=".73"/>
    <s v="Y"/>
    <s v="N"/>
    <s v="AF"/>
    <s v="460"/>
    <s v="231115"/>
    <s v="OHG"/>
    <m/>
    <m/>
    <m/>
    <m/>
    <s v="LYS"/>
    <s v="GRU"/>
    <s v="GRU"/>
    <s v="N"/>
    <s v="LO100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Yes"/>
  </r>
  <r>
    <d v="2023-11-13T00:00:00"/>
    <x v="196"/>
    <s v="JA"/>
    <s v="05748353734005"/>
    <m/>
    <s v="124.8"/>
    <s v="2"/>
    <s v=".73"/>
    <s v="Y"/>
    <s v="N"/>
    <s v="AF"/>
    <s v="460"/>
    <s v="231115"/>
    <s v="OHG"/>
    <m/>
    <m/>
    <m/>
    <m/>
    <s v="LYS"/>
    <s v="GRU"/>
    <s v="GRU"/>
    <s v="N"/>
    <s v="LO100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Yes"/>
  </r>
  <r>
    <d v="2023-11-13T00:00:00"/>
    <x v="196"/>
    <s v="LA"/>
    <s v="05748353734006"/>
    <m/>
    <s v="62.4"/>
    <s v="1"/>
    <s v=".36"/>
    <s v="Y"/>
    <s v="N"/>
    <s v="AF"/>
    <s v="460"/>
    <s v="231115"/>
    <s v="OHG"/>
    <m/>
    <m/>
    <m/>
    <m/>
    <s v="LYS"/>
    <s v="GRU"/>
    <s v="GRU"/>
    <s v="N"/>
    <s v="LO100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Yes"/>
  </r>
  <r>
    <d v="2023-11-13T00:00:00"/>
    <x v="196"/>
    <m/>
    <s v="05748353734007"/>
    <m/>
    <s v="62.4"/>
    <s v="1"/>
    <s v=".36"/>
    <s v="Y"/>
    <s v="N"/>
    <s v="AF"/>
    <s v="460"/>
    <s v="231115"/>
    <s v="OHG"/>
    <m/>
    <m/>
    <m/>
    <m/>
    <s v="LYS"/>
    <s v="GRU"/>
    <s v="GRU"/>
    <s v="N"/>
    <s v="Q5001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Yes"/>
  </r>
  <r>
    <d v="2023-11-13T00:00:00"/>
    <x v="197"/>
    <s v="BA"/>
    <s v="05748355484001"/>
    <m/>
    <s v="38.3"/>
    <s v="1"/>
    <s v=".23"/>
    <s v="Y"/>
    <s v="N"/>
    <s v="AF"/>
    <s v="092"/>
    <s v="231116"/>
    <s v="ECC"/>
    <s v="EAP"/>
    <m/>
    <m/>
    <m/>
    <s v="BKK"/>
    <s v="MIA"/>
    <s v="MIA"/>
    <s v="N"/>
    <s v="HLC032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197"/>
    <s v="DA"/>
    <s v="05748355484002"/>
    <m/>
    <s v="344.7"/>
    <s v="9"/>
    <s v="2.12"/>
    <s v="Y"/>
    <s v="N"/>
    <s v="AF"/>
    <s v="092"/>
    <s v="231116"/>
    <s v="ECC"/>
    <s v="EAP"/>
    <m/>
    <m/>
    <m/>
    <s v="BKK"/>
    <s v="MIA"/>
    <s v="MIA"/>
    <s v="N"/>
    <s v="52112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198"/>
    <s v="BA"/>
    <s v="05748361865001"/>
    <m/>
    <s v="1355.0"/>
    <s v="1"/>
    <s v=".95"/>
    <s v="Y"/>
    <s v="N"/>
    <s v="AF"/>
    <s v="6732"/>
    <s v="231115"/>
    <s v="ECC"/>
    <s v="HEA"/>
    <m/>
    <m/>
    <m/>
    <s v="IST"/>
    <s v="ORD"/>
    <s v="ORD"/>
    <s v="N"/>
    <s v="49011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199"/>
    <s v="BA"/>
    <s v="05748365903001"/>
    <s v="PMC31440KL"/>
    <s v="2458.3"/>
    <s v="107"/>
    <s v="7.56"/>
    <s v="Y"/>
    <s v="N"/>
    <s v="AF"/>
    <s v="6724"/>
    <s v="231116"/>
    <s v="SKR"/>
    <m/>
    <m/>
    <m/>
    <m/>
    <s v="FRA"/>
    <s v="NRT"/>
    <s v="NRT"/>
    <s v="N"/>
    <s v="B2A-4933"/>
    <s v="ML"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00"/>
    <s v="BA"/>
    <s v="05748451325001"/>
    <m/>
    <s v="115.0"/>
    <s v="1"/>
    <s v=".55"/>
    <s v="Y"/>
    <s v="N"/>
    <s v="AF"/>
    <s v="712"/>
    <s v="231115"/>
    <s v="ECC"/>
    <s v="EAW"/>
    <m/>
    <m/>
    <m/>
    <s v="BCN"/>
    <s v="ABJ"/>
    <s v="ABJ"/>
    <s v="N"/>
    <s v="R7303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01"/>
    <s v="BA"/>
    <s v="05748466515001"/>
    <m/>
    <s v="263.2"/>
    <s v="9"/>
    <s v=".59"/>
    <s v="Y"/>
    <s v="N"/>
    <s v="AF"/>
    <s v="990"/>
    <s v="231115"/>
    <s v="ECC"/>
    <s v="EAW"/>
    <m/>
    <m/>
    <m/>
    <s v="DUS"/>
    <s v="JNB"/>
    <s v="JNB"/>
    <s v="N"/>
    <s v="R2003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02"/>
    <s v="BA"/>
    <s v="05748469330001"/>
    <s v="PMC21487MP"/>
    <s v="798.0"/>
    <s v="6"/>
    <s v="8.70"/>
    <s v="Y"/>
    <s v="N"/>
    <s v="AF"/>
    <s v="084"/>
    <s v="231115"/>
    <s v="ECC"/>
    <s v="EAW"/>
    <m/>
    <m/>
    <m/>
    <s v="AMS"/>
    <s v="SFO"/>
    <s v="SFO"/>
    <s v="N"/>
    <s v="B2C-5840"/>
    <s v="ML"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02"/>
    <s v="DA"/>
    <s v="05748469330002"/>
    <s v="PMC28353KL"/>
    <s v="665.0"/>
    <s v="5"/>
    <s v="7.25"/>
    <s v="Y"/>
    <s v="N"/>
    <s v="AF"/>
    <s v="084"/>
    <s v="231115"/>
    <s v="ECC"/>
    <s v="EAW"/>
    <m/>
    <m/>
    <m/>
    <s v="AMS"/>
    <s v="SFO"/>
    <s v="SFO"/>
    <s v="N"/>
    <s v="B1A-3341"/>
    <s v="ML"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03"/>
    <s v="BA"/>
    <s v="05748480062001"/>
    <s v="PMC72489AF"/>
    <s v="2100.0"/>
    <s v="3"/>
    <s v="5.38"/>
    <s v="Y"/>
    <s v="N"/>
    <s v="AF"/>
    <s v="712"/>
    <s v="231116"/>
    <s v="RMD"/>
    <s v="ECC"/>
    <s v="HEA"/>
    <s v="EAP"/>
    <m/>
    <s v="FRA"/>
    <s v="ABJ"/>
    <s v="ABJ"/>
    <s v="N"/>
    <s v="B1B-2729"/>
    <s v="ML"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04"/>
    <s v="BA"/>
    <s v="05748491435001"/>
    <m/>
    <s v="217.9"/>
    <s v="17"/>
    <s v=".92"/>
    <s v="Y"/>
    <s v="N"/>
    <s v="AF"/>
    <s v="990"/>
    <s v="231116"/>
    <s v="ECC"/>
    <s v="EAP"/>
    <m/>
    <m/>
    <m/>
    <s v="BCN"/>
    <s v="JNB"/>
    <s v="JNB"/>
    <s v="N"/>
    <s v="S9301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05"/>
    <s v="BA"/>
    <s v="05748491450001"/>
    <m/>
    <s v="570.0"/>
    <s v="1"/>
    <s v=".72"/>
    <s v="Y"/>
    <s v="N"/>
    <s v="AF"/>
    <s v="474"/>
    <s v="231115"/>
    <s v="ECP"/>
    <s v="HEA"/>
    <m/>
    <m/>
    <m/>
    <s v="BCN"/>
    <s v="PTY"/>
    <s v="PTY"/>
    <s v="N"/>
    <s v="62104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06"/>
    <s v="BA"/>
    <s v="05748511352001"/>
    <m/>
    <s v="9.6"/>
    <s v="1"/>
    <s v=".04"/>
    <s v="Y"/>
    <s v="N"/>
    <s v="AF"/>
    <s v="404"/>
    <s v="231115"/>
    <s v="XPH"/>
    <s v="EAP"/>
    <m/>
    <m/>
    <m/>
    <s v="FRA"/>
    <s v="FOR"/>
    <s v="FOR"/>
    <s v="N"/>
    <s v="53309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07"/>
    <s v="BA"/>
    <s v="05748534021001"/>
    <m/>
    <s v="191.0"/>
    <s v="10"/>
    <s v=".79"/>
    <s v="Y"/>
    <s v="N"/>
    <s v="AF"/>
    <s v="652"/>
    <s v="231117"/>
    <s v="VIC"/>
    <s v="ECC"/>
    <s v="EAP"/>
    <m/>
    <m/>
    <s v="MAA"/>
    <s v="RUN"/>
    <s v="RUN"/>
    <s v="N"/>
    <s v="53101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08"/>
    <s v="BA"/>
    <s v="05748534150001"/>
    <m/>
    <s v="294.0"/>
    <s v="9"/>
    <s v=".51"/>
    <s v="Y"/>
    <s v="N"/>
    <s v="AF"/>
    <s v="090"/>
    <s v="231115"/>
    <s v="ECC"/>
    <s v="EAP"/>
    <m/>
    <m/>
    <m/>
    <s v="MAA"/>
    <s v="MIA"/>
    <s v="MIA"/>
    <s v="N"/>
    <s v="P7104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09"/>
    <s v="BA"/>
    <s v="05748541920001"/>
    <m/>
    <s v="291.0"/>
    <s v="1"/>
    <s v="3.53"/>
    <s v="Y"/>
    <s v="N"/>
    <s v="AF"/>
    <s v="6732"/>
    <s v="231115"/>
    <s v="ECC"/>
    <s v="HEA"/>
    <m/>
    <m/>
    <m/>
    <s v="BCN"/>
    <s v="ORD"/>
    <s v="ORD"/>
    <s v="N"/>
    <s v="XLC00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10"/>
    <s v="BA"/>
    <s v="05748570034001"/>
    <m/>
    <s v="94.0"/>
    <s v="1"/>
    <s v=".74"/>
    <s v="Y"/>
    <s v="N"/>
    <s v="AF"/>
    <s v="178"/>
    <s v="231115"/>
    <s v="ECC"/>
    <s v="EAP"/>
    <m/>
    <m/>
    <m/>
    <s v="BUD"/>
    <s v="MEX"/>
    <s v="MEX"/>
    <s v="N"/>
    <s v="61109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10"/>
    <s v="DA"/>
    <s v="05748570034002"/>
    <m/>
    <s v="188.0"/>
    <s v="2"/>
    <s v="1.47"/>
    <s v="Y"/>
    <s v="N"/>
    <s v="AF"/>
    <s v="178"/>
    <s v="231115"/>
    <s v="ECC"/>
    <s v="EAP"/>
    <m/>
    <m/>
    <m/>
    <s v="BUD"/>
    <s v="MEX"/>
    <s v="MEX"/>
    <s v="N"/>
    <s v="74002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11"/>
    <s v="BA"/>
    <s v="05748570196001"/>
    <m/>
    <s v="316.4"/>
    <s v="1"/>
    <s v="1.80"/>
    <s v="Y"/>
    <s v="N"/>
    <s v="AF"/>
    <s v="004"/>
    <s v="231115"/>
    <s v="ECC"/>
    <s v="HEA"/>
    <s v="EAP"/>
    <m/>
    <m/>
    <s v="BUD"/>
    <s v="JFK"/>
    <s v="JFK"/>
    <s v="N"/>
    <s v="LO100"/>
    <m/>
    <m/>
    <s v="Failed"/>
    <m/>
    <x v="0"/>
    <m/>
    <m/>
    <m/>
    <m/>
    <m/>
    <m/>
    <m/>
    <m/>
    <n v="2"/>
    <n v="0.1"/>
    <b v="0"/>
    <b v="0"/>
    <b v="0"/>
    <b v="0"/>
    <b v="0"/>
    <s v="No"/>
    <s v="No"/>
  </r>
  <r>
    <d v="2023-11-13T00:00:00"/>
    <x v="211"/>
    <s v="DA"/>
    <s v="05748570196002"/>
    <m/>
    <s v="316.4"/>
    <s v="1"/>
    <s v=".72"/>
    <s v="Y"/>
    <s v="N"/>
    <s v="AF"/>
    <s v="004"/>
    <s v="231115"/>
    <s v="ECC"/>
    <s v="HEA"/>
    <s v="EAP"/>
    <m/>
    <m/>
    <s v="BUD"/>
    <s v="JFK"/>
    <s v="JFK"/>
    <s v="N"/>
    <s v="RFK40"/>
    <m/>
    <m/>
    <s v="Failed"/>
    <m/>
    <x v="0"/>
    <m/>
    <m/>
    <m/>
    <m/>
    <m/>
    <m/>
    <m/>
    <m/>
    <n v="2"/>
    <n v="0.1"/>
    <b v="0"/>
    <b v="0"/>
    <b v="0"/>
    <b v="0"/>
    <b v="0"/>
    <s v="No"/>
    <s v="No"/>
  </r>
  <r>
    <d v="2023-11-13T00:00:00"/>
    <x v="211"/>
    <s v="FA"/>
    <s v="05748570196003"/>
    <m/>
    <s v="316.4"/>
    <s v="1"/>
    <s v="1.80"/>
    <s v="Y"/>
    <s v="N"/>
    <s v="AF"/>
    <s v="004"/>
    <s v="231115"/>
    <s v="ECC"/>
    <s v="HEA"/>
    <s v="EAP"/>
    <m/>
    <m/>
    <s v="BUD"/>
    <s v="JFK"/>
    <s v="JFK"/>
    <s v="N"/>
    <s v="LO100"/>
    <m/>
    <m/>
    <s v="Failed"/>
    <m/>
    <x v="0"/>
    <m/>
    <m/>
    <m/>
    <m/>
    <m/>
    <m/>
    <m/>
    <m/>
    <n v="2"/>
    <n v="0.1"/>
    <b v="0"/>
    <b v="0"/>
    <b v="0"/>
    <b v="0"/>
    <b v="0"/>
    <s v="No"/>
    <s v="No"/>
  </r>
  <r>
    <d v="2023-11-13T00:00:00"/>
    <x v="211"/>
    <s v="HA"/>
    <s v="05748570196004"/>
    <m/>
    <s v="316.4"/>
    <s v="1"/>
    <s v="1.80"/>
    <s v="Y"/>
    <s v="N"/>
    <s v="AF"/>
    <s v="004"/>
    <s v="231115"/>
    <s v="ECC"/>
    <s v="HEA"/>
    <s v="EAP"/>
    <m/>
    <m/>
    <s v="BUD"/>
    <s v="JFK"/>
    <s v="JFK"/>
    <s v="N"/>
    <s v="LO100"/>
    <m/>
    <m/>
    <s v="Failed"/>
    <m/>
    <x v="0"/>
    <m/>
    <m/>
    <m/>
    <m/>
    <m/>
    <m/>
    <m/>
    <m/>
    <n v="2"/>
    <n v="0.1"/>
    <b v="0"/>
    <b v="0"/>
    <b v="0"/>
    <b v="0"/>
    <b v="0"/>
    <s v="No"/>
    <s v="No"/>
  </r>
  <r>
    <d v="2023-11-13T00:00:00"/>
    <x v="211"/>
    <s v="JA"/>
    <s v="05748570196005"/>
    <m/>
    <s v="316.4"/>
    <s v="1"/>
    <s v="1.80"/>
    <s v="Y"/>
    <s v="N"/>
    <s v="AF"/>
    <s v="004"/>
    <s v="231115"/>
    <s v="ECC"/>
    <s v="HEA"/>
    <s v="EAP"/>
    <m/>
    <m/>
    <s v="BUD"/>
    <s v="JFK"/>
    <s v="JFK"/>
    <s v="N"/>
    <s v="LO100"/>
    <m/>
    <m/>
    <s v="Failed"/>
    <m/>
    <x v="0"/>
    <m/>
    <m/>
    <m/>
    <m/>
    <m/>
    <m/>
    <m/>
    <m/>
    <n v="2"/>
    <n v="0.1"/>
    <b v="0"/>
    <b v="0"/>
    <b v="0"/>
    <b v="0"/>
    <b v="0"/>
    <s v="No"/>
    <s v="No"/>
  </r>
  <r>
    <d v="2023-11-13T00:00:00"/>
    <x v="211"/>
    <s v="LA"/>
    <s v="05748570196006"/>
    <m/>
    <s v="316.4"/>
    <s v="1"/>
    <s v="0.00"/>
    <s v="Y"/>
    <s v="N"/>
    <s v="AF"/>
    <s v="004"/>
    <s v="231115"/>
    <s v="ECC"/>
    <s v="HEA"/>
    <s v="EAP"/>
    <m/>
    <m/>
    <s v="BUD"/>
    <s v="JFK"/>
    <s v="JFK"/>
    <s v="N"/>
    <s v="RFK40"/>
    <m/>
    <m/>
    <s v="Failed"/>
    <m/>
    <x v="0"/>
    <m/>
    <m/>
    <m/>
    <m/>
    <m/>
    <m/>
    <m/>
    <m/>
    <n v="2"/>
    <n v="0.1"/>
    <b v="0"/>
    <b v="0"/>
    <b v="0"/>
    <b v="0"/>
    <b v="0"/>
    <s v="No"/>
    <s v="No"/>
  </r>
  <r>
    <d v="2023-11-13T00:00:00"/>
    <x v="211"/>
    <m/>
    <s v="05748570196007"/>
    <m/>
    <s v="316.4"/>
    <s v="1"/>
    <s v=".72"/>
    <s v="Y"/>
    <s v="N"/>
    <s v="AF"/>
    <s v="004"/>
    <s v="231115"/>
    <s v="ECC"/>
    <s v="HEA"/>
    <s v="EAP"/>
    <m/>
    <m/>
    <s v="BUD"/>
    <s v="JFK"/>
    <s v="JFK"/>
    <s v="N"/>
    <s v="RFK40"/>
    <m/>
    <m/>
    <s v="Failed"/>
    <m/>
    <x v="0"/>
    <m/>
    <m/>
    <m/>
    <m/>
    <m/>
    <m/>
    <m/>
    <m/>
    <n v="2"/>
    <n v="0.1"/>
    <b v="0"/>
    <b v="0"/>
    <b v="0"/>
    <b v="0"/>
    <b v="0"/>
    <s v="No"/>
    <s v="No"/>
  </r>
  <r>
    <d v="2023-11-13T00:00:00"/>
    <x v="211"/>
    <s v="PA"/>
    <s v="05748570196008"/>
    <m/>
    <s v="316.4"/>
    <s v="1"/>
    <s v=".72"/>
    <s v="Y"/>
    <s v="N"/>
    <s v="AF"/>
    <s v="004"/>
    <s v="231115"/>
    <s v="ECC"/>
    <s v="HEA"/>
    <s v="EAP"/>
    <m/>
    <m/>
    <s v="BUD"/>
    <s v="JFK"/>
    <s v="JFK"/>
    <s v="N"/>
    <s v="RFK40"/>
    <m/>
    <m/>
    <s v="Failed"/>
    <m/>
    <x v="0"/>
    <m/>
    <m/>
    <m/>
    <m/>
    <m/>
    <m/>
    <m/>
    <m/>
    <n v="2"/>
    <n v="0.1"/>
    <b v="0"/>
    <b v="0"/>
    <b v="0"/>
    <b v="0"/>
    <b v="0"/>
    <s v="No"/>
    <s v="No"/>
  </r>
  <r>
    <d v="2023-11-13T00:00:00"/>
    <x v="211"/>
    <s v="RA"/>
    <s v="05748570196009"/>
    <m/>
    <s v="316.4"/>
    <s v="1"/>
    <s v=".72"/>
    <s v="Y"/>
    <s v="N"/>
    <s v="AF"/>
    <s v="004"/>
    <s v="231115"/>
    <s v="ECC"/>
    <s v="HEA"/>
    <s v="EAP"/>
    <m/>
    <m/>
    <s v="BUD"/>
    <s v="JFK"/>
    <s v="JFK"/>
    <s v="N"/>
    <s v="RFK40"/>
    <m/>
    <m/>
    <s v="Failed"/>
    <m/>
    <x v="0"/>
    <m/>
    <m/>
    <m/>
    <m/>
    <m/>
    <m/>
    <m/>
    <m/>
    <n v="2"/>
    <n v="0.1"/>
    <b v="0"/>
    <b v="0"/>
    <b v="0"/>
    <b v="0"/>
    <b v="0"/>
    <s v="No"/>
    <s v="No"/>
  </r>
  <r>
    <d v="2023-11-13T00:00:00"/>
    <x v="211"/>
    <s v="TA"/>
    <s v="05748570196010"/>
    <m/>
    <s v="316.4"/>
    <s v="1"/>
    <s v=".72"/>
    <s v="Y"/>
    <s v="N"/>
    <s v="AF"/>
    <s v="004"/>
    <s v="231115"/>
    <s v="ECC"/>
    <s v="HEA"/>
    <s v="EAP"/>
    <m/>
    <m/>
    <s v="BUD"/>
    <s v="JFK"/>
    <s v="JFK"/>
    <s v="N"/>
    <s v="RFK40"/>
    <m/>
    <m/>
    <s v="Failed"/>
    <m/>
    <x v="0"/>
    <m/>
    <m/>
    <m/>
    <m/>
    <m/>
    <m/>
    <m/>
    <m/>
    <n v="2"/>
    <n v="0.1"/>
    <b v="0"/>
    <b v="0"/>
    <b v="0"/>
    <b v="0"/>
    <b v="0"/>
    <s v="No"/>
    <s v="No"/>
  </r>
  <r>
    <d v="2023-11-13T00:00:00"/>
    <x v="212"/>
    <s v="BA"/>
    <s v="05748570244001"/>
    <m/>
    <s v="178.0"/>
    <s v="1"/>
    <s v="1.44"/>
    <s v="Y"/>
    <s v="N"/>
    <s v="AF"/>
    <s v="342"/>
    <s v="231115"/>
    <s v="ECC"/>
    <s v="HEA"/>
    <s v="EAP"/>
    <m/>
    <m/>
    <s v="BUD"/>
    <s v="YUL"/>
    <s v="YUL"/>
    <s v="N"/>
    <s v="P7402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13"/>
    <s v="BA"/>
    <s v="05748586473001"/>
    <m/>
    <s v="115.5"/>
    <s v="1"/>
    <s v="1.07"/>
    <s v="Y"/>
    <s v="N"/>
    <s v="AF"/>
    <s v="084"/>
    <s v="231116"/>
    <s v="ECC"/>
    <m/>
    <m/>
    <m/>
    <m/>
    <s v="BCN"/>
    <s v="SFO"/>
    <s v="SFO"/>
    <s v="N"/>
    <s v="49109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13"/>
    <s v="DA"/>
    <s v="05748586473002"/>
    <m/>
    <s v="115.5"/>
    <s v="1"/>
    <s v="1.07"/>
    <s v="Y"/>
    <s v="N"/>
    <s v="AF"/>
    <s v="084"/>
    <s v="231116"/>
    <s v="ECC"/>
    <m/>
    <m/>
    <m/>
    <m/>
    <s v="BCN"/>
    <s v="SFO"/>
    <s v="SFO"/>
    <s v="N"/>
    <s v="LLC00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14"/>
    <s v="BA"/>
    <s v="05748597452001"/>
    <m/>
    <s v="494.0"/>
    <s v="1"/>
    <s v="1.80"/>
    <s v="Y"/>
    <s v="N"/>
    <s v="AF"/>
    <s v="342"/>
    <s v="231115"/>
    <s v="ECC"/>
    <s v="HEA"/>
    <s v="EAP"/>
    <m/>
    <m/>
    <s v="LHR"/>
    <s v="YYZ"/>
    <s v="YUL"/>
    <s v="N"/>
    <s v="P5102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15"/>
    <s v="BA"/>
    <s v="05748602595001"/>
    <s v="PMC01174DL"/>
    <s v="445.3"/>
    <s v="7"/>
    <s v="5.98"/>
    <s v="Y"/>
    <s v="N"/>
    <s v="DL"/>
    <s v="089"/>
    <s v="231115"/>
    <s v="ECC"/>
    <s v="EAP"/>
    <s v="EAW"/>
    <m/>
    <m/>
    <s v="SIN"/>
    <s v="ATL"/>
    <s v="ATL"/>
    <s v="N"/>
    <s v="B1C-2525"/>
    <s v="ML"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15"/>
    <s v="LA"/>
    <s v="05748602595006"/>
    <s v="PMC01174DL"/>
    <s v="63.6"/>
    <s v="1"/>
    <s v=".85"/>
    <s v="Y"/>
    <s v="N"/>
    <s v="DL"/>
    <s v="089"/>
    <s v="231115"/>
    <s v="ECC"/>
    <s v="EAP"/>
    <s v="EAW"/>
    <m/>
    <m/>
    <s v="SIN"/>
    <s v="ATL"/>
    <s v="ATL"/>
    <s v="N"/>
    <s v="B1C-2525"/>
    <s v="ML"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15"/>
    <m/>
    <s v="05748602595007"/>
    <s v="PMC01174DL"/>
    <s v="63.6"/>
    <s v="1"/>
    <s v=".85"/>
    <s v="Y"/>
    <s v="N"/>
    <s v="DL"/>
    <s v="089"/>
    <s v="231115"/>
    <s v="ECC"/>
    <s v="EAP"/>
    <s v="EAW"/>
    <m/>
    <m/>
    <s v="SIN"/>
    <s v="ATL"/>
    <s v="ATL"/>
    <s v="N"/>
    <s v="B1C-2525"/>
    <s v="ML"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15"/>
    <s v="PA"/>
    <s v="05748602595008"/>
    <s v="PMC01174DL"/>
    <s v="63.6"/>
    <s v="1"/>
    <s v=".85"/>
    <s v="Y"/>
    <s v="N"/>
    <s v="DL"/>
    <s v="089"/>
    <s v="231115"/>
    <s v="ECC"/>
    <s v="EAP"/>
    <s v="EAW"/>
    <m/>
    <m/>
    <s v="SIN"/>
    <s v="ATL"/>
    <s v="ATL"/>
    <s v="N"/>
    <s v="B1C-2525"/>
    <s v="ML"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15"/>
    <s v="RA"/>
    <s v="05748602595009"/>
    <s v="PMC01174DL"/>
    <s v="63.6"/>
    <s v="1"/>
    <s v=".85"/>
    <s v="Y"/>
    <s v="N"/>
    <s v="DL"/>
    <s v="089"/>
    <s v="231115"/>
    <s v="ECC"/>
    <s v="EAP"/>
    <s v="EAW"/>
    <m/>
    <m/>
    <s v="SIN"/>
    <s v="ATL"/>
    <s v="ATL"/>
    <s v="N"/>
    <s v="B1C-2525"/>
    <s v="ML"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16"/>
    <s v="DA"/>
    <s v="05748602610002"/>
    <m/>
    <s v="256.7"/>
    <s v="1"/>
    <s v="1.36"/>
    <s v="Y"/>
    <s v="N"/>
    <s v="AF"/>
    <s v="6730"/>
    <s v="231116"/>
    <s v="ELI"/>
    <s v="ECC"/>
    <s v="HEA"/>
    <s v="EAP"/>
    <m/>
    <s v="SIN"/>
    <s v="ORD"/>
    <s v="ORD"/>
    <s v="N"/>
    <s v="63304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216"/>
    <s v="HA"/>
    <s v="05748602610004"/>
    <m/>
    <s v="256.8"/>
    <s v="1"/>
    <s v="1.37"/>
    <s v="Y"/>
    <s v="N"/>
    <s v="AF"/>
    <s v="6730"/>
    <s v="231116"/>
    <s v="ELI"/>
    <s v="ECC"/>
    <s v="HEA"/>
    <s v="EAP"/>
    <m/>
    <s v="SIN"/>
    <s v="ORD"/>
    <s v="ORD"/>
    <s v="N"/>
    <s v="64304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216"/>
    <s v="JA"/>
    <s v="05748602610005"/>
    <m/>
    <s v="256.8"/>
    <s v="1"/>
    <s v="1.37"/>
    <s v="Y"/>
    <s v="N"/>
    <s v="AF"/>
    <s v="6730"/>
    <s v="231116"/>
    <s v="ELI"/>
    <s v="ECC"/>
    <s v="HEA"/>
    <s v="EAP"/>
    <m/>
    <s v="SIN"/>
    <s v="ORD"/>
    <s v="ORD"/>
    <s v="N"/>
    <s v="67102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216"/>
    <s v="LA"/>
    <s v="05748602610006"/>
    <m/>
    <s v="256.8"/>
    <s v="1"/>
    <s v="1.37"/>
    <s v="Y"/>
    <s v="N"/>
    <s v="AF"/>
    <s v="6730"/>
    <s v="231116"/>
    <s v="ELI"/>
    <s v="ECC"/>
    <s v="HEA"/>
    <s v="EAP"/>
    <m/>
    <s v="SIN"/>
    <s v="ORD"/>
    <s v="ORD"/>
    <s v="N"/>
    <s v="T8403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217"/>
    <s v="BA"/>
    <s v="05748620051001"/>
    <m/>
    <s v="129.0"/>
    <s v="1"/>
    <s v=".29"/>
    <s v="Y"/>
    <s v="N"/>
    <s v="AF"/>
    <s v="682"/>
    <s v="231116"/>
    <s v="ECC"/>
    <s v="EAP"/>
    <m/>
    <m/>
    <m/>
    <s v="SIN"/>
    <s v="ATL"/>
    <s v="ATL"/>
    <s v="N"/>
    <s v="N7104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18"/>
    <s v="BA"/>
    <s v="05748632802001"/>
    <m/>
    <s v="153.0"/>
    <s v="1"/>
    <s v="1.10"/>
    <s v="Y"/>
    <s v="N"/>
    <s v="AF"/>
    <s v="374"/>
    <s v="231117"/>
    <s v="HEA"/>
    <m/>
    <m/>
    <m/>
    <m/>
    <s v="BRU"/>
    <s v="YVR"/>
    <s v="YVR"/>
    <s v="N"/>
    <s v="Y6103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19"/>
    <s v="BA"/>
    <s v="05748678291001"/>
    <m/>
    <s v="173.0"/>
    <s v="1"/>
    <s v=".31"/>
    <s v="Y"/>
    <s v="N"/>
    <s v="AF"/>
    <s v="460"/>
    <s v="231115"/>
    <s v="ECC"/>
    <s v="HEA"/>
    <m/>
    <m/>
    <m/>
    <s v="BTS"/>
    <s v="CNF"/>
    <s v="GRU"/>
    <s v="N"/>
    <s v="Q5104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20"/>
    <s v="BA"/>
    <s v="05748700923001"/>
    <m/>
    <s v="136.0"/>
    <s v="1"/>
    <s v="1.33"/>
    <s v="Y"/>
    <s v="N"/>
    <s v="AF"/>
    <s v="378"/>
    <s v="231115"/>
    <s v="HEA"/>
    <m/>
    <m/>
    <m/>
    <m/>
    <s v="SGN"/>
    <s v="ORD"/>
    <s v="DTW"/>
    <s v="N"/>
    <s v="M7003"/>
    <m/>
    <m/>
    <s v="Failed"/>
    <m/>
    <x v="0"/>
    <m/>
    <m/>
    <m/>
    <m/>
    <m/>
    <m/>
    <m/>
    <m/>
    <n v="2"/>
    <n v="8.3333333333333329E-2"/>
    <b v="0"/>
    <b v="0"/>
    <b v="0"/>
    <b v="0"/>
    <b v="0"/>
    <s v="No"/>
    <s v="No"/>
  </r>
  <r>
    <d v="2023-11-13T00:00:00"/>
    <x v="220"/>
    <s v="DA"/>
    <s v="05748700923002"/>
    <m/>
    <s v="140.0"/>
    <s v="1"/>
    <s v="1.33"/>
    <s v="Y"/>
    <s v="N"/>
    <s v="AF"/>
    <s v="378"/>
    <s v="231115"/>
    <s v="HEA"/>
    <m/>
    <m/>
    <m/>
    <m/>
    <s v="SGN"/>
    <s v="ORD"/>
    <s v="DTW"/>
    <s v="N"/>
    <s v="54403"/>
    <m/>
    <m/>
    <s v="Failed"/>
    <m/>
    <x v="0"/>
    <m/>
    <m/>
    <m/>
    <m/>
    <m/>
    <m/>
    <m/>
    <m/>
    <n v="2"/>
    <n v="8.3333333333333329E-2"/>
    <b v="0"/>
    <b v="0"/>
    <b v="0"/>
    <b v="0"/>
    <b v="0"/>
    <s v="No"/>
    <s v="No"/>
  </r>
  <r>
    <d v="2023-11-13T00:00:00"/>
    <x v="220"/>
    <s v="FA"/>
    <s v="05748700923003"/>
    <m/>
    <s v="163.0"/>
    <s v="1"/>
    <s v="1.33"/>
    <s v="Y"/>
    <s v="N"/>
    <s v="AF"/>
    <s v="378"/>
    <s v="231115"/>
    <s v="HEA"/>
    <m/>
    <m/>
    <m/>
    <m/>
    <s v="SGN"/>
    <s v="ORD"/>
    <s v="DTW"/>
    <s v="N"/>
    <s v="RFK60"/>
    <m/>
    <m/>
    <s v="Failed"/>
    <m/>
    <x v="0"/>
    <m/>
    <m/>
    <m/>
    <m/>
    <m/>
    <m/>
    <m/>
    <m/>
    <n v="2"/>
    <n v="8.3333333333333329E-2"/>
    <b v="0"/>
    <b v="0"/>
    <b v="0"/>
    <b v="0"/>
    <b v="0"/>
    <s v="No"/>
    <s v="No"/>
  </r>
  <r>
    <d v="2023-11-13T00:00:00"/>
    <x v="220"/>
    <s v="HA"/>
    <s v="05748700923004"/>
    <m/>
    <s v="173.0"/>
    <s v="1"/>
    <s v="1.33"/>
    <s v="Y"/>
    <s v="N"/>
    <s v="AF"/>
    <s v="378"/>
    <s v="231115"/>
    <s v="HEA"/>
    <m/>
    <m/>
    <m/>
    <m/>
    <s v="SGN"/>
    <s v="ORD"/>
    <s v="DTW"/>
    <s v="N"/>
    <s v="RFK62"/>
    <m/>
    <m/>
    <s v="Failed"/>
    <m/>
    <x v="0"/>
    <m/>
    <m/>
    <m/>
    <m/>
    <m/>
    <m/>
    <m/>
    <m/>
    <n v="2"/>
    <n v="8.3333333333333329E-2"/>
    <b v="0"/>
    <b v="0"/>
    <b v="0"/>
    <b v="0"/>
    <b v="0"/>
    <s v="No"/>
    <s v="No"/>
  </r>
  <r>
    <d v="2023-11-13T00:00:00"/>
    <x v="220"/>
    <s v="JA"/>
    <s v="05748700923005"/>
    <m/>
    <s v="173.0"/>
    <s v="1"/>
    <s v="1.33"/>
    <s v="Y"/>
    <s v="N"/>
    <s v="AF"/>
    <s v="378"/>
    <s v="231115"/>
    <s v="HEA"/>
    <m/>
    <m/>
    <m/>
    <m/>
    <s v="SGN"/>
    <s v="ORD"/>
    <s v="DTW"/>
    <s v="N"/>
    <s v="RFK60"/>
    <m/>
    <m/>
    <s v="Failed"/>
    <m/>
    <x v="0"/>
    <m/>
    <m/>
    <m/>
    <m/>
    <m/>
    <m/>
    <m/>
    <m/>
    <n v="2"/>
    <n v="8.3333333333333329E-2"/>
    <b v="0"/>
    <b v="0"/>
    <b v="0"/>
    <b v="0"/>
    <b v="0"/>
    <s v="No"/>
    <s v="No"/>
  </r>
  <r>
    <d v="2023-11-13T00:00:00"/>
    <x v="220"/>
    <s v="LA"/>
    <s v="05748700923006"/>
    <m/>
    <s v="173.0"/>
    <s v="1"/>
    <s v="1.33"/>
    <s v="Y"/>
    <s v="N"/>
    <s v="AF"/>
    <s v="378"/>
    <s v="231115"/>
    <s v="HEA"/>
    <m/>
    <m/>
    <m/>
    <m/>
    <s v="SGN"/>
    <s v="ORD"/>
    <s v="DTW"/>
    <s v="N"/>
    <s v="RFK68"/>
    <m/>
    <m/>
    <s v="Failed"/>
    <m/>
    <x v="0"/>
    <m/>
    <m/>
    <m/>
    <m/>
    <m/>
    <m/>
    <m/>
    <m/>
    <n v="2"/>
    <n v="8.3333333333333329E-2"/>
    <b v="0"/>
    <b v="0"/>
    <b v="0"/>
    <b v="0"/>
    <b v="0"/>
    <s v="No"/>
    <s v="No"/>
  </r>
  <r>
    <d v="2023-11-13T00:00:00"/>
    <x v="220"/>
    <m/>
    <s v="05748700923007"/>
    <m/>
    <s v="173.0"/>
    <s v="1"/>
    <s v="1.33"/>
    <s v="Y"/>
    <s v="N"/>
    <s v="AF"/>
    <s v="378"/>
    <s v="231115"/>
    <s v="HEA"/>
    <m/>
    <m/>
    <m/>
    <m/>
    <s v="SGN"/>
    <s v="ORD"/>
    <s v="DTW"/>
    <s v="N"/>
    <s v="RFK62"/>
    <m/>
    <m/>
    <s v="Failed"/>
    <m/>
    <x v="0"/>
    <m/>
    <m/>
    <m/>
    <m/>
    <m/>
    <m/>
    <m/>
    <m/>
    <n v="2"/>
    <n v="8.3333333333333329E-2"/>
    <b v="0"/>
    <b v="0"/>
    <b v="0"/>
    <b v="0"/>
    <b v="0"/>
    <s v="No"/>
    <s v="No"/>
  </r>
  <r>
    <d v="2023-11-13T00:00:00"/>
    <x v="220"/>
    <s v="PA"/>
    <s v="05748700923008"/>
    <m/>
    <s v="173.0"/>
    <s v="1"/>
    <s v="1.33"/>
    <s v="Y"/>
    <s v="N"/>
    <s v="AF"/>
    <s v="378"/>
    <s v="231115"/>
    <s v="HEA"/>
    <m/>
    <m/>
    <m/>
    <m/>
    <s v="SGN"/>
    <s v="ORD"/>
    <s v="DTW"/>
    <s v="N"/>
    <s v="RFK60"/>
    <m/>
    <m/>
    <s v="Failed"/>
    <m/>
    <x v="0"/>
    <m/>
    <m/>
    <m/>
    <m/>
    <m/>
    <m/>
    <m/>
    <m/>
    <n v="2"/>
    <n v="8.3333333333333329E-2"/>
    <b v="0"/>
    <b v="0"/>
    <b v="0"/>
    <b v="0"/>
    <b v="0"/>
    <s v="No"/>
    <s v="No"/>
  </r>
  <r>
    <d v="2023-11-13T00:00:00"/>
    <x v="220"/>
    <s v="RA"/>
    <s v="05748700923009"/>
    <m/>
    <s v="163.0"/>
    <s v="1"/>
    <s v="1.33"/>
    <s v="Y"/>
    <s v="N"/>
    <s v="AF"/>
    <s v="378"/>
    <s v="231115"/>
    <s v="HEA"/>
    <m/>
    <m/>
    <m/>
    <m/>
    <s v="SGN"/>
    <s v="ORD"/>
    <s v="DTW"/>
    <s v="N"/>
    <s v="RFK68"/>
    <m/>
    <m/>
    <s v="Failed"/>
    <m/>
    <x v="0"/>
    <m/>
    <m/>
    <m/>
    <m/>
    <m/>
    <m/>
    <m/>
    <m/>
    <n v="2"/>
    <n v="8.3333333333333329E-2"/>
    <b v="0"/>
    <b v="0"/>
    <b v="0"/>
    <b v="0"/>
    <b v="0"/>
    <s v="No"/>
    <s v="No"/>
  </r>
  <r>
    <d v="2023-11-13T00:00:00"/>
    <x v="220"/>
    <s v="TA"/>
    <s v="05748700923010"/>
    <m/>
    <s v="163.0"/>
    <s v="1"/>
    <s v="1.33"/>
    <s v="Y"/>
    <s v="N"/>
    <s v="AF"/>
    <s v="378"/>
    <s v="231115"/>
    <s v="HEA"/>
    <m/>
    <m/>
    <m/>
    <m/>
    <s v="SGN"/>
    <s v="ORD"/>
    <s v="DTW"/>
    <s v="N"/>
    <s v="RFK60"/>
    <m/>
    <m/>
    <s v="Failed"/>
    <m/>
    <x v="0"/>
    <m/>
    <m/>
    <m/>
    <m/>
    <m/>
    <m/>
    <m/>
    <m/>
    <n v="2"/>
    <n v="8.3333333333333329E-2"/>
    <b v="0"/>
    <b v="0"/>
    <b v="0"/>
    <b v="0"/>
    <b v="0"/>
    <s v="No"/>
    <s v="No"/>
  </r>
  <r>
    <d v="2023-11-13T00:00:00"/>
    <x v="220"/>
    <s v="VA"/>
    <s v="05748700923011"/>
    <m/>
    <s v="163.0"/>
    <s v="1"/>
    <s v="1.33"/>
    <s v="Y"/>
    <s v="N"/>
    <s v="AF"/>
    <s v="378"/>
    <s v="231115"/>
    <s v="HEA"/>
    <m/>
    <m/>
    <m/>
    <m/>
    <s v="SGN"/>
    <s v="ORD"/>
    <s v="DTW"/>
    <s v="N"/>
    <s v="RFK60"/>
    <m/>
    <m/>
    <s v="Failed"/>
    <m/>
    <x v="0"/>
    <m/>
    <m/>
    <m/>
    <m/>
    <m/>
    <m/>
    <m/>
    <m/>
    <n v="2"/>
    <n v="8.3333333333333329E-2"/>
    <b v="0"/>
    <b v="0"/>
    <b v="0"/>
    <b v="0"/>
    <b v="0"/>
    <s v="No"/>
    <s v="No"/>
  </r>
  <r>
    <d v="2023-11-13T00:00:00"/>
    <x v="220"/>
    <s v="XA"/>
    <s v="05748700923012"/>
    <m/>
    <s v="163.0"/>
    <s v="1"/>
    <s v="1.33"/>
    <s v="Y"/>
    <s v="N"/>
    <s v="AF"/>
    <s v="378"/>
    <s v="231115"/>
    <s v="HEA"/>
    <m/>
    <m/>
    <m/>
    <m/>
    <s v="SGN"/>
    <s v="ORD"/>
    <s v="DTW"/>
    <s v="N"/>
    <s v="RFK60"/>
    <m/>
    <m/>
    <s v="Failed"/>
    <m/>
    <x v="0"/>
    <m/>
    <m/>
    <m/>
    <m/>
    <m/>
    <m/>
    <m/>
    <m/>
    <n v="2"/>
    <n v="8.3333333333333329E-2"/>
    <b v="0"/>
    <b v="0"/>
    <b v="0"/>
    <b v="0"/>
    <b v="0"/>
    <s v="No"/>
    <s v="No"/>
  </r>
  <r>
    <d v="2023-11-13T00:00:00"/>
    <x v="221"/>
    <s v="BA"/>
    <s v="05748710944001"/>
    <m/>
    <s v="376.0"/>
    <s v="3"/>
    <s v=".54"/>
    <s v="Y"/>
    <s v="N"/>
    <s v="AF"/>
    <s v="6724"/>
    <s v="231116"/>
    <s v="EAP"/>
    <m/>
    <m/>
    <m/>
    <m/>
    <s v="CAI"/>
    <s v="NRT"/>
    <s v="NRT"/>
    <s v="N"/>
    <s v="51104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22"/>
    <s v="BA"/>
    <s v="05748711832001"/>
    <m/>
    <s v="128.0"/>
    <s v="1"/>
    <s v="1.32"/>
    <s v="Y"/>
    <s v="N"/>
    <s v="AF"/>
    <s v="474"/>
    <s v="231115"/>
    <s v="ERT"/>
    <s v="PIL"/>
    <s v="ECP"/>
    <s v="EAP"/>
    <s v="EAW"/>
    <s v="BSL"/>
    <s v="PTY"/>
    <s v="PTY"/>
    <s v="N"/>
    <s v="66003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23"/>
    <s v="BA"/>
    <s v="05748712042001"/>
    <s v="PMC24103KL"/>
    <s v="870.3"/>
    <s v="8"/>
    <s v="8.60"/>
    <s v="Y"/>
    <s v="N"/>
    <s v="AF"/>
    <s v="474"/>
    <s v="231115"/>
    <s v="ERT"/>
    <s v="PIL"/>
    <s v="ECP"/>
    <m/>
    <m/>
    <s v="BSL"/>
    <s v="PTY"/>
    <s v="PTY"/>
    <s v="N"/>
    <s v="B1A-3228"/>
    <s v="ML"/>
    <m/>
    <s v="Passed"/>
    <m/>
    <x v="5"/>
    <m/>
    <m/>
    <m/>
    <m/>
    <m/>
    <m/>
    <m/>
    <m/>
    <n v="2"/>
    <n v="0.14285714285714285"/>
    <b v="0"/>
    <b v="0"/>
    <b v="0"/>
    <b v="0"/>
    <b v="0"/>
    <s v="No"/>
    <s v="No"/>
  </r>
  <r>
    <d v="2023-11-13T00:00:00"/>
    <x v="223"/>
    <s v="DA"/>
    <s v="05748712042002"/>
    <m/>
    <s v="108.8"/>
    <s v="1"/>
    <s v="1.07"/>
    <s v="Y"/>
    <s v="N"/>
    <s v="AF"/>
    <s v="474"/>
    <s v="231115"/>
    <s v="ERT"/>
    <s v="PIL"/>
    <s v="ECP"/>
    <m/>
    <m/>
    <s v="BSL"/>
    <s v="PTY"/>
    <s v="PTY"/>
    <s v="N"/>
    <s v="66304"/>
    <m/>
    <m/>
    <s v="Passed"/>
    <m/>
    <x v="5"/>
    <m/>
    <m/>
    <m/>
    <m/>
    <m/>
    <m/>
    <m/>
    <m/>
    <n v="2"/>
    <n v="0.14285714285714285"/>
    <b v="0"/>
    <b v="0"/>
    <b v="0"/>
    <b v="0"/>
    <b v="0"/>
    <s v="No"/>
    <s v="No"/>
  </r>
  <r>
    <d v="2023-11-13T00:00:00"/>
    <x v="223"/>
    <s v="FA"/>
    <s v="05748712042003"/>
    <m/>
    <s v="108.8"/>
    <s v="1"/>
    <s v="1.08"/>
    <s v="Y"/>
    <s v="N"/>
    <s v="AF"/>
    <s v="474"/>
    <s v="231115"/>
    <s v="ERT"/>
    <s v="PIL"/>
    <s v="ECP"/>
    <m/>
    <m/>
    <s v="BSL"/>
    <s v="PTY"/>
    <s v="PTY"/>
    <s v="N"/>
    <s v="65005"/>
    <m/>
    <m/>
    <s v="Passed"/>
    <m/>
    <x v="5"/>
    <m/>
    <m/>
    <m/>
    <m/>
    <m/>
    <m/>
    <m/>
    <m/>
    <n v="2"/>
    <n v="0.14285714285714285"/>
    <b v="0"/>
    <b v="0"/>
    <b v="0"/>
    <b v="0"/>
    <b v="0"/>
    <s v="No"/>
    <s v="No"/>
  </r>
  <r>
    <d v="2023-11-13T00:00:00"/>
    <x v="223"/>
    <s v="HA"/>
    <s v="05748712042004"/>
    <m/>
    <s v="108.8"/>
    <s v="1"/>
    <s v="1.08"/>
    <s v="Y"/>
    <s v="N"/>
    <s v="AF"/>
    <s v="474"/>
    <s v="231115"/>
    <s v="ERT"/>
    <s v="PIL"/>
    <s v="ECP"/>
    <m/>
    <m/>
    <s v="BSL"/>
    <s v="PTY"/>
    <s v="PTY"/>
    <s v="N"/>
    <s v="65105"/>
    <m/>
    <m/>
    <s v="Passed"/>
    <m/>
    <x v="5"/>
    <m/>
    <m/>
    <m/>
    <m/>
    <m/>
    <m/>
    <m/>
    <m/>
    <n v="2"/>
    <n v="0.14285714285714285"/>
    <b v="0"/>
    <b v="0"/>
    <b v="0"/>
    <b v="0"/>
    <b v="0"/>
    <s v="No"/>
    <s v="No"/>
  </r>
  <r>
    <d v="2023-11-13T00:00:00"/>
    <x v="223"/>
    <s v="JA"/>
    <s v="05748712042005"/>
    <m/>
    <s v="108.8"/>
    <s v="1"/>
    <s v="1.08"/>
    <s v="Y"/>
    <s v="N"/>
    <s v="AF"/>
    <s v="474"/>
    <s v="231115"/>
    <s v="ERT"/>
    <s v="PIL"/>
    <s v="ECP"/>
    <m/>
    <m/>
    <s v="BSL"/>
    <s v="PTY"/>
    <s v="PTY"/>
    <s v="N"/>
    <s v="66301"/>
    <m/>
    <m/>
    <s v="Passed"/>
    <m/>
    <x v="5"/>
    <m/>
    <m/>
    <m/>
    <m/>
    <m/>
    <m/>
    <m/>
    <m/>
    <n v="2"/>
    <n v="0.14285714285714285"/>
    <b v="0"/>
    <b v="0"/>
    <b v="0"/>
    <b v="0"/>
    <b v="0"/>
    <s v="No"/>
    <s v="No"/>
  </r>
  <r>
    <d v="2023-11-13T00:00:00"/>
    <x v="223"/>
    <s v="LA"/>
    <s v="05748712042006"/>
    <m/>
    <s v="108.8"/>
    <s v="1"/>
    <s v="1.08"/>
    <s v="Y"/>
    <s v="N"/>
    <s v="AF"/>
    <s v="474"/>
    <s v="231115"/>
    <s v="ERT"/>
    <s v="PIL"/>
    <s v="ECP"/>
    <m/>
    <m/>
    <s v="BSL"/>
    <s v="PTY"/>
    <s v="PTY"/>
    <s v="N"/>
    <s v="66302"/>
    <m/>
    <m/>
    <s v="Passed"/>
    <m/>
    <x v="5"/>
    <m/>
    <m/>
    <m/>
    <m/>
    <m/>
    <m/>
    <m/>
    <m/>
    <n v="2"/>
    <n v="0.14285714285714285"/>
    <b v="0"/>
    <b v="0"/>
    <b v="0"/>
    <b v="0"/>
    <b v="0"/>
    <s v="No"/>
    <s v="No"/>
  </r>
  <r>
    <d v="2023-11-13T00:00:00"/>
    <x v="223"/>
    <m/>
    <s v="05748712042007"/>
    <m/>
    <s v="108.8"/>
    <s v="1"/>
    <s v="1.07"/>
    <s v="Y"/>
    <s v="N"/>
    <s v="AF"/>
    <s v="474"/>
    <s v="231115"/>
    <s v="ERT"/>
    <s v="PIL"/>
    <s v="ECP"/>
    <m/>
    <m/>
    <s v="BSL"/>
    <s v="PTY"/>
    <s v="PTY"/>
    <s v="N"/>
    <s v="66303"/>
    <m/>
    <m/>
    <s v="Passed"/>
    <m/>
    <x v="5"/>
    <m/>
    <m/>
    <m/>
    <m/>
    <m/>
    <m/>
    <m/>
    <m/>
    <n v="2"/>
    <n v="0.14285714285714285"/>
    <b v="0"/>
    <b v="0"/>
    <b v="0"/>
    <b v="0"/>
    <b v="0"/>
    <s v="No"/>
    <s v="No"/>
  </r>
  <r>
    <d v="2023-11-13T00:00:00"/>
    <x v="224"/>
    <s v="BA"/>
    <s v="05748720932001"/>
    <m/>
    <s v="114.0"/>
    <s v="1"/>
    <s v=".36"/>
    <s v="Y"/>
    <s v="N"/>
    <s v="DL"/>
    <s v="083"/>
    <s v="231115"/>
    <s v="ECC"/>
    <s v="EAW"/>
    <m/>
    <m/>
    <m/>
    <s v="DUS"/>
    <s v="ATL"/>
    <s v="ATL"/>
    <s v="N"/>
    <s v="64303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25"/>
    <s v="BA"/>
    <s v="05748723636001"/>
    <m/>
    <s v="190.0"/>
    <s v="1"/>
    <s v="1.31"/>
    <s v="Y"/>
    <s v="N"/>
    <s v="AF"/>
    <s v="460"/>
    <s v="231115"/>
    <s v="ECP"/>
    <s v="HEA"/>
    <s v="EAP"/>
    <m/>
    <m/>
    <s v="BOM"/>
    <s v="GRU"/>
    <s v="GRU"/>
    <s v="N"/>
    <s v="Q3103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26"/>
    <s v="DA"/>
    <s v="05748753025002"/>
    <s v="PMC23537KL"/>
    <s v="172.3"/>
    <s v="1"/>
    <s v="1.79"/>
    <s v="Y"/>
    <s v="N"/>
    <s v="AF"/>
    <s v="072"/>
    <s v="231116"/>
    <s v="ECC"/>
    <s v="HEA"/>
    <s v="EAP"/>
    <s v="EAW"/>
    <m/>
    <s v="SIN"/>
    <s v="LAX"/>
    <s v="LAX"/>
    <s v="N"/>
    <s v="B2A-5125"/>
    <s v="ML"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26"/>
    <s v="FA"/>
    <s v="05748753025003"/>
    <s v="PMC23537KL"/>
    <s v="172.3"/>
    <s v="1"/>
    <s v="1.79"/>
    <s v="Y"/>
    <s v="N"/>
    <s v="AF"/>
    <s v="072"/>
    <s v="231116"/>
    <s v="ECC"/>
    <s v="HEA"/>
    <s v="EAP"/>
    <s v="EAW"/>
    <m/>
    <s v="SIN"/>
    <s v="LAX"/>
    <s v="LAX"/>
    <s v="N"/>
    <s v="B2A-5125"/>
    <s v="ML"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26"/>
    <s v="HA"/>
    <s v="05748753025004"/>
    <s v="PMC23537KL"/>
    <s v="172.3"/>
    <s v="1"/>
    <s v="1.79"/>
    <s v="Y"/>
    <s v="N"/>
    <s v="AF"/>
    <s v="072"/>
    <s v="231116"/>
    <s v="ECC"/>
    <s v="HEA"/>
    <s v="EAP"/>
    <s v="EAW"/>
    <m/>
    <s v="SIN"/>
    <s v="LAX"/>
    <s v="LAX"/>
    <s v="N"/>
    <s v="B2A-5125"/>
    <s v="ML"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26"/>
    <s v="JA"/>
    <s v="05748753025005"/>
    <s v="PMC23537KL"/>
    <s v="172.3"/>
    <s v="1"/>
    <s v="1.79"/>
    <s v="Y"/>
    <s v="N"/>
    <s v="AF"/>
    <s v="072"/>
    <s v="231116"/>
    <s v="ECC"/>
    <s v="HEA"/>
    <s v="EAP"/>
    <s v="EAW"/>
    <m/>
    <s v="SIN"/>
    <s v="LAX"/>
    <s v="LAX"/>
    <s v="N"/>
    <s v="B2A-5125"/>
    <s v="ML"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26"/>
    <s v="LA"/>
    <s v="05748753025006"/>
    <s v="PMC23537KL"/>
    <s v="172.3"/>
    <s v="1"/>
    <s v="1.79"/>
    <s v="Y"/>
    <s v="N"/>
    <s v="AF"/>
    <s v="072"/>
    <s v="231116"/>
    <s v="ECC"/>
    <s v="HEA"/>
    <s v="EAP"/>
    <s v="EAW"/>
    <m/>
    <s v="SIN"/>
    <s v="LAX"/>
    <s v="LAX"/>
    <s v="N"/>
    <s v="B2A-5125"/>
    <s v="ML"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27"/>
    <s v="BA"/>
    <s v="05748780373001"/>
    <m/>
    <s v="139.5"/>
    <s v="1"/>
    <s v=".77"/>
    <s v="Y"/>
    <s v="N"/>
    <s v="AF"/>
    <s v="008"/>
    <s v="231115"/>
    <s v="ECC"/>
    <m/>
    <m/>
    <m/>
    <m/>
    <s v="BCN"/>
    <s v="JFK"/>
    <s v="JFK"/>
    <s v="N"/>
    <s v="N7101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27"/>
    <s v="DA"/>
    <s v="05748780373002"/>
    <m/>
    <s v="139.5"/>
    <s v="1"/>
    <s v=".77"/>
    <s v="Y"/>
    <s v="N"/>
    <s v="AF"/>
    <s v="008"/>
    <s v="231115"/>
    <s v="ECC"/>
    <m/>
    <m/>
    <m/>
    <m/>
    <s v="BCN"/>
    <s v="JFK"/>
    <s v="JFK"/>
    <s v="N"/>
    <s v="M6002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28"/>
    <s v="BA"/>
    <s v="05748793205001"/>
    <m/>
    <s v="240.0"/>
    <s v="1"/>
    <s v="2.75"/>
    <s v="Y"/>
    <s v="N"/>
    <s v="AF"/>
    <s v="694"/>
    <s v="231116"/>
    <s v="ECC"/>
    <s v="HEA"/>
    <s v="EAP"/>
    <m/>
    <m/>
    <s v="NRT"/>
    <s v="IAH"/>
    <s v="IAH"/>
    <s v="N"/>
    <s v="XLC00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29"/>
    <s v="BA"/>
    <s v="05748794911001"/>
    <s v="PMC63518AF"/>
    <s v="2183.0"/>
    <s v="8"/>
    <s v="6.49"/>
    <s v="Y"/>
    <s v="N"/>
    <s v="AF"/>
    <s v="692"/>
    <s v="231115"/>
    <s v="HEA"/>
    <m/>
    <m/>
    <m/>
    <m/>
    <s v="LJU"/>
    <s v="RDU"/>
    <s v="RDU"/>
    <s v="N"/>
    <s v="B2C-5730"/>
    <s v="ML"/>
    <m/>
    <s v="Failed"/>
    <m/>
    <x v="3"/>
    <m/>
    <m/>
    <m/>
    <m/>
    <m/>
    <m/>
    <m/>
    <m/>
    <n v="2"/>
    <n v="0.5"/>
    <b v="0"/>
    <b v="0"/>
    <b v="0"/>
    <b v="0"/>
    <b v="0"/>
    <s v="No"/>
    <s v="No"/>
  </r>
  <r>
    <d v="2023-11-13T00:00:00"/>
    <x v="229"/>
    <s v="DA"/>
    <s v="05748794911002"/>
    <s v="PMC25248KL"/>
    <s v="1865.0"/>
    <s v="10"/>
    <s v="8.12"/>
    <s v="Y"/>
    <s v="N"/>
    <s v="AF"/>
    <s v="692"/>
    <s v="231115"/>
    <s v="HEA"/>
    <m/>
    <m/>
    <m/>
    <m/>
    <s v="LJU"/>
    <s v="RDU"/>
    <s v="RDU"/>
    <s v="N"/>
    <s v="B1A-3324"/>
    <s v="ML"/>
    <m/>
    <s v="Failed"/>
    <m/>
    <x v="3"/>
    <m/>
    <m/>
    <m/>
    <m/>
    <m/>
    <m/>
    <m/>
    <m/>
    <n v="2"/>
    <n v="0.5"/>
    <b v="0"/>
    <b v="0"/>
    <b v="0"/>
    <b v="0"/>
    <b v="0"/>
    <s v="No"/>
    <s v="No"/>
  </r>
  <r>
    <d v="2023-11-13T00:00:00"/>
    <x v="230"/>
    <s v="BA"/>
    <s v="05748794955001"/>
    <m/>
    <s v="83.0"/>
    <s v="9"/>
    <s v=".60"/>
    <s v="Y"/>
    <s v="N"/>
    <s v="AF"/>
    <s v="054"/>
    <s v="231115"/>
    <m/>
    <m/>
    <m/>
    <m/>
    <m/>
    <s v="LJU"/>
    <s v="IAD"/>
    <s v="IAD"/>
    <s v="N"/>
    <s v="N2303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31"/>
    <s v="BA"/>
    <s v="05748795051001"/>
    <m/>
    <s v="920.0"/>
    <s v="1"/>
    <s v="2.00"/>
    <s v="Y"/>
    <s v="N"/>
    <s v="AF"/>
    <s v="092"/>
    <s v="231116"/>
    <s v="HEA"/>
    <m/>
    <m/>
    <m/>
    <m/>
    <s v="LJU"/>
    <s v="MIA"/>
    <s v="MIA"/>
    <s v="N"/>
    <s v="XLC10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31"/>
    <s v="DA"/>
    <s v="05748795051002"/>
    <m/>
    <s v="920.0"/>
    <s v="1"/>
    <s v="2.00"/>
    <s v="Y"/>
    <s v="N"/>
    <s v="AF"/>
    <s v="092"/>
    <s v="231116"/>
    <s v="HEA"/>
    <m/>
    <m/>
    <m/>
    <m/>
    <s v="LJU"/>
    <s v="MIA"/>
    <s v="MIA"/>
    <s v="N"/>
    <s v="XLC00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32"/>
    <s v="DA"/>
    <s v="05748795596002"/>
    <m/>
    <s v="73.0"/>
    <s v="7"/>
    <s v=".41"/>
    <s v="Y"/>
    <s v="N"/>
    <s v="AF"/>
    <s v="136"/>
    <s v="231115"/>
    <s v="ECC"/>
    <s v="EAP"/>
    <m/>
    <m/>
    <m/>
    <s v="MAA"/>
    <s v="ORD"/>
    <s v="ORD"/>
    <s v="N"/>
    <s v="51308"/>
    <m/>
    <m/>
    <s v="Failed"/>
    <m/>
    <x v="0"/>
    <m/>
    <m/>
    <m/>
    <m/>
    <m/>
    <m/>
    <m/>
    <m/>
    <n v="2"/>
    <n v="0.16666666666666666"/>
    <b v="0"/>
    <b v="0"/>
    <b v="0"/>
    <b v="0"/>
    <b v="0"/>
    <s v="No"/>
    <s v="No"/>
  </r>
  <r>
    <d v="2023-11-13T00:00:00"/>
    <x v="233"/>
    <s v="BA"/>
    <s v="05748797210001"/>
    <m/>
    <s v="440.0"/>
    <s v="1"/>
    <s v=".61"/>
    <s v="Y"/>
    <s v="N"/>
    <s v="AF"/>
    <s v="460"/>
    <s v="231115"/>
    <s v="HEA"/>
    <s v="EAP"/>
    <m/>
    <m/>
    <m/>
    <s v="FRA"/>
    <s v="GRU"/>
    <s v="GRU"/>
    <s v="N"/>
    <s v="Q6002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33"/>
    <s v="DA"/>
    <s v="05748797210002"/>
    <m/>
    <s v="440.0"/>
    <s v="1"/>
    <s v=".62"/>
    <s v="Y"/>
    <s v="N"/>
    <s v="AF"/>
    <s v="460"/>
    <s v="231115"/>
    <s v="HEA"/>
    <s v="EAP"/>
    <m/>
    <m/>
    <m/>
    <s v="FRA"/>
    <s v="GRU"/>
    <s v="GRU"/>
    <s v="N"/>
    <s v="Q6001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34"/>
    <s v="BA"/>
    <s v="05748803554001"/>
    <m/>
    <s v="184.2"/>
    <s v="1"/>
    <s v="1.48"/>
    <s v="Y"/>
    <s v="N"/>
    <s v="AF"/>
    <s v="374"/>
    <s v="231117"/>
    <s v="HEA"/>
    <m/>
    <m/>
    <m/>
    <m/>
    <s v="CMB"/>
    <s v="YVR"/>
    <s v="YVR"/>
    <s v="N"/>
    <s v="R3301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234"/>
    <s v="DA"/>
    <s v="05748803554002"/>
    <m/>
    <s v="184.2"/>
    <s v="1"/>
    <s v="1.48"/>
    <s v="Y"/>
    <s v="N"/>
    <s v="AF"/>
    <s v="374"/>
    <s v="231117"/>
    <s v="HEA"/>
    <m/>
    <m/>
    <m/>
    <m/>
    <s v="CMB"/>
    <s v="YVR"/>
    <s v="YVR"/>
    <s v="N"/>
    <s v="Q9102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234"/>
    <s v="FA"/>
    <s v="05748803554003"/>
    <m/>
    <s v="184.3"/>
    <s v="1"/>
    <s v="1.48"/>
    <s v="Y"/>
    <s v="N"/>
    <s v="AF"/>
    <s v="374"/>
    <s v="231117"/>
    <s v="HEA"/>
    <m/>
    <m/>
    <m/>
    <m/>
    <s v="CMB"/>
    <s v="YVR"/>
    <s v="YVR"/>
    <s v="N"/>
    <s v="R3302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234"/>
    <s v="HA"/>
    <s v="05748803554004"/>
    <m/>
    <s v="184.3"/>
    <s v="1"/>
    <s v="1.48"/>
    <s v="Y"/>
    <s v="N"/>
    <s v="AF"/>
    <s v="374"/>
    <s v="231117"/>
    <s v="HEA"/>
    <m/>
    <m/>
    <m/>
    <m/>
    <s v="CMB"/>
    <s v="YVR"/>
    <s v="YVR"/>
    <s v="N"/>
    <s v="59005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235"/>
    <s v="BA"/>
    <s v="05748804044001"/>
    <m/>
    <s v="117.0"/>
    <s v="3"/>
    <s v=".41"/>
    <s v="Y"/>
    <s v="N"/>
    <s v="AF"/>
    <s v="178"/>
    <s v="231117"/>
    <s v="ECC"/>
    <m/>
    <m/>
    <m/>
    <m/>
    <s v="MAA"/>
    <s v="MEX"/>
    <s v="MEX"/>
    <s v="N"/>
    <s v="P3002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36"/>
    <s v="BA"/>
    <s v="05748806575001"/>
    <m/>
    <s v="68.7"/>
    <s v="7"/>
    <s v="2.41"/>
    <s v="Y"/>
    <s v="N"/>
    <s v="AF"/>
    <s v="566"/>
    <s v="231115"/>
    <s v="ECP"/>
    <s v="EAP"/>
    <m/>
    <m/>
    <m/>
    <s v="MUC"/>
    <s v="BEY"/>
    <s v="BEY"/>
    <s v="N"/>
    <s v="R8302"/>
    <m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36"/>
    <s v="DA"/>
    <s v="05748806575002"/>
    <m/>
    <s v="19.6"/>
    <s v="2"/>
    <s v=".69"/>
    <s v="Y"/>
    <s v="N"/>
    <s v="AF"/>
    <s v="566"/>
    <s v="231115"/>
    <s v="ECP"/>
    <s v="EAP"/>
    <m/>
    <m/>
    <m/>
    <s v="MUC"/>
    <s v="BEY"/>
    <s v="BEY"/>
    <s v="N"/>
    <s v="HLC021"/>
    <m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36"/>
    <s v="FA"/>
    <s v="05748806575003"/>
    <m/>
    <s v="88.3"/>
    <s v="9"/>
    <s v="3.09"/>
    <s v="Y"/>
    <s v="N"/>
    <s v="AF"/>
    <s v="566"/>
    <s v="231115"/>
    <s v="ECP"/>
    <s v="EAP"/>
    <m/>
    <m/>
    <m/>
    <s v="MUC"/>
    <s v="BEY"/>
    <s v="BEY"/>
    <s v="N"/>
    <s v="73204"/>
    <m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36"/>
    <s v="HA"/>
    <s v="05748806575004"/>
    <m/>
    <s v="9.8"/>
    <s v="1"/>
    <s v=".34"/>
    <s v="Y"/>
    <s v="N"/>
    <s v="AF"/>
    <s v="566"/>
    <s v="231115"/>
    <s v="ECP"/>
    <s v="EAP"/>
    <m/>
    <m/>
    <m/>
    <s v="MUC"/>
    <s v="BEY"/>
    <s v="BEY"/>
    <s v="N"/>
    <s v="HLC163"/>
    <m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36"/>
    <s v="JA"/>
    <s v="05748806575005"/>
    <m/>
    <s v="19.6"/>
    <s v="2"/>
    <s v=".69"/>
    <s v="Y"/>
    <s v="N"/>
    <s v="AF"/>
    <s v="566"/>
    <s v="231115"/>
    <s v="ECP"/>
    <s v="EAP"/>
    <m/>
    <m/>
    <m/>
    <s v="MUC"/>
    <s v="BEY"/>
    <s v="BEY"/>
    <s v="N"/>
    <s v="XLC00"/>
    <m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37"/>
    <s v="BA"/>
    <s v="05748806660001"/>
    <m/>
    <s v="210.0"/>
    <s v="1"/>
    <s v="1.16"/>
    <s v="Y"/>
    <s v="N"/>
    <s v="AF"/>
    <s v="568"/>
    <s v="231115"/>
    <s v="ECP"/>
    <s v="HEA"/>
    <s v="EAP"/>
    <m/>
    <m/>
    <s v="MUC"/>
    <s v="CAI"/>
    <s v="CAI"/>
    <s v="N"/>
    <s v="Q2303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38"/>
    <s v="BA"/>
    <s v="05748807942001"/>
    <m/>
    <s v="180.0"/>
    <s v="1"/>
    <s v="1.08"/>
    <s v="Y"/>
    <s v="N"/>
    <s v="AF"/>
    <s v="084"/>
    <s v="231116"/>
    <s v="ECC"/>
    <s v="HEA"/>
    <s v="EAW"/>
    <m/>
    <m/>
    <s v="SIN"/>
    <s v="SFO"/>
    <s v="SFO"/>
    <s v="N"/>
    <s v="M6301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39"/>
    <s v="DA"/>
    <s v="05748810650002"/>
    <m/>
    <s v="378.0"/>
    <s v="1"/>
    <s v=".82"/>
    <s v="Y"/>
    <s v="N"/>
    <s v="AF"/>
    <s v="6732"/>
    <s v="231115"/>
    <s v="NCC"/>
    <s v="HEA"/>
    <s v="EAP"/>
    <m/>
    <m/>
    <s v="STR"/>
    <s v="DFW"/>
    <s v="ORD"/>
    <s v="N"/>
    <s v="LLC00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40"/>
    <s v="BA"/>
    <s v="05748853232001"/>
    <m/>
    <s v="182.0"/>
    <s v="18"/>
    <s v=".73"/>
    <s v="Y"/>
    <s v="N"/>
    <s v="AF"/>
    <s v="406"/>
    <s v="231115"/>
    <s v="ECP"/>
    <s v="EAP"/>
    <m/>
    <m/>
    <m/>
    <s v="MAA"/>
    <s v="SCL"/>
    <s v="SCL"/>
    <s v="N"/>
    <s v="Q3304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41"/>
    <s v="DA"/>
    <s v="05748853534002"/>
    <m/>
    <s v="153.0"/>
    <s v="1"/>
    <s v="1.36"/>
    <s v="Y"/>
    <s v="N"/>
    <s v="AF"/>
    <s v="374"/>
    <s v="231116"/>
    <s v="HEA"/>
    <s v="EAP"/>
    <m/>
    <m/>
    <m/>
    <s v="FRA"/>
    <s v="YVR"/>
    <s v="YVR"/>
    <s v="N"/>
    <s v="49007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42"/>
    <s v="BA"/>
    <s v="05748857966001"/>
    <m/>
    <s v="354.0"/>
    <s v="1"/>
    <s v="1.69"/>
    <s v="Y"/>
    <s v="N"/>
    <s v="AF"/>
    <s v="330M"/>
    <s v="231115"/>
    <s v="HEA"/>
    <s v="EAW"/>
    <m/>
    <m/>
    <m/>
    <s v="YYZ"/>
    <s v="LJU"/>
    <s v="LJU"/>
    <s v="N"/>
    <s v="19004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43"/>
    <s v="BA"/>
    <s v="05748858014001"/>
    <m/>
    <s v="103.0"/>
    <s v="1"/>
    <s v=".79"/>
    <s v="Y"/>
    <s v="N"/>
    <s v="AF"/>
    <s v="140M"/>
    <s v="231115"/>
    <s v="EAW"/>
    <m/>
    <m/>
    <m/>
    <m/>
    <s v="YYZ"/>
    <s v="MRS"/>
    <s v="MRS"/>
    <s v="N"/>
    <s v="MRS00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44"/>
    <s v="BA"/>
    <s v="05748863592001"/>
    <m/>
    <s v="459.0"/>
    <s v="1"/>
    <s v="2.75"/>
    <s v="Y"/>
    <s v="N"/>
    <s v="AF"/>
    <s v="460"/>
    <s v="231115"/>
    <s v="ECP"/>
    <s v="HEA"/>
    <m/>
    <m/>
    <m/>
    <s v="HAJ"/>
    <s v="GRU"/>
    <s v="GRU"/>
    <s v="N"/>
    <s v="XLC30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44"/>
    <s v="DA"/>
    <s v="05748863592002"/>
    <m/>
    <s v="459.0"/>
    <s v="1"/>
    <s v="2.76"/>
    <s v="Y"/>
    <s v="N"/>
    <s v="AF"/>
    <s v="460"/>
    <s v="231115"/>
    <s v="ECP"/>
    <s v="HEA"/>
    <m/>
    <m/>
    <m/>
    <s v="HAJ"/>
    <s v="GRU"/>
    <s v="GRU"/>
    <s v="N"/>
    <s v="XLC30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45"/>
    <s v="BA"/>
    <s v="05748866403001"/>
    <m/>
    <s v="155.3"/>
    <s v="1"/>
    <s v="1.05"/>
    <s v="Y"/>
    <s v="N"/>
    <s v="AF"/>
    <s v="084"/>
    <s v="231116"/>
    <s v="HEA"/>
    <s v="EAW"/>
    <m/>
    <m/>
    <m/>
    <s v="BRE"/>
    <s v="SFO"/>
    <s v="SFO"/>
    <s v="N"/>
    <s v="55109"/>
    <m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245"/>
    <s v="DA"/>
    <s v="05748866403002"/>
    <m/>
    <s v="155.3"/>
    <s v="1"/>
    <s v="1.05"/>
    <s v="Y"/>
    <s v="N"/>
    <s v="AF"/>
    <s v="084"/>
    <s v="231116"/>
    <s v="HEA"/>
    <s v="EAW"/>
    <m/>
    <m/>
    <m/>
    <s v="BRE"/>
    <s v="SFO"/>
    <s v="SFO"/>
    <s v="N"/>
    <s v="M5104"/>
    <m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245"/>
    <s v="FA"/>
    <s v="05748866403003"/>
    <m/>
    <s v="155.3"/>
    <s v="1"/>
    <s v="1.05"/>
    <s v="Y"/>
    <s v="N"/>
    <s v="AF"/>
    <s v="084"/>
    <s v="231116"/>
    <s v="HEA"/>
    <s v="EAW"/>
    <m/>
    <m/>
    <m/>
    <s v="BRE"/>
    <s v="SFO"/>
    <s v="SFO"/>
    <s v="N"/>
    <s v="XLC00"/>
    <m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246"/>
    <s v="BA"/>
    <s v="05748882746001"/>
    <m/>
    <s v="358.0"/>
    <s v="1"/>
    <s v=".55"/>
    <s v="Y"/>
    <s v="N"/>
    <s v="AF"/>
    <s v="694"/>
    <s v="231115"/>
    <s v="NCC"/>
    <s v="ECC"/>
    <s v="HEA"/>
    <s v="EAW"/>
    <m/>
    <s v="CAI"/>
    <s v="IAH"/>
    <s v="IAH"/>
    <s v="N"/>
    <s v="50109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47"/>
    <s v="BA"/>
    <s v="05748937151001"/>
    <m/>
    <s v="241.0"/>
    <s v="1"/>
    <s v=".99"/>
    <s v="Y"/>
    <s v="N"/>
    <s v="AF"/>
    <s v="148"/>
    <s v="231116"/>
    <s v="ELI"/>
    <s v="VUN"/>
    <s v="VIC"/>
    <s v="ECP"/>
    <s v="HEA"/>
    <s v="DXB"/>
    <s v="LOS"/>
    <s v="LOS"/>
    <s v="N"/>
    <s v="VN113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48"/>
    <s v="JA"/>
    <s v="05748964204005"/>
    <m/>
    <s v="368.0"/>
    <s v="1"/>
    <s v="1.23"/>
    <s v="Y"/>
    <s v="N"/>
    <s v="AF"/>
    <s v="718"/>
    <s v="231117"/>
    <s v="HEA"/>
    <m/>
    <m/>
    <m/>
    <m/>
    <s v="DXB"/>
    <s v="DSS"/>
    <s v="DSS"/>
    <s v="N"/>
    <s v="XLC10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No"/>
  </r>
  <r>
    <d v="2023-11-13T00:00:00"/>
    <x v="248"/>
    <s v="LA"/>
    <s v="05748964204006"/>
    <s v="PMC28603KL"/>
    <s v="1325.0"/>
    <s v="2"/>
    <s v="2.46"/>
    <s v="Y"/>
    <s v="N"/>
    <s v="AF"/>
    <s v="718"/>
    <s v="231117"/>
    <s v="HEA"/>
    <m/>
    <m/>
    <m/>
    <m/>
    <s v="DXB"/>
    <s v="DSS"/>
    <s v="DSS"/>
    <s v="N"/>
    <s v="B2C-5839"/>
    <s v="ML"/>
    <m/>
    <s v="Passed"/>
    <m/>
    <x v="5"/>
    <m/>
    <m/>
    <m/>
    <m/>
    <m/>
    <m/>
    <m/>
    <m/>
    <n v="2"/>
    <n v="0.16666666666666666"/>
    <b v="0"/>
    <b v="0"/>
    <b v="0"/>
    <b v="0"/>
    <b v="0"/>
    <s v="No"/>
    <s v="No"/>
  </r>
  <r>
    <d v="2023-11-13T00:00:00"/>
    <x v="248"/>
    <s v="PA"/>
    <s v="05748964204008"/>
    <m/>
    <s v="368.1"/>
    <s v="1"/>
    <s v="1.23"/>
    <s v="Y"/>
    <s v="N"/>
    <s v="AF"/>
    <s v="718"/>
    <s v="231117"/>
    <s v="PRC"/>
    <s v="BIG"/>
    <s v="ECC"/>
    <s v="HEA"/>
    <s v="EAW"/>
    <s v="DXB"/>
    <s v="DSS"/>
    <s v="DSS"/>
    <s v="N"/>
    <s v="XLC10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No"/>
  </r>
  <r>
    <d v="2023-11-13T00:00:00"/>
    <x v="248"/>
    <s v="RA"/>
    <s v="05748964204009"/>
    <m/>
    <s v="662.5"/>
    <s v="1"/>
    <s v="1.23"/>
    <s v="Y"/>
    <s v="N"/>
    <s v="AF"/>
    <s v="718"/>
    <s v="231117"/>
    <s v="PRC"/>
    <s v="BIG"/>
    <s v="ECC"/>
    <s v="HEA"/>
    <s v="EAW"/>
    <s v="DXB"/>
    <s v="DSS"/>
    <s v="DSS"/>
    <s v="N"/>
    <s v="73002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No"/>
  </r>
  <r>
    <d v="2023-11-13T00:00:00"/>
    <x v="248"/>
    <s v="TA"/>
    <s v="05748964204010"/>
    <m/>
    <s v="662.5"/>
    <s v="1"/>
    <s v="1.23"/>
    <s v="Y"/>
    <s v="N"/>
    <s v="AF"/>
    <s v="718"/>
    <s v="231117"/>
    <s v="PRC"/>
    <s v="BIG"/>
    <s v="ECC"/>
    <s v="HEA"/>
    <s v="EAW"/>
    <s v="DXB"/>
    <s v="DSS"/>
    <s v="DSS"/>
    <s v="N"/>
    <s v="XLC00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No"/>
  </r>
  <r>
    <d v="2023-11-13T00:00:00"/>
    <x v="248"/>
    <s v="VA"/>
    <s v="05748964204011"/>
    <s v="PMC28603KL"/>
    <s v="462.6"/>
    <s v="1"/>
    <s v="1.23"/>
    <s v="Y"/>
    <s v="N"/>
    <s v="AF"/>
    <s v="718"/>
    <s v="231117"/>
    <s v="HEA"/>
    <m/>
    <m/>
    <m/>
    <m/>
    <s v="DXB"/>
    <s v="DSS"/>
    <s v="DSS"/>
    <s v="N"/>
    <s v="B2C-5839"/>
    <s v="ML"/>
    <m/>
    <s v="Passed"/>
    <m/>
    <x v="5"/>
    <m/>
    <m/>
    <m/>
    <m/>
    <m/>
    <m/>
    <m/>
    <m/>
    <n v="2"/>
    <n v="0.16666666666666666"/>
    <b v="0"/>
    <b v="0"/>
    <b v="0"/>
    <b v="0"/>
    <b v="0"/>
    <s v="No"/>
    <s v="No"/>
  </r>
  <r>
    <d v="2023-11-13T00:00:00"/>
    <x v="249"/>
    <s v="DA"/>
    <s v="05748968931002"/>
    <m/>
    <s v="97.0"/>
    <s v="1"/>
    <s v="1.09"/>
    <s v="Y"/>
    <s v="N"/>
    <s v="AF"/>
    <s v="356"/>
    <s v="231115"/>
    <s v="RFL"/>
    <s v="NCC"/>
    <s v="EAW"/>
    <m/>
    <m/>
    <s v="STR"/>
    <s v="YYZ"/>
    <s v="YYZ"/>
    <s v="N"/>
    <s v="94107"/>
    <m/>
    <m/>
    <s v="Failed"/>
    <m/>
    <x v="11"/>
    <m/>
    <m/>
    <m/>
    <m/>
    <m/>
    <m/>
    <m/>
    <m/>
    <n v="2"/>
    <n v="1"/>
    <s v="Yes"/>
    <b v="0"/>
    <b v="0"/>
    <b v="0"/>
    <b v="0"/>
    <s v="Yes"/>
    <s v="No"/>
  </r>
  <r>
    <d v="2023-11-13T00:00:00"/>
    <x v="250"/>
    <s v="BA"/>
    <s v="05748983513001"/>
    <m/>
    <s v="18.0"/>
    <s v="3"/>
    <s v=".39"/>
    <s v="Y"/>
    <s v="N"/>
    <s v="AF"/>
    <s v="566"/>
    <s v="231116"/>
    <s v="ELI"/>
    <s v="XPH"/>
    <m/>
    <m/>
    <m/>
    <s v="BRU"/>
    <s v="BEY"/>
    <s v="BEY"/>
    <s v="N"/>
    <s v="M2402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51"/>
    <s v="BA"/>
    <s v="05748983535001"/>
    <m/>
    <s v="700.0"/>
    <s v="1"/>
    <s v="1.44"/>
    <s v="Y"/>
    <s v="N"/>
    <s v="AF"/>
    <s v="092"/>
    <s v="231116"/>
    <s v="HEA"/>
    <m/>
    <m/>
    <m/>
    <m/>
    <s v="BRU"/>
    <s v="MIA"/>
    <s v="MIA"/>
    <s v="N"/>
    <s v="HLC082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52"/>
    <s v="BA"/>
    <s v="05748986335001"/>
    <m/>
    <s v="339.0"/>
    <s v="1"/>
    <s v=".85"/>
    <s v="Y"/>
    <s v="N"/>
    <s v="AF"/>
    <s v="090"/>
    <s v="231115"/>
    <s v="ECC"/>
    <s v="HEA"/>
    <s v="EAP"/>
    <m/>
    <m/>
    <s v="DXB"/>
    <s v="MIA"/>
    <s v="MIA"/>
    <s v="N"/>
    <s v="53310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53"/>
    <s v="BA"/>
    <s v="05749004163001"/>
    <m/>
    <s v="88.0"/>
    <s v="4"/>
    <s v=".53"/>
    <s v="Y"/>
    <s v="N"/>
    <s v="AF"/>
    <s v="374"/>
    <s v="231116"/>
    <s v="ECC"/>
    <s v="EAP"/>
    <m/>
    <m/>
    <m/>
    <s v="BER"/>
    <s v="YVR"/>
    <s v="YVR"/>
    <s v="N"/>
    <s v="S6401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54"/>
    <s v="BA"/>
    <s v="05749005655001"/>
    <m/>
    <s v="68.0"/>
    <s v="1"/>
    <s v=".59"/>
    <s v="Y"/>
    <s v="N"/>
    <s v="AF"/>
    <s v="928"/>
    <s v="231116"/>
    <m/>
    <m/>
    <m/>
    <m/>
    <m/>
    <s v="ORY"/>
    <s v="PNR"/>
    <s v="PNR"/>
    <s v="N"/>
    <s v="S8303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55"/>
    <s v="BA"/>
    <s v="05749010360001"/>
    <s v="PMC71569AF"/>
    <s v="824.0"/>
    <s v="1"/>
    <s v="4.94"/>
    <s v="Y"/>
    <s v="N"/>
    <s v="AF"/>
    <s v="084"/>
    <s v="231115"/>
    <s v="EAT"/>
    <s v="ERT"/>
    <s v="HEA"/>
    <m/>
    <m/>
    <s v="BOD"/>
    <s v="SFO"/>
    <s v="SFO"/>
    <s v="N"/>
    <s v="B1C-2527"/>
    <s v="ML"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56"/>
    <s v="BA"/>
    <s v="05749015702001"/>
    <m/>
    <s v="144.0"/>
    <s v="2"/>
    <s v=".41"/>
    <s v="Y"/>
    <s v="N"/>
    <s v="AF"/>
    <s v="178"/>
    <s v="231115"/>
    <s v="ECC"/>
    <s v="XPH"/>
    <m/>
    <m/>
    <m/>
    <s v="MAA"/>
    <s v="MEX"/>
    <s v="MEX"/>
    <s v="N"/>
    <s v="N5404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57"/>
    <s v="BA"/>
    <s v="05749021114001"/>
    <m/>
    <s v="623.0"/>
    <s v="1"/>
    <s v="1.05"/>
    <s v="Y"/>
    <s v="N"/>
    <s v="AF"/>
    <s v="258"/>
    <s v="231116"/>
    <s v="ECP"/>
    <s v="HEA"/>
    <s v="EAP"/>
    <m/>
    <m/>
    <s v="CGN"/>
    <s v="SGN"/>
    <s v="SGN"/>
    <s v="N"/>
    <s v="58011"/>
    <m/>
    <m/>
    <s v="Passed"/>
    <m/>
    <x v="5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257"/>
    <s v="DA"/>
    <s v="05749021114002"/>
    <m/>
    <s v="623.0"/>
    <s v="1"/>
    <s v="1.05"/>
    <s v="Y"/>
    <s v="N"/>
    <s v="AF"/>
    <s v="258"/>
    <s v="231116"/>
    <s v="ECP"/>
    <s v="HEA"/>
    <s v="EAP"/>
    <m/>
    <m/>
    <s v="CGN"/>
    <s v="SGN"/>
    <s v="SGN"/>
    <s v="N"/>
    <s v="64003"/>
    <m/>
    <m/>
    <s v="Passed"/>
    <m/>
    <x v="5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257"/>
    <s v="FA"/>
    <s v="05749021114003"/>
    <m/>
    <s v="623.0"/>
    <s v="1"/>
    <s v="1.05"/>
    <s v="Y"/>
    <s v="N"/>
    <s v="AF"/>
    <s v="258"/>
    <s v="231116"/>
    <s v="ECP"/>
    <s v="HEA"/>
    <s v="EAP"/>
    <m/>
    <m/>
    <s v="CGN"/>
    <s v="SGN"/>
    <s v="SGN"/>
    <s v="N"/>
    <s v="P9004"/>
    <m/>
    <m/>
    <s v="Passed"/>
    <m/>
    <x v="5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258"/>
    <s v="BA"/>
    <s v="05749023483001"/>
    <m/>
    <s v="66.7"/>
    <s v="2"/>
    <s v=".32"/>
    <s v="Y"/>
    <s v="N"/>
    <s v="AF"/>
    <s v="822"/>
    <s v="231117"/>
    <s v="ELI"/>
    <s v="EAW"/>
    <m/>
    <m/>
    <m/>
    <s v="IAH"/>
    <s v="SSG"/>
    <s v="SSG"/>
    <s v="N"/>
    <s v="53405"/>
    <m/>
    <m/>
    <s v="Failed"/>
    <m/>
    <x v="3"/>
    <m/>
    <m/>
    <m/>
    <m/>
    <m/>
    <m/>
    <m/>
    <m/>
    <n v="2"/>
    <n v="0.5"/>
    <b v="0"/>
    <b v="0"/>
    <b v="0"/>
    <b v="0"/>
    <b v="0"/>
    <s v="No"/>
    <s v="Yes"/>
  </r>
  <r>
    <d v="2023-11-13T00:00:00"/>
    <x v="258"/>
    <s v="DA"/>
    <s v="05749023483002"/>
    <s v="PMC64466AF"/>
    <s v="33.3"/>
    <s v="1"/>
    <s v=".16"/>
    <s v="Y"/>
    <s v="N"/>
    <s v="AF"/>
    <s v="822"/>
    <s v="231117"/>
    <m/>
    <m/>
    <m/>
    <m/>
    <m/>
    <s v="IAH"/>
    <s v="SSG"/>
    <s v="SSG"/>
    <s v="N"/>
    <s v="B2A-4929"/>
    <s v="ML"/>
    <m/>
    <s v="Failed"/>
    <m/>
    <x v="3"/>
    <m/>
    <m/>
    <m/>
    <m/>
    <m/>
    <m/>
    <m/>
    <m/>
    <n v="2"/>
    <n v="0.5"/>
    <b v="0"/>
    <b v="0"/>
    <b v="0"/>
    <b v="0"/>
    <b v="0"/>
    <s v="No"/>
    <s v="Yes"/>
  </r>
  <r>
    <d v="2023-11-13T00:00:00"/>
    <x v="259"/>
    <s v="BA"/>
    <s v="05749026191001"/>
    <s v="PMC69912AF"/>
    <s v="4532.0"/>
    <s v="4"/>
    <s v="10.00"/>
    <s v="Y"/>
    <s v="N"/>
    <s v="AF"/>
    <s v="972"/>
    <s v="231115"/>
    <s v="PRC"/>
    <s v="BIG"/>
    <s v="VIC"/>
    <s v="HEA"/>
    <s v="ULD"/>
    <s v="MAN"/>
    <s v="LAD"/>
    <s v="LAD"/>
    <s v="N"/>
    <s v="B1B-2943"/>
    <s v="ML"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60"/>
    <s v="BA"/>
    <s v="05749027031001"/>
    <s v="PMC28396KL"/>
    <s v="4532.0"/>
    <s v="4"/>
    <s v="10.00"/>
    <s v="Y"/>
    <s v="N"/>
    <s v="AF"/>
    <s v="972"/>
    <s v="231115"/>
    <s v="PRC"/>
    <s v="BIG"/>
    <s v="VIC"/>
    <s v="HEA"/>
    <s v="ULD"/>
    <s v="MAN"/>
    <s v="LAD"/>
    <s v="LAD"/>
    <s v="N"/>
    <s v="B2C-5733"/>
    <s v="ML"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61"/>
    <s v="DA"/>
    <s v="05749036971002"/>
    <s v="PMC93146DL"/>
    <s v="256.3"/>
    <s v="6"/>
    <s v="7.60"/>
    <s v="Y"/>
    <s v="N"/>
    <s v="DL"/>
    <s v="291"/>
    <s v="231115"/>
    <s v="EAW"/>
    <m/>
    <m/>
    <m/>
    <m/>
    <s v="FRA"/>
    <s v="LAX"/>
    <s v="LAX"/>
    <s v="N"/>
    <s v="B1C-2220"/>
    <s v="ML"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61"/>
    <s v="FA"/>
    <s v="05749036971003"/>
    <s v="PMC94534DL"/>
    <s v="128.2"/>
    <s v="3"/>
    <s v="3.80"/>
    <s v="Y"/>
    <s v="N"/>
    <s v="DL"/>
    <s v="291"/>
    <s v="231115"/>
    <s v="EAW"/>
    <m/>
    <m/>
    <m/>
    <m/>
    <s v="FRA"/>
    <s v="LAX"/>
    <s v="LAX"/>
    <s v="N"/>
    <s v="B2A-4625"/>
    <s v="ML"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62"/>
    <s v="BA"/>
    <s v="05749043514001"/>
    <m/>
    <s v="268.0"/>
    <s v="1"/>
    <s v="1.05"/>
    <s v="Y"/>
    <s v="N"/>
    <s v="AF"/>
    <s v="692"/>
    <s v="231115"/>
    <s v="HEA"/>
    <s v="EAW"/>
    <m/>
    <m/>
    <m/>
    <s v="SWK"/>
    <s v="RDU"/>
    <s v="RDU"/>
    <s v="N"/>
    <s v="61311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63"/>
    <s v="FA"/>
    <s v="05749043525003"/>
    <m/>
    <s v="1011.5"/>
    <s v="1"/>
    <s v="1.19"/>
    <s v="Y"/>
    <s v="N"/>
    <s v="AF"/>
    <s v="092"/>
    <s v="231116"/>
    <s v="HEA"/>
    <s v="EAW"/>
    <m/>
    <m/>
    <m/>
    <s v="SWK"/>
    <s v="MIA"/>
    <s v="MIA"/>
    <s v="N"/>
    <s v="HLC055"/>
    <m/>
    <m/>
    <s v="Failed"/>
    <m/>
    <x v="12"/>
    <m/>
    <m/>
    <m/>
    <m/>
    <m/>
    <m/>
    <m/>
    <m/>
    <n v="2"/>
    <n v="0.25"/>
    <b v="0"/>
    <b v="0"/>
    <b v="0"/>
    <b v="0"/>
    <b v="0"/>
    <s v="No"/>
    <s v="No"/>
  </r>
  <r>
    <d v="2023-11-13T00:00:00"/>
    <x v="263"/>
    <m/>
    <s v="05749043525007"/>
    <m/>
    <s v="1011.6"/>
    <s v="1"/>
    <s v="1.19"/>
    <s v="Y"/>
    <s v="N"/>
    <s v="AF"/>
    <s v="092"/>
    <s v="231116"/>
    <s v="HEA"/>
    <s v="EAW"/>
    <m/>
    <m/>
    <m/>
    <s v="SWK"/>
    <s v="MIA"/>
    <s v="MIA"/>
    <s v="N"/>
    <s v="HLC062"/>
    <m/>
    <m/>
    <s v="Failed"/>
    <m/>
    <x v="12"/>
    <m/>
    <m/>
    <m/>
    <m/>
    <m/>
    <m/>
    <m/>
    <m/>
    <n v="2"/>
    <n v="0.25"/>
    <b v="0"/>
    <b v="0"/>
    <b v="0"/>
    <b v="0"/>
    <b v="0"/>
    <s v="No"/>
    <s v="No"/>
  </r>
  <r>
    <d v="2023-11-13T00:00:00"/>
    <x v="264"/>
    <s v="BA"/>
    <s v="05749057831001"/>
    <s v="PMC01550MP"/>
    <s v="644.4"/>
    <s v="8"/>
    <s v="8.11"/>
    <s v="Y"/>
    <s v="N"/>
    <s v="AF"/>
    <s v="474"/>
    <s v="231115"/>
    <s v="ERT"/>
    <s v="PIL"/>
    <s v="ECP"/>
    <m/>
    <m/>
    <s v="BSL"/>
    <s v="PTY"/>
    <s v="PTY"/>
    <s v="N"/>
    <s v="B1C-2242"/>
    <s v="ML"/>
    <m/>
    <s v="Passed"/>
    <m/>
    <x v="5"/>
    <m/>
    <m/>
    <m/>
    <m/>
    <m/>
    <m/>
    <m/>
    <m/>
    <n v="2"/>
    <n v="0.5"/>
    <b v="0"/>
    <b v="0"/>
    <b v="0"/>
    <b v="0"/>
    <b v="0"/>
    <s v="No"/>
    <s v="No"/>
  </r>
  <r>
    <d v="2023-11-13T00:00:00"/>
    <x v="264"/>
    <s v="DA"/>
    <s v="05749057831002"/>
    <m/>
    <s v="80.6"/>
    <s v="1"/>
    <s v="1.01"/>
    <s v="Y"/>
    <s v="N"/>
    <s v="AF"/>
    <s v="474"/>
    <s v="231115"/>
    <s v="ERT"/>
    <s v="PIL"/>
    <s v="ECP"/>
    <m/>
    <m/>
    <s v="BSL"/>
    <s v="PTY"/>
    <s v="PTY"/>
    <s v="N"/>
    <s v="69401"/>
    <m/>
    <m/>
    <s v="Passed"/>
    <m/>
    <x v="5"/>
    <m/>
    <m/>
    <m/>
    <m/>
    <m/>
    <m/>
    <m/>
    <m/>
    <n v="2"/>
    <n v="0.5"/>
    <b v="0"/>
    <b v="0"/>
    <b v="0"/>
    <b v="0"/>
    <b v="0"/>
    <s v="No"/>
    <s v="No"/>
  </r>
  <r>
    <d v="2023-11-13T00:00:00"/>
    <x v="265"/>
    <s v="BA"/>
    <s v="05749068972001"/>
    <m/>
    <s v="195.0"/>
    <s v="1"/>
    <s v="3.59"/>
    <s v="Y"/>
    <s v="N"/>
    <s v="AF"/>
    <s v="356"/>
    <s v="231115"/>
    <s v="ECC"/>
    <s v="HEA"/>
    <m/>
    <m/>
    <m/>
    <s v="TLV"/>
    <s v="YYZ"/>
    <s v="YYZ"/>
    <s v="N"/>
    <s v="XLC00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66"/>
    <s v="DA"/>
    <s v="05749100870002"/>
    <m/>
    <s v="1050.0"/>
    <s v="1"/>
    <s v="1.40"/>
    <s v="Y"/>
    <s v="N"/>
    <s v="AF"/>
    <s v="890"/>
    <s v="231117"/>
    <s v="ECC"/>
    <s v="HEA"/>
    <m/>
    <m/>
    <m/>
    <s v="BCN"/>
    <s v="JNB"/>
    <s v="CPT"/>
    <s v="N"/>
    <s v="Y5003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67"/>
    <s v="BA"/>
    <s v="05749109093001"/>
    <m/>
    <s v="341.0"/>
    <s v="1"/>
    <s v=".37"/>
    <s v="N"/>
    <s v="N"/>
    <s v="AF"/>
    <s v="928"/>
    <s v="231116"/>
    <s v="HEA"/>
    <s v="EAP"/>
    <m/>
    <m/>
    <m/>
    <s v="CDG"/>
    <s v="PNR"/>
    <s v="PNR"/>
    <s v="N"/>
    <s v="53112"/>
    <m/>
    <m/>
    <s v="Passed"/>
    <m/>
    <x v="4"/>
    <s v="Yes"/>
    <m/>
    <m/>
    <m/>
    <m/>
    <m/>
    <m/>
    <m/>
    <n v="2"/>
    <n v="1"/>
    <b v="0"/>
    <b v="0"/>
    <b v="0"/>
    <b v="0"/>
    <b v="0"/>
    <s v="No"/>
    <s v="No"/>
  </r>
  <r>
    <d v="2023-11-13T00:00:00"/>
    <x v="268"/>
    <s v="BA"/>
    <s v="05749109174001"/>
    <m/>
    <s v="54.0"/>
    <s v="1"/>
    <s v=".26"/>
    <s v="N"/>
    <s v="N"/>
    <s v="AF"/>
    <s v="374"/>
    <s v="231116"/>
    <s v="ECC"/>
    <s v="FSA"/>
    <s v="EAP"/>
    <s v="SPX"/>
    <m/>
    <s v="CDG"/>
    <s v="YVR"/>
    <s v="YVR"/>
    <s v="N"/>
    <s v="R9402"/>
    <m/>
    <m/>
    <s v="Passed"/>
    <m/>
    <x v="4"/>
    <s v="Yes"/>
    <m/>
    <m/>
    <m/>
    <m/>
    <m/>
    <m/>
    <m/>
    <n v="2"/>
    <n v="1"/>
    <b v="0"/>
    <b v="0"/>
    <b v="0"/>
    <b v="0"/>
    <b v="0"/>
    <s v="No"/>
    <s v="No"/>
  </r>
  <r>
    <d v="2023-11-13T00:00:00"/>
    <x v="269"/>
    <s v="BA"/>
    <s v="05749139123001"/>
    <m/>
    <s v="37.9"/>
    <s v="1"/>
    <s v=".51"/>
    <s v="Y"/>
    <s v="N"/>
    <s v="AF"/>
    <s v="568"/>
    <s v="231117"/>
    <s v="ECP"/>
    <m/>
    <m/>
    <m/>
    <m/>
    <s v="ZRH"/>
    <s v="CAI"/>
    <s v="CAI"/>
    <s v="N"/>
    <s v="61103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69"/>
    <s v="DA"/>
    <s v="05749139123002"/>
    <m/>
    <s v="37.9"/>
    <s v="1"/>
    <s v=".51"/>
    <s v="Y"/>
    <s v="N"/>
    <s v="AF"/>
    <s v="568"/>
    <s v="231117"/>
    <s v="ELI"/>
    <s v="ECP"/>
    <m/>
    <m/>
    <m/>
    <s v="ZRH"/>
    <s v="CAI"/>
    <s v="CAI"/>
    <s v="N"/>
    <s v="58312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70"/>
    <s v="BA"/>
    <s v="05749175254001"/>
    <m/>
    <s v="146.0"/>
    <s v="1"/>
    <s v="1.42"/>
    <s v="Y"/>
    <s v="N"/>
    <s v="AF"/>
    <s v="084"/>
    <s v="231116"/>
    <s v="ECC"/>
    <s v="EAP"/>
    <m/>
    <m/>
    <m/>
    <s v="MUC"/>
    <s v="SFO"/>
    <s v="SFO"/>
    <s v="N"/>
    <s v="59013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71"/>
    <s v="BA"/>
    <s v="05753737073001"/>
    <m/>
    <s v="380.0"/>
    <s v="1"/>
    <s v=".33"/>
    <s v="Y"/>
    <s v="N"/>
    <s v="AF"/>
    <s v="090M"/>
    <s v="231115"/>
    <s v="ECC"/>
    <s v="HEA"/>
    <s v="EAP"/>
    <m/>
    <m/>
    <s v="MTY"/>
    <s v="BHX"/>
    <s v="MAN"/>
    <s v="N"/>
    <s v="19104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271"/>
    <s v="DA"/>
    <s v="05753737073002"/>
    <m/>
    <s v="380.0"/>
    <s v="1"/>
    <s v=".33"/>
    <s v="Y"/>
    <s v="N"/>
    <s v="AF"/>
    <s v="090M"/>
    <s v="231115"/>
    <s v="ECC"/>
    <s v="HEA"/>
    <s v="EAP"/>
    <m/>
    <m/>
    <s v="MTY"/>
    <s v="BHX"/>
    <s v="MAN"/>
    <s v="N"/>
    <s v="21001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271"/>
    <s v="FA"/>
    <s v="05753737073003"/>
    <m/>
    <s v="380.0"/>
    <s v="1"/>
    <s v=".33"/>
    <s v="Y"/>
    <s v="N"/>
    <s v="AF"/>
    <s v="090M"/>
    <s v="231115"/>
    <s v="ECC"/>
    <s v="HEA"/>
    <s v="EAP"/>
    <m/>
    <m/>
    <s v="MTY"/>
    <s v="BHX"/>
    <s v="MAN"/>
    <s v="N"/>
    <s v="19105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271"/>
    <s v="HA"/>
    <s v="05753737073004"/>
    <m/>
    <s v="380.0"/>
    <s v="1"/>
    <s v=".33"/>
    <s v="Y"/>
    <s v="N"/>
    <s v="AF"/>
    <s v="090M"/>
    <s v="231115"/>
    <s v="ECC"/>
    <s v="HEA"/>
    <s v="EAP"/>
    <m/>
    <m/>
    <s v="MTY"/>
    <s v="BHX"/>
    <s v="MAN"/>
    <s v="N"/>
    <s v="19003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272"/>
    <s v="BA"/>
    <s v="05770653144001"/>
    <m/>
    <s v="70.0"/>
    <s v="1"/>
    <s v=".40"/>
    <s v="Y"/>
    <s v="N"/>
    <s v="AF"/>
    <s v="342"/>
    <s v="231115"/>
    <s v="ECC"/>
    <s v="EAP"/>
    <m/>
    <m/>
    <m/>
    <s v="SWK"/>
    <s v="YUL"/>
    <s v="YUL"/>
    <s v="N"/>
    <s v="P3104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73"/>
    <s v="BA"/>
    <s v="05770771116001"/>
    <m/>
    <s v="34.0"/>
    <s v="2"/>
    <s v=".23"/>
    <s v="Y"/>
    <s v="N"/>
    <s v="AF"/>
    <s v="866"/>
    <s v="231117"/>
    <s v="ELI"/>
    <s v="XPH"/>
    <s v="EAW"/>
    <m/>
    <m/>
    <s v="JFK"/>
    <s v="NDJ"/>
    <s v="NDJ"/>
    <s v="N"/>
    <s v="55311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74"/>
    <s v="BA"/>
    <s v="05770774141001"/>
    <s v="PLB00528AF"/>
    <s v="486.0"/>
    <s v="2"/>
    <s v="4.16"/>
    <s v="Y"/>
    <s v="N"/>
    <s v="AF"/>
    <s v="990"/>
    <s v="231115"/>
    <s v="ECC"/>
    <s v="HEA"/>
    <s v="EAP"/>
    <m/>
    <m/>
    <s v="JFK"/>
    <s v="JNB"/>
    <s v="JNB"/>
    <s v="N"/>
    <s v="B2B-4031"/>
    <s v="LL"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74"/>
    <s v="DA"/>
    <s v="05770774141002"/>
    <s v="PMC64278AF"/>
    <s v="972.0"/>
    <s v="4"/>
    <s v="8.32"/>
    <s v="Y"/>
    <s v="N"/>
    <s v="AF"/>
    <s v="990"/>
    <s v="231115"/>
    <s v="ECC"/>
    <s v="HEA"/>
    <s v="EAP"/>
    <m/>
    <m/>
    <s v="JFK"/>
    <s v="JNB"/>
    <s v="JNB"/>
    <s v="N"/>
    <s v="B2B-4041"/>
    <s v="ML"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75"/>
    <s v="BA"/>
    <s v="05770790775001"/>
    <m/>
    <s v="3.0"/>
    <s v="1"/>
    <s v=".01"/>
    <s v="Y"/>
    <s v="N"/>
    <s v="AF"/>
    <s v="330M"/>
    <s v="231115"/>
    <s v="ECC"/>
    <s v="XPS"/>
    <s v="EAP"/>
    <m/>
    <m/>
    <s v="JFK"/>
    <s v="LJU"/>
    <s v="LJU"/>
    <s v="N"/>
    <s v="16004"/>
    <m/>
    <m/>
    <s v="Failed"/>
    <m/>
    <x v="3"/>
    <m/>
    <m/>
    <m/>
    <m/>
    <m/>
    <m/>
    <m/>
    <m/>
    <n v="2"/>
    <n v="1"/>
    <b v="0"/>
    <b v="0"/>
    <b v="0"/>
    <b v="0"/>
    <b v="0"/>
    <s v="No"/>
    <s v="No"/>
  </r>
  <r>
    <d v="2023-11-13T00:00:00"/>
    <x v="276"/>
    <s v="BA"/>
    <s v="05770790786001"/>
    <m/>
    <s v="3.0"/>
    <s v="1"/>
    <s v=".01"/>
    <s v="Y"/>
    <s v="N"/>
    <s v="AF"/>
    <s v="330M"/>
    <s v="231115"/>
    <s v="ECC"/>
    <s v="XPS"/>
    <s v="EAP"/>
    <m/>
    <m/>
    <s v="JFK"/>
    <s v="LJU"/>
    <s v="LJU"/>
    <s v="N"/>
    <s v="16406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77"/>
    <s v="BA"/>
    <s v="05771230795001"/>
    <s v="PMC63256AF"/>
    <s v="360.0"/>
    <s v="1"/>
    <s v="4.44"/>
    <s v="Y"/>
    <s v="N"/>
    <s v="AF"/>
    <s v="822"/>
    <s v="231115"/>
    <s v="PRC"/>
    <s v="HEA"/>
    <s v="EAP"/>
    <m/>
    <m/>
    <s v="IAH"/>
    <s v="SSG"/>
    <s v="SSG"/>
    <s v="N"/>
    <s v="B1A-3334"/>
    <s v="ML"/>
    <m/>
    <s v="Failed"/>
    <m/>
    <x v="3"/>
    <m/>
    <m/>
    <m/>
    <m/>
    <m/>
    <m/>
    <m/>
    <m/>
    <n v="2"/>
    <n v="0.5"/>
    <b v="0"/>
    <b v="0"/>
    <b v="0"/>
    <b v="0"/>
    <b v="0"/>
    <s v="No"/>
    <s v="Yes"/>
  </r>
  <r>
    <d v="2023-11-13T00:00:00"/>
    <x v="277"/>
    <s v="DA"/>
    <s v="05771230795002"/>
    <s v="PMC20180MP"/>
    <s v="360.0"/>
    <s v="1"/>
    <s v="4.44"/>
    <s v="Y"/>
    <s v="N"/>
    <s v="AF"/>
    <s v="822"/>
    <s v="231115"/>
    <s v="PRC"/>
    <s v="HEA"/>
    <s v="EAP"/>
    <m/>
    <m/>
    <s v="IAH"/>
    <s v="SSG"/>
    <s v="SSG"/>
    <s v="N"/>
    <s v="B2A-5040"/>
    <s v="ML"/>
    <m/>
    <s v="Failed"/>
    <m/>
    <x v="3"/>
    <m/>
    <m/>
    <m/>
    <m/>
    <m/>
    <m/>
    <m/>
    <m/>
    <n v="2"/>
    <n v="0.5"/>
    <b v="0"/>
    <b v="0"/>
    <b v="0"/>
    <b v="0"/>
    <b v="0"/>
    <s v="No"/>
    <s v="Yes"/>
  </r>
  <r>
    <d v="2023-11-13T00:00:00"/>
    <x v="278"/>
    <s v="BA"/>
    <s v="05771297100001"/>
    <s v="PMC24596KL"/>
    <s v="235.0"/>
    <s v="1"/>
    <s v="1.06"/>
    <s v="Y"/>
    <s v="N"/>
    <s v="AF"/>
    <s v="178"/>
    <s v="231115"/>
    <s v="ECC"/>
    <s v="HEA"/>
    <m/>
    <m/>
    <m/>
    <s v="SWK"/>
    <s v="MEX"/>
    <s v="MEX"/>
    <s v="N"/>
    <s v="B2A-5119"/>
    <s v="ML"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279"/>
    <s v="BA"/>
    <s v="05771305452001"/>
    <m/>
    <s v="135.0"/>
    <s v="1"/>
    <s v="1.39"/>
    <s v="Y"/>
    <s v="N"/>
    <s v="AF"/>
    <s v="356"/>
    <s v="231115"/>
    <s v="ECC"/>
    <s v="EAP"/>
    <m/>
    <m/>
    <m/>
    <s v="SWK"/>
    <s v="YYZ"/>
    <s v="YYZ"/>
    <s v="N"/>
    <s v="P7301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80"/>
    <s v="BA"/>
    <s v="05771320896001"/>
    <m/>
    <s v="270.4"/>
    <s v="4"/>
    <s v="1.62"/>
    <s v="Y"/>
    <s v="N"/>
    <s v="AF"/>
    <s v="682"/>
    <s v="231115"/>
    <m/>
    <m/>
    <m/>
    <m/>
    <m/>
    <s v="FCO"/>
    <s v="ATL"/>
    <s v="ATL"/>
    <s v="N"/>
    <s v="HLC052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81"/>
    <s v="BA"/>
    <s v="05771332785001"/>
    <s v="PAG10066AF"/>
    <s v="261.8"/>
    <s v="1"/>
    <s v="2.73"/>
    <s v="N"/>
    <s v="N"/>
    <s v="AF"/>
    <s v="072"/>
    <s v="231115"/>
    <s v="ECC"/>
    <s v="HEA"/>
    <s v="FSB"/>
    <s v="EAW"/>
    <s v="SPX"/>
    <s v="CDG"/>
    <s v="LAX"/>
    <s v="LAX"/>
    <s v="N"/>
    <s v="B1C-2432"/>
    <s v="AL"/>
    <m/>
    <s v="Passed"/>
    <m/>
    <x v="3"/>
    <s v="Yes"/>
    <m/>
    <m/>
    <m/>
    <m/>
    <m/>
    <m/>
    <m/>
    <n v="2"/>
    <n v="0.2"/>
    <b v="0"/>
    <b v="0"/>
    <b v="0"/>
    <b v="0"/>
    <b v="0"/>
    <s v="No"/>
    <s v="No"/>
  </r>
  <r>
    <d v="2023-11-13T00:00:00"/>
    <x v="281"/>
    <s v="DA"/>
    <s v="05771332785002"/>
    <s v="PAG10066AF"/>
    <s v="261.8"/>
    <s v="1"/>
    <s v="2.73"/>
    <s v="N"/>
    <s v="N"/>
    <s v="AF"/>
    <s v="072"/>
    <s v="231115"/>
    <s v="ECC"/>
    <s v="HEA"/>
    <s v="FSB"/>
    <s v="EAW"/>
    <s v="SPX"/>
    <s v="CDG"/>
    <s v="LAX"/>
    <s v="LAX"/>
    <s v="N"/>
    <s v="B1C-2432"/>
    <s v="AL"/>
    <m/>
    <s v="Passed"/>
    <m/>
    <x v="3"/>
    <s v="Yes"/>
    <m/>
    <m/>
    <m/>
    <m/>
    <m/>
    <m/>
    <m/>
    <n v="2"/>
    <n v="0.2"/>
    <b v="0"/>
    <b v="0"/>
    <b v="0"/>
    <b v="0"/>
    <b v="0"/>
    <s v="No"/>
    <s v="No"/>
  </r>
  <r>
    <d v="2023-11-13T00:00:00"/>
    <x v="281"/>
    <s v="FA"/>
    <s v="05771332785003"/>
    <s v="PAG10066AF"/>
    <s v="261.8"/>
    <s v="1"/>
    <s v="2.73"/>
    <s v="N"/>
    <s v="N"/>
    <s v="AF"/>
    <s v="072"/>
    <s v="231115"/>
    <s v="ECC"/>
    <s v="HEA"/>
    <s v="FSB"/>
    <s v="EAW"/>
    <s v="SPX"/>
    <s v="CDG"/>
    <s v="LAX"/>
    <s v="LAX"/>
    <s v="N"/>
    <s v="B1C-2432"/>
    <s v="AL"/>
    <m/>
    <s v="Passed"/>
    <m/>
    <x v="3"/>
    <s v="Yes"/>
    <m/>
    <m/>
    <m/>
    <m/>
    <m/>
    <m/>
    <m/>
    <n v="2"/>
    <n v="0.2"/>
    <b v="0"/>
    <b v="0"/>
    <b v="0"/>
    <b v="0"/>
    <b v="0"/>
    <s v="No"/>
    <s v="No"/>
  </r>
  <r>
    <d v="2023-11-13T00:00:00"/>
    <x v="281"/>
    <s v="HA"/>
    <s v="05771332785004"/>
    <s v="PAG10066AF"/>
    <s v="261.8"/>
    <s v="1"/>
    <s v="2.73"/>
    <s v="N"/>
    <s v="N"/>
    <s v="AF"/>
    <s v="072"/>
    <s v="231115"/>
    <s v="ECC"/>
    <s v="HEA"/>
    <s v="FSB"/>
    <s v="EAW"/>
    <s v="SPX"/>
    <s v="CDG"/>
    <s v="LAX"/>
    <s v="LAX"/>
    <s v="N"/>
    <s v="B1C-2432"/>
    <s v="AL"/>
    <m/>
    <s v="Passed"/>
    <m/>
    <x v="3"/>
    <s v="Yes"/>
    <m/>
    <m/>
    <m/>
    <m/>
    <m/>
    <m/>
    <m/>
    <n v="2"/>
    <n v="0.2"/>
    <b v="0"/>
    <b v="0"/>
    <b v="0"/>
    <b v="0"/>
    <b v="0"/>
    <s v="No"/>
    <s v="No"/>
  </r>
  <r>
    <d v="2023-11-13T00:00:00"/>
    <x v="281"/>
    <s v="JA"/>
    <s v="05771332785005"/>
    <s v="PAG10066AF"/>
    <s v="261.8"/>
    <s v="1"/>
    <s v="2.73"/>
    <s v="N"/>
    <s v="N"/>
    <s v="AF"/>
    <s v="072"/>
    <s v="231115"/>
    <s v="ECC"/>
    <s v="HEA"/>
    <s v="FSB"/>
    <s v="EAW"/>
    <s v="SPX"/>
    <s v="CDG"/>
    <s v="LAX"/>
    <s v="LAX"/>
    <s v="N"/>
    <s v="B1C-2432"/>
    <s v="AL"/>
    <m/>
    <s v="Passed"/>
    <m/>
    <x v="3"/>
    <s v="Yes"/>
    <m/>
    <m/>
    <m/>
    <m/>
    <m/>
    <m/>
    <m/>
    <n v="2"/>
    <n v="0.2"/>
    <b v="0"/>
    <b v="0"/>
    <b v="0"/>
    <b v="0"/>
    <b v="0"/>
    <s v="No"/>
    <s v="No"/>
  </r>
  <r>
    <d v="2023-11-13T00:00:00"/>
    <x v="282"/>
    <s v="BA"/>
    <s v="05771332951001"/>
    <m/>
    <s v="159.8"/>
    <s v="1"/>
    <s v=".96"/>
    <s v="N"/>
    <s v="N"/>
    <s v="AF"/>
    <s v="566"/>
    <s v="231117"/>
    <s v="ECP"/>
    <s v="HEA"/>
    <s v="FSB"/>
    <s v="EAW"/>
    <s v="SPX"/>
    <s v="CDG"/>
    <s v="BEY"/>
    <s v="BEY"/>
    <s v="N"/>
    <s v="N1401"/>
    <m/>
    <m/>
    <s v="Passed"/>
    <m/>
    <x v="5"/>
    <m/>
    <m/>
    <m/>
    <m/>
    <m/>
    <m/>
    <m/>
    <m/>
    <n v="2"/>
    <n v="0.5"/>
    <b v="0"/>
    <b v="0"/>
    <b v="0"/>
    <b v="0"/>
    <b v="0"/>
    <s v="No"/>
    <s v="No"/>
  </r>
  <r>
    <d v="2023-11-13T00:00:00"/>
    <x v="282"/>
    <s v="DA"/>
    <s v="05771332951002"/>
    <m/>
    <s v="159.8"/>
    <s v="1"/>
    <s v=".96"/>
    <s v="N"/>
    <s v="N"/>
    <s v="AF"/>
    <s v="566"/>
    <s v="231117"/>
    <s v="ECP"/>
    <s v="HEA"/>
    <s v="FSB"/>
    <s v="EAW"/>
    <s v="SPX"/>
    <s v="CDG"/>
    <s v="BEY"/>
    <s v="BEY"/>
    <s v="N"/>
    <s v="N1402"/>
    <m/>
    <m/>
    <s v="Passed"/>
    <m/>
    <x v="3"/>
    <s v="Yes"/>
    <m/>
    <m/>
    <m/>
    <m/>
    <m/>
    <m/>
    <m/>
    <n v="2"/>
    <n v="0.5"/>
    <b v="0"/>
    <b v="0"/>
    <b v="0"/>
    <b v="0"/>
    <b v="0"/>
    <s v="No"/>
    <s v="No"/>
  </r>
  <r>
    <d v="2023-11-13T00:00:00"/>
    <x v="12"/>
    <s v="BA"/>
    <s v="05771333264001"/>
    <s v="PMC87884AF"/>
    <s v="1221.3"/>
    <s v="9"/>
    <s v="10.00"/>
    <s v="N"/>
    <s v="N"/>
    <s v="AF"/>
    <s v="712"/>
    <s v="231115"/>
    <s v="HEA"/>
    <s v="FSB"/>
    <s v="ULD"/>
    <s v="EAW"/>
    <m/>
    <s v="CDG"/>
    <s v="ABJ"/>
    <s v="ABJ"/>
    <s v="N"/>
    <s v="NCX-4528"/>
    <s v="ML"/>
    <m/>
    <s v="Passed"/>
    <m/>
    <x v="5"/>
    <m/>
    <m/>
    <m/>
    <m/>
    <m/>
    <m/>
    <m/>
    <m/>
    <n v="2"/>
    <n v="0.5"/>
    <b v="0"/>
    <b v="0"/>
    <b v="0"/>
    <b v="0"/>
    <b v="0"/>
    <s v="No"/>
    <s v="No"/>
  </r>
  <r>
    <d v="2023-11-13T00:00:00"/>
    <x v="283"/>
    <s v="BA"/>
    <s v="05771333544001"/>
    <m/>
    <s v="3010.9"/>
    <s v="12"/>
    <s v="10.36"/>
    <s v="N"/>
    <s v="N"/>
    <s v="AF"/>
    <s v="6724"/>
    <s v="231116"/>
    <s v="ECC"/>
    <s v="HEA"/>
    <s v="FSA"/>
    <s v="EAW"/>
    <s v="SPX"/>
    <s v="CDG"/>
    <s v="NRT"/>
    <s v="NRT"/>
    <s v="N"/>
    <s v="LO000"/>
    <m/>
    <m/>
    <s v="Passed"/>
    <m/>
    <x v="3"/>
    <s v="Yes"/>
    <m/>
    <m/>
    <m/>
    <m/>
    <m/>
    <m/>
    <m/>
    <n v="2"/>
    <n v="0.25"/>
    <b v="0"/>
    <b v="0"/>
    <b v="0"/>
    <b v="0"/>
    <b v="0"/>
    <s v="No"/>
    <s v="No"/>
  </r>
  <r>
    <d v="2023-11-13T00:00:00"/>
    <x v="283"/>
    <s v="WD"/>
    <s v="05771333544051"/>
    <m/>
    <s v="3011.0"/>
    <s v="12"/>
    <s v="10.37"/>
    <s v="N"/>
    <s v="N"/>
    <s v="AF"/>
    <s v="6724"/>
    <s v="231116"/>
    <s v="ECC"/>
    <s v="HEA"/>
    <s v="FSA"/>
    <s v="EAW"/>
    <s v="SPX"/>
    <s v="CDG"/>
    <s v="NRT"/>
    <s v="NRT"/>
    <s v="N"/>
    <s v="LO000"/>
    <m/>
    <m/>
    <s v="Passed"/>
    <m/>
    <x v="3"/>
    <s v="Yes"/>
    <m/>
    <m/>
    <m/>
    <m/>
    <m/>
    <m/>
    <m/>
    <n v="2"/>
    <n v="0.25"/>
    <b v="0"/>
    <b v="0"/>
    <b v="0"/>
    <b v="0"/>
    <b v="0"/>
    <s v="No"/>
    <s v="No"/>
  </r>
  <r>
    <d v="2023-11-13T00:00:00"/>
    <x v="284"/>
    <s v="BA"/>
    <s v="05771333555001"/>
    <m/>
    <s v="321.3"/>
    <s v="1"/>
    <s v="1.44"/>
    <s v="N"/>
    <s v="N"/>
    <s v="AF"/>
    <s v="344"/>
    <s v="231115"/>
    <s v="ECC"/>
    <s v="HEA"/>
    <s v="FSA"/>
    <s v="EAW"/>
    <s v="SPX"/>
    <s v="CDG"/>
    <s v="YUL"/>
    <s v="YUL"/>
    <s v="N"/>
    <s v="51312"/>
    <m/>
    <m/>
    <s v="Passed"/>
    <m/>
    <x v="4"/>
    <s v="Yes"/>
    <m/>
    <m/>
    <m/>
    <m/>
    <m/>
    <m/>
    <m/>
    <n v="2"/>
    <n v="0.5"/>
    <b v="0"/>
    <b v="0"/>
    <b v="0"/>
    <b v="0"/>
    <b v="0"/>
    <s v="No"/>
    <s v="No"/>
  </r>
  <r>
    <d v="2023-11-13T00:00:00"/>
    <x v="284"/>
    <s v="DA"/>
    <s v="05771333555002"/>
    <m/>
    <s v="321.3"/>
    <s v="1"/>
    <s v="1.44"/>
    <s v="N"/>
    <s v="N"/>
    <s v="AF"/>
    <s v="344"/>
    <s v="231115"/>
    <s v="ECC"/>
    <s v="HEA"/>
    <s v="FSA"/>
    <s v="EAW"/>
    <s v="SPX"/>
    <s v="CDG"/>
    <s v="YUL"/>
    <s v="YUL"/>
    <s v="N"/>
    <s v="P5001"/>
    <m/>
    <m/>
    <s v="Passed"/>
    <m/>
    <x v="4"/>
    <s v="Yes"/>
    <m/>
    <m/>
    <m/>
    <m/>
    <m/>
    <m/>
    <m/>
    <n v="2"/>
    <n v="0.5"/>
    <b v="0"/>
    <b v="0"/>
    <b v="0"/>
    <b v="0"/>
    <b v="0"/>
    <s v="No"/>
    <s v="No"/>
  </r>
  <r>
    <d v="2023-11-13T00:00:00"/>
    <x v="285"/>
    <s v="BA"/>
    <s v="05771333566001"/>
    <m/>
    <s v="349.4"/>
    <s v="1"/>
    <s v="2.00"/>
    <s v="N"/>
    <s v="N"/>
    <s v="AF"/>
    <s v="344"/>
    <s v="231115"/>
    <s v="ECC"/>
    <s v="HEA"/>
    <s v="FSA"/>
    <s v="EAW"/>
    <s v="SPX"/>
    <s v="CDG"/>
    <s v="YUL"/>
    <s v="YUL"/>
    <s v="N"/>
    <s v="Q2102"/>
    <m/>
    <m/>
    <s v="Passed"/>
    <m/>
    <x v="4"/>
    <s v="Yes"/>
    <m/>
    <m/>
    <m/>
    <m/>
    <m/>
    <m/>
    <m/>
    <n v="2"/>
    <n v="1"/>
    <b v="0"/>
    <b v="0"/>
    <b v="0"/>
    <b v="0"/>
    <b v="0"/>
    <s v="No"/>
    <s v="No"/>
  </r>
  <r>
    <d v="2023-11-13T00:00:00"/>
    <x v="286"/>
    <s v="BA"/>
    <s v="05771333684001"/>
    <m/>
    <s v="849.0"/>
    <s v="8"/>
    <s v="3.84"/>
    <s v="N"/>
    <s v="N"/>
    <s v="AF"/>
    <s v="076"/>
    <s v="231116"/>
    <s v="ECP"/>
    <s v="FSA"/>
    <s v="EAW"/>
    <s v="SPX"/>
    <m/>
    <s v="CDG"/>
    <s v="PPT"/>
    <s v="PPT"/>
    <s v="N"/>
    <s v="LO400"/>
    <m/>
    <m/>
    <s v="Passed"/>
    <m/>
    <x v="4"/>
    <s v="Yes"/>
    <m/>
    <m/>
    <m/>
    <m/>
    <m/>
    <m/>
    <m/>
    <n v="2"/>
    <n v="1"/>
    <b v="0"/>
    <b v="0"/>
    <b v="0"/>
    <b v="0"/>
    <b v="0"/>
    <s v="No"/>
    <s v="No"/>
  </r>
  <r>
    <d v="2023-11-13T00:00:00"/>
    <x v="287"/>
    <s v="BA"/>
    <s v="05771486505001"/>
    <m/>
    <s v="45.0"/>
    <s v="1"/>
    <s v=".60"/>
    <s v="Y"/>
    <s v="N"/>
    <s v="AF"/>
    <s v="990"/>
    <s v="231115"/>
    <s v="ECC"/>
    <m/>
    <m/>
    <m/>
    <m/>
    <s v="ORD"/>
    <s v="JNB"/>
    <s v="JNB"/>
    <s v="N"/>
    <s v="S5401"/>
    <m/>
    <m/>
    <s v="Passed"/>
    <m/>
    <x v="5"/>
    <m/>
    <m/>
    <m/>
    <m/>
    <m/>
    <m/>
    <m/>
    <m/>
    <n v="2"/>
    <n v="0.5"/>
    <b v="0"/>
    <b v="0"/>
    <b v="0"/>
    <b v="0"/>
    <b v="0"/>
    <s v="No"/>
    <s v="Yes"/>
  </r>
  <r>
    <d v="2023-11-13T00:00:00"/>
    <x v="287"/>
    <s v="DA"/>
    <s v="05771486505002"/>
    <m/>
    <s v="45.0"/>
    <s v="1"/>
    <s v=".61"/>
    <s v="Y"/>
    <s v="N"/>
    <s v="AF"/>
    <s v="990"/>
    <s v="231115"/>
    <s v="ECC"/>
    <m/>
    <m/>
    <m/>
    <m/>
    <s v="ORD"/>
    <s v="JNB"/>
    <s v="JNB"/>
    <s v="N"/>
    <s v="50407"/>
    <m/>
    <m/>
    <s v="Passed"/>
    <m/>
    <x v="5"/>
    <m/>
    <m/>
    <m/>
    <m/>
    <m/>
    <m/>
    <m/>
    <m/>
    <n v="2"/>
    <n v="0.5"/>
    <b v="0"/>
    <b v="0"/>
    <b v="0"/>
    <b v="0"/>
    <b v="0"/>
    <s v="No"/>
    <s v="Yes"/>
  </r>
  <r>
    <d v="2023-11-13T00:00:00"/>
    <x v="288"/>
    <s v="BA"/>
    <s v="05771486553001"/>
    <m/>
    <s v="198.0"/>
    <s v="1"/>
    <s v="1.84"/>
    <s v="Y"/>
    <s v="N"/>
    <s v="AF"/>
    <s v="664M"/>
    <s v="231119"/>
    <s v="ECC"/>
    <s v="HEA"/>
    <s v="EAP"/>
    <m/>
    <m/>
    <s v="ORD"/>
    <s v="BIO"/>
    <s v="BIO"/>
    <s v="N"/>
    <s v="HFI011"/>
    <m/>
    <m/>
    <s v="Failed"/>
    <m/>
    <x v="0"/>
    <m/>
    <m/>
    <m/>
    <m/>
    <m/>
    <m/>
    <m/>
    <m/>
    <n v="2"/>
    <n v="1"/>
    <b v="0"/>
    <b v="0"/>
    <b v="0"/>
    <b v="0"/>
    <b v="0"/>
    <s v="No"/>
    <s v="Yes"/>
  </r>
  <r>
    <d v="2023-11-13T00:00:00"/>
    <x v="289"/>
    <s v="BA"/>
    <s v="05771527783001"/>
    <m/>
    <s v="10.0"/>
    <s v="1"/>
    <s v=".06"/>
    <s v="Y"/>
    <s v="N"/>
    <s v="AF"/>
    <s v="1304"/>
    <s v="231115"/>
    <s v="RDS"/>
    <s v="ICE"/>
    <s v="ECC"/>
    <m/>
    <m/>
    <s v="ORD"/>
    <s v="FCO"/>
    <s v="FCO"/>
    <s v="N"/>
    <s v="91404"/>
    <m/>
    <m/>
    <s v="Failed"/>
    <m/>
    <x v="13"/>
    <m/>
    <m/>
    <m/>
    <m/>
    <m/>
    <m/>
    <m/>
    <m/>
    <n v="2"/>
    <n v="1"/>
    <s v="Yes"/>
    <s v="Yes"/>
    <b v="0"/>
    <b v="0"/>
    <b v="0"/>
    <s v="Yes"/>
    <s v="Yes"/>
  </r>
  <r>
    <d v="2023-11-13T00:00:00"/>
    <x v="290"/>
    <s v="BA"/>
    <s v="05771532414001"/>
    <m/>
    <s v="182.0"/>
    <s v="1"/>
    <s v=".38"/>
    <s v="Y"/>
    <s v="N"/>
    <s v="AF"/>
    <s v="460"/>
    <s v="231115"/>
    <s v="ECP"/>
    <s v="HEA"/>
    <s v="EAP"/>
    <m/>
    <m/>
    <s v="DTW"/>
    <s v="GRU"/>
    <s v="GRU"/>
    <s v="N"/>
    <s v="Q3102"/>
    <m/>
    <m/>
    <s v="Failed"/>
    <m/>
    <x v="0"/>
    <m/>
    <m/>
    <m/>
    <m/>
    <m/>
    <m/>
    <m/>
    <m/>
    <n v="2"/>
    <n v="1"/>
    <b v="0"/>
    <b v="0"/>
    <b v="0"/>
    <b v="0"/>
    <b v="0"/>
    <s v="No"/>
    <s v="Yes"/>
  </r>
  <r>
    <d v="2023-11-13T00:00:00"/>
    <x v="291"/>
    <s v="BA"/>
    <s v="05771731656001"/>
    <m/>
    <s v="110.0"/>
    <s v="1"/>
    <s v=".15"/>
    <s v="Y"/>
    <s v="N"/>
    <s v="AF"/>
    <s v="990"/>
    <s v="231115"/>
    <m/>
    <m/>
    <m/>
    <m/>
    <m/>
    <s v="MXP"/>
    <s v="JNB"/>
    <s v="JNB"/>
    <s v="N"/>
    <s v="R4404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92"/>
    <s v="BA"/>
    <s v="05771732861001"/>
    <m/>
    <s v="130.0"/>
    <s v="1"/>
    <s v="1.05"/>
    <s v="Y"/>
    <s v="N"/>
    <s v="AF"/>
    <s v="092"/>
    <s v="231116"/>
    <m/>
    <m/>
    <m/>
    <m/>
    <m/>
    <s v="SWK"/>
    <s v="MIA"/>
    <s v="MIA"/>
    <s v="N"/>
    <s v="M3102"/>
    <m/>
    <m/>
    <s v="Passed"/>
    <m/>
    <x v="5"/>
    <m/>
    <m/>
    <m/>
    <m/>
    <m/>
    <m/>
    <m/>
    <m/>
    <n v="2"/>
    <n v="0.25"/>
    <b v="0"/>
    <b v="0"/>
    <b v="0"/>
    <b v="0"/>
    <b v="0"/>
    <s v="No"/>
    <s v="No"/>
  </r>
  <r>
    <d v="2023-11-13T00:00:00"/>
    <x v="292"/>
    <s v="DA"/>
    <s v="05771732861002"/>
    <m/>
    <s v="130.0"/>
    <s v="1"/>
    <s v="1.06"/>
    <s v="Y"/>
    <s v="N"/>
    <s v="AF"/>
    <s v="092"/>
    <s v="231116"/>
    <m/>
    <m/>
    <m/>
    <m/>
    <m/>
    <s v="SWK"/>
    <s v="MIA"/>
    <s v="MIA"/>
    <s v="N"/>
    <m/>
    <m/>
    <m/>
    <s v="Passed"/>
    <m/>
    <x v="5"/>
    <m/>
    <m/>
    <m/>
    <m/>
    <m/>
    <m/>
    <m/>
    <m/>
    <n v="2"/>
    <n v="0.25"/>
    <b v="0"/>
    <b v="0"/>
    <b v="0"/>
    <b v="0"/>
    <b v="0"/>
    <s v="No"/>
    <s v="No"/>
  </r>
  <r>
    <d v="2023-11-13T00:00:00"/>
    <x v="292"/>
    <s v="FA"/>
    <s v="05771732861003"/>
    <m/>
    <s v="130.0"/>
    <s v="1"/>
    <s v="1.06"/>
    <s v="Y"/>
    <s v="N"/>
    <s v="AF"/>
    <s v="092"/>
    <s v="231116"/>
    <m/>
    <m/>
    <m/>
    <m/>
    <m/>
    <s v="SWK"/>
    <s v="MIA"/>
    <s v="MIA"/>
    <s v="N"/>
    <m/>
    <m/>
    <m/>
    <s v="Passed"/>
    <m/>
    <x v="5"/>
    <m/>
    <m/>
    <m/>
    <m/>
    <m/>
    <m/>
    <m/>
    <m/>
    <n v="2"/>
    <n v="0.25"/>
    <b v="0"/>
    <b v="0"/>
    <b v="0"/>
    <b v="0"/>
    <b v="0"/>
    <s v="No"/>
    <s v="No"/>
  </r>
  <r>
    <d v="2023-11-13T00:00:00"/>
    <x v="292"/>
    <s v="HA"/>
    <s v="05771732861004"/>
    <m/>
    <s v="130.0"/>
    <s v="1"/>
    <s v="1.06"/>
    <s v="Y"/>
    <s v="N"/>
    <s v="AF"/>
    <s v="092"/>
    <s v="231116"/>
    <m/>
    <m/>
    <m/>
    <m/>
    <m/>
    <s v="SWK"/>
    <s v="MIA"/>
    <s v="MIA"/>
    <s v="N"/>
    <s v="N1303"/>
    <m/>
    <m/>
    <s v="Passed"/>
    <m/>
    <x v="5"/>
    <m/>
    <m/>
    <m/>
    <m/>
    <m/>
    <m/>
    <m/>
    <m/>
    <n v="2"/>
    <n v="0.25"/>
    <b v="0"/>
    <b v="0"/>
    <b v="0"/>
    <b v="0"/>
    <b v="0"/>
    <s v="No"/>
    <s v="No"/>
  </r>
  <r>
    <d v="2023-11-13T00:00:00"/>
    <x v="293"/>
    <s v="BA"/>
    <s v="05771750136001"/>
    <m/>
    <s v="111.0"/>
    <s v="1"/>
    <s v="1.65"/>
    <s v="Y"/>
    <s v="N"/>
    <s v="AF"/>
    <s v="460"/>
    <s v="231115"/>
    <s v="EAP"/>
    <m/>
    <m/>
    <m/>
    <m/>
    <s v="SWK"/>
    <s v="GRU"/>
    <s v="GRU"/>
    <s v="N"/>
    <s v="Q4303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94"/>
    <s v="BA"/>
    <s v="05771752656001"/>
    <m/>
    <s v="518.0"/>
    <s v="2"/>
    <s v="1.91"/>
    <s v="Y"/>
    <s v="N"/>
    <s v="AF"/>
    <s v="084"/>
    <s v="231116"/>
    <s v="ECC"/>
    <s v="HEA"/>
    <s v="EAW"/>
    <m/>
    <m/>
    <s v="FLR"/>
    <s v="SFO"/>
    <s v="SFO"/>
    <s v="N"/>
    <s v="HLC023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94"/>
    <s v="DA"/>
    <s v="05771752656002"/>
    <s v="PMC22237KL"/>
    <s v="518.0"/>
    <s v="2"/>
    <s v="1.91"/>
    <s v="Y"/>
    <s v="N"/>
    <s v="AF"/>
    <s v="084"/>
    <s v="231116"/>
    <s v="ECC"/>
    <s v="HEA"/>
    <s v="EAW"/>
    <m/>
    <m/>
    <s v="FLR"/>
    <s v="SFO"/>
    <s v="SFO"/>
    <s v="N"/>
    <s v="B2A-5117"/>
    <s v="ML"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295"/>
    <s v="BA"/>
    <s v="05771754642001"/>
    <s v="PMC22237KL"/>
    <s v="524.0"/>
    <s v="1"/>
    <s v="2.00"/>
    <s v="Y"/>
    <s v="N"/>
    <s v="AF"/>
    <s v="084"/>
    <s v="231116"/>
    <s v="HEA"/>
    <s v="EAW"/>
    <m/>
    <m/>
    <m/>
    <s v="SWK"/>
    <s v="SFO"/>
    <s v="SFO"/>
    <s v="N"/>
    <s v="B2A-5117"/>
    <s v="ML"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95"/>
    <s v="DA"/>
    <s v="05771754642002"/>
    <m/>
    <s v="524.0"/>
    <s v="1"/>
    <s v="1.07"/>
    <s v="Y"/>
    <s v="N"/>
    <s v="AF"/>
    <s v="084"/>
    <s v="231116"/>
    <s v="HEA"/>
    <s v="EAW"/>
    <m/>
    <m/>
    <m/>
    <s v="SWK"/>
    <s v="SFO"/>
    <s v="SFO"/>
    <s v="N"/>
    <s v="N4104"/>
    <m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95"/>
    <s v="FA"/>
    <s v="05771754642003"/>
    <s v="PMC22237KL"/>
    <s v="524.0"/>
    <s v="1"/>
    <s v="2.00"/>
    <s v="Y"/>
    <s v="N"/>
    <s v="AF"/>
    <s v="084"/>
    <s v="231116"/>
    <s v="HEA"/>
    <s v="EAW"/>
    <m/>
    <m/>
    <m/>
    <s v="SWK"/>
    <s v="SFO"/>
    <s v="SFO"/>
    <s v="N"/>
    <s v="B2A-5117"/>
    <s v="ML"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95"/>
    <s v="HA"/>
    <s v="05771754642004"/>
    <s v="PMC22237KL"/>
    <s v="524.0"/>
    <s v="1"/>
    <s v="2.00"/>
    <s v="Y"/>
    <s v="N"/>
    <s v="AF"/>
    <s v="084"/>
    <s v="231116"/>
    <s v="HEA"/>
    <s v="EAW"/>
    <m/>
    <m/>
    <m/>
    <s v="SWK"/>
    <s v="SFO"/>
    <s v="SFO"/>
    <s v="N"/>
    <s v="B2A-5117"/>
    <s v="ML"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95"/>
    <s v="JA"/>
    <s v="05771754642005"/>
    <s v="PMC22237KL"/>
    <s v="524.0"/>
    <s v="1"/>
    <s v="2.00"/>
    <s v="Y"/>
    <s v="N"/>
    <s v="AF"/>
    <s v="084"/>
    <s v="231116"/>
    <s v="HEA"/>
    <s v="EAW"/>
    <m/>
    <m/>
    <m/>
    <s v="SWK"/>
    <s v="SFO"/>
    <s v="SFO"/>
    <s v="N"/>
    <s v="B2A-5117"/>
    <s v="ML"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296"/>
    <s v="BA"/>
    <s v="05771754664001"/>
    <m/>
    <s v="156.0"/>
    <s v="1"/>
    <s v=".17"/>
    <s v="Y"/>
    <s v="N"/>
    <s v="AF"/>
    <s v="6732"/>
    <s v="231115"/>
    <s v="ECC"/>
    <s v="HEA"/>
    <s v="EAP"/>
    <m/>
    <m/>
    <s v="FLR"/>
    <s v="ORD"/>
    <s v="ORD"/>
    <s v="N"/>
    <s v="58009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97"/>
    <s v="BA"/>
    <s v="05771754793001"/>
    <m/>
    <s v="487.0"/>
    <s v="1"/>
    <s v="1.00"/>
    <s v="Y"/>
    <s v="N"/>
    <s v="AF"/>
    <s v="412"/>
    <s v="231115"/>
    <s v="ECP"/>
    <s v="HEA"/>
    <s v="EAP"/>
    <m/>
    <m/>
    <s v="MXP"/>
    <s v="EZE"/>
    <s v="EZE"/>
    <s v="N"/>
    <s v="P3003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298"/>
    <s v="BA"/>
    <s v="05771757722001"/>
    <m/>
    <s v="29.7"/>
    <s v="1"/>
    <s v=".24"/>
    <s v="Y"/>
    <s v="N"/>
    <s v="AF"/>
    <s v="136"/>
    <s v="231115"/>
    <s v="ECC"/>
    <s v="EAW"/>
    <m/>
    <m/>
    <m/>
    <s v="FLR"/>
    <s v="ORD"/>
    <s v="ORD"/>
    <s v="N"/>
    <s v="LO100"/>
    <m/>
    <m/>
    <s v="Failed"/>
    <m/>
    <x v="0"/>
    <m/>
    <m/>
    <m/>
    <m/>
    <m/>
    <m/>
    <m/>
    <m/>
    <n v="2"/>
    <n v="0.14285714285714285"/>
    <b v="0"/>
    <b v="0"/>
    <b v="0"/>
    <b v="0"/>
    <b v="0"/>
    <s v="No"/>
    <s v="No"/>
  </r>
  <r>
    <d v="2023-11-13T00:00:00"/>
    <x v="298"/>
    <s v="DA"/>
    <s v="05771757722002"/>
    <m/>
    <s v="29.7"/>
    <s v="1"/>
    <s v=".24"/>
    <s v="Y"/>
    <s v="N"/>
    <s v="AF"/>
    <s v="136"/>
    <s v="231115"/>
    <s v="ECC"/>
    <s v="EAW"/>
    <m/>
    <m/>
    <m/>
    <s v="FLR"/>
    <s v="ORD"/>
    <s v="ORD"/>
    <s v="N"/>
    <s v="LO100"/>
    <m/>
    <m/>
    <s v="Failed"/>
    <m/>
    <x v="0"/>
    <m/>
    <m/>
    <m/>
    <m/>
    <m/>
    <m/>
    <m/>
    <m/>
    <n v="2"/>
    <n v="0.14285714285714285"/>
    <b v="0"/>
    <b v="0"/>
    <b v="0"/>
    <b v="0"/>
    <b v="0"/>
    <s v="No"/>
    <s v="No"/>
  </r>
  <r>
    <d v="2023-11-13T00:00:00"/>
    <x v="298"/>
    <s v="FA"/>
    <s v="05771757722003"/>
    <m/>
    <s v="297.3"/>
    <s v="10"/>
    <s v="2.39"/>
    <s v="Y"/>
    <s v="N"/>
    <s v="AF"/>
    <s v="136"/>
    <s v="231115"/>
    <s v="ECC"/>
    <s v="EAW"/>
    <m/>
    <m/>
    <m/>
    <s v="FLR"/>
    <s v="ORD"/>
    <s v="ORD"/>
    <s v="N"/>
    <s v="LO100"/>
    <m/>
    <m/>
    <s v="Failed"/>
    <m/>
    <x v="0"/>
    <m/>
    <m/>
    <m/>
    <m/>
    <m/>
    <m/>
    <m/>
    <m/>
    <n v="2"/>
    <n v="0.14285714285714285"/>
    <b v="0"/>
    <b v="0"/>
    <b v="0"/>
    <b v="0"/>
    <b v="0"/>
    <s v="No"/>
    <s v="No"/>
  </r>
  <r>
    <d v="2023-11-13T00:00:00"/>
    <x v="298"/>
    <s v="HA"/>
    <s v="05771757722004"/>
    <m/>
    <s v="475.7"/>
    <s v="16"/>
    <s v="3.82"/>
    <s v="Y"/>
    <s v="N"/>
    <s v="AF"/>
    <s v="136"/>
    <s v="231115"/>
    <s v="ECC"/>
    <s v="EAW"/>
    <m/>
    <m/>
    <m/>
    <s v="FLR"/>
    <s v="ORD"/>
    <s v="ORD"/>
    <s v="N"/>
    <s v="LO100"/>
    <m/>
    <m/>
    <s v="Failed"/>
    <m/>
    <x v="0"/>
    <m/>
    <m/>
    <m/>
    <m/>
    <m/>
    <m/>
    <m/>
    <m/>
    <n v="2"/>
    <n v="0.14285714285714285"/>
    <b v="0"/>
    <b v="0"/>
    <b v="0"/>
    <b v="0"/>
    <b v="0"/>
    <s v="No"/>
    <s v="No"/>
  </r>
  <r>
    <d v="2023-11-13T00:00:00"/>
    <x v="298"/>
    <s v="JA"/>
    <s v="05771757722005"/>
    <m/>
    <s v="59.5"/>
    <s v="2"/>
    <s v=".48"/>
    <s v="Y"/>
    <s v="N"/>
    <s v="AF"/>
    <s v="136"/>
    <s v="231115"/>
    <s v="ECC"/>
    <s v="EAW"/>
    <m/>
    <m/>
    <m/>
    <s v="FLR"/>
    <s v="ORD"/>
    <s v="ORD"/>
    <s v="N"/>
    <s v="LO100"/>
    <m/>
    <m/>
    <s v="Failed"/>
    <m/>
    <x v="0"/>
    <m/>
    <m/>
    <m/>
    <m/>
    <m/>
    <m/>
    <m/>
    <m/>
    <n v="2"/>
    <n v="0.14285714285714285"/>
    <b v="0"/>
    <b v="0"/>
    <b v="0"/>
    <b v="0"/>
    <b v="0"/>
    <s v="No"/>
    <s v="No"/>
  </r>
  <r>
    <d v="2023-11-13T00:00:00"/>
    <x v="298"/>
    <s v="LA"/>
    <s v="05771757722006"/>
    <m/>
    <s v="29.7"/>
    <s v="1"/>
    <s v=".24"/>
    <s v="Y"/>
    <s v="N"/>
    <s v="AF"/>
    <s v="136"/>
    <s v="231115"/>
    <s v="ECC"/>
    <s v="EAW"/>
    <m/>
    <m/>
    <m/>
    <s v="FLR"/>
    <s v="ORD"/>
    <s v="ORD"/>
    <s v="N"/>
    <s v="LO100"/>
    <m/>
    <m/>
    <s v="Failed"/>
    <m/>
    <x v="0"/>
    <m/>
    <m/>
    <m/>
    <m/>
    <m/>
    <m/>
    <m/>
    <m/>
    <n v="2"/>
    <n v="0.14285714285714285"/>
    <b v="0"/>
    <b v="0"/>
    <b v="0"/>
    <b v="0"/>
    <b v="0"/>
    <s v="No"/>
    <s v="No"/>
  </r>
  <r>
    <d v="2023-11-13T00:00:00"/>
    <x v="298"/>
    <m/>
    <s v="05771757722007"/>
    <m/>
    <s v="29.7"/>
    <s v="1"/>
    <s v=".24"/>
    <s v="Y"/>
    <s v="N"/>
    <s v="AF"/>
    <s v="136"/>
    <s v="231115"/>
    <s v="ECC"/>
    <s v="EAW"/>
    <m/>
    <m/>
    <m/>
    <s v="FLR"/>
    <s v="ORD"/>
    <s v="ORD"/>
    <s v="N"/>
    <s v="LO100"/>
    <m/>
    <m/>
    <s v="Failed"/>
    <m/>
    <x v="0"/>
    <m/>
    <m/>
    <m/>
    <m/>
    <m/>
    <m/>
    <m/>
    <m/>
    <n v="2"/>
    <n v="0.14285714285714285"/>
    <b v="0"/>
    <b v="0"/>
    <b v="0"/>
    <b v="0"/>
    <b v="0"/>
    <s v="No"/>
    <s v="No"/>
  </r>
  <r>
    <d v="2023-11-13T00:00:00"/>
    <x v="299"/>
    <s v="BA"/>
    <s v="05771761266001"/>
    <m/>
    <s v="404.4"/>
    <s v="16"/>
    <s v="2.91"/>
    <s v="Y"/>
    <s v="N"/>
    <s v="AF"/>
    <s v="374"/>
    <s v="231116"/>
    <s v="ECC"/>
    <s v="EAW"/>
    <m/>
    <m/>
    <m/>
    <s v="SWK"/>
    <s v="YVR"/>
    <s v="YVR"/>
    <s v="N"/>
    <s v="54105"/>
    <m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299"/>
    <s v="DA"/>
    <s v="05771761266002"/>
    <m/>
    <s v="25.3"/>
    <s v="1"/>
    <s v=".18"/>
    <s v="Y"/>
    <s v="N"/>
    <s v="AF"/>
    <s v="374"/>
    <s v="231116"/>
    <s v="ECC"/>
    <s v="EAW"/>
    <m/>
    <m/>
    <m/>
    <s v="SWK"/>
    <s v="YVR"/>
    <s v="YVR"/>
    <s v="N"/>
    <s v="Y6015"/>
    <m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299"/>
    <s v="FA"/>
    <s v="05771761266003"/>
    <m/>
    <s v="25.3"/>
    <s v="1"/>
    <s v=".18"/>
    <s v="Y"/>
    <s v="N"/>
    <s v="AF"/>
    <s v="374"/>
    <s v="231116"/>
    <s v="ECC"/>
    <s v="EAW"/>
    <m/>
    <m/>
    <m/>
    <s v="SWK"/>
    <s v="YVR"/>
    <s v="YVR"/>
    <s v="N"/>
    <s v="64104"/>
    <m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300"/>
    <s v="BA"/>
    <s v="05771761911001"/>
    <m/>
    <s v="413.0"/>
    <s v="1"/>
    <s v="1.43"/>
    <s v="Y"/>
    <s v="N"/>
    <s v="AF"/>
    <s v="356"/>
    <s v="231115"/>
    <s v="ECC"/>
    <s v="HEA"/>
    <s v="EAP"/>
    <m/>
    <m/>
    <s v="SWK"/>
    <s v="YYZ"/>
    <s v="YYZ"/>
    <s v="N"/>
    <s v="P9001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01"/>
    <s v="BA"/>
    <s v="05771762003001"/>
    <s v="PMC71569AF"/>
    <s v="1074.9"/>
    <s v="1"/>
    <s v="1.66"/>
    <s v="Y"/>
    <s v="N"/>
    <s v="AF"/>
    <s v="084"/>
    <s v="231115"/>
    <s v="HEA"/>
    <m/>
    <m/>
    <m/>
    <m/>
    <s v="SWK"/>
    <s v="SFO"/>
    <s v="SFO"/>
    <s v="N"/>
    <s v="B1C-2527"/>
    <s v="ML"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301"/>
    <s v="DA"/>
    <s v="05771762003002"/>
    <s v="PMC71569AF"/>
    <s v="1074.9"/>
    <s v="1"/>
    <s v="1.67"/>
    <s v="Y"/>
    <s v="N"/>
    <s v="AF"/>
    <s v="084"/>
    <s v="231115"/>
    <s v="HEA"/>
    <m/>
    <m/>
    <m/>
    <m/>
    <s v="SWK"/>
    <s v="SFO"/>
    <s v="SFO"/>
    <s v="N"/>
    <s v="B1C-2527"/>
    <s v="ML"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302"/>
    <s v="BA"/>
    <s v="05771762040001"/>
    <m/>
    <s v="1074.8"/>
    <s v="1"/>
    <s v="1.66"/>
    <s v="Y"/>
    <s v="N"/>
    <s v="AF"/>
    <s v="090"/>
    <s v="231115"/>
    <s v="HEA"/>
    <m/>
    <m/>
    <m/>
    <m/>
    <s v="SWK"/>
    <s v="MIA"/>
    <s v="MIA"/>
    <s v="N"/>
    <s v="50002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03"/>
    <s v="BA"/>
    <s v="05771763661001"/>
    <m/>
    <s v="75.0"/>
    <s v="1"/>
    <s v=".18"/>
    <s v="Y"/>
    <s v="N"/>
    <s v="AF"/>
    <s v="090"/>
    <s v="231115"/>
    <s v="ECC"/>
    <s v="EAP"/>
    <m/>
    <m/>
    <m/>
    <s v="SWK"/>
    <s v="MIA"/>
    <s v="MIA"/>
    <s v="N"/>
    <s v="HLC041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04"/>
    <s v="BA"/>
    <s v="05771763672001"/>
    <m/>
    <s v="113.0"/>
    <s v="1"/>
    <s v=".51"/>
    <s v="Y"/>
    <s v="N"/>
    <s v="AF"/>
    <s v="712"/>
    <s v="231115"/>
    <s v="ECC"/>
    <s v="EAP"/>
    <m/>
    <m/>
    <m/>
    <s v="SWK"/>
    <s v="ABJ"/>
    <s v="ABJ"/>
    <s v="N"/>
    <s v="LLC00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05"/>
    <s v="BA"/>
    <s v="05771765116001"/>
    <m/>
    <s v="279.0"/>
    <s v="1"/>
    <s v="1.02"/>
    <s v="Y"/>
    <s v="N"/>
    <s v="AF"/>
    <s v="682"/>
    <s v="231115"/>
    <s v="HEA"/>
    <s v="EAW"/>
    <m/>
    <m/>
    <m/>
    <s v="SWK"/>
    <s v="ATL"/>
    <s v="ATL"/>
    <s v="N"/>
    <s v="M4101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06"/>
    <s v="BA"/>
    <s v="05771765153001"/>
    <s v="PMC71569AF"/>
    <s v="185.0"/>
    <s v="1"/>
    <s v="1.02"/>
    <s v="Y"/>
    <s v="N"/>
    <s v="AF"/>
    <s v="084"/>
    <s v="231115"/>
    <s v="HEA"/>
    <m/>
    <m/>
    <m/>
    <m/>
    <s v="SWK"/>
    <s v="SFO"/>
    <s v="SFO"/>
    <s v="N"/>
    <s v="B1C-2527"/>
    <s v="ML"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07"/>
    <s v="BA"/>
    <s v="05771766085001"/>
    <m/>
    <s v="239.1"/>
    <s v="1"/>
    <s v="1.27"/>
    <s v="Y"/>
    <s v="N"/>
    <s v="AF"/>
    <s v="6732"/>
    <s v="231115"/>
    <s v="MAG"/>
    <s v="HEA"/>
    <m/>
    <m/>
    <m/>
    <s v="SWK"/>
    <s v="ORD"/>
    <s v="ORD"/>
    <s v="N"/>
    <s v="T7403"/>
    <m/>
    <s v="MAG NO DGR"/>
    <s v="Failed"/>
    <m/>
    <x v="0"/>
    <m/>
    <m/>
    <m/>
    <m/>
    <m/>
    <m/>
    <m/>
    <m/>
    <n v="2"/>
    <n v="0.5"/>
    <s v="Yes"/>
    <b v="0"/>
    <b v="0"/>
    <b v="0"/>
    <b v="0"/>
    <s v="Yes"/>
    <s v="No"/>
  </r>
  <r>
    <d v="2023-11-13T00:00:00"/>
    <x v="307"/>
    <s v="DA"/>
    <s v="05771766085002"/>
    <m/>
    <s v="239.1"/>
    <s v="1"/>
    <s v="1.27"/>
    <s v="Y"/>
    <s v="N"/>
    <s v="AF"/>
    <s v="6732"/>
    <s v="231115"/>
    <s v="MAG"/>
    <s v="HEA"/>
    <m/>
    <m/>
    <m/>
    <s v="SWK"/>
    <s v="ORD"/>
    <s v="ORD"/>
    <s v="N"/>
    <s v="T4204"/>
    <m/>
    <s v="MAG NO DGR"/>
    <s v="Failed"/>
    <m/>
    <x v="0"/>
    <m/>
    <m/>
    <m/>
    <m/>
    <m/>
    <m/>
    <m/>
    <m/>
    <n v="2"/>
    <n v="0.5"/>
    <s v="Yes"/>
    <b v="0"/>
    <b v="0"/>
    <b v="0"/>
    <b v="0"/>
    <s v="Yes"/>
    <s v="No"/>
  </r>
  <r>
    <d v="2023-11-13T00:00:00"/>
    <x v="308"/>
    <s v="BA"/>
    <s v="05771766811001"/>
    <m/>
    <s v="40.7"/>
    <s v="2"/>
    <s v=".21"/>
    <s v="Y"/>
    <s v="N"/>
    <s v="AF"/>
    <s v="670"/>
    <s v="231115"/>
    <s v="ECP"/>
    <s v="EAP"/>
    <m/>
    <m/>
    <m/>
    <s v="SWK"/>
    <s v="JIB"/>
    <s v="JIB"/>
    <s v="N"/>
    <s v="52309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309"/>
    <s v="BA"/>
    <s v="05771766866001"/>
    <m/>
    <s v="484.0"/>
    <s v="2"/>
    <s v=".73"/>
    <s v="Y"/>
    <s v="N"/>
    <s v="AF"/>
    <s v="682"/>
    <s v="231115"/>
    <s v="ECC"/>
    <s v="HEA"/>
    <s v="EAP"/>
    <m/>
    <m/>
    <s v="SWK"/>
    <s v="ATL"/>
    <s v="ATL"/>
    <s v="N"/>
    <s v="49010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10"/>
    <s v="BA"/>
    <s v="05771766892001"/>
    <m/>
    <s v="397.8"/>
    <s v="1"/>
    <s v="1.04"/>
    <s v="Y"/>
    <s v="N"/>
    <s v="AF"/>
    <s v="990"/>
    <s v="231115"/>
    <s v="ECC"/>
    <s v="HEA"/>
    <s v="EAP"/>
    <m/>
    <m/>
    <s v="SWK"/>
    <s v="JNB"/>
    <s v="JNB"/>
    <s v="N"/>
    <s v="60004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11"/>
    <s v="BA"/>
    <s v="05771768793001"/>
    <m/>
    <s v="166.0"/>
    <s v="2"/>
    <s v=".55"/>
    <s v="Y"/>
    <s v="N"/>
    <s v="AF"/>
    <s v="6762"/>
    <s v="231115"/>
    <m/>
    <m/>
    <m/>
    <m/>
    <m/>
    <s v="SWK"/>
    <s v="IST"/>
    <s v="IST"/>
    <s v="N"/>
    <s v="52407"/>
    <m/>
    <m/>
    <s v="Passed"/>
    <m/>
    <x v="5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311"/>
    <s v="DA"/>
    <s v="05771768793002"/>
    <m/>
    <s v="83.0"/>
    <s v="1"/>
    <s v=".28"/>
    <s v="Y"/>
    <s v="N"/>
    <s v="AF"/>
    <s v="6762"/>
    <s v="231115"/>
    <m/>
    <m/>
    <m/>
    <m/>
    <m/>
    <s v="SWK"/>
    <s v="IST"/>
    <s v="IST"/>
    <s v="N"/>
    <s v="51310"/>
    <m/>
    <m/>
    <s v="Passed"/>
    <m/>
    <x v="5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311"/>
    <s v="FA"/>
    <s v="05771768793003"/>
    <m/>
    <s v="83.0"/>
    <s v="1"/>
    <s v=".28"/>
    <s v="Y"/>
    <s v="N"/>
    <s v="AF"/>
    <s v="6762"/>
    <s v="231115"/>
    <m/>
    <m/>
    <m/>
    <m/>
    <m/>
    <s v="SWK"/>
    <s v="IST"/>
    <s v="IST"/>
    <s v="N"/>
    <s v="49009"/>
    <m/>
    <m/>
    <s v="Passed"/>
    <m/>
    <x v="5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312"/>
    <s v="BA"/>
    <s v="05771771490001"/>
    <m/>
    <s v="68.0"/>
    <s v="1"/>
    <s v="1.31"/>
    <s v="Y"/>
    <s v="N"/>
    <s v="AF"/>
    <s v="090"/>
    <s v="231115"/>
    <s v="ECC"/>
    <s v="EAP"/>
    <m/>
    <m/>
    <m/>
    <s v="SWK"/>
    <s v="MIA"/>
    <s v="MIA"/>
    <s v="N"/>
    <s v="N3403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13"/>
    <s v="DA"/>
    <s v="05771889193002"/>
    <m/>
    <s v="73.0"/>
    <s v="1"/>
    <s v=".20"/>
    <s v="Y"/>
    <s v="N"/>
    <s v="AF"/>
    <s v="990"/>
    <s v="231115"/>
    <s v="ECC"/>
    <s v="EAW"/>
    <m/>
    <m/>
    <m/>
    <s v="DFW"/>
    <s v="JNB"/>
    <s v="JNB"/>
    <s v="N"/>
    <s v="R6101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14"/>
    <s v="BA"/>
    <s v="05771889720001"/>
    <m/>
    <s v="103.0"/>
    <s v="1"/>
    <s v=".90"/>
    <s v="Y"/>
    <s v="N"/>
    <s v="AF"/>
    <s v="658M"/>
    <s v="231115"/>
    <s v="CRT"/>
    <s v="PIL"/>
    <s v="ECC"/>
    <s v="EAP"/>
    <s v="EAW"/>
    <s v="ORD"/>
    <s v="BCN"/>
    <s v="BCN"/>
    <s v="N"/>
    <s v="C1104"/>
    <m/>
    <m/>
    <s v="Passed"/>
    <m/>
    <x v="5"/>
    <m/>
    <m/>
    <m/>
    <m/>
    <m/>
    <m/>
    <m/>
    <m/>
    <n v="2"/>
    <n v="1"/>
    <b v="0"/>
    <b v="0"/>
    <b v="0"/>
    <b v="0"/>
    <b v="0"/>
    <s v="No"/>
    <s v="Yes"/>
  </r>
  <r>
    <d v="2023-11-13T00:00:00"/>
    <x v="315"/>
    <s v="BA"/>
    <s v="05771895143001"/>
    <m/>
    <s v="134.7"/>
    <s v="1"/>
    <s v="3.18"/>
    <s v="Y"/>
    <s v="N"/>
    <s v="AF"/>
    <s v="990"/>
    <s v="231115"/>
    <s v="ECC"/>
    <s v="EAW"/>
    <m/>
    <m/>
    <m/>
    <s v="BOS"/>
    <s v="JNB"/>
    <s v="JNB"/>
    <s v="N"/>
    <s v="LO100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315"/>
    <s v="DA"/>
    <s v="05771895143002"/>
    <m/>
    <s v="134.7"/>
    <s v="1"/>
    <s v="3.18"/>
    <s v="Y"/>
    <s v="N"/>
    <s v="AF"/>
    <s v="990"/>
    <s v="231115"/>
    <s v="ECC"/>
    <s v="EAW"/>
    <m/>
    <m/>
    <m/>
    <s v="BOS"/>
    <s v="JNB"/>
    <s v="JNB"/>
    <s v="N"/>
    <s v="LO100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315"/>
    <s v="FA"/>
    <s v="05771895143003"/>
    <m/>
    <s v="134.7"/>
    <s v="1"/>
    <s v="3.18"/>
    <s v="Y"/>
    <s v="N"/>
    <s v="AF"/>
    <s v="990"/>
    <s v="231115"/>
    <s v="ECC"/>
    <s v="EAW"/>
    <m/>
    <m/>
    <m/>
    <s v="BOS"/>
    <s v="JNB"/>
    <s v="JNB"/>
    <s v="N"/>
    <s v="LO100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315"/>
    <s v="HA"/>
    <s v="05771895143004"/>
    <m/>
    <s v="134.7"/>
    <s v="1"/>
    <s v="3.18"/>
    <s v="Y"/>
    <s v="N"/>
    <s v="AF"/>
    <s v="990"/>
    <s v="231115"/>
    <s v="ECC"/>
    <s v="EAW"/>
    <m/>
    <m/>
    <m/>
    <s v="BOS"/>
    <s v="JNB"/>
    <s v="JNB"/>
    <s v="N"/>
    <s v="LO100"/>
    <m/>
    <m/>
    <s v="Failed"/>
    <m/>
    <x v="0"/>
    <m/>
    <m/>
    <m/>
    <m/>
    <m/>
    <m/>
    <m/>
    <m/>
    <n v="2"/>
    <n v="0.25"/>
    <b v="0"/>
    <b v="0"/>
    <b v="0"/>
    <b v="0"/>
    <b v="0"/>
    <s v="No"/>
    <s v="No"/>
  </r>
  <r>
    <d v="2023-11-13T00:00:00"/>
    <x v="316"/>
    <s v="BA"/>
    <s v="05774576143001"/>
    <s v="PMC33071KL"/>
    <s v="1792.0"/>
    <s v="3"/>
    <s v="4.10"/>
    <s v="Y"/>
    <s v="N"/>
    <s v="AF"/>
    <s v="178"/>
    <s v="231115"/>
    <s v="HEA"/>
    <s v="EAP"/>
    <m/>
    <m/>
    <m/>
    <s v="FRA"/>
    <s v="MEX"/>
    <s v="MEX"/>
    <s v="N"/>
    <s v="B1A-3230"/>
    <s v="ML"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17"/>
    <s v="BA"/>
    <s v="05795591182001"/>
    <m/>
    <s v="95.0"/>
    <s v="1"/>
    <s v=".96"/>
    <s v="Y"/>
    <s v="N"/>
    <s v="AF"/>
    <s v="474"/>
    <s v="231115"/>
    <s v="ECP"/>
    <s v="OHG"/>
    <m/>
    <m/>
    <m/>
    <s v="LHR"/>
    <s v="PTY"/>
    <s v="PTY"/>
    <s v="N"/>
    <s v="LLC00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18"/>
    <s v="DA"/>
    <s v="05797567875002"/>
    <m/>
    <s v="304.7"/>
    <s v="1"/>
    <s v="4.80"/>
    <s v="Y"/>
    <s v="N"/>
    <s v="AF"/>
    <s v="178"/>
    <s v="231115"/>
    <s v="MAG"/>
    <s v="ECC"/>
    <s v="HEA"/>
    <s v="ULD"/>
    <m/>
    <s v="SOF"/>
    <s v="MEX"/>
    <s v="MEX"/>
    <s v="N"/>
    <s v="52007"/>
    <m/>
    <s v="MAG NO DGR"/>
    <s v="Passed"/>
    <m/>
    <x v="5"/>
    <m/>
    <m/>
    <m/>
    <m/>
    <m/>
    <m/>
    <m/>
    <m/>
    <n v="2"/>
    <n v="0.33333333333333331"/>
    <s v="Yes"/>
    <b v="0"/>
    <b v="0"/>
    <b v="0"/>
    <b v="0"/>
    <s v="Yes"/>
    <s v="No"/>
  </r>
  <r>
    <d v="2023-11-13T00:00:00"/>
    <x v="318"/>
    <s v="FA"/>
    <s v="05797567875003"/>
    <m/>
    <s v="304.7"/>
    <s v="1"/>
    <s v="4.80"/>
    <s v="Y"/>
    <s v="N"/>
    <s v="AF"/>
    <s v="178"/>
    <s v="231115"/>
    <s v="MAG"/>
    <s v="ECC"/>
    <s v="HEA"/>
    <s v="ULD"/>
    <m/>
    <s v="SOF"/>
    <s v="MEX"/>
    <s v="MEX"/>
    <s v="N"/>
    <s v="XLC00"/>
    <m/>
    <s v="MAG NO DGR"/>
    <s v="Passed"/>
    <m/>
    <x v="5"/>
    <m/>
    <m/>
    <m/>
    <m/>
    <m/>
    <m/>
    <m/>
    <m/>
    <n v="2"/>
    <n v="0.33333333333333331"/>
    <s v="Yes"/>
    <b v="0"/>
    <b v="0"/>
    <b v="0"/>
    <b v="0"/>
    <s v="Yes"/>
    <s v="No"/>
  </r>
  <r>
    <d v="2023-11-13T00:00:00"/>
    <x v="318"/>
    <s v="HA"/>
    <s v="05797567875004"/>
    <m/>
    <s v="304.7"/>
    <s v="1"/>
    <s v="4.80"/>
    <s v="Y"/>
    <s v="N"/>
    <s v="AF"/>
    <s v="178"/>
    <s v="231115"/>
    <s v="MAG"/>
    <s v="ECC"/>
    <s v="HEA"/>
    <s v="ULD"/>
    <m/>
    <s v="SOF"/>
    <s v="MEX"/>
    <s v="MEX"/>
    <s v="N"/>
    <s v="P8301"/>
    <m/>
    <s v="MAG NO DGR"/>
    <s v="Passed"/>
    <m/>
    <x v="5"/>
    <m/>
    <m/>
    <m/>
    <m/>
    <m/>
    <m/>
    <m/>
    <m/>
    <n v="2"/>
    <n v="0.33333333333333331"/>
    <s v="Yes"/>
    <b v="0"/>
    <b v="0"/>
    <b v="0"/>
    <b v="0"/>
    <s v="Yes"/>
    <s v="No"/>
  </r>
  <r>
    <d v="2023-11-13T00:00:00"/>
    <x v="319"/>
    <s v="BA"/>
    <s v="05797568914001"/>
    <s v="PMC02308DL"/>
    <s v="1561.0"/>
    <s v="4"/>
    <s v="10.00"/>
    <s v="Y"/>
    <s v="N"/>
    <s v="AF"/>
    <s v="6734"/>
    <s v="231117"/>
    <s v="ECC"/>
    <s v="HEA"/>
    <s v="OHG"/>
    <s v="EAW"/>
    <m/>
    <s v="LCJ"/>
    <s v="ORD"/>
    <s v="ORD"/>
    <s v="N"/>
    <s v="H20-2038"/>
    <s v="MJ"/>
    <m/>
    <s v="Passed"/>
    <m/>
    <x v="5"/>
    <m/>
    <m/>
    <m/>
    <m/>
    <m/>
    <m/>
    <m/>
    <m/>
    <n v="2"/>
    <n v="0.25"/>
    <b v="0"/>
    <b v="0"/>
    <b v="0"/>
    <b v="0"/>
    <b v="0"/>
    <s v="No"/>
    <s v="Yes"/>
  </r>
  <r>
    <d v="2023-11-13T00:00:00"/>
    <x v="319"/>
    <s v="DA"/>
    <s v="05797568914002"/>
    <s v="PMC02781DL"/>
    <s v="2980.0"/>
    <s v="2"/>
    <s v="10.00"/>
    <s v="Y"/>
    <s v="N"/>
    <s v="AF"/>
    <s v="6734"/>
    <s v="231117"/>
    <s v="ECC"/>
    <s v="HEA"/>
    <s v="OHG"/>
    <s v="EAW"/>
    <m/>
    <s v="LCJ"/>
    <s v="ORD"/>
    <s v="ORD"/>
    <s v="N"/>
    <s v="NCX-4529"/>
    <s v="MJ"/>
    <m/>
    <s v="Passed"/>
    <m/>
    <x v="5"/>
    <m/>
    <m/>
    <m/>
    <m/>
    <m/>
    <m/>
    <m/>
    <m/>
    <n v="2"/>
    <n v="0.25"/>
    <b v="0"/>
    <b v="0"/>
    <b v="0"/>
    <b v="0"/>
    <b v="0"/>
    <s v="No"/>
    <s v="Yes"/>
  </r>
  <r>
    <d v="2023-11-13T00:00:00"/>
    <x v="319"/>
    <s v="FA"/>
    <s v="05797568914003"/>
    <s v="PMC03401DL"/>
    <s v="1669.0"/>
    <s v="1"/>
    <s v="10.00"/>
    <s v="Y"/>
    <s v="N"/>
    <s v="AF"/>
    <s v="6734"/>
    <s v="231117"/>
    <s v="ECC"/>
    <s v="HEA"/>
    <s v="OHG"/>
    <s v="EAW"/>
    <m/>
    <s v="LCJ"/>
    <s v="ORD"/>
    <s v="ORD"/>
    <s v="N"/>
    <s v="NCX-4513"/>
    <s v="MJ"/>
    <m/>
    <s v="Passed"/>
    <m/>
    <x v="5"/>
    <m/>
    <m/>
    <m/>
    <m/>
    <m/>
    <m/>
    <m/>
    <m/>
    <n v="2"/>
    <n v="0.25"/>
    <b v="0"/>
    <b v="0"/>
    <b v="0"/>
    <b v="0"/>
    <b v="0"/>
    <s v="No"/>
    <s v="Yes"/>
  </r>
  <r>
    <d v="2023-11-13T00:00:00"/>
    <x v="319"/>
    <s v="HA"/>
    <s v="05797568914004"/>
    <s v="PMC98490DL"/>
    <s v="520.0"/>
    <s v="2"/>
    <s v="10.00"/>
    <s v="Y"/>
    <s v="N"/>
    <s v="AF"/>
    <s v="6734"/>
    <s v="231117"/>
    <s v="ECC"/>
    <s v="HEA"/>
    <s v="OHG"/>
    <s v="EAW"/>
    <m/>
    <s v="LCJ"/>
    <s v="ORD"/>
    <s v="ORD"/>
    <s v="N"/>
    <s v="NCX-4537"/>
    <s v="MJ"/>
    <m/>
    <s v="Passed"/>
    <m/>
    <x v="5"/>
    <m/>
    <m/>
    <m/>
    <m/>
    <m/>
    <m/>
    <m/>
    <m/>
    <n v="2"/>
    <n v="0.25"/>
    <b v="0"/>
    <b v="0"/>
    <b v="0"/>
    <b v="0"/>
    <b v="0"/>
    <s v="No"/>
    <s v="Yes"/>
  </r>
  <r>
    <d v="2023-11-13T00:00:00"/>
    <x v="320"/>
    <s v="BA"/>
    <s v="05797569065001"/>
    <m/>
    <s v="106.0"/>
    <s v="1"/>
    <s v=".33"/>
    <s v="Y"/>
    <s v="N"/>
    <s v="AF"/>
    <s v="932"/>
    <s v="231115"/>
    <s v="ELI"/>
    <s v="ECP"/>
    <m/>
    <m/>
    <m/>
    <s v="KRK"/>
    <s v="ACC"/>
    <s v="ACC"/>
    <s v="N"/>
    <s v="Y6306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21"/>
    <s v="BA"/>
    <s v="05797569102001"/>
    <m/>
    <s v="150.0"/>
    <s v="1"/>
    <s v="1.55"/>
    <s v="Y"/>
    <s v="N"/>
    <s v="AF"/>
    <s v="6732"/>
    <s v="231115"/>
    <s v="ECC"/>
    <s v="HEA"/>
    <s v="EAW"/>
    <m/>
    <m/>
    <s v="GRZ"/>
    <s v="ORD"/>
    <s v="ORD"/>
    <s v="N"/>
    <s v="XLC00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22"/>
    <s v="BA"/>
    <s v="05797569183001"/>
    <s v="PMC98956DL"/>
    <s v="214.7"/>
    <s v="6"/>
    <s v="5.81"/>
    <s v="Y"/>
    <s v="N"/>
    <s v="AF"/>
    <s v="072"/>
    <s v="231116"/>
    <s v="EAW"/>
    <m/>
    <m/>
    <m/>
    <m/>
    <s v="FRA"/>
    <s v="LAX"/>
    <s v="LAX"/>
    <s v="N"/>
    <s v="B2B-4141"/>
    <s v="ML"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322"/>
    <s v="DA"/>
    <s v="05797569183002"/>
    <s v="PMC04154DL"/>
    <s v="214.7"/>
    <s v="6"/>
    <s v="5.81"/>
    <s v="Y"/>
    <s v="N"/>
    <s v="AF"/>
    <s v="072"/>
    <s v="231116"/>
    <s v="EAW"/>
    <m/>
    <m/>
    <m/>
    <m/>
    <s v="FRA"/>
    <s v="LAX"/>
    <s v="LAX"/>
    <s v="N"/>
    <s v="B2A-5039"/>
    <s v="ML"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322"/>
    <s v="FA"/>
    <s v="05797569183003"/>
    <s v="PMC00105DL"/>
    <s v="214.7"/>
    <s v="6"/>
    <s v="5.81"/>
    <s v="Y"/>
    <s v="N"/>
    <s v="AF"/>
    <s v="072"/>
    <s v="231116"/>
    <s v="EAW"/>
    <m/>
    <m/>
    <m/>
    <m/>
    <s v="FRA"/>
    <s v="LAX"/>
    <s v="LAX"/>
    <s v="N"/>
    <s v="B1A-3439"/>
    <s v="ML"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323"/>
    <s v="BA"/>
    <s v="07400873073001"/>
    <m/>
    <s v="164.0"/>
    <s v="1"/>
    <s v="1.86"/>
    <s v="Y"/>
    <s v="N"/>
    <s v="AF"/>
    <s v="008"/>
    <s v="231115"/>
    <s v="ECC"/>
    <s v="HEA"/>
    <m/>
    <m/>
    <m/>
    <s v="LCJ"/>
    <s v="JFK"/>
    <s v="JFK"/>
    <s v="N"/>
    <s v="LO000"/>
    <m/>
    <m/>
    <s v="Failed"/>
    <m/>
    <x v="0"/>
    <m/>
    <m/>
    <m/>
    <m/>
    <m/>
    <m/>
    <m/>
    <m/>
    <n v="2"/>
    <n v="0.25"/>
    <b v="0"/>
    <b v="0"/>
    <b v="0"/>
    <b v="0"/>
    <b v="0"/>
    <s v="No"/>
    <s v="Yes"/>
  </r>
  <r>
    <d v="2023-11-13T00:00:00"/>
    <x v="323"/>
    <s v="DA"/>
    <s v="07400873073002"/>
    <m/>
    <s v="164.0"/>
    <s v="1"/>
    <s v="1.87"/>
    <s v="Y"/>
    <s v="N"/>
    <s v="AF"/>
    <s v="008"/>
    <s v="231115"/>
    <s v="ECC"/>
    <s v="HEA"/>
    <m/>
    <m/>
    <m/>
    <s v="LCJ"/>
    <s v="JFK"/>
    <s v="JFK"/>
    <s v="N"/>
    <s v="LO000"/>
    <m/>
    <m/>
    <s v="Failed"/>
    <m/>
    <x v="0"/>
    <m/>
    <m/>
    <m/>
    <m/>
    <m/>
    <m/>
    <m/>
    <m/>
    <n v="2"/>
    <n v="0.25"/>
    <b v="0"/>
    <b v="0"/>
    <b v="0"/>
    <b v="0"/>
    <b v="0"/>
    <s v="No"/>
    <s v="Yes"/>
  </r>
  <r>
    <d v="2023-11-13T00:00:00"/>
    <x v="323"/>
    <s v="FA"/>
    <s v="07400873073003"/>
    <m/>
    <s v="164.0"/>
    <s v="1"/>
    <s v="1.87"/>
    <s v="Y"/>
    <s v="N"/>
    <s v="AF"/>
    <s v="008"/>
    <s v="231115"/>
    <s v="ECC"/>
    <s v="HEA"/>
    <m/>
    <m/>
    <m/>
    <s v="LCJ"/>
    <s v="JFK"/>
    <s v="JFK"/>
    <s v="N"/>
    <s v="LO000"/>
    <m/>
    <m/>
    <s v="Failed"/>
    <m/>
    <x v="0"/>
    <m/>
    <m/>
    <m/>
    <m/>
    <m/>
    <m/>
    <m/>
    <m/>
    <n v="2"/>
    <n v="0.25"/>
    <b v="0"/>
    <b v="0"/>
    <b v="0"/>
    <b v="0"/>
    <b v="0"/>
    <s v="No"/>
    <s v="Yes"/>
  </r>
  <r>
    <d v="2023-11-13T00:00:00"/>
    <x v="323"/>
    <s v="HA"/>
    <s v="07400873073004"/>
    <m/>
    <s v="164.0"/>
    <s v="1"/>
    <s v="1.87"/>
    <s v="Y"/>
    <s v="N"/>
    <s v="AF"/>
    <s v="008"/>
    <s v="231115"/>
    <s v="ECC"/>
    <s v="HEA"/>
    <m/>
    <m/>
    <m/>
    <s v="LCJ"/>
    <s v="JFK"/>
    <s v="JFK"/>
    <s v="N"/>
    <s v="LO000"/>
    <m/>
    <m/>
    <s v="Failed"/>
    <m/>
    <x v="0"/>
    <m/>
    <m/>
    <m/>
    <m/>
    <m/>
    <m/>
    <m/>
    <m/>
    <n v="2"/>
    <n v="0.25"/>
    <b v="0"/>
    <b v="0"/>
    <b v="0"/>
    <b v="0"/>
    <b v="0"/>
    <s v="No"/>
    <s v="Yes"/>
  </r>
  <r>
    <d v="2023-11-13T00:00:00"/>
    <x v="324"/>
    <s v="BA"/>
    <s v="07458883193001"/>
    <m/>
    <s v="4.5"/>
    <s v="1"/>
    <s v=".02"/>
    <s v="Y"/>
    <s v="N"/>
    <s v="AF"/>
    <s v="768"/>
    <s v="231115"/>
    <s v="ELM"/>
    <s v="ECP"/>
    <s v="XPH"/>
    <s v="EAP"/>
    <m/>
    <s v="HKG"/>
    <s v="NKC"/>
    <s v="NKC"/>
    <s v="N"/>
    <s v="Q7000"/>
    <m/>
    <m/>
    <s v="Passed"/>
    <m/>
    <x v="5"/>
    <m/>
    <m/>
    <m/>
    <m/>
    <m/>
    <m/>
    <m/>
    <m/>
    <n v="2"/>
    <n v="0.5"/>
    <b v="0"/>
    <b v="0"/>
    <b v="0"/>
    <b v="0"/>
    <b v="0"/>
    <s v="No"/>
    <s v="No"/>
  </r>
  <r>
    <d v="2023-11-13T00:00:00"/>
    <x v="324"/>
    <s v="DA"/>
    <s v="07458883193002"/>
    <m/>
    <s v="4.5"/>
    <s v="1"/>
    <s v=".02"/>
    <s v="Y"/>
    <s v="N"/>
    <s v="AF"/>
    <s v="768"/>
    <s v="231115"/>
    <s v="XPH"/>
    <m/>
    <m/>
    <m/>
    <m/>
    <s v="HKG"/>
    <s v="NKC"/>
    <s v="NKC"/>
    <s v="N"/>
    <s v="Q7000"/>
    <m/>
    <m/>
    <s v="Passed"/>
    <m/>
    <x v="5"/>
    <m/>
    <m/>
    <m/>
    <m/>
    <m/>
    <m/>
    <m/>
    <m/>
    <n v="2"/>
    <n v="0.5"/>
    <b v="0"/>
    <b v="0"/>
    <b v="0"/>
    <b v="0"/>
    <b v="0"/>
    <s v="No"/>
    <s v="No"/>
  </r>
  <r>
    <d v="2023-11-13T00:00:00"/>
    <x v="325"/>
    <s v="FA"/>
    <s v="07460511776003"/>
    <m/>
    <s v="380.5"/>
    <s v="12"/>
    <s v="1.26"/>
    <s v="Y"/>
    <s v="N"/>
    <s v="AF"/>
    <s v="404"/>
    <s v="231115"/>
    <s v="ECC"/>
    <s v="EAP"/>
    <m/>
    <m/>
    <m/>
    <s v="PVG"/>
    <s v="FOR"/>
    <s v="FOR"/>
    <s v="N"/>
    <s v="62309"/>
    <m/>
    <m/>
    <s v="Failed"/>
    <m/>
    <x v="0"/>
    <m/>
    <m/>
    <m/>
    <m/>
    <m/>
    <m/>
    <m/>
    <m/>
    <n v="2"/>
    <n v="0.33333333333333331"/>
    <b v="0"/>
    <b v="0"/>
    <b v="0"/>
    <b v="0"/>
    <b v="0"/>
    <s v="No"/>
    <s v="No"/>
  </r>
  <r>
    <d v="2023-11-13T00:00:00"/>
    <x v="326"/>
    <s v="BA"/>
    <s v="07461109565001"/>
    <s v="PMC63130AF"/>
    <s v="1262.4"/>
    <s v="4"/>
    <s v="5.32"/>
    <s v="Y"/>
    <s v="N"/>
    <s v="AF"/>
    <s v="718"/>
    <s v="231115"/>
    <s v="ECC"/>
    <s v="HEA"/>
    <s v="EAP"/>
    <m/>
    <m/>
    <s v="SIN"/>
    <s v="DSS"/>
    <s v="DSS"/>
    <s v="N"/>
    <s v="B1C-2427"/>
    <s v="ML"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327"/>
    <s v="BA"/>
    <s v="07461241670001"/>
    <m/>
    <s v="1560.0"/>
    <s v="1"/>
    <s v="8.51"/>
    <s v="Y"/>
    <s v="N"/>
    <s v="AF"/>
    <s v="6730"/>
    <s v="231116"/>
    <s v="NCC"/>
    <s v="HEA"/>
    <s v="OHG"/>
    <m/>
    <m/>
    <s v="STR"/>
    <s v="ORD"/>
    <s v="ORD"/>
    <s v="N"/>
    <s v="XLC30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28"/>
    <s v="BA"/>
    <s v="07461506944001"/>
    <s v="PAG15705KL"/>
    <s v="1578.0"/>
    <s v="4"/>
    <s v="4.58"/>
    <s v="Y"/>
    <s v="N"/>
    <s v="AF"/>
    <s v="702"/>
    <s v="231115"/>
    <s v="ERT"/>
    <s v="PIL"/>
    <s v="ECC"/>
    <s v="HEA"/>
    <s v="EAP"/>
    <s v="BOM"/>
    <s v="ABJ"/>
    <s v="ABJ"/>
    <s v="N"/>
    <s v="B2C-6026"/>
    <s v="AL"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329"/>
    <s v="BA"/>
    <s v="07461859173001"/>
    <m/>
    <s v="885.0"/>
    <s v="1"/>
    <s v="2.23"/>
    <s v="Y"/>
    <s v="N"/>
    <s v="AF"/>
    <s v="178"/>
    <s v="231115"/>
    <s v="HEA"/>
    <m/>
    <m/>
    <m/>
    <m/>
    <s v="KIX"/>
    <s v="MEX"/>
    <s v="MEX"/>
    <s v="N"/>
    <s v="XLC20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329"/>
    <s v="DA"/>
    <s v="07461859173002"/>
    <m/>
    <s v="885.0"/>
    <s v="1"/>
    <s v="2.24"/>
    <s v="Y"/>
    <s v="N"/>
    <s v="AF"/>
    <s v="178"/>
    <s v="231115"/>
    <s v="HEA"/>
    <m/>
    <m/>
    <m/>
    <m/>
    <s v="KIX"/>
    <s v="MEX"/>
    <s v="MEX"/>
    <s v="N"/>
    <s v="XLC20"/>
    <m/>
    <m/>
    <s v="Failed"/>
    <m/>
    <x v="0"/>
    <m/>
    <m/>
    <m/>
    <m/>
    <m/>
    <m/>
    <m/>
    <m/>
    <n v="2"/>
    <n v="0.5"/>
    <b v="0"/>
    <b v="0"/>
    <b v="0"/>
    <b v="0"/>
    <b v="0"/>
    <s v="No"/>
    <s v="No"/>
  </r>
  <r>
    <d v="2023-11-13T00:00:00"/>
    <x v="330"/>
    <s v="BA"/>
    <s v="07462295914001"/>
    <m/>
    <s v="1157.3"/>
    <s v="1"/>
    <s v="1.00"/>
    <s v="Y"/>
    <s v="N"/>
    <s v="AF"/>
    <s v="682"/>
    <s v="231116"/>
    <s v="BIG"/>
    <s v="HEA"/>
    <s v="EAW"/>
    <m/>
    <m/>
    <s v="SWK"/>
    <s v="ATL"/>
    <s v="ATL"/>
    <s v="N"/>
    <s v="Y6001"/>
    <m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330"/>
    <s v="FA"/>
    <s v="07462295914003"/>
    <m/>
    <s v="1168.0"/>
    <s v="1"/>
    <s v="1.00"/>
    <s v="Y"/>
    <s v="N"/>
    <s v="AF"/>
    <s v="682"/>
    <s v="231116"/>
    <s v="BIG"/>
    <s v="HEA"/>
    <s v="EAW"/>
    <m/>
    <m/>
    <s v="SWK"/>
    <s v="ATL"/>
    <s v="ATL"/>
    <s v="N"/>
    <s v="60002"/>
    <m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330"/>
    <s v="HA"/>
    <s v="07462295914004"/>
    <m/>
    <s v="1157.3"/>
    <s v="1"/>
    <s v="1.00"/>
    <s v="Y"/>
    <s v="N"/>
    <s v="AF"/>
    <s v="682"/>
    <s v="231116"/>
    <s v="BIG"/>
    <s v="HEA"/>
    <s v="EAW"/>
    <m/>
    <m/>
    <s v="SWK"/>
    <s v="ATL"/>
    <s v="ATL"/>
    <s v="N"/>
    <s v="Y6007"/>
    <m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330"/>
    <s v="JA"/>
    <s v="07462295914005"/>
    <m/>
    <s v="1157.3"/>
    <s v="1"/>
    <s v="1.00"/>
    <s v="Y"/>
    <s v="N"/>
    <s v="AF"/>
    <s v="682"/>
    <s v="231116"/>
    <s v="BIG"/>
    <s v="HEA"/>
    <s v="EAW"/>
    <m/>
    <m/>
    <s v="SWK"/>
    <s v="ATL"/>
    <s v="ATL"/>
    <s v="N"/>
    <s v="Y6003"/>
    <m/>
    <m/>
    <s v="Failed"/>
    <m/>
    <x v="0"/>
    <m/>
    <m/>
    <m/>
    <m/>
    <m/>
    <m/>
    <m/>
    <m/>
    <n v="2"/>
    <n v="0.2"/>
    <b v="0"/>
    <b v="0"/>
    <b v="0"/>
    <b v="0"/>
    <b v="0"/>
    <s v="No"/>
    <s v="No"/>
  </r>
  <r>
    <d v="2023-11-13T00:00:00"/>
    <x v="331"/>
    <s v="BA"/>
    <s v="07462356512001"/>
    <m/>
    <s v="117.3"/>
    <s v="4"/>
    <s v="1.06"/>
    <s v="Y"/>
    <s v="N"/>
    <s v="AF"/>
    <s v="822"/>
    <s v="231117"/>
    <s v="EAP"/>
    <m/>
    <m/>
    <m/>
    <m/>
    <s v="DXB"/>
    <s v="SSG"/>
    <s v="SSG"/>
    <s v="N"/>
    <s v="62101"/>
    <m/>
    <m/>
    <s v="Passed"/>
    <m/>
    <x v="5"/>
    <m/>
    <m/>
    <m/>
    <m/>
    <m/>
    <m/>
    <m/>
    <m/>
    <n v="2"/>
    <n v="0.5"/>
    <b v="0"/>
    <b v="0"/>
    <b v="0"/>
    <b v="0"/>
    <b v="0"/>
    <s v="No"/>
    <s v="No"/>
  </r>
  <r>
    <d v="2023-11-13T00:00:00"/>
    <x v="331"/>
    <s v="DA"/>
    <s v="07462356512002"/>
    <m/>
    <s v="146.6"/>
    <s v="5"/>
    <s v="1.33"/>
    <s v="Y"/>
    <s v="N"/>
    <s v="AF"/>
    <s v="822"/>
    <s v="231117"/>
    <s v="EAP"/>
    <m/>
    <m/>
    <m/>
    <m/>
    <s v="DXB"/>
    <s v="SSG"/>
    <s v="SSG"/>
    <s v="N"/>
    <s v="HLC064"/>
    <m/>
    <m/>
    <s v="Passed"/>
    <m/>
    <x v="5"/>
    <m/>
    <m/>
    <m/>
    <m/>
    <m/>
    <m/>
    <m/>
    <m/>
    <n v="2"/>
    <n v="0.5"/>
    <b v="0"/>
    <b v="0"/>
    <b v="0"/>
    <b v="0"/>
    <b v="0"/>
    <s v="No"/>
    <s v="No"/>
  </r>
  <r>
    <d v="2023-11-13T00:00:00"/>
    <x v="332"/>
    <s v="BA"/>
    <s v="07462445095001"/>
    <m/>
    <s v="286.2"/>
    <s v="8"/>
    <s v="1.36"/>
    <s v="Y"/>
    <s v="N"/>
    <s v="AF"/>
    <s v="816"/>
    <s v="231115"/>
    <s v="ECP"/>
    <s v="EAW"/>
    <m/>
    <m/>
    <m/>
    <s v="DEL"/>
    <s v="HAV"/>
    <s v="HAV"/>
    <s v="N"/>
    <s v="R5302"/>
    <m/>
    <m/>
    <s v="Passed"/>
    <m/>
    <x v="5"/>
    <m/>
    <m/>
    <m/>
    <m/>
    <m/>
    <m/>
    <m/>
    <m/>
    <n v="2"/>
    <n v="0.25"/>
    <b v="0"/>
    <b v="0"/>
    <b v="0"/>
    <b v="0"/>
    <b v="0"/>
    <s v="No"/>
    <s v="No"/>
  </r>
  <r>
    <d v="2023-11-13T00:00:00"/>
    <x v="332"/>
    <s v="DA"/>
    <s v="07462445095002"/>
    <m/>
    <s v="107.3"/>
    <s v="3"/>
    <s v=".51"/>
    <s v="Y"/>
    <s v="N"/>
    <s v="AF"/>
    <s v="816"/>
    <s v="231115"/>
    <s v="ECP"/>
    <s v="EAW"/>
    <m/>
    <m/>
    <m/>
    <s v="DEL"/>
    <s v="HAV"/>
    <s v="HAV"/>
    <s v="N"/>
    <s v="S6404"/>
    <m/>
    <m/>
    <s v="Passed"/>
    <m/>
    <x v="5"/>
    <m/>
    <m/>
    <m/>
    <m/>
    <m/>
    <m/>
    <m/>
    <m/>
    <n v="2"/>
    <n v="0.25"/>
    <b v="0"/>
    <b v="0"/>
    <b v="0"/>
    <b v="0"/>
    <b v="0"/>
    <s v="No"/>
    <s v="No"/>
  </r>
  <r>
    <d v="2023-11-13T00:00:00"/>
    <x v="332"/>
    <s v="FA"/>
    <s v="07462445095003"/>
    <m/>
    <s v="143.1"/>
    <s v="4"/>
    <s v=".68"/>
    <s v="Y"/>
    <s v="N"/>
    <s v="AF"/>
    <s v="816"/>
    <s v="231115"/>
    <s v="ECP"/>
    <s v="EAW"/>
    <m/>
    <m/>
    <m/>
    <s v="DEL"/>
    <s v="HAV"/>
    <s v="HAV"/>
    <s v="N"/>
    <s v="Q9103"/>
    <m/>
    <m/>
    <s v="Passed"/>
    <m/>
    <x v="5"/>
    <m/>
    <m/>
    <m/>
    <m/>
    <m/>
    <m/>
    <m/>
    <m/>
    <n v="2"/>
    <n v="0.25"/>
    <b v="0"/>
    <b v="0"/>
    <b v="0"/>
    <b v="0"/>
    <b v="0"/>
    <s v="No"/>
    <s v="No"/>
  </r>
  <r>
    <d v="2023-11-13T00:00:00"/>
    <x v="332"/>
    <s v="HA"/>
    <s v="07462445095004"/>
    <m/>
    <s v="393.5"/>
    <s v="11"/>
    <s v="1.87"/>
    <s v="Y"/>
    <s v="N"/>
    <s v="AF"/>
    <s v="816"/>
    <s v="231115"/>
    <s v="ECP"/>
    <s v="EAW"/>
    <m/>
    <m/>
    <m/>
    <s v="DEL"/>
    <s v="HAV"/>
    <s v="HAV"/>
    <s v="N"/>
    <s v="HLC121"/>
    <m/>
    <m/>
    <s v="Passed"/>
    <m/>
    <x v="5"/>
    <m/>
    <m/>
    <m/>
    <m/>
    <m/>
    <m/>
    <m/>
    <m/>
    <n v="2"/>
    <n v="0.25"/>
    <b v="0"/>
    <b v="0"/>
    <b v="0"/>
    <b v="0"/>
    <b v="0"/>
    <s v="No"/>
    <s v="No"/>
  </r>
  <r>
    <d v="2023-11-13T00:00:00"/>
    <x v="333"/>
    <s v="BA"/>
    <s v="07462445106001"/>
    <m/>
    <s v="270.0"/>
    <s v="10"/>
    <s v="1.26"/>
    <s v="Y"/>
    <s v="N"/>
    <s v="AF"/>
    <s v="744"/>
    <s v="231116"/>
    <s v="ECC"/>
    <s v="EAW"/>
    <m/>
    <m/>
    <m/>
    <s v="DEL"/>
    <s v="PTP"/>
    <s v="PTP"/>
    <s v="N"/>
    <s v="61108"/>
    <m/>
    <m/>
    <s v="Passed"/>
    <m/>
    <x v="5"/>
    <m/>
    <m/>
    <m/>
    <m/>
    <m/>
    <m/>
    <m/>
    <m/>
    <n v="2"/>
    <n v="1"/>
    <b v="0"/>
    <b v="0"/>
    <b v="0"/>
    <b v="0"/>
    <b v="0"/>
    <s v="No"/>
    <s v="No"/>
  </r>
  <r>
    <d v="2023-11-13T00:00:00"/>
    <x v="334"/>
    <s v="BA"/>
    <s v="07462571084001"/>
    <m/>
    <s v="920.0"/>
    <s v="1"/>
    <s v="1.20"/>
    <s v="Y"/>
    <s v="N"/>
    <s v="AF"/>
    <s v="6732"/>
    <s v="231115"/>
    <s v="ECC"/>
    <s v="HEA"/>
    <s v="EAP"/>
    <m/>
    <m/>
    <s v="BLR"/>
    <s v="ORD"/>
    <s v="ORD"/>
    <s v="N"/>
    <s v="64010"/>
    <m/>
    <m/>
    <s v="Failed"/>
    <m/>
    <x v="0"/>
    <m/>
    <m/>
    <m/>
    <m/>
    <m/>
    <m/>
    <m/>
    <m/>
    <n v="2"/>
    <n v="1"/>
    <b v="0"/>
    <b v="0"/>
    <b v="0"/>
    <b v="0"/>
    <b v="0"/>
    <s v="No"/>
    <s v="No"/>
  </r>
  <r>
    <d v="2023-11-13T00:00:00"/>
    <x v="335"/>
    <s v="BA"/>
    <s v="51406736306001"/>
    <m/>
    <s v="301.8"/>
    <s v="15"/>
    <s v="1.37"/>
    <s v="Y"/>
    <s v="N"/>
    <s v="AF"/>
    <s v="148"/>
    <s v="231116"/>
    <m/>
    <m/>
    <m/>
    <m/>
    <m/>
    <s v="DAC"/>
    <s v="LOS"/>
    <s v="LOS"/>
    <s v="N"/>
    <s v="51009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No"/>
  </r>
  <r>
    <d v="2023-11-13T00:00:00"/>
    <x v="335"/>
    <s v="DA"/>
    <s v="51406736306002"/>
    <m/>
    <s v="347.1"/>
    <s v="10"/>
    <s v=".91"/>
    <s v="Y"/>
    <s v="N"/>
    <s v="AF"/>
    <s v="148"/>
    <s v="231116"/>
    <m/>
    <m/>
    <m/>
    <m/>
    <m/>
    <s v="DAC"/>
    <s v="LOS"/>
    <s v="LOS"/>
    <s v="N"/>
    <s v="EC300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No"/>
  </r>
  <r>
    <d v="2023-11-13T00:00:00"/>
    <x v="335"/>
    <s v="FA"/>
    <s v="51406736306003"/>
    <m/>
    <s v="161.0"/>
    <s v="8"/>
    <s v=".73"/>
    <s v="Y"/>
    <s v="N"/>
    <s v="AF"/>
    <s v="148"/>
    <s v="231116"/>
    <m/>
    <m/>
    <m/>
    <m/>
    <m/>
    <s v="DAC"/>
    <s v="LOS"/>
    <s v="LOS"/>
    <s v="N"/>
    <s v="50007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No"/>
  </r>
  <r>
    <d v="2023-11-13T00:00:00"/>
    <x v="335"/>
    <s v="HA"/>
    <s v="51406736306004"/>
    <m/>
    <s v="120.7"/>
    <s v="6"/>
    <s v=".55"/>
    <s v="Y"/>
    <s v="N"/>
    <s v="AF"/>
    <s v="148"/>
    <s v="231116"/>
    <m/>
    <m/>
    <m/>
    <m/>
    <m/>
    <s v="DAC"/>
    <s v="LOS"/>
    <s v="LOS"/>
    <s v="N"/>
    <s v="61306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No"/>
  </r>
  <r>
    <d v="2023-11-13T00:00:00"/>
    <x v="335"/>
    <s v="JA"/>
    <s v="51406736306005"/>
    <m/>
    <s v="277.7"/>
    <s v="8"/>
    <s v=".73"/>
    <s v="Y"/>
    <s v="N"/>
    <s v="AF"/>
    <s v="148"/>
    <s v="231116"/>
    <m/>
    <m/>
    <m/>
    <m/>
    <m/>
    <s v="DAC"/>
    <s v="LOS"/>
    <s v="LOS"/>
    <s v="N"/>
    <s v="EC300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No"/>
  </r>
  <r>
    <d v="2023-11-13T00:00:00"/>
    <x v="335"/>
    <s v="LA"/>
    <s v="51406736306006"/>
    <m/>
    <s v="277.7"/>
    <s v="8"/>
    <s v=".73"/>
    <s v="Y"/>
    <s v="N"/>
    <s v="AF"/>
    <s v="148"/>
    <s v="231116"/>
    <m/>
    <m/>
    <m/>
    <m/>
    <m/>
    <s v="DAC"/>
    <s v="LOS"/>
    <s v="LOS"/>
    <s v="N"/>
    <s v="EC300"/>
    <m/>
    <m/>
    <s v="Passed"/>
    <m/>
    <x v="5"/>
    <m/>
    <m/>
    <m/>
    <m/>
    <m/>
    <m/>
    <m/>
    <m/>
    <n v="2"/>
    <n v="0.16666666666666666"/>
    <b v="0"/>
    <b v="0"/>
    <b v="0"/>
    <b v="0"/>
    <b v="0"/>
    <s v="No"/>
    <s v="No"/>
  </r>
  <r>
    <d v="2023-11-14T00:00:00"/>
    <x v="336"/>
    <s v="BA"/>
    <s v="00635594952001"/>
    <m/>
    <s v="128.6"/>
    <s v="1"/>
    <s v=".88"/>
    <s v="Y"/>
    <s v="N"/>
    <s v="AF"/>
    <s v="454"/>
    <s v="231116"/>
    <s v="COL"/>
    <s v="PIL"/>
    <s v="EAP"/>
    <m/>
    <m/>
    <s v="MSP"/>
    <s v="GRU"/>
    <s v="GRU"/>
    <s v="N"/>
    <s v="FR402"/>
    <m/>
    <m/>
    <s v="Failed"/>
    <m/>
    <x v="3"/>
    <m/>
    <m/>
    <m/>
    <m/>
    <m/>
    <m/>
    <m/>
    <m/>
    <s v="3.1"/>
    <n v="0.25"/>
    <b v="0"/>
    <b v="0"/>
    <b v="0"/>
    <b v="0"/>
    <b v="0"/>
    <s v="No"/>
    <s v="No"/>
  </r>
  <r>
    <d v="2023-11-14T00:00:00"/>
    <x v="336"/>
    <s v="DA"/>
    <s v="00635594952002"/>
    <m/>
    <s v="128.6"/>
    <s v="1"/>
    <s v=".88"/>
    <s v="Y"/>
    <s v="N"/>
    <s v="AF"/>
    <s v="454"/>
    <s v="231116"/>
    <s v="COL"/>
    <s v="PIL"/>
    <s v="EAP"/>
    <m/>
    <m/>
    <s v="MSP"/>
    <s v="GRU"/>
    <s v="GRU"/>
    <s v="N"/>
    <s v="FR404"/>
    <m/>
    <m/>
    <s v="Failed"/>
    <m/>
    <x v="3"/>
    <m/>
    <m/>
    <m/>
    <m/>
    <m/>
    <m/>
    <m/>
    <m/>
    <s v="3.1"/>
    <n v="0.25"/>
    <b v="0"/>
    <b v="0"/>
    <b v="0"/>
    <b v="0"/>
    <b v="0"/>
    <s v="No"/>
    <s v="No"/>
  </r>
  <r>
    <d v="2023-11-14T00:00:00"/>
    <x v="336"/>
    <s v="FA"/>
    <s v="00635594952003"/>
    <m/>
    <s v="128.6"/>
    <s v="1"/>
    <s v=".88"/>
    <s v="Y"/>
    <s v="N"/>
    <s v="AF"/>
    <s v="454"/>
    <s v="231116"/>
    <s v="COL"/>
    <s v="PIL"/>
    <s v="EAP"/>
    <m/>
    <m/>
    <s v="MSP"/>
    <s v="GRU"/>
    <s v="GRU"/>
    <s v="N"/>
    <s v="FR316"/>
    <m/>
    <m/>
    <s v="Failed"/>
    <m/>
    <x v="3"/>
    <m/>
    <m/>
    <m/>
    <m/>
    <m/>
    <m/>
    <m/>
    <m/>
    <s v="3.1"/>
    <n v="0.25"/>
    <b v="0"/>
    <b v="0"/>
    <b v="0"/>
    <b v="0"/>
    <b v="0"/>
    <s v="No"/>
    <s v="No"/>
  </r>
  <r>
    <d v="2023-11-14T00:00:00"/>
    <x v="336"/>
    <s v="HA"/>
    <s v="00635594952004"/>
    <m/>
    <s v="257.3"/>
    <s v="2"/>
    <s v="1.76"/>
    <s v="Y"/>
    <s v="N"/>
    <s v="AF"/>
    <s v="454"/>
    <s v="231116"/>
    <s v="COL"/>
    <s v="PIL"/>
    <s v="EAP"/>
    <m/>
    <m/>
    <s v="MSP"/>
    <s v="GRU"/>
    <s v="GRU"/>
    <s v="N"/>
    <s v="NFL00"/>
    <m/>
    <m/>
    <s v="Failed"/>
    <m/>
    <x v="3"/>
    <m/>
    <m/>
    <m/>
    <m/>
    <m/>
    <m/>
    <m/>
    <m/>
    <s v="3.1"/>
    <n v="0.25"/>
    <b v="0"/>
    <b v="0"/>
    <b v="0"/>
    <b v="0"/>
    <b v="0"/>
    <s v="No"/>
    <s v="No"/>
  </r>
  <r>
    <d v="2023-11-14T00:00:00"/>
    <x v="337"/>
    <s v="DA"/>
    <s v="00641406901002"/>
    <s v="PMC97968DL"/>
    <s v="2223.8"/>
    <s v="5"/>
    <s v="4.12"/>
    <s v="Y"/>
    <s v="N"/>
    <s v="AF"/>
    <s v="152D"/>
    <s v="231115"/>
    <s v="ECC"/>
    <s v="HEA"/>
    <s v="EAP"/>
    <m/>
    <m/>
    <s v="CVG"/>
    <s v="SXB"/>
    <s v="SXB"/>
    <s v="N"/>
    <s v="B2D-6442"/>
    <s v="ML"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337"/>
    <s v="FA"/>
    <s v="00641406901003"/>
    <s v="PMC94932DL"/>
    <s v="2223.8"/>
    <s v="5"/>
    <s v="4.12"/>
    <s v="Y"/>
    <s v="N"/>
    <s v="AF"/>
    <s v="152D"/>
    <s v="231115"/>
    <s v="ECC"/>
    <s v="HEA"/>
    <s v="EAP"/>
    <m/>
    <m/>
    <s v="CVG"/>
    <s v="SXB"/>
    <s v="SXB"/>
    <s v="N"/>
    <s v="B2B-4025"/>
    <s v="ML"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338"/>
    <s v="BA"/>
    <s v="00679798552001"/>
    <m/>
    <s v="200.0"/>
    <s v="1"/>
    <s v="1.73"/>
    <s v="Y"/>
    <s v="N"/>
    <s v="AF"/>
    <s v="108M"/>
    <s v="231116"/>
    <s v="ECC"/>
    <s v="HEA"/>
    <s v="EAP"/>
    <m/>
    <m/>
    <s v="MSP"/>
    <s v="BOD"/>
    <s v="BOD"/>
    <s v="N"/>
    <s v="BOD01"/>
    <m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338"/>
    <s v="DA"/>
    <s v="00679798552002"/>
    <m/>
    <s v="200.0"/>
    <s v="1"/>
    <s v="1.73"/>
    <s v="Y"/>
    <s v="N"/>
    <s v="AF"/>
    <s v="108M"/>
    <s v="231116"/>
    <s v="ECC"/>
    <s v="HEA"/>
    <s v="EAP"/>
    <m/>
    <m/>
    <s v="MSP"/>
    <s v="BOD"/>
    <s v="BOD"/>
    <s v="N"/>
    <s v="BOD01"/>
    <m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339"/>
    <s v="DA"/>
    <s v="05702015930002"/>
    <s v="PMC24887KL"/>
    <s v="337.3"/>
    <s v="1"/>
    <s v="2.11"/>
    <s v="Y"/>
    <s v="N"/>
    <s v="AF"/>
    <s v="470M"/>
    <s v="231115"/>
    <s v="ECC"/>
    <s v="HEA"/>
    <m/>
    <m/>
    <m/>
    <s v="ORD"/>
    <s v="OSL"/>
    <s v="MMX"/>
    <s v="N"/>
    <s v="B2C-5835"/>
    <s v="ML"/>
    <m/>
    <s v="Failed"/>
    <m/>
    <x v="0"/>
    <m/>
    <m/>
    <m/>
    <m/>
    <m/>
    <m/>
    <m/>
    <m/>
    <s v="3.1"/>
    <n v="1"/>
    <b v="0"/>
    <b v="0"/>
    <b v="0"/>
    <b v="0"/>
    <b v="0"/>
    <s v="No"/>
    <s v="Yes"/>
  </r>
  <r>
    <d v="2023-11-14T00:00:00"/>
    <x v="340"/>
    <s v="BA"/>
    <s v="05702087503001"/>
    <m/>
    <s v="8.0"/>
    <s v="1"/>
    <s v=".07"/>
    <s v="N"/>
    <s v="N"/>
    <s v="AF"/>
    <s v="412"/>
    <s v="231115"/>
    <s v="NCC"/>
    <s v="ECP"/>
    <s v="XPS"/>
    <s v="EAP"/>
    <m/>
    <s v="CDG"/>
    <s v="EZE"/>
    <s v="EZE"/>
    <s v="N"/>
    <s v="Q7000"/>
    <m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341"/>
    <s v="BA"/>
    <s v="05702270461001"/>
    <m/>
    <s v="110.0"/>
    <s v="2"/>
    <s v="1.27"/>
    <s v="N"/>
    <s v="N"/>
    <s v="AF"/>
    <s v="804"/>
    <s v="231115"/>
    <s v="ECP"/>
    <s v="XPH"/>
    <m/>
    <m/>
    <m/>
    <s v="CDG"/>
    <s v="COO"/>
    <s v="COO"/>
    <s v="N"/>
    <s v="RFK29"/>
    <m/>
    <m/>
    <s v="Passed"/>
    <m/>
    <x v="14"/>
    <s v="Youssouf Validation by as is execute /The customer put the Wrong agent IATA code in FWB"/>
    <m/>
    <m/>
    <m/>
    <m/>
    <m/>
    <m/>
    <m/>
    <s v="3.1"/>
    <n v="1"/>
    <b v="0"/>
    <b v="0"/>
    <b v="0"/>
    <b v="0"/>
    <b v="0"/>
    <s v="No"/>
    <s v="No"/>
  </r>
  <r>
    <d v="2023-11-14T00:00:00"/>
    <x v="342"/>
    <s v="BA"/>
    <s v="05702549820001"/>
    <m/>
    <s v="372.0"/>
    <s v="7"/>
    <s v="2.80"/>
    <s v="Y"/>
    <s v="N"/>
    <s v="AF"/>
    <s v="054"/>
    <s v="231121"/>
    <s v="ECC"/>
    <s v="XPH"/>
    <s v="EAW"/>
    <m/>
    <m/>
    <s v="TUN"/>
    <s v="IAD"/>
    <s v="IAD"/>
    <s v="N"/>
    <s v="LO400"/>
    <m/>
    <m/>
    <s v="Failed"/>
    <m/>
    <x v="6"/>
    <s v="Lynka /  Agent inconnu en RCT/prod ok"/>
    <m/>
    <m/>
    <m/>
    <m/>
    <m/>
    <m/>
    <m/>
    <s v="3.1"/>
    <n v="1"/>
    <b v="0"/>
    <b v="0"/>
    <b v="0"/>
    <b v="0"/>
    <b v="0"/>
    <s v="No"/>
    <s v="Yes"/>
  </r>
  <r>
    <d v="2023-11-14T00:00:00"/>
    <x v="343"/>
    <s v="BA"/>
    <s v="05702663474001"/>
    <m/>
    <s v="106.0"/>
    <s v="2"/>
    <s v=".45"/>
    <s v="N"/>
    <s v="N"/>
    <s v="AF"/>
    <s v="898"/>
    <s v="231115"/>
    <s v="NSC"/>
    <s v="ECC"/>
    <s v="EAP"/>
    <m/>
    <m/>
    <s v="CDG"/>
    <s v="FDF"/>
    <s v="FDF"/>
    <s v="N"/>
    <s v="R31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44"/>
    <s v="BA"/>
    <s v="05702877641001"/>
    <m/>
    <s v="214.0"/>
    <s v="1"/>
    <s v=".25"/>
    <s v="Y"/>
    <s v="N"/>
    <s v="AF"/>
    <s v="454"/>
    <s v="231116"/>
    <s v="HEA"/>
    <s v="EAP"/>
    <m/>
    <m/>
    <m/>
    <s v="DEL"/>
    <s v="GRU"/>
    <s v="GRU"/>
    <s v="N"/>
    <s v="Q43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45"/>
    <s v="BA"/>
    <s v="05702881292001"/>
    <s v="PMC28687KL"/>
    <s v="997.0"/>
    <s v="5"/>
    <s v="10.06"/>
    <s v="Y"/>
    <s v="N"/>
    <s v="AF"/>
    <s v="084"/>
    <s v="231115"/>
    <s v="ECC"/>
    <s v="HEA"/>
    <s v="EAW"/>
    <m/>
    <m/>
    <s v="SIN"/>
    <s v="SFO"/>
    <s v="SFO"/>
    <s v="N"/>
    <s v="B2C-6032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345"/>
    <s v="DA"/>
    <s v="05702881292002"/>
    <s v="PMC75447AF"/>
    <s v="996.0"/>
    <s v="5"/>
    <s v="10.06"/>
    <s v="Y"/>
    <s v="N"/>
    <s v="AF"/>
    <s v="084"/>
    <s v="231115"/>
    <s v="ECC"/>
    <s v="HEA"/>
    <s v="EAW"/>
    <m/>
    <m/>
    <s v="SIN"/>
    <s v="SFO"/>
    <s v="SFO"/>
    <s v="N"/>
    <s v="B2A-5230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346"/>
    <s v="DA"/>
    <s v="05702905862002"/>
    <s v="PMC75170AF"/>
    <s v="120.0"/>
    <s v="1"/>
    <s v="1.13"/>
    <s v="Y"/>
    <s v="N"/>
    <s v="AF"/>
    <s v="004"/>
    <s v="231117"/>
    <s v="ECC"/>
    <m/>
    <m/>
    <m/>
    <m/>
    <s v="KTW"/>
    <s v="JFK"/>
    <s v="JFK"/>
    <s v="N"/>
    <s v="B2A-4944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346"/>
    <s v="FA"/>
    <s v="05702905862003"/>
    <s v="PMC75170AF"/>
    <s v="120.0"/>
    <s v="1"/>
    <s v="1.13"/>
    <s v="Y"/>
    <s v="N"/>
    <s v="AF"/>
    <s v="004"/>
    <s v="231117"/>
    <s v="ECC"/>
    <m/>
    <m/>
    <m/>
    <m/>
    <s v="KTW"/>
    <s v="JFK"/>
    <s v="JFK"/>
    <s v="N"/>
    <s v="B2A-4944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346"/>
    <s v="HA"/>
    <s v="05702905862004"/>
    <s v="PMC75170AF"/>
    <s v="120.0"/>
    <s v="1"/>
    <s v="1.13"/>
    <s v="Y"/>
    <s v="N"/>
    <s v="AF"/>
    <s v="004"/>
    <s v="231117"/>
    <s v="ECC"/>
    <m/>
    <m/>
    <m/>
    <m/>
    <s v="KTW"/>
    <s v="JFK"/>
    <s v="JFK"/>
    <s v="N"/>
    <s v="B2A-4944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346"/>
    <s v="JA"/>
    <s v="05702905862005"/>
    <s v="PMC75170AF"/>
    <s v="120.0"/>
    <s v="1"/>
    <s v="1.13"/>
    <s v="Y"/>
    <s v="N"/>
    <s v="AF"/>
    <s v="004"/>
    <s v="231117"/>
    <s v="ECC"/>
    <m/>
    <m/>
    <m/>
    <m/>
    <s v="KTW"/>
    <s v="JFK"/>
    <s v="JFK"/>
    <s v="N"/>
    <s v="B2A-4944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346"/>
    <s v="LA"/>
    <s v="05702905862006"/>
    <s v="PMC75170AF"/>
    <s v="120.0"/>
    <s v="1"/>
    <s v="1.13"/>
    <s v="Y"/>
    <s v="N"/>
    <s v="AF"/>
    <s v="004"/>
    <s v="231117"/>
    <s v="ECC"/>
    <m/>
    <m/>
    <m/>
    <m/>
    <s v="KTW"/>
    <s v="JFK"/>
    <s v="JFK"/>
    <s v="N"/>
    <s v="B2A-4944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346"/>
    <m/>
    <s v="05702905862007"/>
    <s v="PMC75170AF"/>
    <s v="120.0"/>
    <s v="1"/>
    <s v="1.13"/>
    <s v="Y"/>
    <s v="N"/>
    <s v="AF"/>
    <s v="004"/>
    <s v="231117"/>
    <s v="ECC"/>
    <m/>
    <m/>
    <m/>
    <m/>
    <s v="KTW"/>
    <s v="JFK"/>
    <s v="JFK"/>
    <s v="N"/>
    <s v="B2A-4944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347"/>
    <s v="BA"/>
    <s v="05702963553001"/>
    <m/>
    <s v="12.0"/>
    <s v="1"/>
    <s v=".12"/>
    <s v="N"/>
    <s v="N"/>
    <s v="AF"/>
    <s v="900"/>
    <s v="231115"/>
    <s v="NCC"/>
    <s v="ECP"/>
    <s v="XPS"/>
    <m/>
    <m/>
    <s v="CDG"/>
    <s v="NSI"/>
    <s v="NSI"/>
    <s v="N"/>
    <s v="S7000"/>
    <m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348"/>
    <s v="BA"/>
    <s v="05703070653001"/>
    <m/>
    <s v="49.0"/>
    <s v="1"/>
    <s v=".25"/>
    <s v="Y"/>
    <s v="N"/>
    <s v="AF"/>
    <s v="148"/>
    <s v="231116"/>
    <s v="ECP"/>
    <s v="EAP"/>
    <m/>
    <m/>
    <m/>
    <s v="VLC"/>
    <s v="LOS"/>
    <s v="LOS"/>
    <s v="N"/>
    <s v="LLC00"/>
    <m/>
    <m/>
    <s v="Passed"/>
    <m/>
    <x v="15"/>
    <s v="Youssouf Validation by as is execute / OPR 026 Volume was less than accepted volume maybe wrong data capture (volume) in 0PR026"/>
    <m/>
    <m/>
    <m/>
    <m/>
    <m/>
    <m/>
    <m/>
    <s v="3.1"/>
    <n v="0.5"/>
    <b v="0"/>
    <b v="0"/>
    <b v="0"/>
    <b v="0"/>
    <b v="0"/>
    <s v="No"/>
    <s v="No"/>
  </r>
  <r>
    <d v="2023-11-14T00:00:00"/>
    <x v="348"/>
    <s v="DA"/>
    <n v="5703070653002"/>
    <m/>
    <s v="98.0"/>
    <s v="2"/>
    <s v=".51"/>
    <s v="Y"/>
    <s v="N"/>
    <s v="AF"/>
    <s v="148"/>
    <s v="231116"/>
    <s v="ECP"/>
    <s v="EAP"/>
    <m/>
    <m/>
    <m/>
    <s v="VLC"/>
    <s v="LOS"/>
    <s v="LOS"/>
    <s v="N"/>
    <s v="50304"/>
    <m/>
    <m/>
    <s v="Passed"/>
    <m/>
    <x v="16"/>
    <m/>
    <m/>
    <m/>
    <m/>
    <m/>
    <m/>
    <m/>
    <m/>
    <s v="3.1"/>
    <n v="0.5"/>
    <b v="0"/>
    <b v="0"/>
    <b v="0"/>
    <b v="0"/>
    <b v="0"/>
    <s v="No"/>
    <s v="No"/>
  </r>
  <r>
    <d v="2023-11-14T00:00:00"/>
    <x v="349"/>
    <s v="BA"/>
    <s v="05703076054001"/>
    <m/>
    <s v="120.3"/>
    <s v="2"/>
    <s v=".71"/>
    <s v="Y"/>
    <s v="N"/>
    <s v="AF"/>
    <s v="694"/>
    <s v="231115"/>
    <s v="ECC"/>
    <m/>
    <m/>
    <m/>
    <m/>
    <s v="NTE"/>
    <s v="IAH"/>
    <s v="IAH"/>
    <s v="N"/>
    <s v="RFK00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49"/>
    <s v="DA"/>
    <s v="05703076054002"/>
    <m/>
    <s v="60.1"/>
    <s v="1"/>
    <s v=".36"/>
    <s v="Y"/>
    <s v="N"/>
    <s v="AF"/>
    <s v="694"/>
    <s v="231115"/>
    <s v="ECC"/>
    <m/>
    <m/>
    <m/>
    <m/>
    <s v="NTE"/>
    <s v="IAH"/>
    <s v="IAH"/>
    <s v="N"/>
    <s v="RFK00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49"/>
    <s v="FA"/>
    <s v="05703076054003"/>
    <m/>
    <s v="120.3"/>
    <s v="2"/>
    <s v=".71"/>
    <s v="Y"/>
    <s v="N"/>
    <s v="AF"/>
    <s v="694"/>
    <s v="231115"/>
    <s v="ECC"/>
    <m/>
    <m/>
    <m/>
    <m/>
    <s v="NTE"/>
    <s v="IAH"/>
    <s v="IAH"/>
    <s v="N"/>
    <s v="RFK00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49"/>
    <s v="HA"/>
    <s v="05703076054004"/>
    <m/>
    <s v="120.3"/>
    <s v="2"/>
    <s v=".72"/>
    <s v="Y"/>
    <s v="N"/>
    <s v="AF"/>
    <s v="694"/>
    <s v="231115"/>
    <s v="ECC"/>
    <m/>
    <m/>
    <m/>
    <m/>
    <s v="NTE"/>
    <s v="IAH"/>
    <s v="IAH"/>
    <s v="N"/>
    <s v="RFK00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50"/>
    <s v="BA"/>
    <s v="05703170786001"/>
    <m/>
    <s v="2.0"/>
    <s v="1"/>
    <s v=".02"/>
    <s v="N"/>
    <s v="N"/>
    <s v="AF"/>
    <s v="928"/>
    <s v="231116"/>
    <s v="XPS"/>
    <m/>
    <m/>
    <m/>
    <m/>
    <s v="CDG"/>
    <s v="PNR"/>
    <s v="PNR"/>
    <s v="N"/>
    <s v="S7000"/>
    <m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351"/>
    <s v="BA"/>
    <s v="05704874785001"/>
    <m/>
    <s v="620.0"/>
    <s v="1"/>
    <s v=".68"/>
    <s v="Y"/>
    <s v="N"/>
    <s v="AF"/>
    <s v="480"/>
    <s v="231116"/>
    <s v="HEA"/>
    <m/>
    <m/>
    <m/>
    <m/>
    <s v="IST"/>
    <s v="LIM"/>
    <s v="LIM"/>
    <s v="N"/>
    <s v="P2004"/>
    <m/>
    <m/>
    <s v="Failed"/>
    <m/>
    <x v="17"/>
    <m/>
    <m/>
    <m/>
    <m/>
    <m/>
    <m/>
    <m/>
    <m/>
    <s v="3.1"/>
    <n v="1"/>
    <b v="0"/>
    <b v="0"/>
    <b v="0"/>
    <b v="0"/>
    <b v="0"/>
    <s v="No"/>
    <s v="No"/>
  </r>
  <r>
    <d v="2023-11-14T00:00:00"/>
    <x v="352"/>
    <s v="BA"/>
    <s v="05704960561001"/>
    <m/>
    <s v="585.0"/>
    <s v="1"/>
    <s v="1.42"/>
    <s v="Y"/>
    <s v="N"/>
    <s v="AF"/>
    <s v="972"/>
    <s v="231115"/>
    <s v="ECP"/>
    <s v="HEA"/>
    <s v="EAP"/>
    <m/>
    <m/>
    <s v="OSL"/>
    <s v="LAD"/>
    <s v="LAD"/>
    <s v="N"/>
    <s v="XLC10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353"/>
    <s v="BA"/>
    <s v="05705171574001"/>
    <s v="PMC24235KL"/>
    <s v="506.0"/>
    <s v="1"/>
    <s v="1.38"/>
    <s v="Y"/>
    <s v="N"/>
    <s v="AF"/>
    <s v="148"/>
    <s v="231115"/>
    <s v="HEA"/>
    <m/>
    <m/>
    <m/>
    <m/>
    <s v="BCN"/>
    <s v="LOS"/>
    <s v="LOS"/>
    <s v="N"/>
    <s v="FA6-PI00"/>
    <s v="ML"/>
    <m/>
    <s v="Failed"/>
    <m/>
    <x v="3"/>
    <m/>
    <m/>
    <m/>
    <m/>
    <m/>
    <m/>
    <m/>
    <m/>
    <s v="3.1"/>
    <n v="0.25"/>
    <b v="0"/>
    <b v="0"/>
    <b v="0"/>
    <b v="0"/>
    <b v="0"/>
    <s v="No"/>
    <s v="No"/>
  </r>
  <r>
    <d v="2023-11-14T00:00:00"/>
    <x v="353"/>
    <s v="DA"/>
    <s v="05705171574002"/>
    <s v="PMC24235KL"/>
    <s v="506.0"/>
    <s v="1"/>
    <s v="1.39"/>
    <s v="Y"/>
    <s v="N"/>
    <s v="AF"/>
    <s v="148"/>
    <s v="231115"/>
    <s v="HEA"/>
    <m/>
    <m/>
    <m/>
    <m/>
    <s v="BCN"/>
    <s v="LOS"/>
    <s v="LOS"/>
    <s v="N"/>
    <s v="FA6-PI00"/>
    <s v="ML"/>
    <m/>
    <s v="Failed"/>
    <m/>
    <x v="3"/>
    <m/>
    <m/>
    <m/>
    <m/>
    <m/>
    <m/>
    <m/>
    <m/>
    <s v="3.1"/>
    <n v="0.25"/>
    <b v="0"/>
    <b v="0"/>
    <b v="0"/>
    <b v="0"/>
    <b v="0"/>
    <s v="No"/>
    <s v="No"/>
  </r>
  <r>
    <d v="2023-11-14T00:00:00"/>
    <x v="353"/>
    <s v="FA"/>
    <s v="05705171574003"/>
    <s v="PMC24235KL"/>
    <s v="506.0"/>
    <s v="1"/>
    <s v="1.39"/>
    <s v="Y"/>
    <s v="N"/>
    <s v="AF"/>
    <s v="148"/>
    <s v="231115"/>
    <s v="HEA"/>
    <m/>
    <m/>
    <m/>
    <m/>
    <s v="BCN"/>
    <s v="LOS"/>
    <s v="LOS"/>
    <s v="N"/>
    <s v="FA6-PI00"/>
    <s v="ML"/>
    <m/>
    <s v="Failed"/>
    <m/>
    <x v="3"/>
    <m/>
    <m/>
    <m/>
    <m/>
    <m/>
    <m/>
    <m/>
    <m/>
    <s v="3.1"/>
    <n v="0.25"/>
    <b v="0"/>
    <b v="0"/>
    <b v="0"/>
    <b v="0"/>
    <b v="0"/>
    <s v="No"/>
    <s v="No"/>
  </r>
  <r>
    <d v="2023-11-14T00:00:00"/>
    <x v="353"/>
    <s v="HA"/>
    <s v="05705171574004"/>
    <s v="PMC24235KL"/>
    <s v="506.0"/>
    <s v="1"/>
    <s v="1.39"/>
    <s v="Y"/>
    <s v="N"/>
    <s v="AF"/>
    <s v="148"/>
    <s v="231115"/>
    <s v="HEA"/>
    <m/>
    <m/>
    <m/>
    <m/>
    <s v="BCN"/>
    <s v="LOS"/>
    <s v="LOS"/>
    <s v="N"/>
    <s v="FA6-PI00"/>
    <s v="ML"/>
    <m/>
    <s v="Failed"/>
    <m/>
    <x v="3"/>
    <m/>
    <m/>
    <m/>
    <m/>
    <m/>
    <m/>
    <m/>
    <m/>
    <s v="3.1"/>
    <n v="0.25"/>
    <b v="0"/>
    <b v="0"/>
    <b v="0"/>
    <b v="0"/>
    <b v="0"/>
    <s v="No"/>
    <s v="No"/>
  </r>
  <r>
    <d v="2023-11-14T00:00:00"/>
    <x v="354"/>
    <s v="BA"/>
    <s v="05705177550001"/>
    <s v="PMC23094KL"/>
    <s v="68.0"/>
    <s v="2"/>
    <s v=".36"/>
    <s v="Y"/>
    <s v="N"/>
    <s v="AF"/>
    <s v="148"/>
    <s v="231116"/>
    <s v="ELI"/>
    <m/>
    <m/>
    <m/>
    <m/>
    <s v="ORD"/>
    <s v="LOS"/>
    <s v="LOS"/>
    <s v="N"/>
    <s v="B2A-5232"/>
    <s v="ML"/>
    <m/>
    <s v="Failed"/>
    <m/>
    <x v="6"/>
    <s v="Lynka /  Agent inconnu en RCT/prod ok"/>
    <m/>
    <m/>
    <m/>
    <m/>
    <m/>
    <m/>
    <m/>
    <s v="3.1"/>
    <n v="0.5"/>
    <b v="0"/>
    <b v="0"/>
    <b v="0"/>
    <b v="0"/>
    <b v="0"/>
    <s v="No"/>
    <s v="Yes"/>
  </r>
  <r>
    <d v="2023-11-14T00:00:00"/>
    <x v="354"/>
    <s v="DA"/>
    <s v="05705177550002"/>
    <s v="PMC23094KL"/>
    <s v="782.0"/>
    <s v="23"/>
    <s v="4.09"/>
    <s v="Y"/>
    <s v="N"/>
    <s v="AF"/>
    <s v="148"/>
    <s v="231116"/>
    <s v="ECC"/>
    <m/>
    <m/>
    <m/>
    <m/>
    <s v="ORD"/>
    <s v="LOS"/>
    <s v="LOS"/>
    <s v="N"/>
    <s v="B2A-5232"/>
    <s v="ML"/>
    <m/>
    <s v="Failed"/>
    <m/>
    <x v="6"/>
    <s v="Lynka /  Agent inconnu en RCT/prod ok"/>
    <m/>
    <m/>
    <m/>
    <m/>
    <m/>
    <m/>
    <m/>
    <s v="3.1"/>
    <n v="0.5"/>
    <b v="0"/>
    <b v="0"/>
    <b v="0"/>
    <b v="0"/>
    <b v="0"/>
    <s v="No"/>
    <s v="Yes"/>
  </r>
  <r>
    <d v="2023-11-14T00:00:00"/>
    <x v="355"/>
    <s v="BA"/>
    <s v="05705178261001"/>
    <m/>
    <s v="110.0"/>
    <s v="1"/>
    <s v=".34"/>
    <s v="Y"/>
    <s v="N"/>
    <s v="AF"/>
    <s v="568"/>
    <s v="231115"/>
    <s v="ECP"/>
    <s v="EAP"/>
    <m/>
    <m/>
    <m/>
    <s v="SVG"/>
    <s v="CAI"/>
    <s v="CAI"/>
    <s v="N"/>
    <s v="53411"/>
    <m/>
    <m/>
    <m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356"/>
    <s v="BA"/>
    <s v="05705179871001"/>
    <m/>
    <s v="4.3"/>
    <s v="1"/>
    <s v=".02"/>
    <s v="Y"/>
    <s v="N"/>
    <s v="AF"/>
    <s v="404"/>
    <s v="231115"/>
    <s v="XPH"/>
    <m/>
    <m/>
    <m/>
    <m/>
    <s v="LHR"/>
    <s v="FOR"/>
    <s v="FOR"/>
    <s v="N"/>
    <s v="51108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57"/>
    <s v="BA"/>
    <s v="05705179985001"/>
    <m/>
    <s v="75.0"/>
    <s v="1"/>
    <s v=".73"/>
    <s v="Y"/>
    <s v="N"/>
    <s v="AF"/>
    <s v="860"/>
    <s v="231115"/>
    <s v="ELI"/>
    <s v="ECP"/>
    <m/>
    <m/>
    <m/>
    <s v="FRA"/>
    <s v="LFW"/>
    <s v="LFW"/>
    <s v="N"/>
    <s v="T5102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358"/>
    <s v="BA"/>
    <s v="05705181621001"/>
    <m/>
    <s v="330.7"/>
    <s v="1"/>
    <s v="1.22"/>
    <s v="Y"/>
    <s v="N"/>
    <s v="AF"/>
    <s v="152"/>
    <s v="231115"/>
    <s v="ECC"/>
    <s v="HEA"/>
    <m/>
    <m/>
    <m/>
    <s v="OSL"/>
    <s v="BKK"/>
    <s v="BKK"/>
    <s v="N"/>
    <s v="R7301"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58"/>
    <s v="DA"/>
    <s v="05705181621002"/>
    <m/>
    <s v="330.7"/>
    <s v="1"/>
    <s v="1.22"/>
    <s v="Y"/>
    <s v="N"/>
    <s v="AF"/>
    <s v="152"/>
    <s v="231115"/>
    <s v="ECC"/>
    <s v="HEA"/>
    <m/>
    <m/>
    <m/>
    <s v="OSL"/>
    <s v="BKK"/>
    <s v="BKK"/>
    <s v="N"/>
    <s v="S2301"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58"/>
    <s v="FA"/>
    <s v="05705181621003"/>
    <m/>
    <s v="330.7"/>
    <s v="1"/>
    <s v="1.22"/>
    <s v="Y"/>
    <s v="N"/>
    <s v="AF"/>
    <s v="152"/>
    <s v="231115"/>
    <s v="ECC"/>
    <s v="HEA"/>
    <m/>
    <m/>
    <m/>
    <s v="OSL"/>
    <s v="BKK"/>
    <s v="BKK"/>
    <s v="N"/>
    <s v="S8002"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59"/>
    <s v="BA"/>
    <s v="05705184686001"/>
    <m/>
    <s v="246.0"/>
    <s v="1"/>
    <s v="3.30"/>
    <s v="Y"/>
    <s v="N"/>
    <s v="DL"/>
    <s v="8771"/>
    <s v="231115"/>
    <s v="NSC"/>
    <s v="HEA"/>
    <m/>
    <m/>
    <m/>
    <s v="TUN"/>
    <s v="CHS"/>
    <s v="ATL"/>
    <s v="N"/>
    <s v="XLC00"/>
    <m/>
    <m/>
    <s v="Failed"/>
    <m/>
    <x v="3"/>
    <m/>
    <m/>
    <m/>
    <m/>
    <m/>
    <m/>
    <m/>
    <m/>
    <s v="3.1"/>
    <n v="1"/>
    <b v="0"/>
    <b v="0"/>
    <b v="0"/>
    <b v="0"/>
    <b v="0"/>
    <s v="No"/>
    <s v="Yes"/>
  </r>
  <r>
    <d v="2023-11-14T00:00:00"/>
    <x v="360"/>
    <s v="BA"/>
    <s v="05705186742001"/>
    <m/>
    <s v="180.0"/>
    <s v="1"/>
    <s v="1.00"/>
    <s v="Y"/>
    <s v="N"/>
    <s v="AF"/>
    <s v="690M"/>
    <s v="231116"/>
    <s v="ECC"/>
    <s v="HEA"/>
    <m/>
    <m/>
    <m/>
    <s v="EWR"/>
    <s v="OPO"/>
    <s v="OPO"/>
    <s v="N"/>
    <s v="OPO0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61"/>
    <s v="BA"/>
    <s v="05705189004001"/>
    <m/>
    <s v="124.0"/>
    <s v="1"/>
    <s v=".69"/>
    <s v="Y"/>
    <s v="N"/>
    <s v="AF"/>
    <s v="568"/>
    <s v="231115"/>
    <s v="ECP"/>
    <m/>
    <m/>
    <m/>
    <m/>
    <s v="MAD"/>
    <s v="CAI"/>
    <s v="CAI"/>
    <s v="N"/>
    <s v="LLC44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362"/>
    <s v="DA"/>
    <s v="05705189645002"/>
    <m/>
    <s v="150.0"/>
    <s v="1"/>
    <s v=".54"/>
    <s v="Y"/>
    <s v="N"/>
    <s v="AF"/>
    <s v="382"/>
    <s v="231115"/>
    <s v="HEA"/>
    <m/>
    <m/>
    <m/>
    <m/>
    <s v="FRA"/>
    <s v="PEK"/>
    <s v="PEK"/>
    <s v="N"/>
    <s v="Q7104"/>
    <m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362"/>
    <s v="FA"/>
    <s v="05705189645003"/>
    <m/>
    <s v="150.0"/>
    <s v="1"/>
    <s v=".54"/>
    <s v="Y"/>
    <s v="N"/>
    <s v="AF"/>
    <s v="382"/>
    <s v="231115"/>
    <s v="HEA"/>
    <m/>
    <m/>
    <m/>
    <m/>
    <s v="FRA"/>
    <s v="PEK"/>
    <s v="PEK"/>
    <s v="N"/>
    <s v="52409"/>
    <m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363"/>
    <s v="BA"/>
    <s v="05705189914001"/>
    <m/>
    <s v="118.0"/>
    <s v="1"/>
    <s v="1.13"/>
    <s v="N"/>
    <s v="N"/>
    <s v="AF"/>
    <s v="6762"/>
    <s v="231115"/>
    <s v="EAW"/>
    <m/>
    <m/>
    <m/>
    <m/>
    <s v="CDG"/>
    <s v="IST"/>
    <s v="IST"/>
    <s v="N"/>
    <m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363"/>
    <s v="DA"/>
    <s v="05705189914002"/>
    <m/>
    <s v="118.0"/>
    <s v="1"/>
    <s v="1.13"/>
    <s v="N"/>
    <s v="N"/>
    <s v="AF"/>
    <s v="6762"/>
    <s v="231115"/>
    <s v="ECP"/>
    <s v="EAW"/>
    <m/>
    <m/>
    <m/>
    <s v="CDG"/>
    <s v="IST"/>
    <s v="IST"/>
    <s v="N"/>
    <m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364"/>
    <s v="DA"/>
    <s v="05705192412002"/>
    <m/>
    <s v="138.0"/>
    <s v="5"/>
    <s v="2.04"/>
    <s v="Y"/>
    <s v="N"/>
    <s v="AF"/>
    <s v="194"/>
    <s v="231115"/>
    <m/>
    <m/>
    <m/>
    <m/>
    <m/>
    <s v="FRA"/>
    <s v="BLR"/>
    <s v="BLR"/>
    <s v="N"/>
    <s v="P9103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65"/>
    <s v="DA"/>
    <s v="05705196866002"/>
    <m/>
    <s v="530.0"/>
    <s v="1"/>
    <s v="1.12"/>
    <s v="Y"/>
    <s v="N"/>
    <s v="AF"/>
    <s v="008"/>
    <s v="231115"/>
    <s v="HEA"/>
    <m/>
    <m/>
    <m/>
    <m/>
    <s v="FRA"/>
    <s v="JFK"/>
    <s v="JFK"/>
    <s v="N"/>
    <s v="52112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366"/>
    <s v="BA"/>
    <s v="05705202746001"/>
    <m/>
    <s v="28.1"/>
    <s v="1"/>
    <s v=".07"/>
    <s v="Y"/>
    <s v="N"/>
    <s v="AF"/>
    <s v="454"/>
    <s v="231116"/>
    <s v="ECP"/>
    <s v="OHG"/>
    <s v="EAP"/>
    <m/>
    <m/>
    <s v="GRZ"/>
    <s v="GRU"/>
    <s v="GRU"/>
    <s v="N"/>
    <s v="LLC30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366"/>
    <s v="DA"/>
    <s v="05705202746002"/>
    <m/>
    <s v="112.2"/>
    <s v="4"/>
    <s v=".29"/>
    <s v="Y"/>
    <s v="N"/>
    <s v="AF"/>
    <s v="454"/>
    <s v="231116"/>
    <s v="ECP"/>
    <s v="OHG"/>
    <s v="EAP"/>
    <m/>
    <m/>
    <s v="GRZ"/>
    <s v="GRU"/>
    <s v="GRU"/>
    <s v="N"/>
    <s v="Q2101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2"/>
    <s v="DA"/>
    <s v="05705207296002"/>
    <m/>
    <s v="302.0"/>
    <s v="2"/>
    <s v=".85"/>
    <s v="Y"/>
    <s v="N"/>
    <s v="AF"/>
    <s v="178"/>
    <s v="231115"/>
    <s v="HEA"/>
    <m/>
    <m/>
    <m/>
    <m/>
    <s v="SWK"/>
    <s v="MEX"/>
    <s v="MEX"/>
    <s v="N"/>
    <s v="N7103"/>
    <m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367"/>
    <s v="BA"/>
    <s v="05705209186001"/>
    <m/>
    <s v="645.0"/>
    <s v="1"/>
    <s v="4.03"/>
    <s v="Y"/>
    <s v="N"/>
    <s v="AF"/>
    <s v="658M"/>
    <s v="231115"/>
    <s v="HEA"/>
    <m/>
    <m/>
    <m/>
    <m/>
    <s v="YUL"/>
    <s v="VLC"/>
    <s v="VLC"/>
    <s v="N"/>
    <s v="HFE0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68"/>
    <s v="BA"/>
    <s v="05705209665001"/>
    <m/>
    <s v="58.0"/>
    <s v="1"/>
    <s v=".06"/>
    <s v="Y"/>
    <s v="N"/>
    <s v="AF"/>
    <s v="568"/>
    <s v="231116"/>
    <s v="EAP"/>
    <m/>
    <m/>
    <m/>
    <m/>
    <s v="AMS"/>
    <s v="CAI"/>
    <s v="CAI"/>
    <s v="N"/>
    <s v="S9303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369"/>
    <s v="BA"/>
    <s v="05705212620001"/>
    <m/>
    <s v="94.5"/>
    <s v="1"/>
    <s v=".28"/>
    <s v="Y"/>
    <s v="N"/>
    <s v="AF"/>
    <s v="460"/>
    <s v="231116"/>
    <m/>
    <m/>
    <m/>
    <m/>
    <m/>
    <s v="LJU"/>
    <s v="GRU"/>
    <s v="GRU"/>
    <s v="N"/>
    <s v="LO100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69"/>
    <s v="DA"/>
    <s v="05705212620002"/>
    <m/>
    <s v="94.5"/>
    <s v="1"/>
    <s v=".29"/>
    <s v="Y"/>
    <s v="N"/>
    <s v="AF"/>
    <s v="460"/>
    <s v="231116"/>
    <m/>
    <m/>
    <m/>
    <m/>
    <m/>
    <s v="LJU"/>
    <s v="GRU"/>
    <s v="GRU"/>
    <s v="N"/>
    <s v="LO100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69"/>
    <s v="FA"/>
    <s v="05705212620003"/>
    <m/>
    <s v="94.5"/>
    <s v="1"/>
    <s v=".29"/>
    <s v="Y"/>
    <s v="N"/>
    <s v="AF"/>
    <s v="460"/>
    <s v="231116"/>
    <m/>
    <m/>
    <m/>
    <m/>
    <m/>
    <s v="LJU"/>
    <s v="GRU"/>
    <s v="GRU"/>
    <s v="N"/>
    <s v="LO100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69"/>
    <s v="HA"/>
    <s v="05705212620004"/>
    <m/>
    <s v="94.5"/>
    <s v="1"/>
    <s v=".29"/>
    <s v="Y"/>
    <s v="N"/>
    <s v="AF"/>
    <s v="460"/>
    <s v="231116"/>
    <m/>
    <m/>
    <m/>
    <m/>
    <m/>
    <s v="LJU"/>
    <s v="GRU"/>
    <s v="GRU"/>
    <s v="N"/>
    <s v="LO100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70"/>
    <s v="BA"/>
    <s v="05705213014001"/>
    <m/>
    <s v="280.0"/>
    <s v="1"/>
    <s v=".68"/>
    <s v="Y"/>
    <s v="N"/>
    <s v="AF"/>
    <s v="480"/>
    <s v="231116"/>
    <s v="ECP"/>
    <s v="HEA"/>
    <s v="EAP"/>
    <m/>
    <m/>
    <s v="MAA"/>
    <s v="LIM"/>
    <s v="LIM"/>
    <s v="N"/>
    <s v="P6001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370"/>
    <s v="DA"/>
    <s v="05705213014002"/>
    <m/>
    <s v="280.0"/>
    <s v="1"/>
    <s v=".68"/>
    <s v="Y"/>
    <s v="N"/>
    <s v="AF"/>
    <s v="480"/>
    <s v="231116"/>
    <s v="ECP"/>
    <s v="HEA"/>
    <s v="EAP"/>
    <m/>
    <m/>
    <s v="MAA"/>
    <s v="LIM"/>
    <s v="LIM"/>
    <s v="N"/>
    <s v="P8002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371"/>
    <s v="BA"/>
    <s v="05705219594001"/>
    <m/>
    <s v="384.0"/>
    <s v="1"/>
    <s v="2.32"/>
    <s v="Y"/>
    <s v="N"/>
    <s v="DL"/>
    <s v="265"/>
    <s v="231117"/>
    <s v="HEA"/>
    <s v="OHG"/>
    <s v="EAW"/>
    <m/>
    <m/>
    <s v="SWK"/>
    <s v="JFK"/>
    <s v="JFK"/>
    <s v="N"/>
    <s v="XLC0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1"/>
    <s v="BA"/>
    <s v="05705220821001"/>
    <m/>
    <s v="148.0"/>
    <s v="1"/>
    <s v=".94"/>
    <s v="N"/>
    <s v="N"/>
    <s v="AF"/>
    <s v="178"/>
    <s v="231115"/>
    <s v="ECC"/>
    <s v="EAP"/>
    <m/>
    <m/>
    <m/>
    <s v="CDG"/>
    <s v="MEX"/>
    <s v="MEX"/>
    <s v="N"/>
    <s v="LO400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372"/>
    <s v="BA"/>
    <s v="05705224461001"/>
    <s v="PMC1282MP"/>
    <s v="1042.0"/>
    <s v="1"/>
    <s v="3.43"/>
    <s v="Y"/>
    <s v="N"/>
    <s v="AF"/>
    <s v="6724"/>
    <s v="231116"/>
    <s v="HEA"/>
    <m/>
    <m/>
    <m/>
    <m/>
    <s v="LHR"/>
    <s v="NRT"/>
    <s v="NRT"/>
    <s v="N"/>
    <s v="B2A-4722"/>
    <s v="MJ"/>
    <m/>
    <s v="Passed"/>
    <m/>
    <x v="18"/>
    <s v="Lynka Validation by As Is execute / No Change"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72"/>
    <s v="DA"/>
    <s v="05705224461002"/>
    <s v="PMC1282MP"/>
    <s v="1042.0"/>
    <s v="1"/>
    <s v="3.43"/>
    <s v="Y"/>
    <s v="N"/>
    <s v="AF"/>
    <s v="6724"/>
    <s v="231116"/>
    <s v="HEA"/>
    <m/>
    <m/>
    <m/>
    <m/>
    <s v="LHR"/>
    <s v="NRT"/>
    <s v="NRT"/>
    <s v="N"/>
    <s v="B2A-4722"/>
    <s v="MJ"/>
    <m/>
    <s v="Passed"/>
    <m/>
    <x v="18"/>
    <s v="Lynka Validation by As Is execute / No Change"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72"/>
    <s v="FA"/>
    <s v="05705224461003"/>
    <s v="PMC1282MP"/>
    <s v="1042.0"/>
    <s v="1"/>
    <s v="3.43"/>
    <s v="Y"/>
    <s v="N"/>
    <s v="AF"/>
    <s v="6724"/>
    <s v="231116"/>
    <s v="HEA"/>
    <m/>
    <m/>
    <m/>
    <m/>
    <s v="LHR"/>
    <s v="NRT"/>
    <s v="NRT"/>
    <s v="N"/>
    <s v="B2A-4722"/>
    <s v="MJ"/>
    <m/>
    <s v="Passed"/>
    <m/>
    <x v="18"/>
    <s v="Lynka Validation by As Is execute / No Change"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73"/>
    <s v="BA"/>
    <s v="05705231741001"/>
    <m/>
    <s v="137.0"/>
    <s v="1"/>
    <s v=".86"/>
    <s v="Y"/>
    <s v="N"/>
    <s v="AF"/>
    <s v="566"/>
    <s v="231117"/>
    <s v="EAW"/>
    <s v="SPX"/>
    <m/>
    <m/>
    <m/>
    <s v="FRA"/>
    <s v="BEY"/>
    <s v="BEY"/>
    <s v="N"/>
    <s v="N3303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373"/>
    <s v="DA"/>
    <s v="05705231741002"/>
    <m/>
    <s v="137.0"/>
    <s v="1"/>
    <s v=".87"/>
    <s v="Y"/>
    <s v="N"/>
    <s v="AF"/>
    <s v="566"/>
    <s v="231117"/>
    <s v="EAW"/>
    <s v="SPX"/>
    <m/>
    <m/>
    <m/>
    <s v="FRA"/>
    <s v="BEY"/>
    <s v="BEY"/>
    <s v="N"/>
    <s v="N2103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374"/>
    <s v="BA"/>
    <s v="05705232371001"/>
    <s v="PMC24887KL"/>
    <s v="150.0"/>
    <s v="1"/>
    <s v=".57"/>
    <s v="Y"/>
    <s v="N"/>
    <s v="AF"/>
    <s v="470M"/>
    <s v="231115"/>
    <s v="ECC"/>
    <s v="HEA"/>
    <s v="EAP"/>
    <m/>
    <m/>
    <s v="IAD"/>
    <s v="HEL"/>
    <s v="MMX"/>
    <s v="N"/>
    <s v="B2C-5835"/>
    <s v="ML"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375"/>
    <s v="BA"/>
    <s v="05705239312001"/>
    <s v="PMC65822AF"/>
    <s v="544.0"/>
    <s v="2"/>
    <s v="7.18"/>
    <s v="Y"/>
    <s v="N"/>
    <s v="AF"/>
    <s v="6734"/>
    <s v="231117"/>
    <s v="ECC"/>
    <s v="HEA"/>
    <s v="EAW"/>
    <m/>
    <m/>
    <s v="ORK"/>
    <s v="ORD"/>
    <s v="ORD"/>
    <s v="N"/>
    <s v="B2C-6041"/>
    <s v="MJ"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75"/>
    <s v="DA"/>
    <s v="05705239312002"/>
    <s v="PMC72926AF"/>
    <s v="544.0"/>
    <s v="2"/>
    <s v="7.18"/>
    <s v="Y"/>
    <s v="N"/>
    <s v="AF"/>
    <s v="6734"/>
    <s v="231117"/>
    <s v="ECC"/>
    <s v="HEA"/>
    <s v="EAW"/>
    <m/>
    <m/>
    <s v="ORK"/>
    <s v="ORD"/>
    <s v="ORD"/>
    <s v="N"/>
    <s v="B1B-2739"/>
    <s v="MJ"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75"/>
    <s v="FA"/>
    <s v="05705239312003"/>
    <s v="PMC76363AF"/>
    <s v="544.0"/>
    <s v="2"/>
    <s v="7.18"/>
    <s v="Y"/>
    <s v="N"/>
    <s v="AF"/>
    <s v="6734"/>
    <s v="231117"/>
    <s v="ECC"/>
    <s v="HEA"/>
    <s v="EAW"/>
    <m/>
    <m/>
    <s v="ORK"/>
    <s v="ORD"/>
    <s v="ORD"/>
    <s v="N"/>
    <s v="B2C-5736"/>
    <s v="MJ"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76"/>
    <s v="BA"/>
    <s v="05705239872001"/>
    <m/>
    <s v="1.0"/>
    <s v="1"/>
    <s v=".01"/>
    <s v="N"/>
    <s v="N"/>
    <s v="AF"/>
    <s v="670"/>
    <s v="231115"/>
    <s v="ECP"/>
    <s v="XPS"/>
    <s v="EAP"/>
    <m/>
    <m/>
    <s v="CDG"/>
    <s v="JIB"/>
    <s v="JIB"/>
    <s v="N"/>
    <s v="XR000"/>
    <m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377"/>
    <s v="BA"/>
    <s v="05705242823001"/>
    <m/>
    <s v="280.0"/>
    <s v="1"/>
    <s v="1.68"/>
    <s v="Y"/>
    <s v="N"/>
    <s v="AF"/>
    <s v="174"/>
    <s v="231115"/>
    <s v="HEA"/>
    <m/>
    <m/>
    <m/>
    <m/>
    <s v="MAD"/>
    <s v="MEX"/>
    <s v="MEX"/>
    <s v="N"/>
    <s v="52105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377"/>
    <s v="DA"/>
    <s v="05705242823002"/>
    <m/>
    <s v="280.0"/>
    <s v="1"/>
    <s v="1.68"/>
    <s v="Y"/>
    <s v="N"/>
    <s v="AF"/>
    <s v="174"/>
    <s v="231115"/>
    <s v="HEA"/>
    <m/>
    <m/>
    <m/>
    <m/>
    <s v="MAD"/>
    <s v="MEX"/>
    <s v="MEX"/>
    <s v="N"/>
    <s v="N8104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378"/>
    <s v="BA"/>
    <s v="05705243980001"/>
    <s v="AKE03637AF"/>
    <s v="164.0"/>
    <s v="1"/>
    <s v="1.10"/>
    <s v="Y"/>
    <s v="N"/>
    <s v="AF"/>
    <s v="712"/>
    <s v="231116"/>
    <s v="NCC"/>
    <s v="HEA"/>
    <m/>
    <m/>
    <m/>
    <s v="YUL"/>
    <s v="ABJ"/>
    <s v="ABJ"/>
    <s v="N"/>
    <s v="RCD-0000"/>
    <s v="KE"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378"/>
    <s v="DA"/>
    <s v="05705243980002"/>
    <s v="AKE04200AF"/>
    <s v="164.0"/>
    <s v="1"/>
    <s v="1.10"/>
    <s v="Y"/>
    <s v="N"/>
    <s v="AF"/>
    <s v="712"/>
    <s v="231116"/>
    <s v="NCC"/>
    <s v="HEA"/>
    <m/>
    <m/>
    <m/>
    <s v="YUL"/>
    <s v="ABJ"/>
    <s v="ABJ"/>
    <s v="N"/>
    <s v="RCD-0000"/>
    <s v="KE"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379"/>
    <s v="BA"/>
    <s v="05705244061001"/>
    <m/>
    <s v="119.7"/>
    <s v="1"/>
    <s v=".91"/>
    <s v="Y"/>
    <s v="N"/>
    <s v="AF"/>
    <s v="990"/>
    <s v="231116"/>
    <s v="EAW"/>
    <m/>
    <m/>
    <m/>
    <m/>
    <s v="SFO"/>
    <s v="JNB"/>
    <s v="JNB"/>
    <s v="N"/>
    <s v="R63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80"/>
    <s v="BA"/>
    <s v="05705244875001"/>
    <m/>
    <s v="284.0"/>
    <s v="2"/>
    <s v=".51"/>
    <s v="Y"/>
    <s v="N"/>
    <s v="AF"/>
    <s v="174"/>
    <s v="231117"/>
    <s v="ECP"/>
    <s v="EAP"/>
    <m/>
    <m/>
    <m/>
    <s v="OSL"/>
    <s v="MEX"/>
    <s v="MEX"/>
    <s v="N"/>
    <s v="53003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81"/>
    <s v="BA"/>
    <s v="05705245822001"/>
    <m/>
    <s v="140.0"/>
    <s v="1"/>
    <s v=".60"/>
    <s v="Y"/>
    <s v="N"/>
    <s v="DL"/>
    <s v="265"/>
    <s v="231117"/>
    <s v="OHG"/>
    <m/>
    <m/>
    <m/>
    <m/>
    <s v="SWK"/>
    <s v="JFK"/>
    <s v="JFK"/>
    <s v="N"/>
    <s v="LLC54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82"/>
    <s v="BA"/>
    <s v="05705257630001"/>
    <m/>
    <s v="110.0"/>
    <s v="10"/>
    <s v=".65"/>
    <s v="Y"/>
    <s v="N"/>
    <s v="AF"/>
    <s v="356"/>
    <s v="231116"/>
    <s v="ECC"/>
    <s v="EAP"/>
    <m/>
    <m/>
    <m/>
    <s v="TUN"/>
    <s v="YYZ"/>
    <s v="YYZ"/>
    <s v="N"/>
    <s v="P2102"/>
    <m/>
    <m/>
    <s v="Passed"/>
    <m/>
    <x v="5"/>
    <m/>
    <m/>
    <m/>
    <m/>
    <m/>
    <m/>
    <m/>
    <m/>
    <s v="3.1"/>
    <n v="1"/>
    <b v="0"/>
    <b v="0"/>
    <b v="0"/>
    <b v="0"/>
    <b v="0"/>
    <s v="No"/>
    <s v="Yes"/>
  </r>
  <r>
    <d v="2023-11-14T00:00:00"/>
    <x v="383"/>
    <s v="BA"/>
    <s v="05705258691001"/>
    <s v="PAG15646KL"/>
    <s v="397.5"/>
    <s v="1"/>
    <s v=".24"/>
    <s v="Y"/>
    <s v="N"/>
    <s v="AF"/>
    <s v="084"/>
    <s v="231117"/>
    <s v="ECC"/>
    <s v="HEA"/>
    <s v="EAP"/>
    <m/>
    <m/>
    <s v="WAW"/>
    <s v="SFO"/>
    <s v="SFO"/>
    <s v="N"/>
    <s v="B2A-5331"/>
    <s v="A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83"/>
    <s v="DA"/>
    <s v="05705258691002"/>
    <s v="PMC63796AF"/>
    <s v="397.5"/>
    <s v="1"/>
    <s v=".24"/>
    <s v="Y"/>
    <s v="N"/>
    <s v="AF"/>
    <s v="084"/>
    <s v="231117"/>
    <s v="ECC"/>
    <s v="HEA"/>
    <s v="EAP"/>
    <m/>
    <m/>
    <s v="WAW"/>
    <s v="SFO"/>
    <s v="SFO"/>
    <s v="N"/>
    <s v="B1C-2234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83"/>
    <s v="FA"/>
    <s v="05705258691003"/>
    <s v="PMC63796AF"/>
    <s v="397.5"/>
    <s v="1"/>
    <s v=".24"/>
    <s v="Y"/>
    <s v="N"/>
    <s v="AF"/>
    <s v="084"/>
    <s v="231117"/>
    <s v="ECC"/>
    <s v="HEA"/>
    <s v="EAP"/>
    <m/>
    <m/>
    <s v="WAW"/>
    <s v="SFO"/>
    <s v="SFO"/>
    <s v="N"/>
    <s v="B1C-2234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83"/>
    <s v="HA"/>
    <s v="05705258691004"/>
    <s v="PMC63796AF"/>
    <s v="397.5"/>
    <s v="1"/>
    <s v=".24"/>
    <s v="Y"/>
    <s v="N"/>
    <s v="AF"/>
    <s v="084"/>
    <s v="231117"/>
    <s v="ECC"/>
    <s v="HEA"/>
    <s v="EAP"/>
    <m/>
    <m/>
    <s v="WAW"/>
    <s v="SFO"/>
    <s v="SFO"/>
    <s v="N"/>
    <s v="B1C-2234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84"/>
    <s v="BA"/>
    <s v="05705263871001"/>
    <s v="PAG12470AF"/>
    <s v="513.7"/>
    <s v="2"/>
    <s v="3.08"/>
    <s v="Y"/>
    <s v="N"/>
    <s v="AF"/>
    <s v="454"/>
    <s v="231115"/>
    <s v="HEA"/>
    <m/>
    <m/>
    <m/>
    <m/>
    <s v="BRU"/>
    <s v="GRU"/>
    <s v="GRU"/>
    <s v="N"/>
    <s v="B2A-5322"/>
    <s v="A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84"/>
    <s v="DA"/>
    <s v="05705263871002"/>
    <s v="PAG12470AF"/>
    <s v="513.8"/>
    <s v="2"/>
    <s v="3.08"/>
    <s v="Y"/>
    <s v="N"/>
    <s v="AF"/>
    <s v="454"/>
    <s v="231115"/>
    <s v="HEA"/>
    <m/>
    <m/>
    <m/>
    <m/>
    <s v="BRU"/>
    <s v="GRU"/>
    <s v="GRU"/>
    <s v="N"/>
    <s v="B2A-5322"/>
    <s v="A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84"/>
    <s v="FA"/>
    <s v="05705263871003"/>
    <s v="PAG12470AF"/>
    <s v="513.8"/>
    <s v="2"/>
    <s v="3.08"/>
    <s v="Y"/>
    <s v="N"/>
    <s v="AF"/>
    <s v="454"/>
    <s v="231115"/>
    <s v="HEA"/>
    <m/>
    <m/>
    <m/>
    <m/>
    <s v="BRU"/>
    <s v="GRU"/>
    <s v="GRU"/>
    <s v="N"/>
    <s v="B2A-5322"/>
    <s v="A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84"/>
    <s v="HA"/>
    <s v="05705263871004"/>
    <s v="PAG12470AF"/>
    <s v="513.8"/>
    <s v="2"/>
    <s v="3.08"/>
    <s v="Y"/>
    <s v="N"/>
    <s v="AF"/>
    <s v="454"/>
    <s v="231115"/>
    <s v="HEA"/>
    <m/>
    <m/>
    <m/>
    <m/>
    <s v="BRU"/>
    <s v="GRU"/>
    <s v="GRU"/>
    <s v="N"/>
    <s v="B2A-5322"/>
    <s v="A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385"/>
    <s v="BA"/>
    <s v="05705266995001"/>
    <m/>
    <s v="107.6"/>
    <s v="1"/>
    <s v=".94"/>
    <s v="Y"/>
    <s v="N"/>
    <s v="AF"/>
    <s v="990"/>
    <s v="231116"/>
    <s v="EAP"/>
    <m/>
    <m/>
    <m/>
    <m/>
    <s v="ATL"/>
    <s v="JNB"/>
    <s v="JNB"/>
    <s v="N"/>
    <s v="R7403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86"/>
    <s v="BA"/>
    <s v="05705268093001"/>
    <m/>
    <s v="217.0"/>
    <s v="1"/>
    <s v=".36"/>
    <s v="Y"/>
    <s v="N"/>
    <s v="AF"/>
    <s v="990"/>
    <s v="231117"/>
    <s v="ECC"/>
    <s v="HEA"/>
    <s v="EAP"/>
    <m/>
    <m/>
    <s v="LAX"/>
    <s v="JNB"/>
    <s v="JNB"/>
    <s v="N"/>
    <s v="R8304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386"/>
    <s v="DA"/>
    <s v="05705268093002"/>
    <m/>
    <s v="217.0"/>
    <s v="1"/>
    <s v=".36"/>
    <s v="Y"/>
    <s v="N"/>
    <s v="AF"/>
    <s v="990"/>
    <s v="231117"/>
    <s v="ECC"/>
    <s v="HEA"/>
    <s v="EAP"/>
    <m/>
    <m/>
    <s v="LAX"/>
    <s v="JNB"/>
    <s v="JNB"/>
    <s v="N"/>
    <s v="R9301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387"/>
    <s v="BA"/>
    <s v="05705268126001"/>
    <m/>
    <s v="605.3"/>
    <s v="1"/>
    <s v="1.13"/>
    <s v="Y"/>
    <s v="N"/>
    <s v="AF"/>
    <s v="928"/>
    <s v="231119"/>
    <s v="PRC"/>
    <s v="ECP"/>
    <s v="HEA"/>
    <m/>
    <m/>
    <s v="IAH"/>
    <s v="PNR"/>
    <s v="PNR"/>
    <s v="N"/>
    <s v="S2003"/>
    <m/>
    <m/>
    <s v="Passed"/>
    <m/>
    <x v="5"/>
    <m/>
    <m/>
    <m/>
    <m/>
    <m/>
    <m/>
    <m/>
    <m/>
    <s v="3.1"/>
    <n v="0.5"/>
    <b v="0"/>
    <b v="0"/>
    <b v="0"/>
    <b v="0"/>
    <b v="0"/>
    <s v="No"/>
    <s v="Yes"/>
  </r>
  <r>
    <d v="2023-11-14T00:00:00"/>
    <x v="387"/>
    <s v="DA"/>
    <s v="05705268126002"/>
    <m/>
    <s v="605.3"/>
    <s v="1"/>
    <s v="1.13"/>
    <s v="Y"/>
    <s v="N"/>
    <s v="AF"/>
    <s v="928"/>
    <s v="231119"/>
    <s v="PRC"/>
    <s v="ECP"/>
    <s v="HEA"/>
    <m/>
    <m/>
    <s v="IAH"/>
    <s v="PNR"/>
    <s v="PNR"/>
    <s v="N"/>
    <s v="T3003"/>
    <m/>
    <m/>
    <s v="Passed"/>
    <m/>
    <x v="5"/>
    <m/>
    <m/>
    <m/>
    <m/>
    <m/>
    <m/>
    <m/>
    <m/>
    <s v="3.1"/>
    <n v="0.5"/>
    <b v="0"/>
    <b v="0"/>
    <b v="0"/>
    <b v="0"/>
    <b v="0"/>
    <s v="No"/>
    <s v="Yes"/>
  </r>
  <r>
    <d v="2023-11-14T00:00:00"/>
    <x v="388"/>
    <s v="BA"/>
    <s v="05705270226001"/>
    <m/>
    <s v="142.0"/>
    <s v="1"/>
    <s v="1.54"/>
    <s v="Y"/>
    <s v="N"/>
    <s v="AF"/>
    <s v="702"/>
    <s v="231115"/>
    <s v="COL"/>
    <s v="PIL"/>
    <s v="VIC"/>
    <s v="ECC"/>
    <s v="EAW"/>
    <s v="ORD"/>
    <s v="ABJ"/>
    <s v="ABJ"/>
    <s v="N"/>
    <s v="FR317"/>
    <m/>
    <m/>
    <s v="Passed"/>
    <m/>
    <x v="5"/>
    <m/>
    <m/>
    <m/>
    <m/>
    <m/>
    <m/>
    <m/>
    <m/>
    <s v="3.1"/>
    <n v="1"/>
    <b v="0"/>
    <b v="0"/>
    <b v="0"/>
    <b v="0"/>
    <b v="0"/>
    <s v="No"/>
    <s v="Yes"/>
  </r>
  <r>
    <d v="2023-11-14T00:00:00"/>
    <x v="389"/>
    <s v="BA"/>
    <s v="05705274172001"/>
    <m/>
    <s v="85.0"/>
    <s v="1"/>
    <s v=".45"/>
    <s v="Y"/>
    <s v="N"/>
    <s v="AF"/>
    <s v="454"/>
    <s v="231116"/>
    <s v="ECP"/>
    <s v="EAP"/>
    <m/>
    <m/>
    <m/>
    <s v="KTW"/>
    <s v="GRU"/>
    <s v="GRU"/>
    <s v="N"/>
    <s v="Q30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90"/>
    <s v="BA"/>
    <s v="05705279061001"/>
    <m/>
    <s v="159.0"/>
    <s v="1"/>
    <s v=".86"/>
    <s v="Y"/>
    <s v="N"/>
    <s v="AF"/>
    <s v="690M"/>
    <s v="231116"/>
    <s v="ECC"/>
    <s v="HEA"/>
    <s v="EAW"/>
    <m/>
    <m/>
    <s v="JFK"/>
    <s v="LIS"/>
    <s v="LIS"/>
    <s v="N"/>
    <s v="17305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91"/>
    <s v="BA"/>
    <s v="05705279503001"/>
    <s v="PMC24887KL"/>
    <s v="116.0"/>
    <s v="1"/>
    <s v=".53"/>
    <s v="Y"/>
    <s v="N"/>
    <s v="AF"/>
    <s v="470M"/>
    <s v="231115"/>
    <s v="ECC"/>
    <s v="EAP"/>
    <m/>
    <m/>
    <m/>
    <s v="DFW"/>
    <s v="MMX"/>
    <s v="MMX"/>
    <s v="N"/>
    <s v="B2C-5835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92"/>
    <s v="BA"/>
    <s v="05705285744001"/>
    <s v="PAG15593KL"/>
    <s v="300.0"/>
    <s v="1"/>
    <s v="1.00"/>
    <s v="Y"/>
    <s v="N"/>
    <s v="DL"/>
    <s v="263"/>
    <s v="231115"/>
    <s v="HEA"/>
    <m/>
    <m/>
    <m/>
    <m/>
    <s v="BUD"/>
    <s v="JFK"/>
    <s v="JFK"/>
    <s v="N"/>
    <s v="NCX-4517"/>
    <s v="A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93"/>
    <s v="BA"/>
    <s v="05705290390001"/>
    <m/>
    <s v="256.0"/>
    <s v="1"/>
    <s v="1.10"/>
    <s v="Y"/>
    <s v="N"/>
    <s v="AF"/>
    <s v="178"/>
    <s v="231115"/>
    <s v="ECC"/>
    <s v="HEA"/>
    <s v="EAP"/>
    <m/>
    <m/>
    <s v="STR"/>
    <s v="MEX"/>
    <s v="MEX"/>
    <s v="N"/>
    <s v="P53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94"/>
    <s v="BA"/>
    <s v="05705290445001"/>
    <m/>
    <s v="103.0"/>
    <s v="2"/>
    <s v="1.34"/>
    <s v="Y"/>
    <s v="N"/>
    <s v="DL"/>
    <s v="8771"/>
    <s v="231115"/>
    <s v="ECC"/>
    <s v="EAW"/>
    <m/>
    <m/>
    <m/>
    <s v="TLS"/>
    <s v="ATL"/>
    <s v="ATL"/>
    <s v="N"/>
    <s v="N6003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95"/>
    <s v="BA"/>
    <s v="05705290526001"/>
    <s v="PAG15646KL"/>
    <s v="179.0"/>
    <s v="1"/>
    <s v="1.02"/>
    <s v="Y"/>
    <s v="N"/>
    <s v="AF"/>
    <s v="084"/>
    <s v="231117"/>
    <s v="HEA"/>
    <m/>
    <m/>
    <m/>
    <m/>
    <s v="BCN"/>
    <s v="SFO"/>
    <s v="SFO"/>
    <s v="N"/>
    <s v="B2A-5331"/>
    <s v="AL"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95"/>
    <s v="DA"/>
    <s v="05705290526002"/>
    <s v="PAG15646KL"/>
    <s v="179.0"/>
    <s v="1"/>
    <s v="1.02"/>
    <s v="Y"/>
    <s v="N"/>
    <s v="AF"/>
    <s v="084"/>
    <s v="231117"/>
    <s v="HEA"/>
    <m/>
    <m/>
    <m/>
    <m/>
    <s v="BCN"/>
    <s v="SFO"/>
    <s v="SFO"/>
    <s v="N"/>
    <s v="B2A-5331"/>
    <s v="AL"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95"/>
    <s v="FA"/>
    <s v="05705290526003"/>
    <m/>
    <s v="179.0"/>
    <s v="1"/>
    <s v="1.02"/>
    <s v="Y"/>
    <s v="N"/>
    <s v="AF"/>
    <s v="084"/>
    <s v="231117"/>
    <s v="HEA"/>
    <m/>
    <m/>
    <m/>
    <m/>
    <s v="BCN"/>
    <s v="SFO"/>
    <s v="SFO"/>
    <s v="N"/>
    <s v="HFI101"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96"/>
    <s v="BA"/>
    <s v="05705292954001"/>
    <m/>
    <s v="390.0"/>
    <s v="1"/>
    <s v=".83"/>
    <s v="Y"/>
    <s v="N"/>
    <s v="AF"/>
    <s v="084"/>
    <s v="231115"/>
    <s v="HEA"/>
    <m/>
    <m/>
    <m/>
    <m/>
    <s v="VLC"/>
    <s v="SFO"/>
    <s v="SFO"/>
    <s v="N"/>
    <s v="M5303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97"/>
    <s v="BA"/>
    <s v="05705294026001"/>
    <m/>
    <s v="202.7"/>
    <s v="1"/>
    <s v="1.22"/>
    <s v="Y"/>
    <s v="N"/>
    <s v="AF"/>
    <s v="718"/>
    <s v="231115"/>
    <s v="ECC"/>
    <s v="HEA"/>
    <m/>
    <m/>
    <m/>
    <s v="MLH"/>
    <s v="DSS"/>
    <s v="DSS"/>
    <s v="N"/>
    <m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97"/>
    <s v="DA"/>
    <s v="05705294026002"/>
    <m/>
    <s v="202.7"/>
    <s v="1"/>
    <s v="1.22"/>
    <s v="Y"/>
    <s v="N"/>
    <s v="AF"/>
    <s v="718"/>
    <s v="231115"/>
    <s v="ECC"/>
    <s v="HEA"/>
    <m/>
    <m/>
    <m/>
    <s v="MLH"/>
    <s v="DSS"/>
    <s v="DSS"/>
    <s v="N"/>
    <s v="AXB00"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97"/>
    <s v="FA"/>
    <s v="05705294026003"/>
    <m/>
    <s v="202.7"/>
    <s v="1"/>
    <s v="1.22"/>
    <s v="Y"/>
    <s v="N"/>
    <s v="AF"/>
    <s v="718"/>
    <s v="231115"/>
    <s v="ECC"/>
    <s v="HEA"/>
    <m/>
    <m/>
    <m/>
    <s v="MLH"/>
    <s v="DSS"/>
    <s v="DSS"/>
    <s v="N"/>
    <m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98"/>
    <s v="BA"/>
    <s v="05705294494001"/>
    <m/>
    <s v="465.0"/>
    <s v="1"/>
    <s v="1.28"/>
    <s v="Y"/>
    <s v="N"/>
    <s v="AF"/>
    <s v="712"/>
    <s v="231116"/>
    <s v="HEA"/>
    <m/>
    <m/>
    <m/>
    <m/>
    <s v="AMS"/>
    <s v="ABJ"/>
    <s v="ABJ"/>
    <s v="N"/>
    <s v="R2001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399"/>
    <s v="BA"/>
    <s v="05705301203001"/>
    <s v="PMC21438MP"/>
    <s v="1289.8"/>
    <s v="6"/>
    <s v="5.16"/>
    <s v="Y"/>
    <s v="N"/>
    <s v="AF"/>
    <s v="012"/>
    <s v="231115"/>
    <s v="ELI"/>
    <s v="ELM"/>
    <s v="HEA"/>
    <m/>
    <m/>
    <s v="AMS"/>
    <s v="JFK"/>
    <s v="JFK"/>
    <s v="N"/>
    <s v="NCX-4516"/>
    <s v="ML"/>
    <m/>
    <s v="Passed"/>
    <m/>
    <x v="5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399"/>
    <s v="FA"/>
    <s v="05705301203003"/>
    <m/>
    <s v="630.2"/>
    <s v="2"/>
    <s v="1.72"/>
    <s v="Y"/>
    <s v="N"/>
    <s v="AF"/>
    <s v="004"/>
    <s v="231115"/>
    <s v="ELI"/>
    <s v="ELM"/>
    <s v="HEA"/>
    <m/>
    <m/>
    <s v="AMS"/>
    <s v="JFK"/>
    <s v="JFK"/>
    <s v="N"/>
    <s v="LO100"/>
    <m/>
    <m/>
    <s v="Passed"/>
    <m/>
    <x v="5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399"/>
    <s v="HA"/>
    <s v="05705301203004"/>
    <s v="PMC28642KL"/>
    <s v="1289.8"/>
    <s v="6"/>
    <s v="5.16"/>
    <s v="Y"/>
    <s v="N"/>
    <s v="AF"/>
    <s v="004"/>
    <s v="231115"/>
    <s v="ELI"/>
    <s v="ELM"/>
    <s v="HEA"/>
    <m/>
    <m/>
    <s v="AMS"/>
    <s v="JFK"/>
    <s v="JFK"/>
    <s v="N"/>
    <s v="NCX-4520"/>
    <s v="ML"/>
    <m/>
    <s v="Passed"/>
    <m/>
    <x v="5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399"/>
    <s v="RA"/>
    <s v="05705301203009"/>
    <m/>
    <s v="630.2"/>
    <s v="2"/>
    <s v="1.72"/>
    <s v="Y"/>
    <s v="N"/>
    <s v="AF"/>
    <s v="004"/>
    <s v="231115"/>
    <s v="ELI"/>
    <s v="ELM"/>
    <s v="HEA"/>
    <m/>
    <m/>
    <s v="AMS"/>
    <s v="JFK"/>
    <s v="JFK"/>
    <s v="N"/>
    <s v="LO100"/>
    <m/>
    <m/>
    <s v="Passed"/>
    <m/>
    <x v="5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399"/>
    <s v="TA"/>
    <s v="05705301203010"/>
    <m/>
    <s v="315.1"/>
    <s v="1"/>
    <s v=".86"/>
    <s v="Y"/>
    <s v="N"/>
    <s v="AF"/>
    <s v="004"/>
    <s v="231115"/>
    <s v="ELI"/>
    <s v="ELM"/>
    <s v="HEA"/>
    <m/>
    <m/>
    <s v="AMS"/>
    <s v="JFK"/>
    <s v="JFK"/>
    <s v="N"/>
    <s v="LO100"/>
    <m/>
    <m/>
    <s v="Passed"/>
    <m/>
    <x v="5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399"/>
    <s v="VA"/>
    <s v="05705301203011"/>
    <m/>
    <s v="315.1"/>
    <s v="1"/>
    <s v=".86"/>
    <s v="Y"/>
    <s v="N"/>
    <s v="AF"/>
    <s v="004"/>
    <s v="231115"/>
    <s v="ELI"/>
    <s v="ELM"/>
    <s v="HEA"/>
    <m/>
    <m/>
    <s v="AMS"/>
    <s v="JFK"/>
    <s v="JFK"/>
    <s v="N"/>
    <m/>
    <m/>
    <m/>
    <s v="Passed"/>
    <m/>
    <x v="5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400"/>
    <s v="BA"/>
    <s v="05705303616001"/>
    <m/>
    <s v="23.0"/>
    <s v="1"/>
    <s v=".57"/>
    <s v="Y"/>
    <s v="N"/>
    <s v="AF"/>
    <s v="400M"/>
    <s v="231116"/>
    <s v="EAP"/>
    <m/>
    <m/>
    <m/>
    <m/>
    <s v="ATL"/>
    <s v="VIE"/>
    <s v="VIE"/>
    <s v="N"/>
    <s v="164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01"/>
    <s v="BA"/>
    <s v="05705309931001"/>
    <m/>
    <s v="130.0"/>
    <s v="1"/>
    <s v="2.52"/>
    <s v="N"/>
    <s v="N"/>
    <s v="AF"/>
    <s v="178"/>
    <s v="231116"/>
    <s v="SPX"/>
    <m/>
    <m/>
    <m/>
    <m/>
    <s v="CDG"/>
    <s v="MEX"/>
    <s v="MEX"/>
    <s v="N"/>
    <s v="XLC20"/>
    <m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402"/>
    <s v="BA"/>
    <s v="05705310200001"/>
    <m/>
    <s v="106.0"/>
    <s v="1"/>
    <s v=".56"/>
    <s v="Y"/>
    <s v="N"/>
    <s v="AF"/>
    <s v="132"/>
    <s v="231117"/>
    <s v="EAP"/>
    <m/>
    <m/>
    <m/>
    <m/>
    <s v="FRA"/>
    <s v="DFW"/>
    <s v="DFW"/>
    <s v="N"/>
    <s v="200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03"/>
    <s v="BA"/>
    <s v="05705316415001"/>
    <m/>
    <s v="109.9"/>
    <s v="2"/>
    <s v=".37"/>
    <s v="Y"/>
    <s v="N"/>
    <s v="AF"/>
    <s v="178"/>
    <s v="231115"/>
    <m/>
    <m/>
    <m/>
    <m/>
    <m/>
    <s v="FRA"/>
    <s v="MEX"/>
    <s v="MEX"/>
    <s v="N"/>
    <s v="P44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04"/>
    <s v="BA"/>
    <s v="05705325585001"/>
    <s v="AKH00401AF"/>
    <s v=".6"/>
    <s v="1"/>
    <s v=".02"/>
    <s v="N"/>
    <s v="N"/>
    <s v="AF"/>
    <s v="1532"/>
    <s v="231115"/>
    <s v="RMD"/>
    <s v="ECC"/>
    <s v="XPS"/>
    <s v="EAP"/>
    <m/>
    <s v="CDG"/>
    <s v="ATH"/>
    <s v="ATH"/>
    <s v="N"/>
    <s v="HUBEXPRESS"/>
    <m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405"/>
    <s v="BA"/>
    <s v="05705329553001"/>
    <s v="PMC64825AF"/>
    <s v="450.0"/>
    <s v="5"/>
    <s v="6.02"/>
    <s v="Y"/>
    <s v="N"/>
    <s v="AF"/>
    <s v="062"/>
    <s v="231115"/>
    <s v="ECC"/>
    <m/>
    <m/>
    <m/>
    <m/>
    <s v="MRS"/>
    <s v="EWR"/>
    <s v="EWR"/>
    <s v="N"/>
    <s v="B2A-4942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06"/>
    <s v="BA"/>
    <s v="05705331933001"/>
    <m/>
    <s v="192.0"/>
    <s v="1"/>
    <s v="1.54"/>
    <s v="Y"/>
    <s v="N"/>
    <s v="AF"/>
    <s v="804"/>
    <s v="231116"/>
    <s v="HEA"/>
    <m/>
    <m/>
    <m/>
    <m/>
    <s v="LHR"/>
    <s v="COO"/>
    <s v="COO"/>
    <s v="N"/>
    <s v="S1002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407"/>
    <s v="BA"/>
    <s v="05705334770001"/>
    <m/>
    <s v="111.1"/>
    <s v="1"/>
    <s v=".64"/>
    <s v="Y"/>
    <s v="N"/>
    <s v="AF"/>
    <s v="400M"/>
    <s v="231116"/>
    <s v="ECC"/>
    <s v="EAW"/>
    <m/>
    <m/>
    <m/>
    <s v="BOS"/>
    <s v="BUD"/>
    <s v="BUD"/>
    <s v="N"/>
    <s v="HFE0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08"/>
    <s v="BA"/>
    <s v="05705351776001"/>
    <m/>
    <s v="7.0"/>
    <s v="4"/>
    <s v=".05"/>
    <s v="N"/>
    <s v="N"/>
    <s v="AF"/>
    <s v="090"/>
    <s v="231115"/>
    <s v="ECP"/>
    <s v="XPS"/>
    <s v="EAW"/>
    <m/>
    <m/>
    <s v="CDG"/>
    <s v="UIO"/>
    <s v="MIA"/>
    <s v="N"/>
    <s v="M7402"/>
    <m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409"/>
    <s v="BA"/>
    <s v="05705434214001"/>
    <m/>
    <s v="172.0"/>
    <s v="7"/>
    <s v="2.02"/>
    <s v="Y"/>
    <s v="N"/>
    <s v="AF"/>
    <s v="6724"/>
    <s v="231116"/>
    <m/>
    <m/>
    <m/>
    <m/>
    <m/>
    <s v="CMN"/>
    <s v="NRT"/>
    <s v="NRT"/>
    <s v="N"/>
    <s v="LO100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410"/>
    <s v="BA"/>
    <s v="05705541362001"/>
    <m/>
    <s v="308.0"/>
    <s v="2"/>
    <s v=".90"/>
    <s v="Y"/>
    <s v="N"/>
    <s v="AF"/>
    <s v="454"/>
    <s v="231116"/>
    <s v="ECP"/>
    <s v="HEA"/>
    <s v="EAP"/>
    <m/>
    <m/>
    <s v="NRT"/>
    <s v="GRU"/>
    <s v="GRU"/>
    <s v="N"/>
    <s v="LLC0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11"/>
    <s v="BA"/>
    <s v="05705983143001"/>
    <m/>
    <s v="574.0"/>
    <s v="1"/>
    <s v=".68"/>
    <s v="Y"/>
    <s v="N"/>
    <s v="AF"/>
    <s v="136"/>
    <s v="231117"/>
    <s v="ECC"/>
    <s v="HEA"/>
    <s v="EAP"/>
    <m/>
    <m/>
    <s v="HEL"/>
    <s v="ORD"/>
    <s v="ORD"/>
    <s v="N"/>
    <s v="LGI00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412"/>
    <s v="BA"/>
    <s v="05708125880001"/>
    <m/>
    <s v="183.5"/>
    <s v="1"/>
    <s v=".86"/>
    <s v="Y"/>
    <s v="N"/>
    <s v="AF"/>
    <s v="568"/>
    <s v="231115"/>
    <s v="ECP"/>
    <s v="HEA"/>
    <s v="EAP"/>
    <m/>
    <m/>
    <s v="LAX"/>
    <s v="CAI"/>
    <s v="CAI"/>
    <s v="N"/>
    <s v="64311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412"/>
    <s v="DA"/>
    <s v="05708125880002"/>
    <m/>
    <s v="183.5"/>
    <s v="1"/>
    <s v=".86"/>
    <s v="Y"/>
    <s v="N"/>
    <s v="AF"/>
    <s v="568"/>
    <s v="231115"/>
    <s v="ECP"/>
    <s v="HEA"/>
    <s v="EAP"/>
    <m/>
    <m/>
    <s v="LAX"/>
    <s v="CAI"/>
    <s v="CAI"/>
    <s v="N"/>
    <s v="T7201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413"/>
    <s v="BA"/>
    <s v="05708731365001"/>
    <m/>
    <s v="163.8"/>
    <s v="1"/>
    <s v="1.22"/>
    <s v="Y"/>
    <s v="N"/>
    <s v="AF"/>
    <s v="406"/>
    <s v="231115"/>
    <s v="HEA"/>
    <m/>
    <m/>
    <m/>
    <m/>
    <s v="BCN"/>
    <s v="SCL"/>
    <s v="SCL"/>
    <s v="N"/>
    <s v="RFK44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413"/>
    <s v="DA"/>
    <s v="05708731365002"/>
    <m/>
    <s v="163.8"/>
    <s v="1"/>
    <s v="1.22"/>
    <s v="Y"/>
    <s v="N"/>
    <s v="AF"/>
    <s v="406"/>
    <s v="231115"/>
    <s v="HEA"/>
    <m/>
    <m/>
    <m/>
    <m/>
    <s v="BCN"/>
    <s v="SCL"/>
    <s v="SCL"/>
    <s v="N"/>
    <s v="RFK44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413"/>
    <s v="FA"/>
    <s v="05708731365003"/>
    <m/>
    <s v="163.8"/>
    <s v="1"/>
    <s v="1.22"/>
    <s v="Y"/>
    <s v="N"/>
    <s v="AF"/>
    <s v="406"/>
    <s v="231115"/>
    <s v="HEA"/>
    <m/>
    <m/>
    <m/>
    <m/>
    <s v="BCN"/>
    <s v="SCL"/>
    <s v="SCL"/>
    <s v="N"/>
    <s v="RFK44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413"/>
    <s v="HA"/>
    <s v="05708731365004"/>
    <m/>
    <s v="163.8"/>
    <s v="1"/>
    <s v="1.22"/>
    <s v="Y"/>
    <s v="N"/>
    <s v="AF"/>
    <s v="406"/>
    <s v="231115"/>
    <s v="HEA"/>
    <m/>
    <m/>
    <m/>
    <m/>
    <s v="BCN"/>
    <s v="SCL"/>
    <s v="SCL"/>
    <s v="N"/>
    <s v="RFK44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413"/>
    <s v="JA"/>
    <s v="05708731365005"/>
    <m/>
    <s v="163.8"/>
    <s v="1"/>
    <s v="1.22"/>
    <s v="Y"/>
    <s v="N"/>
    <s v="AF"/>
    <s v="406"/>
    <s v="231115"/>
    <s v="HEA"/>
    <m/>
    <m/>
    <m/>
    <m/>
    <s v="BCN"/>
    <s v="SCL"/>
    <s v="SCL"/>
    <s v="N"/>
    <s v="RFK44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414"/>
    <s v="BA"/>
    <s v="05709559605001"/>
    <m/>
    <s v="283.0"/>
    <s v="1"/>
    <s v=".89"/>
    <s v="Y"/>
    <s v="N"/>
    <s v="AF"/>
    <s v="816"/>
    <s v="231115"/>
    <s v="ECP"/>
    <s v="HEA"/>
    <s v="EAP"/>
    <m/>
    <m/>
    <s v="YVR"/>
    <s v="HAV"/>
    <s v="HAV"/>
    <s v="N"/>
    <s v="R51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15"/>
    <s v="BA"/>
    <n v="5709646416001"/>
    <m/>
    <s v="453.0"/>
    <s v="1"/>
    <s v=".86"/>
    <s v="Y"/>
    <s v="N"/>
    <s v="AF"/>
    <s v="948"/>
    <s v="231118"/>
    <s v="RFL"/>
    <s v="VIC"/>
    <s v="ECP"/>
    <s v="HEA"/>
    <s v="EAP"/>
    <s v="LIS"/>
    <s v="DLA"/>
    <s v="DLA"/>
    <s v="N"/>
    <s v="95103"/>
    <m/>
    <m/>
    <s v="Passed"/>
    <m/>
    <x v="5"/>
    <m/>
    <m/>
    <m/>
    <m/>
    <m/>
    <m/>
    <m/>
    <m/>
    <s v="3.1"/>
    <n v="0.5"/>
    <s v="Yes"/>
    <b v="0"/>
    <b v="0"/>
    <b v="0"/>
    <b v="0"/>
    <s v="Yes"/>
    <s v="No"/>
  </r>
  <r>
    <d v="2023-11-14T00:00:00"/>
    <x v="415"/>
    <s v="DA"/>
    <n v="5709646416002"/>
    <m/>
    <s v="453.0"/>
    <s v="1"/>
    <s v=".87"/>
    <s v="Y"/>
    <s v="N"/>
    <s v="AF"/>
    <s v="948"/>
    <s v="231118"/>
    <s v="RFL"/>
    <s v="VIC"/>
    <s v="ECP"/>
    <s v="HEA"/>
    <s v="EAP"/>
    <s v="LIS"/>
    <s v="DLA"/>
    <s v="DLA"/>
    <s v="N"/>
    <s v="94110"/>
    <m/>
    <m/>
    <s v="Passed"/>
    <m/>
    <x v="5"/>
    <m/>
    <m/>
    <m/>
    <m/>
    <m/>
    <m/>
    <m/>
    <m/>
    <s v="3.1"/>
    <n v="0.5"/>
    <s v="Yes"/>
    <b v="0"/>
    <b v="0"/>
    <b v="0"/>
    <b v="0"/>
    <s v="Yes"/>
    <s v="No"/>
  </r>
  <r>
    <d v="2023-11-14T00:00:00"/>
    <x v="416"/>
    <s v="BA"/>
    <s v="05709853200001"/>
    <s v="PMC06271AF"/>
    <s v="3146.9"/>
    <s v="4"/>
    <s v="4.03"/>
    <s v="Y"/>
    <s v="N"/>
    <s v="AF"/>
    <s v="768"/>
    <s v="231115"/>
    <s v="BIG"/>
    <s v="XPH"/>
    <s v="HEA"/>
    <m/>
    <m/>
    <s v="AMS"/>
    <s v="NKC"/>
    <s v="NKC"/>
    <s v="N"/>
    <s v="B1B-2711"/>
    <s v="ML"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417"/>
    <s v="DA"/>
    <s v="05710887192002"/>
    <m/>
    <s v="32.4"/>
    <s v="1"/>
    <s v=".16"/>
    <s v="Y"/>
    <s v="N"/>
    <s v="AF"/>
    <s v="568"/>
    <s v="231115"/>
    <s v="ECP"/>
    <s v="EAP"/>
    <m/>
    <m/>
    <m/>
    <s v="FRA"/>
    <s v="CAI"/>
    <s v="CAI"/>
    <s v="N"/>
    <s v="S7301"/>
    <m/>
    <m/>
    <s v="Passed"/>
    <m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417"/>
    <s v="FA"/>
    <s v="05710887192003"/>
    <m/>
    <s v="32.4"/>
    <s v="1"/>
    <s v=".16"/>
    <s v="Y"/>
    <s v="N"/>
    <s v="AF"/>
    <s v="568"/>
    <s v="231115"/>
    <s v="ECP"/>
    <s v="EAP"/>
    <m/>
    <m/>
    <m/>
    <s v="FRA"/>
    <s v="CAI"/>
    <s v="CAI"/>
    <s v="N"/>
    <s v="T3102"/>
    <m/>
    <m/>
    <s v="Passed"/>
    <m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417"/>
    <s v="HA"/>
    <s v="05710887192004"/>
    <m/>
    <s v="64.9"/>
    <s v="2"/>
    <s v=".32"/>
    <s v="Y"/>
    <s v="N"/>
    <s v="AF"/>
    <s v="568"/>
    <s v="231115"/>
    <s v="ECP"/>
    <s v="EAP"/>
    <m/>
    <m/>
    <m/>
    <s v="FRA"/>
    <s v="CAI"/>
    <s v="CAI"/>
    <s v="N"/>
    <s v="S7304"/>
    <m/>
    <m/>
    <s v="Passed"/>
    <m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417"/>
    <s v="JA"/>
    <s v="05710887192005"/>
    <m/>
    <s v="454.0"/>
    <s v="17"/>
    <s v="2.23"/>
    <s v="Y"/>
    <s v="N"/>
    <s v="AF"/>
    <s v="568"/>
    <s v="231115"/>
    <s v="ECP"/>
    <s v="EAP"/>
    <m/>
    <m/>
    <m/>
    <s v="FRA"/>
    <s v="CAI"/>
    <s v="CAI"/>
    <s v="N"/>
    <s v="S9101"/>
    <m/>
    <m/>
    <s v="Passed"/>
    <m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417"/>
    <s v="LA"/>
    <s v="05710887192006"/>
    <m/>
    <s v="32.4"/>
    <s v="1"/>
    <s v=".16"/>
    <s v="Y"/>
    <s v="N"/>
    <s v="AF"/>
    <s v="568"/>
    <s v="231115"/>
    <s v="ECP"/>
    <s v="EAP"/>
    <m/>
    <m/>
    <m/>
    <s v="FRA"/>
    <s v="CAI"/>
    <s v="CAI"/>
    <s v="N"/>
    <s v="T5101"/>
    <m/>
    <m/>
    <s v="Passed"/>
    <m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418"/>
    <s v="BA"/>
    <s v="05710986286001"/>
    <m/>
    <s v="1018.0"/>
    <s v="1"/>
    <s v="1.78"/>
    <s v="Y"/>
    <s v="N"/>
    <s v="AF"/>
    <s v="054"/>
    <s v="231116"/>
    <s v="RMD"/>
    <s v="BIG"/>
    <s v="ECC"/>
    <s v="HEA"/>
    <s v="EAW"/>
    <s v="SWK"/>
    <s v="IAD"/>
    <s v="IAD"/>
    <s v="N"/>
    <s v="51005"/>
    <m/>
    <m/>
    <s v="Passed"/>
    <m/>
    <x v="5"/>
    <m/>
    <m/>
    <m/>
    <m/>
    <m/>
    <m/>
    <m/>
    <m/>
    <s v="3.1"/>
    <n v="7.1428571428571425E-2"/>
    <b v="0"/>
    <b v="0"/>
    <b v="0"/>
    <b v="0"/>
    <b v="0"/>
    <s v="No"/>
    <s v="No"/>
  </r>
  <r>
    <d v="2023-11-14T00:00:00"/>
    <x v="418"/>
    <s v="DA"/>
    <s v="05710986286002"/>
    <m/>
    <s v="1018.0"/>
    <s v="1"/>
    <s v="5.45"/>
    <s v="Y"/>
    <s v="N"/>
    <s v="AF"/>
    <s v="054"/>
    <s v="231116"/>
    <s v="RMD"/>
    <s v="BIG"/>
    <s v="ECC"/>
    <s v="HEA"/>
    <s v="EAW"/>
    <s v="SWK"/>
    <s v="IAD"/>
    <s v="IAD"/>
    <s v="N"/>
    <s v="58002"/>
    <m/>
    <m/>
    <s v="Passed"/>
    <m/>
    <x v="5"/>
    <m/>
    <m/>
    <m/>
    <m/>
    <m/>
    <m/>
    <m/>
    <m/>
    <s v="3.1"/>
    <n v="7.1428571428571425E-2"/>
    <b v="0"/>
    <b v="0"/>
    <b v="0"/>
    <b v="0"/>
    <b v="0"/>
    <s v="No"/>
    <s v="No"/>
  </r>
  <r>
    <d v="2023-11-14T00:00:00"/>
    <x v="418"/>
    <s v="FA"/>
    <s v="05710986286003"/>
    <m/>
    <s v="1018.0"/>
    <s v="1"/>
    <s v="1.78"/>
    <s v="Y"/>
    <s v="N"/>
    <s v="AF"/>
    <s v="054"/>
    <s v="231116"/>
    <s v="RMD"/>
    <s v="BIG"/>
    <s v="ECC"/>
    <s v="HEA"/>
    <s v="EAW"/>
    <s v="SWK"/>
    <s v="IAD"/>
    <s v="IAD"/>
    <s v="N"/>
    <s v="RFK11"/>
    <m/>
    <m/>
    <s v="Passed"/>
    <m/>
    <x v="5"/>
    <m/>
    <m/>
    <m/>
    <m/>
    <m/>
    <m/>
    <m/>
    <m/>
    <s v="3.1"/>
    <n v="7.1428571428571425E-2"/>
    <b v="0"/>
    <b v="0"/>
    <b v="0"/>
    <b v="0"/>
    <b v="0"/>
    <s v="No"/>
    <s v="No"/>
  </r>
  <r>
    <d v="2023-11-14T00:00:00"/>
    <x v="418"/>
    <s v="JA"/>
    <s v="05710986286005"/>
    <m/>
    <s v="1018.0"/>
    <s v="1"/>
    <s v="5.45"/>
    <s v="Y"/>
    <s v="N"/>
    <s v="AF"/>
    <s v="054"/>
    <s v="231116"/>
    <s v="RMD"/>
    <s v="BIG"/>
    <s v="ECC"/>
    <s v="HEA"/>
    <s v="EAW"/>
    <s v="SWK"/>
    <s v="IAD"/>
    <s v="IAD"/>
    <s v="N"/>
    <s v="58005"/>
    <m/>
    <m/>
    <s v="Passed"/>
    <m/>
    <x v="5"/>
    <m/>
    <m/>
    <m/>
    <m/>
    <m/>
    <m/>
    <m/>
    <m/>
    <s v="3.1"/>
    <n v="7.1428571428571425E-2"/>
    <b v="0"/>
    <b v="0"/>
    <b v="0"/>
    <b v="0"/>
    <b v="0"/>
    <s v="No"/>
    <s v="No"/>
  </r>
  <r>
    <d v="2023-11-14T00:00:00"/>
    <x v="418"/>
    <s v="LA"/>
    <s v="05710986286006"/>
    <m/>
    <s v="1018.0"/>
    <s v="1"/>
    <s v="1.78"/>
    <s v="Y"/>
    <s v="N"/>
    <s v="AF"/>
    <s v="054"/>
    <s v="231116"/>
    <s v="RMD"/>
    <s v="BIG"/>
    <s v="ECC"/>
    <s v="HEA"/>
    <s v="EAW"/>
    <s v="SWK"/>
    <s v="IAD"/>
    <s v="IAD"/>
    <s v="N"/>
    <s v="RFK11"/>
    <m/>
    <m/>
    <s v="Passed"/>
    <m/>
    <x v="5"/>
    <m/>
    <m/>
    <m/>
    <m/>
    <m/>
    <m/>
    <m/>
    <m/>
    <s v="3.1"/>
    <n v="7.1428571428571425E-2"/>
    <b v="0"/>
    <b v="0"/>
    <b v="0"/>
    <b v="0"/>
    <b v="0"/>
    <s v="No"/>
    <s v="No"/>
  </r>
  <r>
    <d v="2023-11-14T00:00:00"/>
    <x v="418"/>
    <m/>
    <s v="05710986286007"/>
    <m/>
    <s v="1018.0"/>
    <s v="1"/>
    <s v="1.78"/>
    <s v="Y"/>
    <s v="N"/>
    <s v="AF"/>
    <s v="054"/>
    <s v="231116"/>
    <s v="RMD"/>
    <s v="BIG"/>
    <s v="ECC"/>
    <s v="HEA"/>
    <s v="EAW"/>
    <s v="SWK"/>
    <s v="IAD"/>
    <s v="IAD"/>
    <s v="N"/>
    <s v="RFK11"/>
    <m/>
    <m/>
    <s v="Passed"/>
    <m/>
    <x v="5"/>
    <m/>
    <m/>
    <m/>
    <m/>
    <m/>
    <m/>
    <m/>
    <m/>
    <s v="3.1"/>
    <n v="7.1428571428571425E-2"/>
    <b v="0"/>
    <b v="0"/>
    <b v="0"/>
    <b v="0"/>
    <b v="0"/>
    <s v="No"/>
    <s v="No"/>
  </r>
  <r>
    <d v="2023-11-14T00:00:00"/>
    <x v="418"/>
    <s v="PA"/>
    <s v="05710986286008"/>
    <m/>
    <s v="1018.0"/>
    <s v="1"/>
    <s v="1.78"/>
    <s v="Y"/>
    <s v="N"/>
    <s v="AF"/>
    <s v="054"/>
    <s v="231116"/>
    <s v="RMD"/>
    <s v="BIG"/>
    <s v="ECC"/>
    <s v="HEA"/>
    <s v="EAW"/>
    <s v="SWK"/>
    <s v="IAD"/>
    <s v="IAD"/>
    <s v="N"/>
    <s v="49001"/>
    <m/>
    <m/>
    <s v="Passed"/>
    <m/>
    <x v="5"/>
    <m/>
    <m/>
    <m/>
    <m/>
    <m/>
    <m/>
    <m/>
    <m/>
    <s v="3.1"/>
    <n v="7.1428571428571425E-2"/>
    <b v="0"/>
    <b v="0"/>
    <b v="0"/>
    <b v="0"/>
    <b v="0"/>
    <s v="No"/>
    <s v="No"/>
  </r>
  <r>
    <d v="2023-11-14T00:00:00"/>
    <x v="418"/>
    <s v="RA"/>
    <s v="05710986286009"/>
    <m/>
    <s v="1018.0"/>
    <s v="1"/>
    <s v="1.78"/>
    <s v="Y"/>
    <s v="N"/>
    <s v="AF"/>
    <s v="054"/>
    <s v="231116"/>
    <s v="RMD"/>
    <s v="BIG"/>
    <s v="ECC"/>
    <s v="HEA"/>
    <s v="EAW"/>
    <s v="SWK"/>
    <s v="IAD"/>
    <s v="IAD"/>
    <s v="N"/>
    <s v="RFK11"/>
    <m/>
    <m/>
    <s v="Passed"/>
    <m/>
    <x v="5"/>
    <m/>
    <m/>
    <m/>
    <m/>
    <m/>
    <m/>
    <m/>
    <m/>
    <s v="3.1"/>
    <n v="7.1428571428571425E-2"/>
    <b v="0"/>
    <b v="0"/>
    <b v="0"/>
    <b v="0"/>
    <b v="0"/>
    <s v="No"/>
    <s v="No"/>
  </r>
  <r>
    <d v="2023-11-14T00:00:00"/>
    <x v="418"/>
    <s v="TA"/>
    <s v="05710986286010"/>
    <m/>
    <s v="1018.0"/>
    <s v="1"/>
    <s v="1.78"/>
    <s v="Y"/>
    <s v="N"/>
    <s v="AF"/>
    <s v="054"/>
    <s v="231116"/>
    <s v="RMD"/>
    <s v="BIG"/>
    <s v="ECC"/>
    <s v="HEA"/>
    <s v="EAW"/>
    <s v="SWK"/>
    <s v="IAD"/>
    <s v="IAD"/>
    <s v="N"/>
    <s v="RFK11"/>
    <m/>
    <m/>
    <s v="Passed"/>
    <m/>
    <x v="5"/>
    <m/>
    <m/>
    <m/>
    <m/>
    <m/>
    <m/>
    <m/>
    <m/>
    <s v="3.1"/>
    <n v="7.1428571428571425E-2"/>
    <b v="0"/>
    <b v="0"/>
    <b v="0"/>
    <b v="0"/>
    <b v="0"/>
    <s v="No"/>
    <s v="No"/>
  </r>
  <r>
    <d v="2023-11-14T00:00:00"/>
    <x v="418"/>
    <s v="VA"/>
    <s v="05710986286011"/>
    <m/>
    <s v="1018.0"/>
    <s v="1"/>
    <s v="1.78"/>
    <s v="Y"/>
    <s v="N"/>
    <s v="AF"/>
    <s v="054"/>
    <s v="231116"/>
    <s v="RMD"/>
    <s v="BIG"/>
    <s v="ECC"/>
    <s v="HEA"/>
    <s v="EAW"/>
    <s v="SWK"/>
    <s v="IAD"/>
    <s v="IAD"/>
    <s v="N"/>
    <s v="RFK00"/>
    <m/>
    <m/>
    <s v="Passed"/>
    <m/>
    <x v="5"/>
    <m/>
    <m/>
    <m/>
    <m/>
    <m/>
    <m/>
    <m/>
    <m/>
    <s v="3.1"/>
    <n v="7.1428571428571425E-2"/>
    <b v="0"/>
    <b v="0"/>
    <b v="0"/>
    <b v="0"/>
    <b v="0"/>
    <s v="No"/>
    <s v="No"/>
  </r>
  <r>
    <d v="2023-11-14T00:00:00"/>
    <x v="418"/>
    <s v="XA"/>
    <s v="05710986286012"/>
    <m/>
    <s v="1018.0"/>
    <s v="1"/>
    <s v="1.78"/>
    <s v="Y"/>
    <s v="N"/>
    <s v="AF"/>
    <s v="054"/>
    <s v="231116"/>
    <s v="RMD"/>
    <s v="BIG"/>
    <s v="ECC"/>
    <s v="HEA"/>
    <s v="EAW"/>
    <s v="SWK"/>
    <s v="IAD"/>
    <s v="IAD"/>
    <s v="N"/>
    <s v="RFK11"/>
    <m/>
    <m/>
    <s v="Passed"/>
    <m/>
    <x v="5"/>
    <m/>
    <m/>
    <m/>
    <m/>
    <m/>
    <m/>
    <m/>
    <m/>
    <s v="3.1"/>
    <n v="7.1428571428571425E-2"/>
    <b v="0"/>
    <b v="0"/>
    <b v="0"/>
    <b v="0"/>
    <b v="0"/>
    <s v="No"/>
    <s v="No"/>
  </r>
  <r>
    <d v="2023-11-14T00:00:00"/>
    <x v="418"/>
    <s v="ZA"/>
    <s v="05710986286013"/>
    <m/>
    <s v="1018.0"/>
    <s v="1"/>
    <s v="1.78"/>
    <s v="Y"/>
    <s v="N"/>
    <s v="AF"/>
    <s v="054"/>
    <s v="231116"/>
    <s v="RMD"/>
    <s v="BIG"/>
    <s v="ECC"/>
    <s v="HEA"/>
    <s v="EAW"/>
    <s v="SWK"/>
    <s v="IAD"/>
    <s v="IAD"/>
    <s v="N"/>
    <s v="RFK11"/>
    <m/>
    <m/>
    <s v="Passed"/>
    <m/>
    <x v="5"/>
    <m/>
    <m/>
    <m/>
    <m/>
    <m/>
    <m/>
    <m/>
    <m/>
    <s v="3.1"/>
    <n v="7.1428571428571425E-2"/>
    <b v="0"/>
    <b v="0"/>
    <b v="0"/>
    <b v="0"/>
    <b v="0"/>
    <s v="No"/>
    <s v="No"/>
  </r>
  <r>
    <d v="2023-11-14T00:00:00"/>
    <x v="418"/>
    <s v="AB"/>
    <s v="05710986286014"/>
    <m/>
    <s v="1018.0"/>
    <s v="1"/>
    <s v="1.78"/>
    <s v="Y"/>
    <s v="N"/>
    <s v="AF"/>
    <s v="054"/>
    <s v="231116"/>
    <s v="RMD"/>
    <s v="BIG"/>
    <s v="ECC"/>
    <s v="HEA"/>
    <s v="EAW"/>
    <s v="SWK"/>
    <s v="IAD"/>
    <s v="IAD"/>
    <s v="N"/>
    <s v="RFK00"/>
    <m/>
    <m/>
    <s v="Passed"/>
    <m/>
    <x v="5"/>
    <m/>
    <m/>
    <m/>
    <m/>
    <m/>
    <m/>
    <m/>
    <m/>
    <s v="3.1"/>
    <n v="7.1428571428571425E-2"/>
    <b v="0"/>
    <b v="0"/>
    <b v="0"/>
    <b v="0"/>
    <b v="0"/>
    <s v="No"/>
    <s v="No"/>
  </r>
  <r>
    <d v="2023-11-14T00:00:00"/>
    <x v="418"/>
    <s v="CB"/>
    <s v="05710986286015"/>
    <m/>
    <s v="1018.0"/>
    <s v="1"/>
    <s v="1.78"/>
    <s v="Y"/>
    <s v="N"/>
    <s v="AF"/>
    <s v="054"/>
    <s v="231116"/>
    <s v="RMD"/>
    <s v="BIG"/>
    <s v="ECC"/>
    <s v="HEA"/>
    <s v="EAW"/>
    <s v="SWK"/>
    <s v="IAD"/>
    <s v="IAD"/>
    <s v="N"/>
    <s v="53009"/>
    <m/>
    <m/>
    <s v="Passed"/>
    <m/>
    <x v="5"/>
    <m/>
    <m/>
    <m/>
    <m/>
    <m/>
    <m/>
    <m/>
    <m/>
    <s v="3.1"/>
    <n v="7.1428571428571425E-2"/>
    <b v="0"/>
    <b v="0"/>
    <b v="0"/>
    <b v="0"/>
    <b v="0"/>
    <s v="No"/>
    <s v="No"/>
  </r>
  <r>
    <d v="2023-11-14T00:00:00"/>
    <x v="419"/>
    <s v="BA"/>
    <s v="05711000743001"/>
    <m/>
    <s v="230.0"/>
    <s v="1"/>
    <s v=".58"/>
    <s v="Y"/>
    <s v="N"/>
    <s v="AF"/>
    <s v="406"/>
    <s v="231115"/>
    <s v="ECP"/>
    <s v="HEA"/>
    <s v="EAW"/>
    <m/>
    <m/>
    <s v="BSL"/>
    <s v="SCL"/>
    <s v="SCL"/>
    <s v="N"/>
    <s v="Q6304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420"/>
    <s v="BA"/>
    <s v="05711030600001"/>
    <m/>
    <s v="256.0"/>
    <s v="1"/>
    <s v="1.20"/>
    <s v="Y"/>
    <s v="N"/>
    <s v="AF"/>
    <s v="990"/>
    <s v="231116"/>
    <s v="HEA"/>
    <s v="EAP"/>
    <s v="SPX"/>
    <m/>
    <m/>
    <s v="FRA"/>
    <s v="JNB"/>
    <s v="JNB"/>
    <s v="N"/>
    <s v="R9003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21"/>
    <s v="BA"/>
    <s v="05711184401001"/>
    <s v="PAG14351KL"/>
    <s v="485.0"/>
    <s v="59"/>
    <s v="4.61"/>
    <s v="Y"/>
    <s v="N"/>
    <s v="AF"/>
    <s v="952"/>
    <s v="231117"/>
    <m/>
    <m/>
    <m/>
    <m/>
    <m/>
    <s v="GRU"/>
    <s v="CAY"/>
    <s v="CAY"/>
    <s v="N"/>
    <s v="B1B-2734"/>
    <s v="AL"/>
    <m/>
    <s v="Failed"/>
    <m/>
    <x v="6"/>
    <s v="Lynka / 0 n° agent RCT+ PROD"/>
    <m/>
    <m/>
    <m/>
    <m/>
    <m/>
    <m/>
    <m/>
    <s v="3.1"/>
    <n v="1"/>
    <b v="0"/>
    <b v="0"/>
    <b v="0"/>
    <b v="0"/>
    <b v="0"/>
    <s v="No"/>
    <s v="No"/>
  </r>
  <r>
    <d v="2023-11-14T00:00:00"/>
    <x v="422"/>
    <s v="BA"/>
    <s v="05711266080001"/>
    <m/>
    <s v="900.0"/>
    <s v="1"/>
    <s v="1.35"/>
    <s v="Y"/>
    <s v="N"/>
    <s v="AF"/>
    <s v="178"/>
    <s v="231116"/>
    <s v="ECC"/>
    <s v="XPH"/>
    <s v="HEA"/>
    <s v="EAP"/>
    <m/>
    <s v="KIX"/>
    <s v="MEX"/>
    <s v="MEX"/>
    <s v="N"/>
    <s v="RFK06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22"/>
    <s v="DA"/>
    <s v="05711266080002"/>
    <m/>
    <s v="900.0"/>
    <s v="1"/>
    <s v="1.35"/>
    <s v="Y"/>
    <s v="N"/>
    <s v="AF"/>
    <s v="178"/>
    <s v="231116"/>
    <s v="ECC"/>
    <s v="XPH"/>
    <s v="HEA"/>
    <s v="EAP"/>
    <m/>
    <s v="KIX"/>
    <s v="MEX"/>
    <s v="MEX"/>
    <s v="N"/>
    <s v="RFK06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22"/>
    <s v="FA"/>
    <s v="05711266080003"/>
    <m/>
    <s v="80.0"/>
    <s v="1"/>
    <s v="1.35"/>
    <s v="Y"/>
    <s v="N"/>
    <s v="AF"/>
    <s v="178"/>
    <s v="231116"/>
    <s v="ECC"/>
    <s v="XPH"/>
    <s v="HEA"/>
    <s v="EAP"/>
    <m/>
    <s v="KIX"/>
    <s v="MEX"/>
    <s v="MEX"/>
    <s v="N"/>
    <s v="N5401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23"/>
    <s v="BA"/>
    <s v="05711748741001"/>
    <m/>
    <s v="86.0"/>
    <s v="3"/>
    <s v="3.43"/>
    <s v="Y"/>
    <s v="N"/>
    <s v="AF"/>
    <s v="454"/>
    <s v="231116"/>
    <s v="ECP"/>
    <s v="EAP"/>
    <m/>
    <m/>
    <m/>
    <s v="BKK"/>
    <s v="GRU"/>
    <s v="GRU"/>
    <s v="N"/>
    <s v="HLC024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24"/>
    <s v="BA"/>
    <s v="05711824142001"/>
    <m/>
    <s v="259.0"/>
    <s v="5"/>
    <s v="1.37"/>
    <s v="Y"/>
    <s v="N"/>
    <s v="AF"/>
    <s v="650"/>
    <s v="231115"/>
    <s v="ECC"/>
    <s v="EAW"/>
    <m/>
    <m/>
    <m/>
    <s v="DEL"/>
    <s v="MEX"/>
    <s v="CUN"/>
    <s v="N"/>
    <s v="RFK40"/>
    <m/>
    <m/>
    <s v="Passed"/>
    <m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424"/>
    <s v="FA"/>
    <s v="05711824142003"/>
    <m/>
    <s v="259.0"/>
    <s v="5"/>
    <s v="1.37"/>
    <s v="Y"/>
    <s v="N"/>
    <s v="AF"/>
    <s v="650"/>
    <s v="231115"/>
    <s v="ECC"/>
    <s v="EAW"/>
    <m/>
    <m/>
    <m/>
    <s v="DEL"/>
    <s v="MEX"/>
    <s v="CUN"/>
    <s v="N"/>
    <s v="RFK40"/>
    <m/>
    <m/>
    <s v="Passed"/>
    <m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424"/>
    <s v="HA"/>
    <s v="05711824142004"/>
    <m/>
    <s v="259.0"/>
    <s v="5"/>
    <s v="1.37"/>
    <s v="Y"/>
    <s v="N"/>
    <s v="AF"/>
    <s v="650"/>
    <s v="231115"/>
    <s v="ECC"/>
    <s v="EAW"/>
    <m/>
    <m/>
    <m/>
    <s v="DEL"/>
    <s v="MEX"/>
    <s v="CUN"/>
    <s v="N"/>
    <s v="RFK40"/>
    <m/>
    <m/>
    <s v="Passed"/>
    <m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424"/>
    <s v="JA"/>
    <s v="05711824142005"/>
    <m/>
    <s v="259.0"/>
    <s v="5"/>
    <s v="1.37"/>
    <s v="Y"/>
    <s v="N"/>
    <s v="AF"/>
    <s v="650"/>
    <s v="231115"/>
    <s v="ECC"/>
    <s v="EAW"/>
    <m/>
    <m/>
    <m/>
    <s v="DEL"/>
    <s v="MEX"/>
    <s v="CUN"/>
    <s v="N"/>
    <s v="RFK40"/>
    <m/>
    <m/>
    <s v="Passed"/>
    <s v="`"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424"/>
    <s v="LA"/>
    <s v="05711824142006"/>
    <s v="AKE13477AF"/>
    <s v="599.0"/>
    <s v="11"/>
    <s v="3.01"/>
    <s v="Y"/>
    <s v="N"/>
    <s v="AF"/>
    <s v="650"/>
    <s v="231115"/>
    <s v="ECC"/>
    <s v="EAW"/>
    <m/>
    <m/>
    <m/>
    <s v="DEL"/>
    <s v="MEX"/>
    <s v="CUN"/>
    <s v="N"/>
    <s v="SOR-0000"/>
    <s v="KE"/>
    <m/>
    <s v="Passed"/>
    <m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425"/>
    <s v="BA"/>
    <s v="05711899764001"/>
    <m/>
    <s v="270.0"/>
    <s v="1"/>
    <s v="1.62"/>
    <s v="Y"/>
    <s v="N"/>
    <s v="AF"/>
    <s v="178"/>
    <s v="231115"/>
    <s v="HEA"/>
    <m/>
    <m/>
    <m/>
    <m/>
    <s v="BCN"/>
    <s v="MEX"/>
    <s v="MEX"/>
    <s v="N"/>
    <s v="62302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426"/>
    <s v="BA"/>
    <s v="05711954180001"/>
    <m/>
    <s v="293.0"/>
    <s v="1"/>
    <s v="1.00"/>
    <s v="Y"/>
    <s v="N"/>
    <s v="AF"/>
    <s v="062"/>
    <s v="231116"/>
    <s v="HEA"/>
    <m/>
    <m/>
    <m/>
    <m/>
    <s v="FRA"/>
    <s v="EWR"/>
    <s v="EWR"/>
    <s v="N"/>
    <s v="49306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26"/>
    <s v="DA"/>
    <s v="05711954180002"/>
    <m/>
    <s v="293.0"/>
    <s v="1"/>
    <s v="1.00"/>
    <s v="Y"/>
    <s v="N"/>
    <s v="AF"/>
    <s v="062"/>
    <s v="231116"/>
    <s v="HEA"/>
    <m/>
    <m/>
    <m/>
    <m/>
    <s v="FRA"/>
    <s v="EWR"/>
    <s v="EWR"/>
    <s v="N"/>
    <s v="51301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27"/>
    <s v="BA"/>
    <s v="05712040560001"/>
    <m/>
    <s v="47.0"/>
    <s v="4"/>
    <s v=".67"/>
    <s v="Y"/>
    <s v="N"/>
    <s v="AF"/>
    <s v="356"/>
    <s v="231115"/>
    <s v="ECC"/>
    <s v="EAP"/>
    <m/>
    <m/>
    <m/>
    <s v="NRT"/>
    <s v="YYZ"/>
    <s v="YYZ"/>
    <s v="N"/>
    <s v="P6104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27"/>
    <s v="DA"/>
    <s v="05712040560002"/>
    <m/>
    <s v="47.1"/>
    <s v="4"/>
    <s v=".68"/>
    <s v="Y"/>
    <s v="N"/>
    <s v="AF"/>
    <s v="356"/>
    <s v="231115"/>
    <s v="ECC"/>
    <s v="EAP"/>
    <m/>
    <m/>
    <m/>
    <s v="NRT"/>
    <s v="YYZ"/>
    <s v="YYZ"/>
    <s v="N"/>
    <s v="P4102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28"/>
    <s v="BA"/>
    <s v="05712224866001"/>
    <s v="PMC03838DL"/>
    <s v="2155.0"/>
    <s v="1"/>
    <s v="10.00"/>
    <s v="Y"/>
    <s v="Y"/>
    <s v="AF"/>
    <s v="136"/>
    <s v="231115"/>
    <s v="HEA"/>
    <s v="BUP"/>
    <s v="EAW"/>
    <m/>
    <m/>
    <s v="STR"/>
    <s v="ORD"/>
    <s v="ORD"/>
    <s v="N"/>
    <s v="B2B-4132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29"/>
    <s v="BA"/>
    <s v="05712401060001"/>
    <m/>
    <s v="61.0"/>
    <s v="1"/>
    <s v=".37"/>
    <s v="Y"/>
    <s v="N"/>
    <s v="DL"/>
    <s v="083"/>
    <s v="231115"/>
    <s v="ECC"/>
    <s v="XPH"/>
    <s v="EAW"/>
    <m/>
    <m/>
    <s v="TLS"/>
    <s v="ATL"/>
    <s v="ATL"/>
    <s v="N"/>
    <s v="M6103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30"/>
    <s v="BA"/>
    <s v="05712432696001"/>
    <m/>
    <s v="21.0"/>
    <s v="1"/>
    <s v=".14"/>
    <s v="Y"/>
    <s v="N"/>
    <s v="AF"/>
    <s v="712"/>
    <s v="231115"/>
    <m/>
    <m/>
    <m/>
    <m/>
    <m/>
    <s v="SWK"/>
    <s v="ABJ"/>
    <s v="ABJ"/>
    <s v="N"/>
    <s v="50009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430"/>
    <s v="DA"/>
    <s v="05712432696002"/>
    <m/>
    <s v="21.0"/>
    <s v="1"/>
    <s v=".14"/>
    <s v="Y"/>
    <s v="N"/>
    <s v="AF"/>
    <s v="712"/>
    <s v="231115"/>
    <m/>
    <m/>
    <m/>
    <m/>
    <m/>
    <s v="SWK"/>
    <s v="ABJ"/>
    <s v="ABJ"/>
    <s v="N"/>
    <s v="XLC30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431"/>
    <s v="BA"/>
    <s v="05712560564001"/>
    <s v="PMC22328MP"/>
    <s v="927.7"/>
    <s v="1"/>
    <s v="10.00"/>
    <s v="N"/>
    <s v="Y"/>
    <s v="AF"/>
    <s v="008"/>
    <s v="231116"/>
    <s v="VUN"/>
    <s v="HEA"/>
    <s v="BUP"/>
    <s v="EAW"/>
    <m/>
    <s v="CDG"/>
    <s v="JFK"/>
    <s v="JFK"/>
    <s v="N"/>
    <s v="B1C-2541"/>
    <s v="ML"/>
    <m/>
    <s v="Failed"/>
    <m/>
    <x v="3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31"/>
    <s v="DA"/>
    <s v="05712560564002"/>
    <s v="PMC23163KL"/>
    <s v="500.0"/>
    <s v="1"/>
    <s v="10.00"/>
    <s v="N"/>
    <s v="Y"/>
    <s v="AF"/>
    <s v="008"/>
    <s v="231116"/>
    <s v="VUN"/>
    <s v="HEA"/>
    <s v="BUP"/>
    <s v="EAW"/>
    <m/>
    <s v="CDG"/>
    <s v="JFK"/>
    <s v="JFK"/>
    <s v="N"/>
    <s v="B1C-2528"/>
    <s v="ML"/>
    <m/>
    <s v="Failed"/>
    <m/>
    <x v="3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31"/>
    <s v="FA"/>
    <s v="05712560564003"/>
    <s v="PMC63962AF"/>
    <s v="500.0"/>
    <s v="1"/>
    <s v="10.00"/>
    <s v="N"/>
    <s v="Y"/>
    <s v="AF"/>
    <s v="008"/>
    <s v="231116"/>
    <s v="VUN"/>
    <s v="HEA"/>
    <s v="BUP"/>
    <s v="EAW"/>
    <m/>
    <s v="CDG"/>
    <s v="JFK"/>
    <s v="JFK"/>
    <s v="N"/>
    <s v="B1B-2719"/>
    <s v="ML"/>
    <m/>
    <s v="Failed"/>
    <m/>
    <x v="3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32"/>
    <s v="BA"/>
    <s v="05712637704001"/>
    <m/>
    <s v="284.0"/>
    <s v="1"/>
    <s v=".50"/>
    <s v="Y"/>
    <s v="N"/>
    <s v="AF"/>
    <s v="990"/>
    <s v="231117"/>
    <s v="ECC"/>
    <s v="HEA"/>
    <s v="EAP"/>
    <m/>
    <m/>
    <s v="DEL"/>
    <s v="JNB"/>
    <s v="JNB"/>
    <s v="N"/>
    <s v="S33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33"/>
    <s v="DA"/>
    <s v="05713124204002"/>
    <m/>
    <s v="138.0"/>
    <s v="1"/>
    <s v=".77"/>
    <s v="Y"/>
    <s v="N"/>
    <s v="AF"/>
    <s v="6730"/>
    <s v="231116"/>
    <s v="ECC"/>
    <s v="XPH"/>
    <s v="EAP"/>
    <m/>
    <m/>
    <s v="BUD"/>
    <s v="ORD"/>
    <s v="ORD"/>
    <s v="N"/>
    <s v="T3404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433"/>
    <s v="FA"/>
    <s v="05713124204003"/>
    <m/>
    <s v="138.0"/>
    <s v="1"/>
    <s v=".77"/>
    <s v="Y"/>
    <s v="N"/>
    <s v="AF"/>
    <s v="6730"/>
    <s v="231116"/>
    <s v="ECC"/>
    <s v="XPH"/>
    <s v="EAP"/>
    <m/>
    <m/>
    <s v="BUD"/>
    <s v="ORD"/>
    <s v="ORD"/>
    <s v="N"/>
    <s v="T3403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434"/>
    <s v="BA"/>
    <s v="05719532855001"/>
    <m/>
    <s v="2.0"/>
    <s v="2"/>
    <s v=".04"/>
    <s v="Y"/>
    <s v="N"/>
    <s v="AF"/>
    <s v="694"/>
    <s v="231115"/>
    <m/>
    <m/>
    <m/>
    <m/>
    <m/>
    <s v="LOS"/>
    <s v="IAH"/>
    <s v="IAH"/>
    <s v="N"/>
    <s v="N7000"/>
    <m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435"/>
    <s v="BA"/>
    <s v="05719532925001"/>
    <m/>
    <s v="258.0"/>
    <s v="1"/>
    <s v="1.18"/>
    <s v="Y"/>
    <s v="N"/>
    <s v="AF"/>
    <s v="344"/>
    <s v="231115"/>
    <s v="NCC"/>
    <s v="HEA"/>
    <m/>
    <m/>
    <m/>
    <s v="LOS"/>
    <s v="YUL"/>
    <s v="YUL"/>
    <s v="N"/>
    <s v="HLC014"/>
    <m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436"/>
    <s v="DA"/>
    <s v="05741304885002"/>
    <m/>
    <s v="262.0"/>
    <s v="1"/>
    <s v="1.64"/>
    <s v="Y"/>
    <s v="N"/>
    <s v="AF"/>
    <s v="990"/>
    <s v="231116"/>
    <s v="ECC"/>
    <s v="HEA"/>
    <m/>
    <m/>
    <m/>
    <s v="ORD"/>
    <s v="JNB"/>
    <s v="JNB"/>
    <s v="N"/>
    <s v="R2002"/>
    <m/>
    <m/>
    <s v="Passed"/>
    <m/>
    <x v="5"/>
    <m/>
    <m/>
    <m/>
    <m/>
    <m/>
    <m/>
    <m/>
    <m/>
    <s v="3.1"/>
    <n v="0.5"/>
    <b v="0"/>
    <b v="0"/>
    <b v="0"/>
    <b v="0"/>
    <b v="0"/>
    <s v="No"/>
    <s v="Yes"/>
  </r>
  <r>
    <d v="2023-11-14T00:00:00"/>
    <x v="437"/>
    <s v="BA"/>
    <s v="05745061586001"/>
    <m/>
    <s v="69.6"/>
    <s v="1"/>
    <s v=".42"/>
    <s v="Y"/>
    <s v="N"/>
    <s v="AF"/>
    <s v="694"/>
    <s v="231116"/>
    <m/>
    <m/>
    <m/>
    <m/>
    <m/>
    <s v="MAN"/>
    <s v="IAH"/>
    <s v="IAH"/>
    <s v="N"/>
    <s v="M7101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437"/>
    <s v="DA"/>
    <s v="05745061586002"/>
    <m/>
    <s v="278.4"/>
    <s v="4"/>
    <s v="1.67"/>
    <s v="Y"/>
    <s v="N"/>
    <s v="AF"/>
    <s v="694"/>
    <s v="231116"/>
    <m/>
    <m/>
    <m/>
    <m/>
    <m/>
    <s v="MAN"/>
    <s v="IAH"/>
    <s v="IAH"/>
    <s v="N"/>
    <s v="M2102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438"/>
    <s v="BA"/>
    <s v="05745061590001"/>
    <m/>
    <s v="109.7"/>
    <s v="1"/>
    <s v=".66"/>
    <s v="Y"/>
    <s v="N"/>
    <s v="AF"/>
    <s v="694"/>
    <s v="231116"/>
    <m/>
    <m/>
    <m/>
    <m/>
    <m/>
    <s v="MAN"/>
    <s v="IAH"/>
    <s v="IAH"/>
    <s v="N"/>
    <s v="M3402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438"/>
    <s v="DA"/>
    <s v="05745061590002"/>
    <m/>
    <s v="219.3"/>
    <s v="2"/>
    <s v="1.31"/>
    <s v="Y"/>
    <s v="N"/>
    <s v="AF"/>
    <s v="694"/>
    <s v="231116"/>
    <m/>
    <m/>
    <m/>
    <m/>
    <m/>
    <s v="MAN"/>
    <s v="IAH"/>
    <s v="IAH"/>
    <s v="N"/>
    <s v="M5302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439"/>
    <s v="BA"/>
    <s v="05745193374001"/>
    <m/>
    <s v="187.3"/>
    <s v="1"/>
    <s v="2.15"/>
    <s v="Y"/>
    <s v="N"/>
    <s v="AF"/>
    <s v="218"/>
    <s v="231115"/>
    <s v="ECP"/>
    <s v="HEA"/>
    <s v="EAP"/>
    <m/>
    <m/>
    <s v="LYS"/>
    <s v="BOM"/>
    <s v="BOM"/>
    <s v="N"/>
    <s v="HLC052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Yes"/>
  </r>
  <r>
    <d v="2023-11-14T00:00:00"/>
    <x v="439"/>
    <s v="DA"/>
    <s v="05745193374002"/>
    <m/>
    <s v="187.3"/>
    <s v="1"/>
    <s v="2.15"/>
    <s v="Y"/>
    <s v="N"/>
    <s v="AF"/>
    <s v="218"/>
    <s v="231115"/>
    <s v="ECP"/>
    <s v="HEA"/>
    <s v="EAP"/>
    <m/>
    <m/>
    <s v="LYS"/>
    <s v="BOM"/>
    <s v="BOM"/>
    <s v="N"/>
    <s v="N2102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Yes"/>
  </r>
  <r>
    <d v="2023-11-14T00:00:00"/>
    <x v="439"/>
    <s v="FA"/>
    <s v="05745193374003"/>
    <m/>
    <s v="187.3"/>
    <s v="1"/>
    <s v="2.15"/>
    <s v="Y"/>
    <s v="N"/>
    <s v="AF"/>
    <s v="218"/>
    <s v="231115"/>
    <s v="ECP"/>
    <s v="HEA"/>
    <s v="EAP"/>
    <m/>
    <m/>
    <s v="LYS"/>
    <s v="BOM"/>
    <s v="BOM"/>
    <s v="N"/>
    <s v="XLC20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Yes"/>
  </r>
  <r>
    <d v="2023-11-14T00:00:00"/>
    <x v="440"/>
    <s v="BA"/>
    <s v="05745270245001"/>
    <m/>
    <s v="53.3"/>
    <s v="1"/>
    <s v=".24"/>
    <s v="Y"/>
    <s v="N"/>
    <s v="AF"/>
    <s v="178"/>
    <s v="231115"/>
    <s v="ECC"/>
    <s v="EAP"/>
    <m/>
    <m/>
    <m/>
    <s v="SWK"/>
    <s v="MEX"/>
    <s v="MEX"/>
    <s v="N"/>
    <s v="N7404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40"/>
    <s v="DA"/>
    <s v="05745270245002"/>
    <m/>
    <s v="53.3"/>
    <s v="1"/>
    <s v=".24"/>
    <s v="Y"/>
    <s v="N"/>
    <s v="AF"/>
    <s v="178"/>
    <s v="231115"/>
    <s v="ECC"/>
    <s v="EAP"/>
    <m/>
    <m/>
    <m/>
    <s v="SWK"/>
    <s v="MEX"/>
    <s v="MEX"/>
    <s v="N"/>
    <s v="P8302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40"/>
    <s v="FA"/>
    <s v="05745270245003"/>
    <m/>
    <s v="159.8"/>
    <s v="3"/>
    <s v=".72"/>
    <s v="Y"/>
    <s v="N"/>
    <s v="AF"/>
    <s v="178"/>
    <s v="231115"/>
    <s v="ECC"/>
    <s v="EAP"/>
    <m/>
    <m/>
    <m/>
    <s v="SWK"/>
    <s v="MEX"/>
    <s v="MEX"/>
    <s v="N"/>
    <s v="Y7016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41"/>
    <s v="BA"/>
    <s v="05745447231001"/>
    <m/>
    <s v="264.0"/>
    <s v="1"/>
    <s v="1.27"/>
    <s v="Y"/>
    <s v="N"/>
    <s v="AF"/>
    <s v="084"/>
    <s v="231115"/>
    <s v="HEA"/>
    <m/>
    <m/>
    <m/>
    <m/>
    <s v="BER"/>
    <s v="SFO"/>
    <s v="SFO"/>
    <s v="N"/>
    <s v="P8103"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41"/>
    <s v="DA"/>
    <s v="05745447231002"/>
    <m/>
    <s v="264.0"/>
    <s v="1"/>
    <s v="1.27"/>
    <s v="Y"/>
    <s v="N"/>
    <s v="AF"/>
    <s v="084"/>
    <s v="231115"/>
    <s v="HEA"/>
    <m/>
    <m/>
    <m/>
    <m/>
    <s v="BER"/>
    <s v="SFO"/>
    <s v="SFO"/>
    <s v="N"/>
    <s v="M3103"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41"/>
    <s v="FA"/>
    <s v="05745447231003"/>
    <m/>
    <s v="264.0"/>
    <s v="1"/>
    <s v="1.27"/>
    <s v="Y"/>
    <s v="N"/>
    <s v="AF"/>
    <s v="084"/>
    <s v="231115"/>
    <s v="HEA"/>
    <m/>
    <m/>
    <m/>
    <m/>
    <s v="BER"/>
    <s v="SFO"/>
    <s v="SFO"/>
    <s v="N"/>
    <s v="69003"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42"/>
    <s v="DA"/>
    <s v="05745545640002"/>
    <s v="PMC65726AF"/>
    <s v="204.7"/>
    <s v="1"/>
    <s v="3.78"/>
    <s v="Y"/>
    <s v="N"/>
    <s v="AF"/>
    <s v="342"/>
    <s v="231117"/>
    <s v="HEA"/>
    <s v="EAW"/>
    <s v="SPX"/>
    <m/>
    <m/>
    <s v="FRA"/>
    <s v="YUL"/>
    <s v="YUL"/>
    <s v="N"/>
    <s v="B2C-6044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43"/>
    <s v="BA"/>
    <s v="05745622054001"/>
    <m/>
    <s v="102.2"/>
    <s v="1"/>
    <s v=".46"/>
    <s v="N"/>
    <s v="N"/>
    <s v="AF"/>
    <s v="990"/>
    <s v="231116"/>
    <s v="ECC"/>
    <m/>
    <m/>
    <m/>
    <m/>
    <s v="CDG"/>
    <s v="JNB"/>
    <s v="JNB"/>
    <s v="N"/>
    <s v="XLC30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43"/>
    <s v="DA"/>
    <s v="05745622054002"/>
    <m/>
    <s v="102.2"/>
    <s v="1"/>
    <s v=".46"/>
    <s v="N"/>
    <s v="N"/>
    <s v="AF"/>
    <s v="990"/>
    <s v="231116"/>
    <s v="ECC"/>
    <m/>
    <m/>
    <m/>
    <m/>
    <s v="CDG"/>
    <s v="JNB"/>
    <s v="JNB"/>
    <s v="N"/>
    <s v="XLC00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43"/>
    <s v="FA"/>
    <s v="05745622054003"/>
    <m/>
    <s v="613.0"/>
    <s v="6"/>
    <s v="2.77"/>
    <s v="N"/>
    <s v="N"/>
    <s v="AF"/>
    <s v="990"/>
    <s v="231116"/>
    <s v="ECC"/>
    <m/>
    <m/>
    <m/>
    <m/>
    <s v="CDG"/>
    <s v="JNB"/>
    <s v="JNB"/>
    <s v="N"/>
    <s v="71002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44"/>
    <s v="BA"/>
    <s v="05745666143001"/>
    <m/>
    <s v="160.0"/>
    <s v="9"/>
    <s v=".55"/>
    <s v="Y"/>
    <s v="N"/>
    <s v="AF"/>
    <s v="084"/>
    <s v="231116"/>
    <m/>
    <m/>
    <m/>
    <m/>
    <m/>
    <s v="IST"/>
    <s v="SFO"/>
    <s v="SFO"/>
    <s v="N"/>
    <s v="HLC15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45"/>
    <s v="BA"/>
    <s v="05745731335001"/>
    <m/>
    <s v="68.0"/>
    <s v="1"/>
    <s v=".49"/>
    <s v="Y"/>
    <s v="N"/>
    <s v="DL"/>
    <s v="153"/>
    <s v="231115"/>
    <s v="REQ"/>
    <s v="ECC"/>
    <s v="EAW"/>
    <m/>
    <m/>
    <s v="BSL"/>
    <s v="MSP"/>
    <s v="MSP"/>
    <s v="N"/>
    <s v="N6401"/>
    <m/>
    <s v="REQ NO DGR"/>
    <s v="Failed"/>
    <m/>
    <x v="0"/>
    <m/>
    <m/>
    <m/>
    <m/>
    <m/>
    <m/>
    <m/>
    <m/>
    <s v="3.1"/>
    <n v="1"/>
    <s v="Yes"/>
    <b v="0"/>
    <b v="0"/>
    <b v="0"/>
    <b v="0"/>
    <s v="Yes"/>
    <s v="No"/>
  </r>
  <r>
    <d v="2023-11-14T00:00:00"/>
    <x v="446"/>
    <s v="BA"/>
    <s v="05745972135001"/>
    <m/>
    <s v="407.0"/>
    <s v="1"/>
    <s v="2.29"/>
    <s v="Y"/>
    <s v="N"/>
    <s v="AF"/>
    <s v="890"/>
    <s v="231117"/>
    <s v="HEA"/>
    <m/>
    <m/>
    <m/>
    <m/>
    <s v="MAN"/>
    <s v="CPT"/>
    <s v="CPT"/>
    <s v="N"/>
    <s v="54104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447"/>
    <s v="BA"/>
    <s v="05746058176001"/>
    <m/>
    <s v="80.0"/>
    <s v="1"/>
    <s v=".34"/>
    <s v="Y"/>
    <s v="N"/>
    <s v="AF"/>
    <s v="460"/>
    <s v="231115"/>
    <s v="ECP"/>
    <s v="EAP"/>
    <m/>
    <m/>
    <m/>
    <s v="PEK"/>
    <s v="GRU"/>
    <s v="GRU"/>
    <s v="N"/>
    <s v="Q2304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48"/>
    <s v="BA"/>
    <s v="05746058213001"/>
    <m/>
    <s v="240.0"/>
    <s v="9"/>
    <s v=".73"/>
    <s v="Y"/>
    <s v="N"/>
    <s v="AF"/>
    <s v="460"/>
    <s v="231115"/>
    <s v="ECP"/>
    <s v="EAP"/>
    <m/>
    <m/>
    <m/>
    <s v="PEK"/>
    <s v="GRU"/>
    <s v="GRU"/>
    <s v="N"/>
    <s v="55006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49"/>
    <s v="BA"/>
    <s v="05746058331001"/>
    <m/>
    <s v="116.0"/>
    <s v="1"/>
    <s v=".67"/>
    <s v="Y"/>
    <s v="N"/>
    <s v="AF"/>
    <s v="460"/>
    <s v="231115"/>
    <s v="ECP"/>
    <s v="EAP"/>
    <m/>
    <m/>
    <m/>
    <s v="PEK"/>
    <s v="GRU"/>
    <s v="GRU"/>
    <s v="N"/>
    <s v="LLC44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50"/>
    <s v="BA"/>
    <s v="05746058342001"/>
    <s v="PMC65895AF"/>
    <s v="69.4"/>
    <s v="1"/>
    <s v=".32"/>
    <s v="Y"/>
    <s v="N"/>
    <s v="AF"/>
    <s v="454"/>
    <s v="231115"/>
    <s v="ECP"/>
    <s v="EAP"/>
    <m/>
    <m/>
    <m/>
    <s v="PEK"/>
    <s v="GRU"/>
    <s v="GRU"/>
    <s v="N"/>
    <s v="B1B-2929"/>
    <s v="ML"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450"/>
    <s v="DA"/>
    <s v="05746058342002"/>
    <s v="PMC65895AF"/>
    <s v="416.2"/>
    <s v="6"/>
    <s v="1.91"/>
    <s v="Y"/>
    <s v="N"/>
    <s v="AF"/>
    <s v="454"/>
    <s v="231115"/>
    <s v="ECP"/>
    <s v="EAP"/>
    <m/>
    <m/>
    <m/>
    <s v="PEK"/>
    <s v="GRU"/>
    <s v="GRU"/>
    <s v="N"/>
    <s v="B1B-2929"/>
    <s v="ML"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450"/>
    <s v="FA"/>
    <s v="05746058342003"/>
    <s v="PMC65895AF"/>
    <s v="138.7"/>
    <s v="2"/>
    <s v=".64"/>
    <s v="Y"/>
    <s v="N"/>
    <s v="AF"/>
    <s v="454"/>
    <s v="231115"/>
    <s v="ECP"/>
    <s v="EAP"/>
    <m/>
    <m/>
    <m/>
    <s v="PEK"/>
    <s v="GRU"/>
    <s v="GRU"/>
    <s v="N"/>
    <s v="B1B-2929"/>
    <s v="ML"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450"/>
    <s v="HA"/>
    <s v="05746058342004"/>
    <s v="PMC65895AF"/>
    <s v="69.4"/>
    <s v="1"/>
    <s v=".32"/>
    <s v="Y"/>
    <s v="N"/>
    <s v="AF"/>
    <s v="454"/>
    <s v="231115"/>
    <s v="ECP"/>
    <s v="EAP"/>
    <m/>
    <m/>
    <m/>
    <s v="PEK"/>
    <s v="GRU"/>
    <s v="GRU"/>
    <s v="N"/>
    <s v="B1B-2929"/>
    <s v="ML"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450"/>
    <s v="JA"/>
    <s v="05746058342005"/>
    <s v="PMC65895AF"/>
    <s v="69.4"/>
    <s v="1"/>
    <s v=".32"/>
    <s v="Y"/>
    <s v="N"/>
    <s v="AF"/>
    <s v="454"/>
    <s v="231115"/>
    <s v="ECP"/>
    <s v="EAP"/>
    <m/>
    <m/>
    <m/>
    <s v="PEK"/>
    <s v="GRU"/>
    <s v="GRU"/>
    <s v="N"/>
    <s v="B1B-2929"/>
    <s v="ML"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451"/>
    <s v="BA"/>
    <s v="05746058353001"/>
    <m/>
    <s v="159.0"/>
    <s v="3"/>
    <s v=".85"/>
    <s v="Y"/>
    <s v="N"/>
    <s v="AF"/>
    <s v="460"/>
    <s v="231115"/>
    <s v="ECP"/>
    <s v="EAP"/>
    <m/>
    <m/>
    <m/>
    <s v="PEK"/>
    <s v="GRU"/>
    <s v="GRU"/>
    <s v="N"/>
    <s v="HLC045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51"/>
    <s v="DA"/>
    <s v="05746058353002"/>
    <m/>
    <s v="53.0"/>
    <s v="1"/>
    <s v=".29"/>
    <s v="Y"/>
    <s v="N"/>
    <s v="AF"/>
    <s v="460"/>
    <s v="231115"/>
    <s v="ECP"/>
    <s v="EAP"/>
    <m/>
    <m/>
    <m/>
    <s v="PEK"/>
    <s v="GRU"/>
    <s v="GRU"/>
    <s v="N"/>
    <s v="Q8003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52"/>
    <s v="BA"/>
    <s v="05746058375001"/>
    <s v="PMC65895AF"/>
    <s v="169.0"/>
    <s v="1"/>
    <s v="1.25"/>
    <s v="Y"/>
    <s v="N"/>
    <s v="AF"/>
    <s v="454"/>
    <s v="231115"/>
    <s v="ECP"/>
    <s v="HEA"/>
    <s v="EAP"/>
    <m/>
    <m/>
    <s v="PEK"/>
    <s v="GRU"/>
    <s v="GRU"/>
    <s v="N"/>
    <s v="B1B-2929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52"/>
    <s v="DA"/>
    <s v="05746058375002"/>
    <s v="PMC65895AF"/>
    <s v="169.0"/>
    <s v="1"/>
    <s v="1.26"/>
    <s v="Y"/>
    <s v="N"/>
    <s v="AF"/>
    <s v="454"/>
    <s v="231115"/>
    <s v="ECP"/>
    <s v="HEA"/>
    <s v="EAP"/>
    <m/>
    <m/>
    <s v="PEK"/>
    <s v="GRU"/>
    <s v="GRU"/>
    <s v="N"/>
    <s v="B1B-2929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53"/>
    <s v="BA"/>
    <s v="05746058386001"/>
    <m/>
    <s v="60.0"/>
    <s v="1"/>
    <s v=".16"/>
    <s v="Y"/>
    <s v="N"/>
    <s v="AF"/>
    <s v="460"/>
    <s v="231115"/>
    <s v="ECP"/>
    <s v="EAP"/>
    <m/>
    <m/>
    <m/>
    <s v="PEK"/>
    <s v="GRU"/>
    <s v="GRU"/>
    <s v="N"/>
    <s v="Q6003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53"/>
    <s v="DA"/>
    <s v="05746058386002"/>
    <m/>
    <s v="180.0"/>
    <s v="3"/>
    <s v=".50"/>
    <s v="Y"/>
    <s v="N"/>
    <s v="AF"/>
    <s v="460"/>
    <s v="231115"/>
    <s v="ECP"/>
    <s v="EAP"/>
    <m/>
    <m/>
    <m/>
    <s v="PEK"/>
    <s v="GRU"/>
    <s v="GRU"/>
    <s v="N"/>
    <s v="Q6303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54"/>
    <s v="BA"/>
    <s v="05746106406001"/>
    <m/>
    <s v="54.5"/>
    <s v="1"/>
    <s v="1.15"/>
    <s v="Y"/>
    <s v="N"/>
    <s v="AF"/>
    <s v="484"/>
    <s v="231115"/>
    <s v="VIC"/>
    <s v="ECP"/>
    <s v="EAP"/>
    <m/>
    <m/>
    <s v="TLS"/>
    <s v="GIG"/>
    <s v="GIG"/>
    <s v="N"/>
    <s v="EC300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454"/>
    <s v="DA"/>
    <s v="05746106406002"/>
    <m/>
    <s v="54.5"/>
    <s v="1"/>
    <s v="1.16"/>
    <s v="Y"/>
    <s v="N"/>
    <s v="AF"/>
    <s v="484"/>
    <s v="231115"/>
    <s v="VIC"/>
    <s v="ECP"/>
    <s v="EAP"/>
    <m/>
    <m/>
    <s v="TLS"/>
    <s v="GIG"/>
    <s v="GIG"/>
    <s v="N"/>
    <s v="EC300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454"/>
    <s v="FA"/>
    <s v="05746106406003"/>
    <m/>
    <s v="54.5"/>
    <s v="1"/>
    <s v="1.16"/>
    <s v="Y"/>
    <s v="N"/>
    <s v="AF"/>
    <s v="484"/>
    <s v="231115"/>
    <s v="VIC"/>
    <s v="ECP"/>
    <s v="EAP"/>
    <m/>
    <m/>
    <s v="TLS"/>
    <s v="GIG"/>
    <s v="GIG"/>
    <s v="N"/>
    <s v="EC300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454"/>
    <s v="HA"/>
    <s v="05746106406004"/>
    <m/>
    <s v="54.5"/>
    <s v="1"/>
    <s v="1.16"/>
    <s v="Y"/>
    <s v="N"/>
    <s v="AF"/>
    <s v="484"/>
    <s v="231115"/>
    <s v="VIC"/>
    <s v="ECP"/>
    <s v="EAP"/>
    <m/>
    <m/>
    <s v="TLS"/>
    <s v="GIG"/>
    <s v="GIG"/>
    <s v="N"/>
    <s v="P4003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455"/>
    <s v="DA"/>
    <s v="05746227311002"/>
    <m/>
    <s v="125.2"/>
    <s v="1"/>
    <s v="1.36"/>
    <s v="Y"/>
    <s v="N"/>
    <s v="DL"/>
    <s v="225"/>
    <s v="231115"/>
    <s v="ECC"/>
    <s v="EAP"/>
    <m/>
    <m/>
    <m/>
    <s v="MUC"/>
    <s v="BOS"/>
    <s v="BOS"/>
    <s v="N"/>
    <s v="T8204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55"/>
    <s v="HA"/>
    <s v="05746227311004"/>
    <m/>
    <s v="125.2"/>
    <s v="1"/>
    <s v="1.37"/>
    <s v="Y"/>
    <s v="N"/>
    <s v="DL"/>
    <s v="225"/>
    <s v="231115"/>
    <s v="ECC"/>
    <s v="EAP"/>
    <m/>
    <m/>
    <m/>
    <s v="MUC"/>
    <s v="BOS"/>
    <s v="BOS"/>
    <s v="N"/>
    <s v="T8002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56"/>
    <s v="BA"/>
    <s v="05746375766001"/>
    <s v="PMC97371DL"/>
    <s v="56.7"/>
    <s v="1"/>
    <s v=".86"/>
    <s v="Y"/>
    <s v="N"/>
    <s v="DL"/>
    <s v="263"/>
    <s v="231115"/>
    <s v="ECC"/>
    <s v="EAP"/>
    <m/>
    <m/>
    <m/>
    <s v="BKK"/>
    <s v="JFK"/>
    <s v="JFK"/>
    <s v="N"/>
    <s v="B1A-3241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456"/>
    <s v="DA"/>
    <s v="05746375766002"/>
    <s v="PMC97371DL"/>
    <s v="56.8"/>
    <s v="1"/>
    <s v=".86"/>
    <s v="Y"/>
    <s v="N"/>
    <s v="DL"/>
    <s v="263"/>
    <s v="231115"/>
    <s v="ECC"/>
    <s v="EAP"/>
    <m/>
    <m/>
    <m/>
    <s v="BKK"/>
    <s v="JFK"/>
    <s v="JFK"/>
    <s v="N"/>
    <s v="B1A-3241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456"/>
    <s v="FA"/>
    <s v="05746375766003"/>
    <s v="PMC97371DL"/>
    <s v="56.8"/>
    <s v="1"/>
    <s v=".86"/>
    <s v="Y"/>
    <s v="N"/>
    <s v="DL"/>
    <s v="263"/>
    <s v="231115"/>
    <s v="ECC"/>
    <s v="EAP"/>
    <m/>
    <m/>
    <m/>
    <s v="BKK"/>
    <s v="JFK"/>
    <s v="JFK"/>
    <s v="N"/>
    <s v="B1A-3241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456"/>
    <s v="HA"/>
    <s v="05746375766004"/>
    <s v="PMC97371DL"/>
    <s v="56.8"/>
    <s v="1"/>
    <s v=".86"/>
    <s v="Y"/>
    <s v="N"/>
    <s v="DL"/>
    <s v="263"/>
    <s v="231115"/>
    <s v="ECC"/>
    <s v="EAP"/>
    <m/>
    <m/>
    <m/>
    <s v="BKK"/>
    <s v="JFK"/>
    <s v="JFK"/>
    <s v="N"/>
    <s v="B1A-3241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457"/>
    <s v="BA"/>
    <s v="05746425094001"/>
    <m/>
    <s v="330.0"/>
    <s v="3"/>
    <s v=".54"/>
    <s v="Y"/>
    <s v="N"/>
    <s v="AF"/>
    <s v="460"/>
    <s v="231116"/>
    <s v="ECP"/>
    <s v="EAP"/>
    <m/>
    <m/>
    <m/>
    <s v="FMO"/>
    <s v="GRU"/>
    <s v="GRU"/>
    <s v="N"/>
    <s v="Q5101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57"/>
    <s v="DA"/>
    <s v="05746425094002"/>
    <m/>
    <s v="110.0"/>
    <s v="1"/>
    <s v=".27"/>
    <s v="Y"/>
    <s v="N"/>
    <s v="AF"/>
    <s v="460"/>
    <s v="231116"/>
    <s v="ECP"/>
    <s v="EAP"/>
    <m/>
    <m/>
    <m/>
    <s v="FMO"/>
    <s v="GRU"/>
    <s v="GRU"/>
    <s v="N"/>
    <s v="Q7102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58"/>
    <s v="BA"/>
    <s v="05746524100001"/>
    <s v="PMC69816AF"/>
    <s v="2188.8"/>
    <s v="4"/>
    <s v="6.81"/>
    <s v="N"/>
    <s v="N"/>
    <s v="AF"/>
    <s v="6732"/>
    <s v="231115"/>
    <s v="NSC"/>
    <s v="ECC"/>
    <s v="HEA"/>
    <m/>
    <m/>
    <s v="CDG"/>
    <s v="ORD"/>
    <s v="ORD"/>
    <s v="N"/>
    <s v="B1A-3428"/>
    <s v="ML"/>
    <m/>
    <s v="Failed"/>
    <m/>
    <x v="7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58"/>
    <s v="WD"/>
    <s v="05746524100051"/>
    <s v="PMC31793KL"/>
    <s v="2736.1"/>
    <s v="5"/>
    <s v="8.51"/>
    <s v="N"/>
    <s v="N"/>
    <s v="AF"/>
    <s v="6732"/>
    <s v="231115"/>
    <s v="NSC"/>
    <s v="ECC"/>
    <s v="HEA"/>
    <m/>
    <m/>
    <s v="CDG"/>
    <s v="ORD"/>
    <s v="ORD"/>
    <s v="N"/>
    <s v="B2A-5337"/>
    <s v="ML"/>
    <m/>
    <s v="Failed"/>
    <m/>
    <x v="7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58"/>
    <s v="YD"/>
    <s v="05746524100052"/>
    <s v="PMC31968KL"/>
    <s v="2736.1"/>
    <s v="5"/>
    <s v="8.51"/>
    <s v="N"/>
    <s v="N"/>
    <s v="AF"/>
    <s v="6732"/>
    <s v="231115"/>
    <s v="NSC"/>
    <s v="ECC"/>
    <s v="HEA"/>
    <m/>
    <m/>
    <s v="CDG"/>
    <s v="ORD"/>
    <s v="ORD"/>
    <s v="N"/>
    <s v="B1B-2934"/>
    <s v="ML"/>
    <m/>
    <s v="Passed"/>
    <m/>
    <x v="7"/>
    <s v="Non secure cse no RA N°"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59"/>
    <s v="BA"/>
    <s v="05746728312001"/>
    <m/>
    <s v="45.0"/>
    <s v="3"/>
    <s v=".28"/>
    <s v="Y"/>
    <s v="N"/>
    <s v="AF"/>
    <s v="822"/>
    <s v="231115"/>
    <s v="XPS"/>
    <m/>
    <m/>
    <m/>
    <m/>
    <s v="MAD"/>
    <s v="SSG"/>
    <s v="SSG"/>
    <s v="N"/>
    <s v="XT000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460"/>
    <s v="DA"/>
    <s v="05746842504002"/>
    <s v="PMC21945MP"/>
    <s v="413.8"/>
    <s v="5"/>
    <s v="7.41"/>
    <s v="Y"/>
    <s v="N"/>
    <s v="AF"/>
    <s v="132"/>
    <s v="231116"/>
    <m/>
    <m/>
    <m/>
    <m/>
    <m/>
    <s v="HEL"/>
    <s v="DFW"/>
    <s v="DFW"/>
    <s v="N"/>
    <s v="B1A-3442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60"/>
    <s v="FA"/>
    <s v="05746842504003"/>
    <s v="PMC24885KL"/>
    <s v="331.1"/>
    <s v="4"/>
    <s v="5.93"/>
    <s v="Y"/>
    <s v="N"/>
    <s v="AF"/>
    <s v="132"/>
    <s v="231116"/>
    <m/>
    <m/>
    <m/>
    <m/>
    <m/>
    <s v="HEL"/>
    <s v="DFW"/>
    <s v="DFW"/>
    <s v="N"/>
    <s v="B2C-5940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61"/>
    <s v="BA"/>
    <s v="05746849445001"/>
    <m/>
    <s v="155.0"/>
    <s v="1"/>
    <s v="1.71"/>
    <s v="Y"/>
    <s v="N"/>
    <s v="AF"/>
    <s v="092"/>
    <s v="231116"/>
    <s v="HEA"/>
    <m/>
    <m/>
    <m/>
    <m/>
    <s v="IST"/>
    <s v="MIA"/>
    <s v="MIA"/>
    <s v="N"/>
    <s v="HLC073"/>
    <m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461"/>
    <s v="DA"/>
    <s v="05746849445002"/>
    <m/>
    <s v="155.0"/>
    <s v="1"/>
    <s v="1.72"/>
    <s v="Y"/>
    <s v="N"/>
    <s v="AF"/>
    <s v="092"/>
    <s v="231116"/>
    <s v="HEA"/>
    <m/>
    <m/>
    <m/>
    <m/>
    <s v="IST"/>
    <s v="MIA"/>
    <s v="MIA"/>
    <s v="N"/>
    <s v="HLC073"/>
    <m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462"/>
    <s v="BA"/>
    <s v="05746926224001"/>
    <s v="PMC32874KL"/>
    <s v="415.0"/>
    <s v="1"/>
    <s v=".32"/>
    <s v="Y"/>
    <s v="N"/>
    <s v="AF"/>
    <s v="090M"/>
    <s v="231115"/>
    <s v="HEA"/>
    <s v="OHG"/>
    <m/>
    <m/>
    <m/>
    <s v="PNR"/>
    <s v="ABZ"/>
    <s v="MAN"/>
    <s v="N"/>
    <s v="B2B-4211"/>
    <s v="ML"/>
    <m/>
    <s v="Failed"/>
    <m/>
    <x v="3"/>
    <m/>
    <m/>
    <m/>
    <m/>
    <m/>
    <m/>
    <m/>
    <m/>
    <s v="3.1"/>
    <n v="1"/>
    <b v="0"/>
    <b v="0"/>
    <b v="0"/>
    <b v="0"/>
    <b v="0"/>
    <s v="No"/>
    <s v="Yes"/>
  </r>
  <r>
    <d v="2023-11-14T00:00:00"/>
    <x v="3"/>
    <s v="HA"/>
    <s v="05746973743004"/>
    <s v="PMC67708AF"/>
    <s v="1131.0"/>
    <s v="1"/>
    <s v="10.00"/>
    <s v="Y"/>
    <s v="Y"/>
    <s v="AF"/>
    <s v="174M"/>
    <s v="231115"/>
    <s v="ECC"/>
    <s v="HEA"/>
    <s v="BUP"/>
    <s v="EAW"/>
    <m/>
    <s v="HKG"/>
    <s v="NTE"/>
    <s v="NTE"/>
    <s v="N"/>
    <s v="B2C-6042"/>
    <s v="ML"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"/>
    <s v="JA"/>
    <s v="05746973743005"/>
    <s v="PMC76300AF"/>
    <s v="2067.0"/>
    <s v="1"/>
    <s v="10.00"/>
    <s v="Y"/>
    <s v="Y"/>
    <s v="AF"/>
    <s v="174D"/>
    <s v="231115"/>
    <s v="ECC"/>
    <s v="HEA"/>
    <s v="BUP"/>
    <s v="EAW"/>
    <m/>
    <s v="HKG"/>
    <s v="NTE"/>
    <s v="NTE"/>
    <s v="N"/>
    <s v="B1B-2911"/>
    <s v="ML"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63"/>
    <s v="BA"/>
    <s v="05747061453001"/>
    <m/>
    <s v="950.0"/>
    <s v="1"/>
    <s v="1.09"/>
    <s v="Y"/>
    <s v="N"/>
    <s v="AF"/>
    <s v="342"/>
    <s v="231117"/>
    <s v="ECC"/>
    <s v="HEA"/>
    <m/>
    <m/>
    <m/>
    <s v="MMX"/>
    <s v="YUL"/>
    <s v="YUL"/>
    <s v="N"/>
    <s v="P40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64"/>
    <s v="DA"/>
    <s v="05747065782002"/>
    <m/>
    <s v="100.0"/>
    <s v="5"/>
    <s v=".10"/>
    <s v="Y"/>
    <s v="N"/>
    <s v="AF"/>
    <s v="690M"/>
    <s v="231116"/>
    <m/>
    <m/>
    <m/>
    <m/>
    <m/>
    <s v="PVG"/>
    <s v="OPO"/>
    <s v="OPO"/>
    <s v="N"/>
    <s v="52402"/>
    <m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146"/>
    <s v="NE"/>
    <s v="05747073246059"/>
    <s v="PAG15020KL"/>
    <s v="332.4"/>
    <s v="5"/>
    <s v="3.61"/>
    <s v="N"/>
    <s v="N"/>
    <s v="AF"/>
    <s v="702"/>
    <s v="231116"/>
    <s v="ERT"/>
    <s v="PIL"/>
    <s v="HEA"/>
    <s v="SPX"/>
    <m/>
    <s v="CDG"/>
    <s v="ABJ"/>
    <s v="ABJ"/>
    <s v="N"/>
    <s v="B2A-4719"/>
    <s v="AL"/>
    <m/>
    <s v="Passed"/>
    <m/>
    <x v="5"/>
    <m/>
    <m/>
    <m/>
    <m/>
    <m/>
    <m/>
    <m/>
    <m/>
    <s v="3.1"/>
    <n v="0.14285714285714285"/>
    <b v="0"/>
    <b v="0"/>
    <b v="0"/>
    <b v="0"/>
    <b v="0"/>
    <s v="No"/>
    <s v="No"/>
  </r>
  <r>
    <d v="2023-11-14T00:00:00"/>
    <x v="465"/>
    <s v="BA"/>
    <s v="05747128550001"/>
    <m/>
    <s v="92.0"/>
    <s v="3"/>
    <s v="1.21"/>
    <s v="Y"/>
    <s v="N"/>
    <s v="AF"/>
    <s v="454"/>
    <s v="231116"/>
    <s v="ECP"/>
    <m/>
    <m/>
    <m/>
    <m/>
    <s v="FRA"/>
    <s v="GRU"/>
    <s v="GRU"/>
    <s v="N"/>
    <s v="Q6004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66"/>
    <s v="DA"/>
    <s v="05747136994002"/>
    <m/>
    <s v="200.0"/>
    <s v="4"/>
    <s v=".40"/>
    <s v="Y"/>
    <s v="N"/>
    <s v="AF"/>
    <s v="194"/>
    <s v="231115"/>
    <m/>
    <m/>
    <m/>
    <m/>
    <m/>
    <s v="FRA"/>
    <s v="BLR"/>
    <s v="BLR"/>
    <s v="N"/>
    <s v="T3304"/>
    <m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466"/>
    <s v="FA"/>
    <s v="05747136994003"/>
    <m/>
    <s v="93.0"/>
    <s v="1"/>
    <s v=".18"/>
    <s v="Y"/>
    <s v="N"/>
    <s v="AF"/>
    <s v="194"/>
    <s v="231115"/>
    <m/>
    <m/>
    <m/>
    <m/>
    <m/>
    <s v="FRA"/>
    <s v="BLR"/>
    <s v="BLR"/>
    <s v="N"/>
    <s v="52406"/>
    <m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467"/>
    <s v="BA"/>
    <s v="05747184513001"/>
    <m/>
    <s v="142.0"/>
    <s v="2"/>
    <s v="1.41"/>
    <s v="Y"/>
    <s v="N"/>
    <s v="DL"/>
    <s v="089"/>
    <s v="231115"/>
    <s v="ECC"/>
    <s v="EAP"/>
    <m/>
    <m/>
    <m/>
    <s v="BLR"/>
    <s v="ATL"/>
    <s v="ATL"/>
    <s v="N"/>
    <s v="HLC034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68"/>
    <s v="BA"/>
    <s v="05747187593001"/>
    <s v="PMC28655KL"/>
    <s v="610.0"/>
    <s v="27"/>
    <s v="8.18"/>
    <s v="Y"/>
    <s v="N"/>
    <s v="AF"/>
    <s v="006"/>
    <s v="231117"/>
    <m/>
    <m/>
    <m/>
    <m/>
    <m/>
    <s v="BOD"/>
    <s v="JFK"/>
    <s v="JFK"/>
    <s v="N"/>
    <s v="B2A-5237"/>
    <s v="ML"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469"/>
    <s v="BA"/>
    <s v="05747191760001"/>
    <m/>
    <s v="164.0"/>
    <s v="1"/>
    <s v=".84"/>
    <s v="Y"/>
    <s v="N"/>
    <s v="AF"/>
    <s v="932"/>
    <s v="231115"/>
    <s v="HEA"/>
    <s v="EAP"/>
    <m/>
    <m/>
    <m/>
    <s v="DEL"/>
    <s v="ACC"/>
    <s v="ACC"/>
    <s v="N"/>
    <s v="50307"/>
    <m/>
    <m/>
    <s v="Failed"/>
    <m/>
    <x v="6"/>
    <s v="Lynka /  Agent inconnu en RCT/prod ok"/>
    <m/>
    <m/>
    <m/>
    <m/>
    <m/>
    <m/>
    <m/>
    <s v="3.1"/>
    <n v="1"/>
    <b v="0"/>
    <b v="0"/>
    <b v="0"/>
    <b v="0"/>
    <b v="0"/>
    <s v="No"/>
    <s v="No"/>
  </r>
  <r>
    <d v="2023-11-14T00:00:00"/>
    <x v="470"/>
    <s v="BA"/>
    <s v="05747232721001"/>
    <m/>
    <s v="68.0"/>
    <s v="1"/>
    <s v=".73"/>
    <s v="Y"/>
    <s v="N"/>
    <s v="AF"/>
    <s v="400M"/>
    <s v="231116"/>
    <s v="XPH"/>
    <s v="EAP"/>
    <m/>
    <m/>
    <m/>
    <s v="NBO"/>
    <s v="BUD"/>
    <s v="BUD"/>
    <s v="N"/>
    <s v="16103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71"/>
    <s v="DA"/>
    <s v="05747273995002"/>
    <m/>
    <s v="206.5"/>
    <s v="1"/>
    <s v=".54"/>
    <s v="Y"/>
    <s v="N"/>
    <s v="DL"/>
    <s v="225"/>
    <s v="231115"/>
    <s v="ECC"/>
    <s v="HEA"/>
    <s v="EAP"/>
    <m/>
    <m/>
    <s v="VIE"/>
    <s v="BOS"/>
    <s v="BOS"/>
    <s v="N"/>
    <s v="M71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72"/>
    <s v="BA"/>
    <n v="5747342621001"/>
    <m/>
    <s v="19.0"/>
    <s v="1"/>
    <s v=".10"/>
    <s v="Y"/>
    <s v="N"/>
    <s v="DL"/>
    <s v="083"/>
    <s v="231115"/>
    <s v="RDS"/>
    <s v="ICE"/>
    <m/>
    <m/>
    <m/>
    <s v="COO"/>
    <s v="ATL"/>
    <s v="ATL"/>
    <s v="N"/>
    <s v="91401"/>
    <m/>
    <m/>
    <s v="Failed"/>
    <m/>
    <x v="19"/>
    <m/>
    <m/>
    <m/>
    <m/>
    <m/>
    <m/>
    <m/>
    <m/>
    <s v="3.1"/>
    <n v="1"/>
    <s v="Yes"/>
    <s v="Yes"/>
    <b v="0"/>
    <b v="0"/>
    <b v="0"/>
    <s v="Yes"/>
    <s v="Yes"/>
  </r>
  <r>
    <d v="2023-11-14T00:00:00"/>
    <x v="473"/>
    <s v="BA"/>
    <s v="05747447525001"/>
    <m/>
    <s v="98.5"/>
    <s v="1"/>
    <s v="1.24"/>
    <s v="Y"/>
    <s v="N"/>
    <s v="AF"/>
    <s v="004"/>
    <s v="231115"/>
    <s v="ECC"/>
    <s v="EAW"/>
    <m/>
    <m/>
    <m/>
    <s v="DUB"/>
    <s v="JFK"/>
    <s v="JFK"/>
    <s v="N"/>
    <s v="55308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73"/>
    <s v="DA"/>
    <s v="05747447525002"/>
    <m/>
    <s v="98.5"/>
    <s v="1"/>
    <s v="1.24"/>
    <s v="Y"/>
    <s v="N"/>
    <s v="AF"/>
    <s v="004"/>
    <s v="231115"/>
    <s v="ECC"/>
    <s v="EAW"/>
    <m/>
    <m/>
    <m/>
    <s v="DUB"/>
    <s v="JFK"/>
    <s v="JFK"/>
    <s v="N"/>
    <s v="55307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74"/>
    <s v="BA"/>
    <s v="05747455321001"/>
    <s v="PMC66557AF"/>
    <s v="470.7"/>
    <s v="1"/>
    <s v="1.32"/>
    <s v="Y"/>
    <s v="N"/>
    <s v="AF"/>
    <s v="694"/>
    <s v="231115"/>
    <s v="ECC"/>
    <s v="HEA"/>
    <s v="EAW"/>
    <m/>
    <m/>
    <s v="DEL"/>
    <s v="IAH"/>
    <s v="IAH"/>
    <s v="N"/>
    <s v="B2A-4726"/>
    <s v="ML"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474"/>
    <s v="DA"/>
    <s v="05747455321002"/>
    <s v="PMC66557AF"/>
    <s v="470.8"/>
    <s v="1"/>
    <s v="1.32"/>
    <s v="Y"/>
    <s v="N"/>
    <s v="AF"/>
    <s v="694"/>
    <s v="231115"/>
    <s v="ECC"/>
    <s v="HEA"/>
    <s v="EAW"/>
    <m/>
    <m/>
    <s v="DEL"/>
    <s v="IAH"/>
    <s v="IAH"/>
    <s v="N"/>
    <s v="B2A-4726"/>
    <s v="ML"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474"/>
    <s v="FA"/>
    <s v="05747455321003"/>
    <s v="PMC66557AF"/>
    <s v="470.8"/>
    <s v="1"/>
    <s v="1.32"/>
    <s v="Y"/>
    <s v="N"/>
    <s v="AF"/>
    <s v="694"/>
    <s v="231115"/>
    <s v="ECC"/>
    <s v="HEA"/>
    <s v="EAW"/>
    <m/>
    <m/>
    <s v="DEL"/>
    <s v="IAH"/>
    <s v="IAH"/>
    <s v="N"/>
    <s v="B2A-4726"/>
    <s v="ML"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474"/>
    <s v="HA"/>
    <s v="05747455321004"/>
    <s v="PMC66557AF"/>
    <s v="470.8"/>
    <s v="1"/>
    <s v="1.32"/>
    <s v="Y"/>
    <s v="N"/>
    <s v="AF"/>
    <s v="694"/>
    <s v="231115"/>
    <s v="ECC"/>
    <s v="HEA"/>
    <s v="EAW"/>
    <m/>
    <m/>
    <s v="DEL"/>
    <s v="IAH"/>
    <s v="IAH"/>
    <s v="N"/>
    <s v="B2A-4726"/>
    <s v="ML"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475"/>
    <s v="BA"/>
    <s v="05747455505001"/>
    <m/>
    <s v="401.0"/>
    <s v="1"/>
    <s v="1.05"/>
    <s v="Y"/>
    <s v="N"/>
    <s v="AF"/>
    <s v="694"/>
    <s v="231116"/>
    <s v="ECC"/>
    <s v="HEA"/>
    <s v="EAW"/>
    <m/>
    <m/>
    <s v="DEL"/>
    <s v="IAH"/>
    <s v="IAH"/>
    <s v="N"/>
    <s v="N8102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476"/>
    <s v="BA"/>
    <s v="05747469306001"/>
    <m/>
    <s v="8.8"/>
    <s v="1"/>
    <s v=".10"/>
    <s v="Y"/>
    <s v="N"/>
    <s v="AF"/>
    <s v="412"/>
    <s v="231115"/>
    <m/>
    <m/>
    <m/>
    <m/>
    <m/>
    <s v="NTE"/>
    <s v="EZE"/>
    <s v="EZE"/>
    <s v="N"/>
    <s v="P2403"/>
    <m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476"/>
    <s v="DA"/>
    <s v="05747469306002"/>
    <m/>
    <s v="150.0"/>
    <s v="17"/>
    <s v="1.74"/>
    <s v="Y"/>
    <s v="N"/>
    <s v="AF"/>
    <s v="412"/>
    <s v="231115"/>
    <m/>
    <m/>
    <m/>
    <m/>
    <m/>
    <s v="NTE"/>
    <s v="EZE"/>
    <s v="EZE"/>
    <s v="N"/>
    <s v="P8003"/>
    <m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476"/>
    <s v="FA"/>
    <s v="05747469306003"/>
    <m/>
    <s v="61.8"/>
    <s v="7"/>
    <s v=".72"/>
    <s v="Y"/>
    <s v="N"/>
    <s v="AF"/>
    <s v="412"/>
    <s v="231115"/>
    <m/>
    <m/>
    <m/>
    <m/>
    <m/>
    <s v="NTE"/>
    <s v="EZE"/>
    <s v="EZE"/>
    <s v="N"/>
    <s v="P2003"/>
    <m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476"/>
    <s v="HA"/>
    <s v="05747469306004"/>
    <m/>
    <s v="53.0"/>
    <s v="6"/>
    <s v=".61"/>
    <s v="Y"/>
    <s v="N"/>
    <s v="AF"/>
    <s v="412"/>
    <s v="231115"/>
    <m/>
    <m/>
    <m/>
    <m/>
    <m/>
    <s v="NTE"/>
    <s v="EZE"/>
    <s v="EZE"/>
    <s v="N"/>
    <s v="P2303"/>
    <m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477"/>
    <s v="BA"/>
    <s v="05747546122001"/>
    <s v="PAG11356AF"/>
    <s v="621.0"/>
    <s v="33"/>
    <s v="6.63"/>
    <s v="Y"/>
    <s v="N"/>
    <s v="AF"/>
    <s v="090"/>
    <s v="231116"/>
    <s v="ECC"/>
    <s v="EAP"/>
    <m/>
    <m/>
    <m/>
    <s v="ICN"/>
    <s v="MIA"/>
    <s v="MIA"/>
    <s v="N"/>
    <s v="B1A-3444"/>
    <s v="A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78"/>
    <s v="BA"/>
    <s v="05747555196001"/>
    <s v="PMC28965KL"/>
    <s v="433.7"/>
    <s v="31"/>
    <s v=".86"/>
    <s v="Y"/>
    <s v="N"/>
    <s v="AF"/>
    <s v="340M"/>
    <s v="231116"/>
    <s v="ELI"/>
    <s v="ECC"/>
    <s v="EAP"/>
    <m/>
    <m/>
    <s v="ICN"/>
    <s v="PRG"/>
    <s v="PRG"/>
    <s v="N"/>
    <s v="B2C-5923"/>
    <s v="ML"/>
    <m/>
    <s v="Passed"/>
    <s v="Yes"/>
    <x v="6"/>
    <s v="Lynka / Rappel Agent 0 modif"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78"/>
    <s v="DA"/>
    <s v="05747555196002"/>
    <s v="PMC28965KL"/>
    <s v="1049.3"/>
    <s v="75"/>
    <s v="2.08"/>
    <s v="Y"/>
    <s v="N"/>
    <s v="AF"/>
    <s v="340M"/>
    <s v="231116"/>
    <s v="ECC"/>
    <s v="EAP"/>
    <m/>
    <m/>
    <m/>
    <s v="ICN"/>
    <s v="PRG"/>
    <s v="PRG"/>
    <s v="N"/>
    <s v="B2C-5923"/>
    <s v="ML"/>
    <m/>
    <s v="Passed"/>
    <s v="Yes"/>
    <x v="6"/>
    <s v="Lynka / Rappel Agent 0 modif"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78"/>
    <s v="FA"/>
    <s v="05747555196003"/>
    <s v="PMC28965KL"/>
    <s v="28.0"/>
    <s v="2"/>
    <s v=".06"/>
    <s v="Y"/>
    <s v="N"/>
    <s v="AF"/>
    <s v="340M"/>
    <s v="231116"/>
    <s v="ELI"/>
    <s v="ECC"/>
    <s v="EAP"/>
    <m/>
    <m/>
    <s v="ICN"/>
    <s v="PRG"/>
    <s v="PRG"/>
    <s v="N"/>
    <s v="B2C-5923"/>
    <s v="ML"/>
    <m/>
    <s v="Passed"/>
    <s v="Yes"/>
    <x v="6"/>
    <s v="Lynka / Rappel Agent 0 modif"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79"/>
    <s v="BA"/>
    <s v="05747555406001"/>
    <s v="AKE04351AF"/>
    <s v="145.0"/>
    <s v="1"/>
    <s v=".77"/>
    <s v="Y"/>
    <s v="N"/>
    <s v="AF"/>
    <s v="768"/>
    <s v="231115"/>
    <s v="ECP"/>
    <s v="EAP"/>
    <m/>
    <m/>
    <m/>
    <s v="ICN"/>
    <s v="NKC"/>
    <s v="NKC"/>
    <s v="N"/>
    <s v="SOR-0000"/>
    <s v="KE"/>
    <m/>
    <s v="Passed"/>
    <s v="Yes"/>
    <x v="6"/>
    <s v="Lynka / Rappel Agent 0 modif"/>
    <m/>
    <m/>
    <m/>
    <m/>
    <m/>
    <m/>
    <m/>
    <s v="3.1"/>
    <n v="1"/>
    <b v="0"/>
    <b v="0"/>
    <b v="0"/>
    <b v="0"/>
    <b v="0"/>
    <s v="No"/>
    <s v="No"/>
  </r>
  <r>
    <d v="2023-11-14T00:00:00"/>
    <x v="480"/>
    <s v="BA"/>
    <s v="05747599005001"/>
    <s v="PMC72121AF"/>
    <s v="1462.5"/>
    <s v="6"/>
    <s v="10.00"/>
    <s v="Y"/>
    <s v="N"/>
    <s v="AF"/>
    <s v="084"/>
    <s v="231115"/>
    <s v="ELI"/>
    <s v="ECC"/>
    <s v="HEA"/>
    <s v="EAP"/>
    <m/>
    <s v="BOM"/>
    <s v="LAX"/>
    <s v="SFO"/>
    <s v="N"/>
    <s v="B1A-3225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80"/>
    <s v="DA"/>
    <s v="05747599005002"/>
    <s v="PMC71639AF"/>
    <s v="1462.5"/>
    <s v="6"/>
    <s v="10.00"/>
    <s v="Y"/>
    <s v="N"/>
    <s v="AF"/>
    <s v="084"/>
    <s v="231115"/>
    <s v="ELI"/>
    <s v="ECC"/>
    <s v="HEA"/>
    <s v="EAP"/>
    <m/>
    <s v="BOM"/>
    <s v="LAX"/>
    <s v="SFO"/>
    <s v="N"/>
    <s v="B2C-5935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81"/>
    <s v="BA"/>
    <s v="05747637660001"/>
    <m/>
    <s v="183.3"/>
    <s v="5"/>
    <s v="1.16"/>
    <s v="Y"/>
    <s v="N"/>
    <s v="AF"/>
    <s v="328"/>
    <s v="231116"/>
    <m/>
    <m/>
    <m/>
    <m/>
    <m/>
    <s v="IST"/>
    <s v="YYZ"/>
    <s v="YOW"/>
    <s v="N"/>
    <s v="52004"/>
    <m/>
    <m/>
    <s v="Failed"/>
    <m/>
    <x v="3"/>
    <m/>
    <m/>
    <m/>
    <m/>
    <m/>
    <m/>
    <m/>
    <m/>
    <s v="3.1"/>
    <n v="0.25"/>
    <b v="0"/>
    <b v="0"/>
    <b v="0"/>
    <b v="0"/>
    <b v="0"/>
    <s v="No"/>
    <s v="No"/>
  </r>
  <r>
    <d v="2023-11-14T00:00:00"/>
    <x v="481"/>
    <s v="DA"/>
    <s v="05747637660002"/>
    <m/>
    <s v="110.0"/>
    <s v="3"/>
    <s v=".70"/>
    <s v="Y"/>
    <s v="N"/>
    <s v="AF"/>
    <s v="328"/>
    <s v="231116"/>
    <m/>
    <m/>
    <m/>
    <m/>
    <m/>
    <s v="IST"/>
    <s v="YYZ"/>
    <s v="YOW"/>
    <s v="N"/>
    <s v="50012"/>
    <m/>
    <m/>
    <s v="Failed"/>
    <m/>
    <x v="3"/>
    <m/>
    <m/>
    <m/>
    <m/>
    <m/>
    <m/>
    <m/>
    <m/>
    <s v="3.1"/>
    <n v="0.25"/>
    <b v="0"/>
    <b v="0"/>
    <b v="0"/>
    <b v="0"/>
    <b v="0"/>
    <s v="No"/>
    <s v="No"/>
  </r>
  <r>
    <d v="2023-11-14T00:00:00"/>
    <x v="481"/>
    <s v="FA"/>
    <s v="05747637660003"/>
    <m/>
    <s v="183.3"/>
    <s v="5"/>
    <s v="1.16"/>
    <s v="Y"/>
    <s v="N"/>
    <s v="AF"/>
    <s v="328"/>
    <s v="231116"/>
    <m/>
    <m/>
    <m/>
    <m/>
    <m/>
    <s v="IST"/>
    <s v="YYZ"/>
    <s v="YOW"/>
    <s v="N"/>
    <s v="P4001"/>
    <m/>
    <m/>
    <s v="Failed"/>
    <m/>
    <x v="3"/>
    <m/>
    <m/>
    <m/>
    <m/>
    <m/>
    <m/>
    <m/>
    <m/>
    <s v="3.1"/>
    <n v="0.25"/>
    <b v="0"/>
    <b v="0"/>
    <b v="0"/>
    <b v="0"/>
    <b v="0"/>
    <s v="No"/>
    <s v="No"/>
  </r>
  <r>
    <d v="2023-11-14T00:00:00"/>
    <x v="481"/>
    <s v="HA"/>
    <s v="05747637660004"/>
    <m/>
    <s v="183.3"/>
    <s v="5"/>
    <s v="1.16"/>
    <s v="Y"/>
    <s v="N"/>
    <s v="AF"/>
    <s v="328"/>
    <s v="231116"/>
    <m/>
    <m/>
    <m/>
    <m/>
    <m/>
    <s v="IST"/>
    <s v="YYZ"/>
    <s v="YOW"/>
    <s v="N"/>
    <s v="52008"/>
    <m/>
    <m/>
    <s v="Failed"/>
    <m/>
    <x v="3"/>
    <m/>
    <m/>
    <m/>
    <m/>
    <m/>
    <m/>
    <m/>
    <m/>
    <s v="3.1"/>
    <n v="0.25"/>
    <b v="0"/>
    <b v="0"/>
    <b v="0"/>
    <b v="0"/>
    <b v="0"/>
    <s v="No"/>
    <s v="No"/>
  </r>
  <r>
    <d v="2023-11-14T00:00:00"/>
    <x v="482"/>
    <s v="BA"/>
    <s v="05747639115001"/>
    <s v="PMC31349KL"/>
    <s v="270.0"/>
    <s v="12"/>
    <s v="1.66"/>
    <s v="Y"/>
    <s v="N"/>
    <s v="AF"/>
    <s v="460"/>
    <s v="231115"/>
    <s v="COL"/>
    <s v="PIL"/>
    <s v="ECP"/>
    <s v="EAP"/>
    <m/>
    <s v="PEK"/>
    <s v="GRU"/>
    <s v="GRU"/>
    <s v="N"/>
    <s v="CAP-0000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83"/>
    <s v="BA"/>
    <s v="05747650105001"/>
    <m/>
    <s v="220.0"/>
    <s v="1"/>
    <s v="1.37"/>
    <s v="N"/>
    <s v="N"/>
    <s v="AF"/>
    <s v="718"/>
    <s v="231115"/>
    <s v="NSC"/>
    <s v="HEA"/>
    <m/>
    <m/>
    <m/>
    <s v="CDG"/>
    <s v="DSS"/>
    <s v="DSS"/>
    <s v="N"/>
    <m/>
    <m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483"/>
    <s v="DA"/>
    <s v="05747650105002"/>
    <m/>
    <s v="220.0"/>
    <s v="1"/>
    <s v="1.37"/>
    <s v="N"/>
    <s v="N"/>
    <s v="AF"/>
    <s v="718"/>
    <s v="231115"/>
    <s v="NSC"/>
    <s v="HEA"/>
    <m/>
    <m/>
    <m/>
    <s v="CDG"/>
    <s v="DSS"/>
    <s v="DSS"/>
    <s v="N"/>
    <s v="54404"/>
    <m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484"/>
    <s v="BA"/>
    <s v="05747661854001"/>
    <s v="PMC31349KL"/>
    <s v="320.0"/>
    <s v="14"/>
    <s v="1.78"/>
    <s v="Y"/>
    <s v="N"/>
    <s v="AF"/>
    <s v="460"/>
    <s v="231115"/>
    <s v="ELM"/>
    <s v="ECP"/>
    <s v="EAP"/>
    <m/>
    <m/>
    <s v="PEK"/>
    <s v="GRU"/>
    <s v="GRU"/>
    <s v="N"/>
    <s v="CAP-0000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85"/>
    <s v="BA"/>
    <s v="05747661865001"/>
    <s v="PMC31349KL"/>
    <s v="606.0"/>
    <s v="5"/>
    <s v="1.24"/>
    <s v="Y"/>
    <s v="N"/>
    <s v="AF"/>
    <s v="460"/>
    <s v="231115"/>
    <s v="ECP"/>
    <s v="EAP"/>
    <m/>
    <m/>
    <m/>
    <s v="PEK"/>
    <s v="GRU"/>
    <s v="GRU"/>
    <s v="N"/>
    <s v="CAP-0000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86"/>
    <s v="BA"/>
    <s v="05747661876001"/>
    <s v="PMC31349KL"/>
    <s v="402.0"/>
    <s v="14"/>
    <s v=".97"/>
    <s v="Y"/>
    <s v="N"/>
    <s v="AF"/>
    <s v="460"/>
    <s v="231115"/>
    <s v="ECP"/>
    <s v="EAP"/>
    <m/>
    <m/>
    <m/>
    <s v="PEK"/>
    <s v="GRU"/>
    <s v="GRU"/>
    <s v="N"/>
    <s v="CAP-0000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87"/>
    <s v="BA"/>
    <s v="05747661891001"/>
    <s v="PMC31349KL"/>
    <s v="818.0"/>
    <s v="24"/>
    <s v="3.32"/>
    <s v="Y"/>
    <s v="N"/>
    <s v="AF"/>
    <s v="460"/>
    <s v="231115"/>
    <s v="ECP"/>
    <s v="OHG"/>
    <s v="EAP"/>
    <m/>
    <m/>
    <s v="PEK"/>
    <s v="GRU"/>
    <s v="GRU"/>
    <s v="N"/>
    <s v="CAP-0000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88"/>
    <s v="BA"/>
    <s v="05747751874001"/>
    <m/>
    <s v="100.0"/>
    <s v="2"/>
    <s v=".80"/>
    <s v="Y"/>
    <s v="N"/>
    <s v="AF"/>
    <s v="682"/>
    <s v="231116"/>
    <s v="EAP"/>
    <m/>
    <m/>
    <m/>
    <m/>
    <s v="NBO"/>
    <s v="BNA"/>
    <s v="ATL"/>
    <s v="N"/>
    <s v="64110"/>
    <m/>
    <m/>
    <s v="Passed"/>
    <s v="Yes"/>
    <x v="6"/>
    <s v="Lynka / 0 code agent "/>
    <m/>
    <m/>
    <m/>
    <m/>
    <m/>
    <m/>
    <m/>
    <s v="3.1"/>
    <n v="1"/>
    <b v="0"/>
    <b v="0"/>
    <b v="0"/>
    <b v="0"/>
    <b v="0"/>
    <s v="No"/>
    <s v="No"/>
  </r>
  <r>
    <d v="2023-11-14T00:00:00"/>
    <x v="489"/>
    <s v="BA"/>
    <s v="05747755400001"/>
    <m/>
    <s v="137.6"/>
    <s v="20"/>
    <s v=".83"/>
    <s v="Y"/>
    <s v="N"/>
    <s v="AF"/>
    <s v="690M"/>
    <s v="231116"/>
    <s v="ECC"/>
    <s v="EAW"/>
    <m/>
    <m/>
    <m/>
    <s v="NRT"/>
    <s v="OPO"/>
    <s v="OPO"/>
    <s v="N"/>
    <s v="OPO0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90"/>
    <s v="BA"/>
    <s v="05747768055001"/>
    <m/>
    <s v="70.0"/>
    <s v="1"/>
    <s v="1.45"/>
    <s v="Y"/>
    <s v="N"/>
    <s v="AF"/>
    <s v="688"/>
    <s v="231115"/>
    <s v="ECC"/>
    <s v="HEA"/>
    <s v="EAP"/>
    <m/>
    <m/>
    <s v="NRT"/>
    <s v="ATL"/>
    <s v="ATL"/>
    <s v="N"/>
    <s v="N1003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490"/>
    <s v="DA"/>
    <s v="05747768055002"/>
    <m/>
    <s v="236.0"/>
    <s v="1"/>
    <s v="1.45"/>
    <s v="Y"/>
    <s v="N"/>
    <s v="AF"/>
    <s v="688"/>
    <s v="231115"/>
    <s v="ECC"/>
    <s v="HEA"/>
    <s v="EAP"/>
    <m/>
    <m/>
    <s v="NRT"/>
    <s v="ATL"/>
    <s v="ATL"/>
    <s v="N"/>
    <s v="HLC022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490"/>
    <s v="FA"/>
    <s v="05747768055003"/>
    <m/>
    <s v="154.0"/>
    <s v="1"/>
    <s v="1.45"/>
    <s v="Y"/>
    <s v="N"/>
    <s v="AF"/>
    <s v="688"/>
    <s v="231115"/>
    <s v="ECC"/>
    <s v="HEA"/>
    <s v="EAP"/>
    <m/>
    <m/>
    <s v="NRT"/>
    <s v="ATL"/>
    <s v="ATL"/>
    <s v="N"/>
    <s v="HLC024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490"/>
    <s v="HA"/>
    <s v="05747768055004"/>
    <m/>
    <s v="46.7"/>
    <s v="1"/>
    <s v="1.45"/>
    <s v="Y"/>
    <s v="N"/>
    <s v="AF"/>
    <s v="688"/>
    <s v="231115"/>
    <s v="ECC"/>
    <s v="HEA"/>
    <s v="EAP"/>
    <m/>
    <m/>
    <s v="NRT"/>
    <s v="ATL"/>
    <s v="ATL"/>
    <s v="N"/>
    <s v="HLC063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490"/>
    <s v="JA"/>
    <s v="05747768055005"/>
    <m/>
    <s v="15.0"/>
    <s v="1"/>
    <s v="1.45"/>
    <s v="Y"/>
    <s v="N"/>
    <s v="AF"/>
    <s v="688"/>
    <s v="231115"/>
    <s v="ECC"/>
    <s v="HEA"/>
    <s v="EAP"/>
    <m/>
    <m/>
    <s v="NRT"/>
    <s v="ATL"/>
    <s v="ATL"/>
    <s v="N"/>
    <s v="HLC090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490"/>
    <m/>
    <s v="05747768055007"/>
    <m/>
    <s v="46.7"/>
    <s v="1"/>
    <s v="1.45"/>
    <s v="Y"/>
    <s v="N"/>
    <s v="AF"/>
    <s v="688"/>
    <s v="231115"/>
    <s v="ECC"/>
    <s v="HEA"/>
    <s v="EAP"/>
    <m/>
    <m/>
    <s v="NRT"/>
    <s v="ATL"/>
    <s v="ATL"/>
    <s v="N"/>
    <s v="M3101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490"/>
    <s v="RA"/>
    <s v="05747768055009"/>
    <m/>
    <s v="472.0"/>
    <s v="2"/>
    <s v="2.90"/>
    <s v="Y"/>
    <s v="N"/>
    <s v="AF"/>
    <s v="688"/>
    <s v="231115"/>
    <s v="ECC"/>
    <s v="HEA"/>
    <s v="EAP"/>
    <m/>
    <m/>
    <s v="NRT"/>
    <s v="ATL"/>
    <s v="ATL"/>
    <s v="N"/>
    <s v="58104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490"/>
    <s v="TA"/>
    <s v="05747768055010"/>
    <m/>
    <s v="236.0"/>
    <s v="1"/>
    <s v="1.45"/>
    <s v="Y"/>
    <s v="N"/>
    <s v="AF"/>
    <s v="688"/>
    <s v="231115"/>
    <s v="ECC"/>
    <s v="HEA"/>
    <s v="EAP"/>
    <m/>
    <m/>
    <s v="NRT"/>
    <s v="ATL"/>
    <s v="ATL"/>
    <s v="N"/>
    <s v="HLC103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491"/>
    <s v="BA"/>
    <s v="05747772174001"/>
    <m/>
    <s v="54.0"/>
    <s v="14"/>
    <s v=".23"/>
    <s v="Y"/>
    <s v="N"/>
    <s v="AF"/>
    <s v="690M"/>
    <s v="231116"/>
    <s v="CAO"/>
    <s v="RBI"/>
    <s v="ECC"/>
    <s v="EAP"/>
    <m/>
    <s v="NRT"/>
    <s v="OPO"/>
    <s v="OPO"/>
    <s v="N"/>
    <s v="59403"/>
    <m/>
    <m/>
    <s v="Failed"/>
    <m/>
    <x v="20"/>
    <m/>
    <m/>
    <m/>
    <m/>
    <m/>
    <m/>
    <m/>
    <m/>
    <s v="3.1"/>
    <n v="1"/>
    <s v="Yes"/>
    <s v="Yes"/>
    <b v="0"/>
    <b v="0"/>
    <b v="0"/>
    <s v="Yes"/>
    <s v="No"/>
  </r>
  <r>
    <d v="2023-11-14T00:00:00"/>
    <x v="492"/>
    <s v="BA"/>
    <s v="05747773246001"/>
    <s v="PMC65939AF"/>
    <s v="1500.0"/>
    <s v="6"/>
    <s v="10.28"/>
    <s v="Y"/>
    <s v="N"/>
    <s v="AF"/>
    <s v="6736"/>
    <s v="231118"/>
    <s v="ECC"/>
    <s v="HEA"/>
    <s v="EAP"/>
    <m/>
    <m/>
    <s v="KIX"/>
    <s v="ORD"/>
    <s v="ORD"/>
    <s v="N"/>
    <s v="B2A-5412"/>
    <s v="ML"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92"/>
    <s v="DA"/>
    <s v="05747773246002"/>
    <s v="PMC20389MP"/>
    <s v="668.0"/>
    <s v="6"/>
    <s v="4.58"/>
    <s v="Y"/>
    <s v="N"/>
    <s v="AF"/>
    <s v="6736"/>
    <s v="231118"/>
    <s v="ECC"/>
    <s v="HEA"/>
    <s v="EAP"/>
    <m/>
    <m/>
    <s v="KIX"/>
    <s v="ORD"/>
    <s v="ORD"/>
    <s v="N"/>
    <s v="B1B-2712"/>
    <s v="ML"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92"/>
    <s v="FA"/>
    <s v="05747773246003"/>
    <s v="PMC24699KL"/>
    <s v="915.0"/>
    <s v="6"/>
    <s v="6.27"/>
    <s v="Y"/>
    <s v="N"/>
    <s v="AF"/>
    <s v="6736"/>
    <s v="231118"/>
    <s v="ECC"/>
    <s v="HEA"/>
    <s v="EAP"/>
    <m/>
    <m/>
    <s v="KIX"/>
    <s v="ORD"/>
    <s v="ORD"/>
    <s v="N"/>
    <s v="B2A-5212"/>
    <s v="ML"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493"/>
    <s v="BA"/>
    <s v="05747786034001"/>
    <m/>
    <s v="80.0"/>
    <s v="4"/>
    <s v=".62"/>
    <s v="Y"/>
    <s v="N"/>
    <s v="AF"/>
    <s v="132"/>
    <s v="231116"/>
    <s v="ECC"/>
    <s v="EAP"/>
    <m/>
    <m/>
    <m/>
    <s v="BLR"/>
    <s v="DFW"/>
    <s v="DFW"/>
    <s v="N"/>
    <s v="670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94"/>
    <s v="DA"/>
    <s v="05747847704002"/>
    <s v="PMC28954KL"/>
    <s v="1386.5"/>
    <s v="1"/>
    <s v="14.67"/>
    <s v="Y"/>
    <s v="Y"/>
    <s v="AF"/>
    <s v="6730"/>
    <s v="231116"/>
    <s v="ELM"/>
    <s v="HEA"/>
    <s v="BUP"/>
    <m/>
    <m/>
    <s v="FRA"/>
    <s v="ORD"/>
    <s v="ORD"/>
    <s v="N"/>
    <s v="H20-2005"/>
    <s v="MJ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495"/>
    <s v="BA"/>
    <s v="05747847866001"/>
    <s v="PMC97402DL"/>
    <s v="867.0"/>
    <s v="5"/>
    <s v="9.36"/>
    <s v="Y"/>
    <s v="N"/>
    <s v="AF"/>
    <s v="090"/>
    <s v="231117"/>
    <s v="HEA"/>
    <s v="EAP"/>
    <s v="SPX"/>
    <m/>
    <m/>
    <s v="FRA"/>
    <s v="MIA"/>
    <s v="MIA"/>
    <s v="N"/>
    <s v="B1A-3433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95"/>
    <s v="DA"/>
    <s v="05747847866002"/>
    <s v="PMC00717DL"/>
    <s v="867.0"/>
    <s v="5"/>
    <s v="9.36"/>
    <s v="Y"/>
    <s v="N"/>
    <s v="AF"/>
    <s v="090"/>
    <s v="231117"/>
    <s v="HEA"/>
    <s v="EAP"/>
    <s v="SPX"/>
    <m/>
    <m/>
    <s v="FRA"/>
    <s v="MIA"/>
    <s v="MIA"/>
    <s v="N"/>
    <s v="B2C-5834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496"/>
    <s v="BA"/>
    <s v="05747869441001"/>
    <m/>
    <s v="166.0"/>
    <s v="1"/>
    <s v=".35"/>
    <s v="Y"/>
    <s v="N"/>
    <s v="AF"/>
    <s v="6732"/>
    <s v="231115"/>
    <s v="ECC"/>
    <s v="HEA"/>
    <s v="OHG"/>
    <s v="EAP"/>
    <m/>
    <s v="HEL"/>
    <s v="ORD"/>
    <s v="ORD"/>
    <s v="N"/>
    <s v="LGI00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497"/>
    <s v="BA"/>
    <s v="05747879016001"/>
    <m/>
    <s v="825.0"/>
    <s v="39"/>
    <s v="1.26"/>
    <s v="Y"/>
    <s v="N"/>
    <s v="AF"/>
    <s v="6734"/>
    <s v="231117"/>
    <s v="ECC"/>
    <s v="XPH"/>
    <s v="EAW"/>
    <m/>
    <m/>
    <s v="DEL"/>
    <s v="ORD"/>
    <s v="ORD"/>
    <s v="N"/>
    <s v="RFK32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498"/>
    <s v="BA"/>
    <s v="05747888433001"/>
    <m/>
    <s v="120.0"/>
    <s v="1"/>
    <s v=".31"/>
    <s v="Y"/>
    <s v="N"/>
    <s v="AF"/>
    <s v="140M"/>
    <s v="231115"/>
    <s v="EAP"/>
    <m/>
    <m/>
    <m/>
    <m/>
    <s v="DWC"/>
    <s v="NCE"/>
    <s v="MRS"/>
    <s v="N"/>
    <s v="MRS00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499"/>
    <s v="BA"/>
    <s v="05747895934001"/>
    <m/>
    <s v="290.0"/>
    <s v="2"/>
    <s v="3.00"/>
    <s v="N"/>
    <s v="N"/>
    <s v="AF"/>
    <s v="712"/>
    <s v="231115"/>
    <s v="ECC"/>
    <s v="EAP"/>
    <s v="SPX"/>
    <m/>
    <m/>
    <s v="CDG"/>
    <s v="ABJ"/>
    <s v="ABJ"/>
    <s v="N"/>
    <s v="R8003"/>
    <m/>
    <m/>
    <s v="Fail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500"/>
    <s v="BA"/>
    <s v="05747905675001"/>
    <m/>
    <s v="116.0"/>
    <s v="1"/>
    <s v="1.77"/>
    <s v="Y"/>
    <s v="N"/>
    <s v="AF"/>
    <s v="084"/>
    <s v="231116"/>
    <s v="ECC"/>
    <s v="EAW"/>
    <m/>
    <m/>
    <m/>
    <s v="BLL"/>
    <s v="LAX"/>
    <s v="SFO"/>
    <s v="N"/>
    <s v="Y7010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00"/>
    <s v="DA"/>
    <s v="05747905675002"/>
    <m/>
    <s v="116.0"/>
    <s v="1"/>
    <s v="1.77"/>
    <s v="Y"/>
    <s v="N"/>
    <s v="AF"/>
    <s v="084"/>
    <s v="231116"/>
    <s v="ECC"/>
    <s v="EAW"/>
    <m/>
    <m/>
    <m/>
    <s v="BLL"/>
    <s v="LAX"/>
    <s v="SFO"/>
    <s v="N"/>
    <s v="56001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00"/>
    <s v="FA"/>
    <s v="05747905675003"/>
    <m/>
    <s v="116.0"/>
    <s v="1"/>
    <s v="1.77"/>
    <s v="Y"/>
    <s v="N"/>
    <s v="AF"/>
    <s v="084"/>
    <s v="231116"/>
    <s v="ECC"/>
    <s v="EAW"/>
    <m/>
    <m/>
    <m/>
    <s v="BLL"/>
    <s v="LAX"/>
    <s v="SFO"/>
    <s v="N"/>
    <s v="56003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01"/>
    <s v="JA"/>
    <s v="05747970403005"/>
    <m/>
    <s v="961.2"/>
    <s v="24"/>
    <s v="5.77"/>
    <s v="N"/>
    <s v="N"/>
    <s v="AF"/>
    <s v="146"/>
    <s v="231117"/>
    <s v="ECP"/>
    <s v="EAP"/>
    <m/>
    <m/>
    <m/>
    <s v="CDG"/>
    <s v="NOU"/>
    <s v="NOU"/>
    <s v="N"/>
    <s v="RFK49"/>
    <m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501"/>
    <s v="WD"/>
    <s v="05747970403051"/>
    <m/>
    <s v="40.1"/>
    <s v="1"/>
    <s v=".24"/>
    <s v="N"/>
    <s v="N"/>
    <s v="AF"/>
    <s v="146"/>
    <s v="231117"/>
    <s v="ELI"/>
    <s v="ECP"/>
    <s v="HEA"/>
    <s v="EAP"/>
    <m/>
    <s v="CDG"/>
    <s v="NOU"/>
    <s v="NOU"/>
    <s v="N"/>
    <s v="E9800"/>
    <m/>
    <m/>
    <s v="Failed"/>
    <m/>
    <x v="3"/>
    <m/>
    <m/>
    <m/>
    <m/>
    <m/>
    <m/>
    <m/>
    <m/>
    <s v="3.1"/>
    <n v="0.5"/>
    <b v="0"/>
    <b v="0"/>
    <b v="0"/>
    <b v="0"/>
    <b v="0"/>
    <s v="No"/>
    <s v="No"/>
  </r>
  <r>
    <d v="2023-11-14T00:00:00"/>
    <x v="502"/>
    <s v="BA"/>
    <s v="05747980531001"/>
    <m/>
    <s v="61.3"/>
    <s v="4"/>
    <s v=".75"/>
    <s v="Y"/>
    <s v="N"/>
    <s v="AF"/>
    <s v="132"/>
    <s v="231116"/>
    <s v="ECC"/>
    <s v="EAP"/>
    <m/>
    <m/>
    <m/>
    <s v="BKK"/>
    <s v="DFW"/>
    <s v="DFW"/>
    <s v="N"/>
    <s v="53106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02"/>
    <s v="DA"/>
    <s v="05747980531002"/>
    <m/>
    <s v="15.3"/>
    <s v="1"/>
    <s v=".19"/>
    <s v="Y"/>
    <s v="N"/>
    <s v="AF"/>
    <s v="132"/>
    <s v="231116"/>
    <s v="ECC"/>
    <s v="EAP"/>
    <m/>
    <m/>
    <m/>
    <s v="BKK"/>
    <s v="DFW"/>
    <s v="DFW"/>
    <s v="N"/>
    <s v="52301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02"/>
    <s v="FA"/>
    <s v="05747980531003"/>
    <m/>
    <s v="15.3"/>
    <s v="1"/>
    <s v=".19"/>
    <s v="Y"/>
    <s v="N"/>
    <s v="AF"/>
    <s v="132"/>
    <s v="231116"/>
    <s v="ECC"/>
    <s v="EAP"/>
    <m/>
    <m/>
    <m/>
    <s v="BKK"/>
    <s v="DFW"/>
    <s v="DFW"/>
    <s v="N"/>
    <s v="52304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03"/>
    <s v="BA"/>
    <s v="05747982185001"/>
    <s v="PMC90177AF"/>
    <s v="1753.0"/>
    <s v="89"/>
    <s v="8.99"/>
    <s v="Y"/>
    <s v="N"/>
    <s v="AF"/>
    <s v="174"/>
    <s v="231115"/>
    <s v="ECC"/>
    <s v="EAP"/>
    <m/>
    <m/>
    <m/>
    <s v="PEK"/>
    <s v="MEX"/>
    <s v="MEX"/>
    <s v="N"/>
    <s v="B2A-5111"/>
    <s v="ML"/>
    <m/>
    <s v="Passed"/>
    <s v="Yes"/>
    <x v="6"/>
    <s v="Lynka / 0 code agent "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03"/>
    <s v="DA"/>
    <s v="05747982185002"/>
    <m/>
    <s v="359.2"/>
    <s v="16"/>
    <s v="1.62"/>
    <s v="Y"/>
    <s v="N"/>
    <s v="AF"/>
    <s v="174"/>
    <s v="231115"/>
    <s v="ECC"/>
    <s v="EAP"/>
    <m/>
    <m/>
    <m/>
    <s v="PEK"/>
    <s v="MEX"/>
    <s v="MEX"/>
    <s v="N"/>
    <s v="56207"/>
    <m/>
    <m/>
    <s v="Passed"/>
    <s v="Yes"/>
    <x v="6"/>
    <s v="Lynka / 0 code agent "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03"/>
    <s v="FA"/>
    <s v="05747982185003"/>
    <m/>
    <s v="89.8"/>
    <s v="4"/>
    <s v=".40"/>
    <s v="Y"/>
    <s v="N"/>
    <s v="AF"/>
    <s v="174"/>
    <s v="231115"/>
    <s v="ECC"/>
    <s v="EAP"/>
    <m/>
    <m/>
    <m/>
    <s v="PEK"/>
    <s v="MEX"/>
    <s v="MEX"/>
    <s v="N"/>
    <s v="N3102"/>
    <m/>
    <m/>
    <s v="Passed"/>
    <s v="Yes"/>
    <x v="6"/>
    <s v="Lynka / 0 code agent "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04"/>
    <s v="BA"/>
    <s v="05747982303001"/>
    <s v="PMC90177AF"/>
    <s v="226.0"/>
    <s v="1"/>
    <s v=".63"/>
    <s v="Y"/>
    <s v="N"/>
    <s v="AF"/>
    <s v="174"/>
    <s v="231115"/>
    <s v="ECC"/>
    <s v="HEA"/>
    <s v="EAP"/>
    <m/>
    <m/>
    <s v="PEK"/>
    <s v="MEX"/>
    <s v="MEX"/>
    <s v="N"/>
    <s v="B2A-5111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05"/>
    <s v="BA"/>
    <s v="05747982314001"/>
    <s v="PMC90177AF"/>
    <s v="360.0"/>
    <s v="2"/>
    <s v=".87"/>
    <s v="Y"/>
    <s v="N"/>
    <s v="AF"/>
    <s v="174"/>
    <s v="231115"/>
    <s v="ECC"/>
    <s v="HEA"/>
    <s v="EAP"/>
    <m/>
    <m/>
    <s v="PEK"/>
    <s v="MEX"/>
    <s v="MEX"/>
    <s v="N"/>
    <s v="B2A-5111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06"/>
    <s v="BA"/>
    <s v="05748028271001"/>
    <m/>
    <s v="322.1"/>
    <s v="23"/>
    <s v=".59"/>
    <s v="Y"/>
    <s v="N"/>
    <s v="AF"/>
    <s v="822"/>
    <s v="231115"/>
    <s v="RCM"/>
    <m/>
    <m/>
    <m/>
    <m/>
    <s v="FRA"/>
    <s v="DLA"/>
    <s v="DLA"/>
    <s v="N"/>
    <s v="93101"/>
    <m/>
    <m/>
    <s v="Passed"/>
    <m/>
    <x v="21"/>
    <m/>
    <m/>
    <m/>
    <m/>
    <m/>
    <m/>
    <m/>
    <m/>
    <s v="3.1"/>
    <n v="1"/>
    <s v="Yes"/>
    <b v="0"/>
    <b v="0"/>
    <b v="0"/>
    <b v="0"/>
    <s v="Yes"/>
    <s v="No"/>
  </r>
  <r>
    <d v="2023-11-14T00:00:00"/>
    <x v="507"/>
    <s v="BA"/>
    <s v="05748051150001"/>
    <m/>
    <s v="72.0"/>
    <s v="4"/>
    <s v=".14"/>
    <s v="Y"/>
    <s v="N"/>
    <s v="AF"/>
    <s v="690M"/>
    <s v="231116"/>
    <s v="EAP"/>
    <m/>
    <m/>
    <m/>
    <m/>
    <s v="TNR"/>
    <s v="OPO"/>
    <s v="OPO"/>
    <s v="N"/>
    <s v="OPO00"/>
    <m/>
    <m/>
    <s v="Passed"/>
    <m/>
    <x v="5"/>
    <m/>
    <m/>
    <m/>
    <m/>
    <m/>
    <m/>
    <m/>
    <m/>
    <s v="3.1"/>
    <n v="1"/>
    <b v="0"/>
    <b v="0"/>
    <b v="0"/>
    <b v="0"/>
    <b v="0"/>
    <s v="No"/>
    <s v="Yes"/>
  </r>
  <r>
    <d v="2023-11-14T00:00:00"/>
    <x v="508"/>
    <s v="BA"/>
    <s v="05748057085001"/>
    <m/>
    <s v="108.7"/>
    <s v="7"/>
    <s v=".44"/>
    <s v="Y"/>
    <s v="N"/>
    <s v="AF"/>
    <s v="404"/>
    <s v="231117"/>
    <s v="ELI"/>
    <s v="ECC"/>
    <s v="EAP"/>
    <m/>
    <m/>
    <s v="HKG"/>
    <s v="FOR"/>
    <s v="FOR"/>
    <s v="N"/>
    <s v="ECV00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08"/>
    <s v="DA"/>
    <s v="05748057085002"/>
    <m/>
    <s v="186.3"/>
    <s v="12"/>
    <s v=".75"/>
    <s v="Y"/>
    <s v="N"/>
    <s v="AF"/>
    <s v="404"/>
    <s v="231117"/>
    <s v="ELI"/>
    <s v="ECC"/>
    <s v="EAP"/>
    <m/>
    <m/>
    <s v="HKG"/>
    <s v="FOR"/>
    <s v="FOR"/>
    <s v="N"/>
    <s v="ECV00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09"/>
    <s v="BA"/>
    <s v="05748065371001"/>
    <s v="PMC63993AF"/>
    <s v="1203.0"/>
    <s v="7"/>
    <s v="5.93"/>
    <s v="Y"/>
    <s v="N"/>
    <s v="AF"/>
    <s v="454"/>
    <s v="231116"/>
    <s v="HEA"/>
    <s v="EAP"/>
    <s v="SPX"/>
    <m/>
    <m/>
    <s v="FRA"/>
    <s v="GRU"/>
    <s v="GRU"/>
    <s v="N"/>
    <s v="B2A-5442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10"/>
    <s v="BA"/>
    <s v="05748095272001"/>
    <m/>
    <s v="195.6"/>
    <s v="1"/>
    <s v=".28"/>
    <s v="Y"/>
    <s v="N"/>
    <s v="AF"/>
    <s v="378"/>
    <s v="231115"/>
    <s v="HEA"/>
    <s v="EAP"/>
    <m/>
    <m/>
    <m/>
    <s v="DEL"/>
    <s v="DTW"/>
    <s v="DTW"/>
    <s v="N"/>
    <s v="N8303"/>
    <m/>
    <m/>
    <s v="Passed"/>
    <m/>
    <x v="22"/>
    <m/>
    <m/>
    <m/>
    <m/>
    <m/>
    <m/>
    <m/>
    <m/>
    <s v="3.1"/>
    <n v="0.5"/>
    <b v="0"/>
    <b v="0"/>
    <b v="0"/>
    <b v="0"/>
    <b v="0"/>
    <s v="No"/>
    <s v="No"/>
  </r>
  <r>
    <d v="2023-11-14T00:00:00"/>
    <x v="510"/>
    <s v="DA"/>
    <s v="05748095272002"/>
    <m/>
    <s v="195.6"/>
    <s v="1"/>
    <s v=".29"/>
    <s v="Y"/>
    <s v="N"/>
    <s v="AF"/>
    <s v="378"/>
    <s v="231115"/>
    <s v="HEA"/>
    <s v="EAP"/>
    <m/>
    <m/>
    <m/>
    <s v="DEL"/>
    <s v="DTW"/>
    <s v="DTW"/>
    <s v="N"/>
    <s v="N8302"/>
    <m/>
    <m/>
    <s v="Passed"/>
    <m/>
    <x v="22"/>
    <m/>
    <m/>
    <m/>
    <m/>
    <m/>
    <m/>
    <m/>
    <m/>
    <s v="3.1"/>
    <n v="0.5"/>
    <b v="0"/>
    <b v="0"/>
    <b v="0"/>
    <b v="0"/>
    <b v="0"/>
    <s v="No"/>
    <s v="No"/>
  </r>
  <r>
    <d v="2023-11-14T00:00:00"/>
    <x v="511"/>
    <s v="BA"/>
    <s v="05748115620001"/>
    <m/>
    <s v="173.5"/>
    <s v="2"/>
    <s v="1.06"/>
    <s v="Y"/>
    <s v="N"/>
    <s v="AF"/>
    <s v="174"/>
    <s v="231115"/>
    <m/>
    <m/>
    <m/>
    <m/>
    <m/>
    <s v="BCN"/>
    <s v="MEX"/>
    <s v="MEX"/>
    <s v="N"/>
    <s v="49407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11"/>
    <s v="DA"/>
    <s v="05748115620002"/>
    <m/>
    <s v="86.8"/>
    <s v="1"/>
    <s v=".53"/>
    <s v="Y"/>
    <s v="N"/>
    <s v="AF"/>
    <s v="174"/>
    <s v="231115"/>
    <m/>
    <m/>
    <m/>
    <m/>
    <m/>
    <s v="BCN"/>
    <s v="MEX"/>
    <s v="MEX"/>
    <s v="N"/>
    <s v="P6102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11"/>
    <s v="FA"/>
    <s v="05748115620003"/>
    <m/>
    <s v="86.8"/>
    <s v="1"/>
    <s v=".53"/>
    <s v="Y"/>
    <s v="N"/>
    <s v="AF"/>
    <s v="174"/>
    <s v="231115"/>
    <m/>
    <m/>
    <m/>
    <m/>
    <m/>
    <s v="BCN"/>
    <s v="MEX"/>
    <s v="MEX"/>
    <s v="N"/>
    <s v="63305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12"/>
    <s v="BA"/>
    <s v="05748136395001"/>
    <m/>
    <s v="848.2"/>
    <s v="1"/>
    <s v="1.50"/>
    <s v="Y"/>
    <s v="N"/>
    <s v="AF"/>
    <s v="702M"/>
    <s v="231115"/>
    <s v="ECC"/>
    <s v="HEA"/>
    <m/>
    <m/>
    <m/>
    <s v="SXB"/>
    <s v="FDF"/>
    <s v="ORY"/>
    <s v="N"/>
    <s v="ORY00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12"/>
    <s v="DA"/>
    <s v="05748136395002"/>
    <m/>
    <s v="848.3"/>
    <s v="1"/>
    <s v="1.50"/>
    <s v="Y"/>
    <s v="N"/>
    <s v="AF"/>
    <s v="702M"/>
    <s v="231115"/>
    <s v="ECC"/>
    <s v="HEA"/>
    <m/>
    <m/>
    <m/>
    <s v="SXB"/>
    <s v="FDF"/>
    <s v="ORY"/>
    <s v="N"/>
    <s v="ORY00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13"/>
    <s v="BA"/>
    <s v="05748149205001"/>
    <m/>
    <s v="229.0"/>
    <s v="1"/>
    <s v=".84"/>
    <s v="Y"/>
    <s v="N"/>
    <s v="AF"/>
    <s v="460"/>
    <s v="231116"/>
    <s v="HEA"/>
    <m/>
    <m/>
    <m/>
    <m/>
    <s v="LIL"/>
    <s v="GRU"/>
    <s v="GRU"/>
    <s v="N"/>
    <s v="Q5304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14"/>
    <s v="BA"/>
    <s v="05748166101001"/>
    <s v="PMC22075MP"/>
    <s v="1474.6"/>
    <s v="52"/>
    <s v="5.37"/>
    <s v="Y"/>
    <s v="N"/>
    <s v="AF"/>
    <s v="6722"/>
    <s v="231117"/>
    <s v="ECC"/>
    <s v="EAP"/>
    <m/>
    <m/>
    <m/>
    <s v="BOM"/>
    <s v="MTY"/>
    <s v="NLU"/>
    <s v="N"/>
    <s v="B2A-5128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14"/>
    <s v="DA"/>
    <s v="05748166101002"/>
    <s v="PMC22075MP"/>
    <s v="28.4"/>
    <s v="1"/>
    <s v=".10"/>
    <s v="Y"/>
    <s v="N"/>
    <s v="AF"/>
    <s v="6722"/>
    <s v="231117"/>
    <s v="ECC"/>
    <s v="EAP"/>
    <m/>
    <m/>
    <m/>
    <s v="BOM"/>
    <s v="MTY"/>
    <s v="NLU"/>
    <s v="N"/>
    <s v="B2A-5128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15"/>
    <s v="BA"/>
    <s v="05748178896001"/>
    <m/>
    <s v="134.0"/>
    <s v="7"/>
    <s v=".77"/>
    <s v="Y"/>
    <s v="N"/>
    <s v="AF"/>
    <s v="132"/>
    <s v="231117"/>
    <s v="EAP"/>
    <m/>
    <m/>
    <m/>
    <m/>
    <s v="BOM"/>
    <s v="DFW"/>
    <s v="DFW"/>
    <s v="N"/>
    <s v="551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16"/>
    <s v="BA"/>
    <s v="05748200666001"/>
    <s v="PMC20598MP"/>
    <s v="1457.0"/>
    <s v="135"/>
    <s v="12.04"/>
    <s v="Y"/>
    <s v="N"/>
    <s v="AF"/>
    <s v="008"/>
    <s v="231115"/>
    <s v="ECC"/>
    <s v="ULD"/>
    <s v="EAW"/>
    <m/>
    <m/>
    <s v="BCN"/>
    <s v="JFK"/>
    <s v="JFK"/>
    <s v="N"/>
    <s v="B2A-5224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16"/>
    <s v="HA"/>
    <s v="05748200666004"/>
    <s v="PMC73092AF"/>
    <s v="926.0"/>
    <s v="99"/>
    <s v="8.83"/>
    <s v="Y"/>
    <s v="N"/>
    <s v="AF"/>
    <s v="002"/>
    <s v="231116"/>
    <s v="ECC"/>
    <s v="ULD"/>
    <s v="EAW"/>
    <m/>
    <m/>
    <s v="BCN"/>
    <s v="JFK"/>
    <s v="JFK"/>
    <s v="N"/>
    <s v="B2B-4027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17"/>
    <s v="BA"/>
    <s v="05748220712001"/>
    <s v="PMC76321AF"/>
    <s v="1024.3"/>
    <s v="6"/>
    <s v="6.07"/>
    <s v="Y"/>
    <s v="N"/>
    <s v="AF"/>
    <s v="6724"/>
    <s v="231116"/>
    <s v="HEA"/>
    <m/>
    <m/>
    <m/>
    <m/>
    <s v="BRU"/>
    <s v="NRT"/>
    <s v="NRT"/>
    <s v="N"/>
    <s v="B1C-2238"/>
    <s v="MJ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18"/>
    <s v="BA"/>
    <s v="05748224153001"/>
    <m/>
    <s v="398.4"/>
    <s v="25"/>
    <s v="1.73"/>
    <s v="Y"/>
    <s v="N"/>
    <s v="AF"/>
    <s v="470M"/>
    <s v="231115"/>
    <s v="ECC"/>
    <s v="EAP"/>
    <m/>
    <m/>
    <m/>
    <s v="DXB"/>
    <s v="CPH"/>
    <s v="CPH"/>
    <s v="N"/>
    <s v="Y7007"/>
    <m/>
    <m/>
    <s v="Failed"/>
    <m/>
    <x v="3"/>
    <m/>
    <m/>
    <m/>
    <m/>
    <m/>
    <m/>
    <m/>
    <m/>
    <s v="3.1"/>
    <n v="0.25"/>
    <b v="0"/>
    <b v="0"/>
    <b v="0"/>
    <b v="0"/>
    <b v="0"/>
    <s v="No"/>
    <s v="No"/>
  </r>
  <r>
    <d v="2023-11-14T00:00:00"/>
    <x v="518"/>
    <s v="FA"/>
    <s v="05748224153003"/>
    <m/>
    <s v="366.6"/>
    <s v="23"/>
    <s v="1.59"/>
    <s v="Y"/>
    <s v="N"/>
    <s v="AF"/>
    <s v="470M"/>
    <s v="231115"/>
    <s v="ECC"/>
    <s v="EAP"/>
    <m/>
    <m/>
    <m/>
    <s v="DXB"/>
    <s v="CPH"/>
    <s v="CPH"/>
    <s v="N"/>
    <s v="HFE12"/>
    <m/>
    <m/>
    <s v="Failed"/>
    <m/>
    <x v="3"/>
    <m/>
    <m/>
    <m/>
    <m/>
    <m/>
    <m/>
    <m/>
    <m/>
    <s v="3.1"/>
    <n v="0.25"/>
    <b v="0"/>
    <b v="0"/>
    <b v="0"/>
    <b v="0"/>
    <b v="0"/>
    <s v="No"/>
    <s v="No"/>
  </r>
  <r>
    <d v="2023-11-14T00:00:00"/>
    <x v="519"/>
    <s v="BA"/>
    <s v="05748226371001"/>
    <m/>
    <s v="530.0"/>
    <s v="1"/>
    <s v="1.51"/>
    <s v="Y"/>
    <s v="N"/>
    <s v="AF"/>
    <s v="422"/>
    <s v="231115"/>
    <s v="HEA"/>
    <m/>
    <m/>
    <m/>
    <m/>
    <s v="IST"/>
    <s v="BOG"/>
    <s v="BOG"/>
    <s v="N"/>
    <s v="XLC30"/>
    <m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520"/>
    <s v="BA"/>
    <s v="05748230490001"/>
    <m/>
    <s v="390.0"/>
    <s v="1"/>
    <s v=".56"/>
    <s v="Y"/>
    <s v="N"/>
    <s v="AF"/>
    <s v="688"/>
    <s v="231117"/>
    <s v="ECC"/>
    <s v="HEA"/>
    <s v="EAP"/>
    <m/>
    <m/>
    <s v="BKK"/>
    <s v="ATL"/>
    <s v="ATL"/>
    <s v="N"/>
    <s v="54309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20"/>
    <s v="DA"/>
    <s v="05748230490002"/>
    <m/>
    <s v="200.0"/>
    <s v="2"/>
    <s v="1.12"/>
    <s v="Y"/>
    <s v="N"/>
    <s v="AF"/>
    <s v="688"/>
    <s v="231117"/>
    <s v="ECC"/>
    <s v="HEA"/>
    <s v="EAP"/>
    <m/>
    <m/>
    <s v="BKK"/>
    <s v="ATL"/>
    <s v="ATL"/>
    <s v="N"/>
    <s v="M4102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20"/>
    <s v="FA"/>
    <s v="05748230490003"/>
    <m/>
    <s v="390.0"/>
    <s v="1"/>
    <s v=".56"/>
    <s v="Y"/>
    <s v="N"/>
    <s v="AF"/>
    <s v="688"/>
    <s v="231117"/>
    <s v="ECC"/>
    <s v="HEA"/>
    <s v="EAP"/>
    <m/>
    <m/>
    <s v="BKK"/>
    <s v="ATL"/>
    <s v="ATL"/>
    <s v="N"/>
    <s v="M6304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21"/>
    <s v="BA"/>
    <s v="05748246236001"/>
    <m/>
    <s v="140.0"/>
    <s v="1"/>
    <s v=".90"/>
    <s v="Y"/>
    <s v="N"/>
    <s v="AF"/>
    <s v="026"/>
    <s v="231115"/>
    <s v="ECC"/>
    <m/>
    <m/>
    <m/>
    <m/>
    <s v="HEL"/>
    <s v="IAD"/>
    <s v="IAD"/>
    <s v="N"/>
    <s v="XLC20"/>
    <m/>
    <m/>
    <s v="Passed"/>
    <m/>
    <x v="22"/>
    <m/>
    <m/>
    <m/>
    <m/>
    <m/>
    <m/>
    <m/>
    <m/>
    <s v="3.1"/>
    <n v="1"/>
    <b v="0"/>
    <b v="0"/>
    <b v="0"/>
    <b v="0"/>
    <b v="0"/>
    <s v="No"/>
    <s v="No"/>
  </r>
  <r>
    <d v="2023-11-14T00:00:00"/>
    <x v="522"/>
    <s v="BA"/>
    <s v="05748258221001"/>
    <m/>
    <s v="394.0"/>
    <s v="1"/>
    <s v="1.10"/>
    <s v="Y"/>
    <s v="N"/>
    <s v="AF"/>
    <s v="972"/>
    <s v="231115"/>
    <s v="ECC"/>
    <s v="HEA"/>
    <m/>
    <m/>
    <m/>
    <s v="OSL"/>
    <s v="LAD"/>
    <s v="LAD"/>
    <s v="N"/>
    <s v="P2301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523"/>
    <s v="BA"/>
    <s v="05748258232001"/>
    <m/>
    <s v="64.8"/>
    <s v="1"/>
    <s v=".63"/>
    <s v="Y"/>
    <s v="N"/>
    <s v="AF"/>
    <s v="382"/>
    <s v="231115"/>
    <s v="ECC"/>
    <m/>
    <m/>
    <m/>
    <m/>
    <s v="OSL"/>
    <s v="PEK"/>
    <s v="PEK"/>
    <s v="N"/>
    <s v="S4302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23"/>
    <s v="DA"/>
    <s v="05748258232002"/>
    <m/>
    <s v="64.8"/>
    <s v="1"/>
    <s v=".63"/>
    <s v="Y"/>
    <s v="N"/>
    <s v="AF"/>
    <s v="382"/>
    <s v="231115"/>
    <s v="ECC"/>
    <m/>
    <m/>
    <m/>
    <m/>
    <s v="OSL"/>
    <s v="PEK"/>
    <s v="PEK"/>
    <s v="N"/>
    <s v="S2303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24"/>
    <s v="BA"/>
    <s v="05748275356001"/>
    <m/>
    <s v="54.0"/>
    <s v="1"/>
    <s v=".25"/>
    <s v="N"/>
    <s v="N"/>
    <s v="AF"/>
    <s v="712"/>
    <s v="231115"/>
    <s v="RCM"/>
    <s v="RFL"/>
    <s v="HEA"/>
    <m/>
    <m/>
    <s v="CDG"/>
    <s v="ABJ"/>
    <s v="ABJ"/>
    <s v="N"/>
    <s v="93404"/>
    <m/>
    <m/>
    <s v="Passed"/>
    <m/>
    <x v="23"/>
    <m/>
    <m/>
    <m/>
    <m/>
    <m/>
    <m/>
    <m/>
    <m/>
    <s v="3.1"/>
    <n v="0.33333333333333331"/>
    <s v="Yes"/>
    <s v="Yes"/>
    <b v="0"/>
    <b v="0"/>
    <b v="0"/>
    <s v="Yes"/>
    <s v="No"/>
  </r>
  <r>
    <d v="2023-11-14T00:00:00"/>
    <x v="524"/>
    <s v="DA"/>
    <s v="05748275356002"/>
    <m/>
    <s v="54.0"/>
    <s v="1"/>
    <s v=".25"/>
    <s v="N"/>
    <s v="N"/>
    <s v="AF"/>
    <s v="712"/>
    <s v="231115"/>
    <s v="RNG"/>
    <s v="HEA"/>
    <m/>
    <m/>
    <m/>
    <s v="CDG"/>
    <s v="ABJ"/>
    <s v="ABJ"/>
    <s v="N"/>
    <s v="59401"/>
    <m/>
    <m/>
    <s v="Passed"/>
    <m/>
    <x v="24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24"/>
    <s v="FA"/>
    <s v="05748275356003"/>
    <m/>
    <s v="162.0"/>
    <s v="3"/>
    <s v=".74"/>
    <s v="N"/>
    <s v="N"/>
    <s v="AF"/>
    <s v="712"/>
    <s v="231115"/>
    <s v="HEA"/>
    <m/>
    <m/>
    <m/>
    <m/>
    <s v="CDG"/>
    <s v="ABJ"/>
    <s v="ABJ"/>
    <s v="N"/>
    <s v="R6401"/>
    <m/>
    <m/>
    <s v="Passed"/>
    <m/>
    <x v="24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25"/>
    <s v="BA"/>
    <s v="05748285370001"/>
    <m/>
    <s v="3.0"/>
    <s v="1"/>
    <s v=".08"/>
    <s v="N"/>
    <s v="N"/>
    <s v="AF"/>
    <s v="054"/>
    <s v="231115"/>
    <s v="VUN"/>
    <s v="VIC"/>
    <s v="EAP"/>
    <m/>
    <m/>
    <s v="CDG"/>
    <s v="IAD"/>
    <s v="IAD"/>
    <s v="N"/>
    <s v="VN00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26"/>
    <s v="BA"/>
    <s v="05748291972001"/>
    <m/>
    <s v="485.5"/>
    <s v="6"/>
    <s v=".42"/>
    <s v="Y"/>
    <s v="N"/>
    <s v="AF"/>
    <s v="152"/>
    <s v="231115"/>
    <s v="EAP"/>
    <m/>
    <m/>
    <m/>
    <m/>
    <s v="NBO"/>
    <s v="BKK"/>
    <s v="BKK"/>
    <s v="N"/>
    <s v="S5003"/>
    <m/>
    <m/>
    <s v="Passed"/>
    <s v="Yes"/>
    <x v="6"/>
    <s v="Lynka / Wrong iata code format"/>
    <m/>
    <m/>
    <m/>
    <m/>
    <m/>
    <m/>
    <m/>
    <s v="3.1"/>
    <n v="0.5"/>
    <b v="0"/>
    <b v="0"/>
    <b v="0"/>
    <b v="0"/>
    <b v="0"/>
    <s v="No"/>
    <s v="No"/>
  </r>
  <r>
    <d v="2023-11-14T00:00:00"/>
    <x v="526"/>
    <s v="DA"/>
    <s v="05748291972002"/>
    <m/>
    <s v="566.5"/>
    <s v="7"/>
    <s v=".50"/>
    <s v="Y"/>
    <s v="N"/>
    <s v="AF"/>
    <s v="152"/>
    <s v="231115"/>
    <s v="EAP"/>
    <m/>
    <m/>
    <m/>
    <m/>
    <s v="NBO"/>
    <s v="BKK"/>
    <s v="BKK"/>
    <s v="N"/>
    <s v="R7003"/>
    <m/>
    <m/>
    <s v="Passed"/>
    <s v="Yes"/>
    <x v="6"/>
    <s v="Lynka / Wrong iata code format"/>
    <m/>
    <m/>
    <m/>
    <m/>
    <m/>
    <m/>
    <m/>
    <s v="3.1"/>
    <n v="0.5"/>
    <b v="0"/>
    <b v="0"/>
    <b v="0"/>
    <b v="0"/>
    <b v="0"/>
    <s v="No"/>
    <s v="No"/>
  </r>
  <r>
    <d v="2023-11-14T00:00:00"/>
    <x v="527"/>
    <s v="BA"/>
    <s v="05748293906001"/>
    <m/>
    <s v="276.0"/>
    <s v="1"/>
    <s v=".65"/>
    <s v="Y"/>
    <s v="N"/>
    <s v="AF"/>
    <s v="178"/>
    <s v="231115"/>
    <s v="ECC"/>
    <s v="HEA"/>
    <s v="EAP"/>
    <m/>
    <m/>
    <s v="FMO"/>
    <s v="MEX"/>
    <s v="MEX"/>
    <s v="N"/>
    <s v="61107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28"/>
    <s v="BA"/>
    <s v="05748321755001"/>
    <s v="PMC31422KL"/>
    <s v="816.1"/>
    <s v="5"/>
    <s v="9.07"/>
    <s v="Y"/>
    <s v="N"/>
    <s v="AF"/>
    <s v="178"/>
    <s v="231115"/>
    <s v="CRT"/>
    <s v="PIL"/>
    <s v="ECC"/>
    <s v="HEA"/>
    <m/>
    <s v="BSL"/>
    <s v="MEX"/>
    <s v="MEX"/>
    <s v="N"/>
    <s v="BRT-2318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528"/>
    <s v="DA"/>
    <s v="05748321755002"/>
    <m/>
    <s v="163.2"/>
    <s v="1"/>
    <s v="1.81"/>
    <s v="Y"/>
    <s v="N"/>
    <s v="AF"/>
    <s v="178"/>
    <s v="231115"/>
    <s v="CRT"/>
    <s v="PIL"/>
    <s v="ECC"/>
    <s v="HEA"/>
    <m/>
    <s v="BSL"/>
    <s v="MEX"/>
    <s v="MEX"/>
    <s v="N"/>
    <s v="C1002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528"/>
    <s v="FA"/>
    <s v="05748321755003"/>
    <m/>
    <s v="163.2"/>
    <s v="1"/>
    <s v="1.81"/>
    <s v="Y"/>
    <s v="N"/>
    <s v="AF"/>
    <s v="178"/>
    <s v="231115"/>
    <s v="CRT"/>
    <s v="PIL"/>
    <s v="ECC"/>
    <s v="HEA"/>
    <m/>
    <s v="BSL"/>
    <s v="MEX"/>
    <s v="MEX"/>
    <s v="N"/>
    <s v="C1004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528"/>
    <s v="HA"/>
    <s v="05748321755004"/>
    <m/>
    <s v="163.2"/>
    <s v="1"/>
    <s v="1.81"/>
    <s v="Y"/>
    <s v="N"/>
    <s v="AF"/>
    <s v="178"/>
    <s v="231115"/>
    <s v="CRT"/>
    <s v="PIL"/>
    <s v="ECC"/>
    <s v="HEA"/>
    <m/>
    <s v="BSL"/>
    <s v="MEX"/>
    <s v="MEX"/>
    <s v="N"/>
    <s v="C1003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529"/>
    <s v="BA"/>
    <s v="05748323855001"/>
    <m/>
    <s v="353.0"/>
    <s v="1"/>
    <s v="1.24"/>
    <s v="Y"/>
    <s v="N"/>
    <s v="DL"/>
    <s v="291"/>
    <s v="231115"/>
    <s v="ECC"/>
    <s v="HEA"/>
    <s v="EAP"/>
    <m/>
    <m/>
    <s v="TLS"/>
    <s v="LAX"/>
    <s v="LAX"/>
    <s v="N"/>
    <s v="58007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29"/>
    <s v="DA"/>
    <s v="05748323855002"/>
    <m/>
    <s v="353.0"/>
    <s v="1"/>
    <s v="1.24"/>
    <s v="Y"/>
    <s v="N"/>
    <s v="DL"/>
    <s v="291"/>
    <s v="231115"/>
    <s v="ECC"/>
    <s v="HEA"/>
    <s v="EAP"/>
    <m/>
    <m/>
    <s v="TLS"/>
    <s v="LAX"/>
    <s v="LAX"/>
    <s v="N"/>
    <s v="Q8001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29"/>
    <s v="FA"/>
    <s v="05748323855003"/>
    <m/>
    <s v="353.0"/>
    <s v="1"/>
    <s v="1.24"/>
    <s v="Y"/>
    <s v="N"/>
    <s v="DL"/>
    <s v="291"/>
    <s v="231115"/>
    <s v="ECC"/>
    <s v="HEA"/>
    <s v="EAP"/>
    <m/>
    <m/>
    <s v="TLS"/>
    <s v="LAX"/>
    <s v="LAX"/>
    <s v="N"/>
    <s v="M6104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30"/>
    <s v="BA"/>
    <s v="05748365892001"/>
    <m/>
    <s v="626.3"/>
    <s v="11"/>
    <s v="2.37"/>
    <s v="Y"/>
    <s v="N"/>
    <s v="AF"/>
    <s v="026"/>
    <s v="231115"/>
    <s v="SKR"/>
    <s v="EAP"/>
    <m/>
    <m/>
    <m/>
    <s v="FRA"/>
    <s v="IAD"/>
    <s v="IAD"/>
    <s v="N"/>
    <s v="RFK00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30"/>
    <s v="DA"/>
    <s v="05748365892002"/>
    <m/>
    <s v="56.9"/>
    <s v="1"/>
    <s v=".22"/>
    <s v="Y"/>
    <s v="N"/>
    <s v="AF"/>
    <s v="026"/>
    <s v="231115"/>
    <s v="SKR"/>
    <s v="EAP"/>
    <m/>
    <m/>
    <m/>
    <s v="FRA"/>
    <s v="IAD"/>
    <s v="IAD"/>
    <s v="N"/>
    <s v="RFK00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30"/>
    <s v="FA"/>
    <s v="05748365892003"/>
    <m/>
    <s v="56.9"/>
    <s v="1"/>
    <s v=".22"/>
    <s v="Y"/>
    <s v="N"/>
    <s v="AF"/>
    <s v="026"/>
    <s v="231115"/>
    <s v="SKR"/>
    <s v="EAP"/>
    <m/>
    <m/>
    <m/>
    <s v="FRA"/>
    <s v="IAD"/>
    <s v="IAD"/>
    <s v="N"/>
    <s v="RFK00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30"/>
    <s v="HA"/>
    <s v="05748365892004"/>
    <m/>
    <s v="113.9"/>
    <s v="2"/>
    <s v=".43"/>
    <s v="Y"/>
    <s v="N"/>
    <s v="AF"/>
    <s v="026"/>
    <s v="231115"/>
    <s v="SKR"/>
    <s v="EAP"/>
    <m/>
    <m/>
    <m/>
    <s v="FRA"/>
    <s v="IAD"/>
    <s v="IAD"/>
    <s v="N"/>
    <s v="RFK00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30"/>
    <s v="JA"/>
    <s v="05748365892005"/>
    <m/>
    <s v="56.9"/>
    <s v="1"/>
    <s v=".21"/>
    <s v="Y"/>
    <s v="N"/>
    <s v="AF"/>
    <s v="026"/>
    <s v="231115"/>
    <s v="SKR"/>
    <s v="EAP"/>
    <m/>
    <m/>
    <m/>
    <s v="FRA"/>
    <s v="IAD"/>
    <s v="IAD"/>
    <s v="N"/>
    <s v="RFK00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31"/>
    <s v="BA"/>
    <s v="05748402970001"/>
    <m/>
    <s v="162.0"/>
    <s v="14"/>
    <s v=".93"/>
    <s v="Y"/>
    <s v="N"/>
    <s v="AF"/>
    <s v="356"/>
    <s v="231116"/>
    <s v="SPX"/>
    <m/>
    <m/>
    <m/>
    <m/>
    <s v="FRA"/>
    <s v="YYZ"/>
    <s v="YYZ"/>
    <s v="N"/>
    <s v="P2104"/>
    <m/>
    <m/>
    <s v="Passed"/>
    <m/>
    <x v="25"/>
    <m/>
    <m/>
    <m/>
    <m/>
    <m/>
    <m/>
    <m/>
    <m/>
    <s v="3.1"/>
    <n v="0.5"/>
    <b v="0"/>
    <b v="0"/>
    <b v="0"/>
    <b v="0"/>
    <b v="0"/>
    <s v="No"/>
    <s v="No"/>
  </r>
  <r>
    <d v="2023-11-14T00:00:00"/>
    <x v="531"/>
    <s v="DA"/>
    <s v="05748402970002"/>
    <m/>
    <s v="162.0"/>
    <s v="14"/>
    <s v=".94"/>
    <s v="Y"/>
    <s v="N"/>
    <s v="AF"/>
    <s v="356"/>
    <s v="231116"/>
    <s v="SPX"/>
    <m/>
    <m/>
    <m/>
    <m/>
    <s v="FRA"/>
    <s v="YYZ"/>
    <s v="YYZ"/>
    <s v="N"/>
    <s v="P4104"/>
    <m/>
    <m/>
    <s v="Passed"/>
    <m/>
    <x v="25"/>
    <m/>
    <m/>
    <m/>
    <m/>
    <m/>
    <m/>
    <m/>
    <m/>
    <s v="3.1"/>
    <n v="0.5"/>
    <b v="0"/>
    <b v="0"/>
    <b v="0"/>
    <b v="0"/>
    <b v="0"/>
    <s v="No"/>
    <s v="No"/>
  </r>
  <r>
    <d v="2023-11-14T00:00:00"/>
    <x v="532"/>
    <s v="BA"/>
    <s v="05748420794001"/>
    <m/>
    <s v="120.0"/>
    <s v="1"/>
    <s v=".28"/>
    <s v="Y"/>
    <s v="N"/>
    <s v="AF"/>
    <s v="148"/>
    <s v="231115"/>
    <m/>
    <m/>
    <m/>
    <m/>
    <m/>
    <s v="LYS"/>
    <s v="LOS"/>
    <s v="LOS"/>
    <s v="N"/>
    <m/>
    <m/>
    <m/>
    <s v="Passed"/>
    <m/>
    <x v="25"/>
    <m/>
    <m/>
    <m/>
    <m/>
    <m/>
    <m/>
    <m/>
    <m/>
    <s v="3.1"/>
    <n v="1"/>
    <b v="0"/>
    <b v="0"/>
    <b v="0"/>
    <b v="0"/>
    <b v="0"/>
    <s v="No"/>
    <s v="Yes"/>
  </r>
  <r>
    <d v="2023-11-14T00:00:00"/>
    <x v="533"/>
    <s v="BA"/>
    <s v="05748448761001"/>
    <s v="PAG12470AF"/>
    <s v="68.0"/>
    <s v="1"/>
    <s v=".43"/>
    <s v="N"/>
    <s v="N"/>
    <s v="AF"/>
    <s v="454"/>
    <s v="231115"/>
    <s v="ECP"/>
    <s v="EAP"/>
    <s v="SPX"/>
    <m/>
    <m/>
    <s v="CDG"/>
    <s v="GRU"/>
    <s v="GRU"/>
    <s v="N"/>
    <s v="B2A-5322"/>
    <s v="AL"/>
    <m/>
    <s v="Failed"/>
    <m/>
    <x v="26"/>
    <m/>
    <m/>
    <m/>
    <m/>
    <m/>
    <m/>
    <m/>
    <m/>
    <s v="3.1"/>
    <n v="1"/>
    <b v="0"/>
    <b v="0"/>
    <b v="0"/>
    <b v="0"/>
    <b v="0"/>
    <s v="No"/>
    <s v="No"/>
  </r>
  <r>
    <d v="2023-11-14T00:00:00"/>
    <x v="534"/>
    <s v="BA"/>
    <s v="05748463870001"/>
    <m/>
    <s v="344.0"/>
    <s v="1"/>
    <s v="1.15"/>
    <s v="Y"/>
    <s v="N"/>
    <s v="AF"/>
    <s v="460"/>
    <s v="231116"/>
    <s v="ECP"/>
    <s v="HEA"/>
    <m/>
    <m/>
    <m/>
    <s v="DUS"/>
    <s v="GRU"/>
    <s v="GRU"/>
    <s v="N"/>
    <s v="Q43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35"/>
    <s v="BA"/>
    <s v="05748467790001"/>
    <m/>
    <s v="63.2"/>
    <s v="1"/>
    <s v=".45"/>
    <s v="Y"/>
    <s v="N"/>
    <s v="AF"/>
    <s v="256"/>
    <s v="231117"/>
    <s v="RFG"/>
    <s v="HEA"/>
    <s v="EAP"/>
    <m/>
    <m/>
    <s v="FRA"/>
    <s v="SIN"/>
    <s v="SIN"/>
    <s v="N"/>
    <s v="94000"/>
    <m/>
    <m/>
    <s v="Failed"/>
    <m/>
    <x v="20"/>
    <m/>
    <m/>
    <m/>
    <m/>
    <m/>
    <m/>
    <m/>
    <m/>
    <s v="3.1"/>
    <n v="0.33333333333333331"/>
    <s v="Yes"/>
    <b v="0"/>
    <b v="0"/>
    <b v="0"/>
    <b v="0"/>
    <s v="Yes"/>
    <s v="No"/>
  </r>
  <r>
    <d v="2023-11-14T00:00:00"/>
    <x v="535"/>
    <s v="DA"/>
    <s v="05748467790002"/>
    <m/>
    <s v="150.0"/>
    <s v="1"/>
    <s v="1.08"/>
    <s v="Y"/>
    <s v="N"/>
    <s v="AF"/>
    <s v="256"/>
    <s v="231117"/>
    <s v="HEA"/>
    <s v="EAP"/>
    <m/>
    <m/>
    <m/>
    <s v="FRA"/>
    <s v="SIN"/>
    <s v="SIN"/>
    <s v="N"/>
    <s v="S5001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35"/>
    <s v="FA"/>
    <s v="05748467790003"/>
    <m/>
    <s v="150.0"/>
    <s v="1"/>
    <s v="1.08"/>
    <s v="Y"/>
    <s v="N"/>
    <s v="AF"/>
    <s v="256"/>
    <s v="231117"/>
    <s v="HEA"/>
    <s v="EAP"/>
    <m/>
    <m/>
    <m/>
    <s v="FRA"/>
    <s v="SIN"/>
    <s v="SIN"/>
    <s v="N"/>
    <s v="S5103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36"/>
    <s v="BA"/>
    <s v="05748467812001"/>
    <m/>
    <s v="418.0"/>
    <s v="1"/>
    <s v="1.10"/>
    <s v="Y"/>
    <s v="N"/>
    <s v="AF"/>
    <s v="990"/>
    <s v="231116"/>
    <s v="HEA"/>
    <s v="SKR"/>
    <s v="EAP"/>
    <m/>
    <m/>
    <s v="FRA"/>
    <s v="JNB"/>
    <s v="JNB"/>
    <s v="N"/>
    <s v="R3103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536"/>
    <s v="DA"/>
    <s v="05748467812002"/>
    <s v="PMC76239AF"/>
    <s v="2508.0"/>
    <s v="6"/>
    <s v="6.63"/>
    <s v="Y"/>
    <s v="N"/>
    <s v="AF"/>
    <s v="990"/>
    <s v="231116"/>
    <s v="HEA"/>
    <s v="SKR"/>
    <s v="EAP"/>
    <m/>
    <m/>
    <s v="FRA"/>
    <s v="JNB"/>
    <s v="JNB"/>
    <s v="N"/>
    <s v="B1B-2740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536"/>
    <s v="FA"/>
    <s v="05748467812003"/>
    <s v="PMC68611AF"/>
    <s v="2508.0"/>
    <s v="6"/>
    <s v="6.63"/>
    <s v="Y"/>
    <s v="N"/>
    <s v="AF"/>
    <s v="990"/>
    <s v="231116"/>
    <s v="HEA"/>
    <s v="SKR"/>
    <s v="EAP"/>
    <m/>
    <m/>
    <s v="FRA"/>
    <s v="JNB"/>
    <s v="JNB"/>
    <s v="N"/>
    <s v="B2C-5942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536"/>
    <s v="HA"/>
    <s v="05748467812004"/>
    <s v="PMC65594AF"/>
    <s v="2508.0"/>
    <s v="6"/>
    <s v="6.63"/>
    <s v="Y"/>
    <s v="N"/>
    <s v="AF"/>
    <s v="990"/>
    <s v="231116"/>
    <s v="HEA"/>
    <s v="SKR"/>
    <s v="EAP"/>
    <m/>
    <m/>
    <s v="FRA"/>
    <s v="JNB"/>
    <s v="JNB"/>
    <s v="N"/>
    <s v="B1C-2144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537"/>
    <s v="BA"/>
    <s v="05748467882001"/>
    <s v="PMC22705MP"/>
    <s v="2704.0"/>
    <s v="5"/>
    <s v="8.46"/>
    <s v="Y"/>
    <s v="N"/>
    <s v="AF"/>
    <s v="484"/>
    <s v="231115"/>
    <s v="RMD"/>
    <s v="HEA"/>
    <m/>
    <m/>
    <m/>
    <s v="CGN"/>
    <s v="GIG"/>
    <s v="GIG"/>
    <s v="N"/>
    <s v="B2C-6039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537"/>
    <s v="DA"/>
    <s v="05748467882002"/>
    <s v="PMC68777AF"/>
    <s v="2704.0"/>
    <s v="5"/>
    <s v="8.46"/>
    <s v="Y"/>
    <s v="N"/>
    <s v="AF"/>
    <s v="484"/>
    <s v="231115"/>
    <s v="RMD"/>
    <s v="HEA"/>
    <m/>
    <m/>
    <m/>
    <s v="CGN"/>
    <s v="GIG"/>
    <s v="GIG"/>
    <s v="N"/>
    <s v="B2C-5837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537"/>
    <s v="FA"/>
    <s v="05748467882003"/>
    <s v="PMC32706KL"/>
    <s v="2704.0"/>
    <s v="5"/>
    <s v="8.46"/>
    <s v="Y"/>
    <s v="N"/>
    <s v="AF"/>
    <s v="484"/>
    <s v="231115"/>
    <s v="RMD"/>
    <s v="HEA"/>
    <m/>
    <m/>
    <m/>
    <s v="CGN"/>
    <s v="GIG"/>
    <s v="GIG"/>
    <s v="N"/>
    <s v="B1B-2736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537"/>
    <s v="HA"/>
    <s v="05748467882004"/>
    <s v="PMC68209AF"/>
    <s v="2704.0"/>
    <s v="5"/>
    <s v="8.46"/>
    <s v="Y"/>
    <s v="N"/>
    <s v="AF"/>
    <s v="484"/>
    <s v="231115"/>
    <s v="RMD"/>
    <s v="HEA"/>
    <m/>
    <m/>
    <m/>
    <s v="CGN"/>
    <s v="GIG"/>
    <s v="GIG"/>
    <s v="N"/>
    <s v="B2A-4733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538"/>
    <s v="DA"/>
    <s v="05748469304002"/>
    <s v="PMC20501MP"/>
    <s v="655.0"/>
    <s v="5"/>
    <s v="7.25"/>
    <s v="Y"/>
    <s v="N"/>
    <s v="AF"/>
    <s v="084"/>
    <s v="231117"/>
    <m/>
    <m/>
    <m/>
    <m/>
    <m/>
    <s v="AMS"/>
    <s v="SFO"/>
    <s v="SFO"/>
    <s v="N"/>
    <s v="B2C-5842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39"/>
    <s v="BA"/>
    <s v="05748482442001"/>
    <m/>
    <s v="210.0"/>
    <s v="1"/>
    <s v="1.50"/>
    <s v="Y"/>
    <s v="N"/>
    <s v="AF"/>
    <s v="084"/>
    <s v="231115"/>
    <s v="XPH"/>
    <s v="HEA"/>
    <s v="SPX"/>
    <m/>
    <m/>
    <s v="FRA"/>
    <s v="SFO"/>
    <s v="SFO"/>
    <s v="N"/>
    <s v="HLC025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40"/>
    <s v="BA"/>
    <s v="05748482674001"/>
    <m/>
    <s v="154.0"/>
    <s v="1"/>
    <s v="1.44"/>
    <s v="Y"/>
    <s v="N"/>
    <s v="AF"/>
    <s v="374"/>
    <s v="231117"/>
    <s v="HEA"/>
    <s v="EAP"/>
    <m/>
    <m/>
    <m/>
    <s v="FRA"/>
    <s v="YVR"/>
    <s v="YVR"/>
    <s v="N"/>
    <s v="50007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41"/>
    <s v="BA"/>
    <s v="05748492474001"/>
    <m/>
    <s v="79.0"/>
    <s v="1"/>
    <s v=".38"/>
    <s v="Y"/>
    <s v="N"/>
    <s v="AF"/>
    <s v="026"/>
    <s v="231115"/>
    <s v="ECC"/>
    <s v="EAW"/>
    <m/>
    <m/>
    <m/>
    <s v="GOT"/>
    <s v="IAD"/>
    <s v="IAD"/>
    <s v="N"/>
    <s v="58313"/>
    <m/>
    <m/>
    <s v="Failed"/>
    <m/>
    <x v="12"/>
    <m/>
    <m/>
    <m/>
    <m/>
    <m/>
    <m/>
    <m/>
    <m/>
    <s v="3.1"/>
    <n v="0.5"/>
    <b v="0"/>
    <b v="0"/>
    <b v="0"/>
    <b v="0"/>
    <b v="0"/>
    <s v="No"/>
    <s v="No"/>
  </r>
  <r>
    <d v="2023-11-14T00:00:00"/>
    <x v="541"/>
    <s v="DA"/>
    <s v="05748492474002"/>
    <m/>
    <s v="79.0"/>
    <s v="1"/>
    <s v=".39"/>
    <s v="Y"/>
    <s v="N"/>
    <s v="AF"/>
    <s v="026"/>
    <s v="231115"/>
    <s v="ECC"/>
    <s v="EAW"/>
    <m/>
    <m/>
    <m/>
    <s v="GOT"/>
    <s v="IAD"/>
    <s v="IAD"/>
    <s v="N"/>
    <s v="54005"/>
    <m/>
    <m/>
    <s v="Failed"/>
    <m/>
    <x v="12"/>
    <m/>
    <m/>
    <m/>
    <m/>
    <m/>
    <m/>
    <m/>
    <m/>
    <s v="3.1"/>
    <n v="0.5"/>
    <b v="0"/>
    <b v="0"/>
    <b v="0"/>
    <b v="0"/>
    <b v="0"/>
    <s v="No"/>
    <s v="No"/>
  </r>
  <r>
    <d v="2023-11-14T00:00:00"/>
    <x v="542"/>
    <s v="BA"/>
    <s v="05748535616001"/>
    <m/>
    <s v="69.0"/>
    <s v="1"/>
    <s v=".45"/>
    <s v="Y"/>
    <s v="N"/>
    <s v="AF"/>
    <s v="972"/>
    <s v="231115"/>
    <s v="ECP"/>
    <s v="XPH"/>
    <s v="EAP"/>
    <m/>
    <m/>
    <s v="SIN"/>
    <s v="LAD"/>
    <s v="LAD"/>
    <s v="N"/>
    <s v="LLC2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43"/>
    <s v="BA"/>
    <s v="05748551425001"/>
    <s v="PMC21682KL"/>
    <s v="611.7"/>
    <s v="7"/>
    <s v="7.48"/>
    <s v="Y"/>
    <s v="N"/>
    <s v="AF"/>
    <s v="692"/>
    <s v="231115"/>
    <s v="ECC"/>
    <s v="EAW"/>
    <m/>
    <m/>
    <m/>
    <s v="BSL"/>
    <s v="RDU"/>
    <s v="RDU"/>
    <s v="N"/>
    <s v="NCX-4525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43"/>
    <s v="DA"/>
    <s v="05748551425002"/>
    <s v="PMC63587AF"/>
    <s v="524.3"/>
    <s v="6"/>
    <s v="6.41"/>
    <s v="Y"/>
    <s v="N"/>
    <s v="AF"/>
    <s v="692"/>
    <s v="231115"/>
    <s v="ECC"/>
    <s v="EAW"/>
    <m/>
    <m/>
    <m/>
    <s v="BSL"/>
    <s v="RDU"/>
    <s v="RDU"/>
    <s v="N"/>
    <s v="B2C-5841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44"/>
    <s v="BA"/>
    <s v="05748559103001"/>
    <m/>
    <s v="105.3"/>
    <s v="1"/>
    <s v=".78"/>
    <s v="Y"/>
    <s v="N"/>
    <s v="AF"/>
    <s v="566"/>
    <s v="231115"/>
    <s v="PIL"/>
    <s v="HEA"/>
    <m/>
    <m/>
    <m/>
    <s v="SXB"/>
    <s v="BEY"/>
    <s v="BEY"/>
    <s v="N"/>
    <s v="N7000"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44"/>
    <s v="DA"/>
    <s v="05748559103002"/>
    <m/>
    <s v="105.3"/>
    <s v="1"/>
    <s v=".78"/>
    <s v="Y"/>
    <s v="N"/>
    <s v="AF"/>
    <s v="566"/>
    <s v="231115"/>
    <s v="PIL"/>
    <s v="HEA"/>
    <m/>
    <m/>
    <m/>
    <s v="SXB"/>
    <s v="BEY"/>
    <s v="BEY"/>
    <s v="N"/>
    <s v="56204"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44"/>
    <s v="FA"/>
    <s v="05748559103003"/>
    <m/>
    <s v="105.3"/>
    <s v="1"/>
    <s v=".78"/>
    <s v="Y"/>
    <s v="N"/>
    <s v="AF"/>
    <s v="566"/>
    <s v="231115"/>
    <s v="PIL"/>
    <s v="HEA"/>
    <m/>
    <m/>
    <m/>
    <s v="SXB"/>
    <s v="BEY"/>
    <s v="BEY"/>
    <s v="N"/>
    <s v="N4304"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45"/>
    <s v="BA"/>
    <s v="05748564541001"/>
    <m/>
    <s v="91.2"/>
    <s v="1"/>
    <s v=".55"/>
    <s v="Y"/>
    <s v="N"/>
    <s v="AF"/>
    <s v="566"/>
    <s v="231115"/>
    <s v="ECP"/>
    <s v="EAP"/>
    <m/>
    <m/>
    <m/>
    <s v="FRA"/>
    <s v="BEY"/>
    <s v="BEY"/>
    <s v="N"/>
    <s v="52003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45"/>
    <s v="DA"/>
    <s v="05748564541002"/>
    <m/>
    <s v="91.2"/>
    <s v="1"/>
    <s v=".55"/>
    <s v="Y"/>
    <s v="N"/>
    <s v="AF"/>
    <s v="566"/>
    <s v="231115"/>
    <s v="ECP"/>
    <s v="EAP"/>
    <m/>
    <m/>
    <m/>
    <s v="FRA"/>
    <s v="BEY"/>
    <s v="BEY"/>
    <s v="N"/>
    <s v="N2002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45"/>
    <s v="FA"/>
    <s v="05748564541003"/>
    <m/>
    <s v="91.2"/>
    <s v="1"/>
    <s v=".55"/>
    <s v="Y"/>
    <s v="N"/>
    <s v="AF"/>
    <s v="566"/>
    <s v="231115"/>
    <s v="ECP"/>
    <s v="EAP"/>
    <m/>
    <m/>
    <m/>
    <s v="FRA"/>
    <s v="BEY"/>
    <s v="BEY"/>
    <s v="N"/>
    <s v="N2301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46"/>
    <s v="BA"/>
    <s v="05748565075001"/>
    <s v="PMC68031AF"/>
    <s v="1252.1"/>
    <s v="31"/>
    <s v="11.07"/>
    <s v="Y"/>
    <s v="N"/>
    <s v="AF"/>
    <s v="568"/>
    <s v="231115"/>
    <s v="HEA"/>
    <s v="KNG"/>
    <s v="EAP"/>
    <m/>
    <m/>
    <s v="FRA"/>
    <s v="CAI"/>
    <s v="CAI"/>
    <s v="N"/>
    <s v="B1A-3417"/>
    <s v="ML"/>
    <m/>
    <s v="Failed"/>
    <m/>
    <x v="27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46"/>
    <s v="DA"/>
    <s v="05748565075002"/>
    <s v="PMC68031AF"/>
    <s v="40.4"/>
    <s v="1"/>
    <s v=".36"/>
    <s v="Y"/>
    <s v="N"/>
    <s v="AF"/>
    <s v="568"/>
    <s v="231115"/>
    <s v="HEA"/>
    <s v="KNG"/>
    <s v="EAP"/>
    <m/>
    <m/>
    <s v="FRA"/>
    <s v="CAI"/>
    <s v="CAI"/>
    <s v="N"/>
    <s v="B1A-3417"/>
    <s v="ML"/>
    <m/>
    <s v="Failed"/>
    <m/>
    <x v="27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46"/>
    <s v="FA"/>
    <s v="05748565075003"/>
    <s v="PMC71991AF"/>
    <s v="969.4"/>
    <s v="24"/>
    <s v="8.57"/>
    <s v="Y"/>
    <s v="N"/>
    <s v="AF"/>
    <s v="568"/>
    <s v="231115"/>
    <s v="HEA"/>
    <s v="KNG"/>
    <s v="EAP"/>
    <m/>
    <m/>
    <s v="FRA"/>
    <s v="CAI"/>
    <s v="CAI"/>
    <s v="N"/>
    <s v="B1B-2940"/>
    <s v="ML"/>
    <m/>
    <s v="Failed"/>
    <m/>
    <x v="27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47"/>
    <s v="BA"/>
    <s v="05748565226001"/>
    <s v="PMC31729KL"/>
    <s v="820.8"/>
    <s v="12"/>
    <s v="20.00"/>
    <s v="Y"/>
    <s v="N"/>
    <s v="AF"/>
    <s v="374"/>
    <s v="231116"/>
    <s v="KNG"/>
    <s v="EAW"/>
    <m/>
    <m/>
    <m/>
    <s v="FRA"/>
    <s v="YVR"/>
    <s v="YVR"/>
    <s v="N"/>
    <s v="B2A-5241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48"/>
    <s v="BA"/>
    <s v="05748570233001"/>
    <s v="PMC63943AF"/>
    <s v="3119.0"/>
    <s v="5"/>
    <s v=".01"/>
    <s v="Y"/>
    <s v="N"/>
    <s v="AF"/>
    <s v="682"/>
    <s v="231117"/>
    <s v="ECC"/>
    <s v="HEA"/>
    <s v="EAP"/>
    <m/>
    <m/>
    <s v="BUD"/>
    <s v="ATL"/>
    <s v="ATL"/>
    <s v="N"/>
    <s v="B1C-2516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49"/>
    <s v="BA"/>
    <s v="05748592806001"/>
    <m/>
    <s v="611.3"/>
    <s v="1"/>
    <s v="1.38"/>
    <s v="Y"/>
    <s v="N"/>
    <s v="AF"/>
    <s v="460"/>
    <s v="231115"/>
    <s v="CRT"/>
    <s v="PIL"/>
    <s v="HEA"/>
    <m/>
    <m/>
    <s v="LYS"/>
    <s v="GRU"/>
    <s v="GRU"/>
    <s v="N"/>
    <s v="C1007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Yes"/>
  </r>
  <r>
    <d v="2023-11-14T00:00:00"/>
    <x v="549"/>
    <s v="DA"/>
    <s v="05748592806002"/>
    <m/>
    <s v="611.3"/>
    <s v="1"/>
    <s v="1.38"/>
    <s v="Y"/>
    <s v="N"/>
    <s v="AF"/>
    <s v="460"/>
    <s v="231115"/>
    <s v="CRT"/>
    <s v="PIL"/>
    <s v="HEA"/>
    <m/>
    <m/>
    <s v="LYS"/>
    <s v="GRU"/>
    <s v="GRU"/>
    <s v="N"/>
    <s v="C1006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Yes"/>
  </r>
  <r>
    <d v="2023-11-14T00:00:00"/>
    <x v="549"/>
    <s v="FA"/>
    <s v="05748592806003"/>
    <m/>
    <s v="611.3"/>
    <s v="1"/>
    <s v="1.38"/>
    <s v="Y"/>
    <s v="N"/>
    <s v="AF"/>
    <s v="460"/>
    <s v="231115"/>
    <s v="CRT"/>
    <s v="PIL"/>
    <s v="HEA"/>
    <m/>
    <m/>
    <s v="LYS"/>
    <s v="GRU"/>
    <s v="GRU"/>
    <s v="N"/>
    <s v="C1010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Yes"/>
  </r>
  <r>
    <d v="2023-11-14T00:00:00"/>
    <x v="550"/>
    <s v="BA"/>
    <s v="05748618835001"/>
    <m/>
    <s v="17.1"/>
    <s v="1"/>
    <s v=".14"/>
    <s v="N"/>
    <s v="N"/>
    <s v="AF"/>
    <s v="702"/>
    <s v="231115"/>
    <s v="COL"/>
    <s v="PIL"/>
    <s v="EAP"/>
    <m/>
    <m/>
    <s v="CDG"/>
    <s v="ABJ"/>
    <s v="ABJ"/>
    <s v="N"/>
    <s v="FR409"/>
    <m/>
    <m/>
    <s v="Failed"/>
    <m/>
    <x v="26"/>
    <m/>
    <m/>
    <m/>
    <m/>
    <m/>
    <m/>
    <m/>
    <m/>
    <s v="3.1"/>
    <n v="1"/>
    <b v="0"/>
    <b v="0"/>
    <b v="0"/>
    <b v="0"/>
    <b v="0"/>
    <s v="No"/>
    <s v="No"/>
  </r>
  <r>
    <d v="2023-11-14T00:00:00"/>
    <x v="551"/>
    <s v="BA"/>
    <s v="05748621812001"/>
    <m/>
    <s v="401.6"/>
    <s v="1"/>
    <s v=".89"/>
    <s v="Y"/>
    <s v="N"/>
    <s v="DL"/>
    <s v="8771"/>
    <s v="231115"/>
    <s v="ECC"/>
    <s v="HEA"/>
    <s v="EAP"/>
    <m/>
    <m/>
    <s v="BOM"/>
    <s v="ATL"/>
    <s v="ATL"/>
    <s v="N"/>
    <s v="M7104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51"/>
    <s v="DA"/>
    <s v="05748621812002"/>
    <m/>
    <s v="401.6"/>
    <s v="1"/>
    <s v=".90"/>
    <s v="Y"/>
    <s v="N"/>
    <s v="DL"/>
    <s v="8771"/>
    <s v="231115"/>
    <s v="ECC"/>
    <s v="HEA"/>
    <s v="EAP"/>
    <m/>
    <m/>
    <s v="BOM"/>
    <s v="ATL"/>
    <s v="ATL"/>
    <s v="N"/>
    <s v="M7001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52"/>
    <s v="DA"/>
    <s v="05748625415002"/>
    <m/>
    <s v="73.1"/>
    <s v="5"/>
    <s v=".44"/>
    <s v="Y"/>
    <s v="N"/>
    <s v="AF"/>
    <s v="062"/>
    <s v="231116"/>
    <m/>
    <m/>
    <m/>
    <m/>
    <m/>
    <s v="IST"/>
    <s v="EWR"/>
    <s v="EWR"/>
    <s v="N"/>
    <s v="50107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52"/>
    <s v="FA"/>
    <s v="05748625415003"/>
    <m/>
    <s v="234.0"/>
    <s v="16"/>
    <s v="1.41"/>
    <s v="Y"/>
    <s v="N"/>
    <s v="AF"/>
    <s v="062"/>
    <s v="231116"/>
    <m/>
    <m/>
    <m/>
    <m/>
    <m/>
    <s v="IST"/>
    <s v="EWR"/>
    <s v="EWR"/>
    <s v="N"/>
    <s v="LO100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52"/>
    <s v="HA"/>
    <s v="05748625415004"/>
    <m/>
    <s v="219.4"/>
    <s v="15"/>
    <s v="1.32"/>
    <s v="Y"/>
    <s v="N"/>
    <s v="AF"/>
    <s v="062"/>
    <s v="231116"/>
    <m/>
    <m/>
    <m/>
    <m/>
    <m/>
    <s v="IST"/>
    <s v="EWR"/>
    <s v="EWR"/>
    <s v="N"/>
    <s v="LO100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52"/>
    <s v="JA"/>
    <s v="05748625415005"/>
    <m/>
    <s v="219.4"/>
    <s v="15"/>
    <s v="1.33"/>
    <s v="Y"/>
    <s v="N"/>
    <s v="AF"/>
    <s v="062"/>
    <s v="231116"/>
    <m/>
    <m/>
    <m/>
    <m/>
    <m/>
    <s v="IST"/>
    <s v="EWR"/>
    <s v="EWR"/>
    <s v="N"/>
    <s v="LO100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52"/>
    <s v="LA"/>
    <s v="05748625415006"/>
    <m/>
    <s v="219.4"/>
    <s v="15"/>
    <s v="1.32"/>
    <s v="Y"/>
    <s v="N"/>
    <s v="AF"/>
    <s v="062"/>
    <s v="231116"/>
    <m/>
    <m/>
    <m/>
    <m/>
    <m/>
    <s v="IST"/>
    <s v="EWR"/>
    <s v="EWR"/>
    <s v="N"/>
    <s v="LO100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53"/>
    <s v="FA"/>
    <s v="05748659015003"/>
    <m/>
    <s v="250.7"/>
    <s v="6"/>
    <s v="1.07"/>
    <s v="Y"/>
    <s v="N"/>
    <s v="AF"/>
    <s v="718"/>
    <s v="231115"/>
    <s v="ELI"/>
    <s v="ECC"/>
    <s v="EAW"/>
    <m/>
    <m/>
    <s v="DXB"/>
    <s v="DSS"/>
    <s v="DSS"/>
    <s v="N"/>
    <s v="Y5312"/>
    <m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554"/>
    <s v="HA"/>
    <s v="05748659225004"/>
    <s v="PAG0244AF"/>
    <s v="714.0"/>
    <s v="24"/>
    <s v="4.20"/>
    <s v="Y"/>
    <s v="N"/>
    <s v="AF"/>
    <s v="718"/>
    <s v="231115"/>
    <s v="ECC"/>
    <s v="EAW"/>
    <m/>
    <m/>
    <m/>
    <s v="DXB"/>
    <s v="DSS"/>
    <s v="DSS"/>
    <s v="N"/>
    <s v="B1B-2931"/>
    <s v="AL"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555"/>
    <s v="BA"/>
    <s v="05748659833001"/>
    <m/>
    <s v="210.0"/>
    <s v="2"/>
    <s v="1.47"/>
    <s v="Y"/>
    <s v="N"/>
    <s v="AF"/>
    <s v="026"/>
    <s v="231115"/>
    <s v="EAP"/>
    <m/>
    <m/>
    <m/>
    <m/>
    <s v="DXB"/>
    <s v="IAD"/>
    <s v="IAD"/>
    <s v="N"/>
    <s v="N5003"/>
    <m/>
    <m/>
    <s v="Failed"/>
    <m/>
    <x v="28"/>
    <m/>
    <m/>
    <m/>
    <m/>
    <m/>
    <m/>
    <m/>
    <m/>
    <s v="3.1"/>
    <n v="0.14285714285714285"/>
    <b v="0"/>
    <b v="0"/>
    <b v="0"/>
    <b v="0"/>
    <b v="0"/>
    <s v="No"/>
    <s v="No"/>
  </r>
  <r>
    <d v="2023-11-14T00:00:00"/>
    <x v="555"/>
    <s v="DA"/>
    <s v="05748659833002"/>
    <m/>
    <s v="142.2"/>
    <s v="1"/>
    <s v=".73"/>
    <s v="Y"/>
    <s v="N"/>
    <s v="AF"/>
    <s v="026"/>
    <s v="231115"/>
    <s v="EAP"/>
    <m/>
    <m/>
    <m/>
    <m/>
    <s v="DXB"/>
    <s v="IAD"/>
    <s v="IAD"/>
    <s v="N"/>
    <s v="LO100"/>
    <m/>
    <m/>
    <s v="Failed"/>
    <m/>
    <x v="28"/>
    <m/>
    <m/>
    <m/>
    <m/>
    <m/>
    <m/>
    <m/>
    <m/>
    <s v="3.1"/>
    <n v="0.14285714285714285"/>
    <b v="0"/>
    <b v="0"/>
    <b v="0"/>
    <b v="0"/>
    <b v="0"/>
    <s v="No"/>
    <s v="No"/>
  </r>
  <r>
    <d v="2023-11-14T00:00:00"/>
    <x v="555"/>
    <s v="FA"/>
    <s v="05748659833003"/>
    <m/>
    <s v="142.2"/>
    <s v="1"/>
    <s v=".74"/>
    <s v="Y"/>
    <s v="N"/>
    <s v="AF"/>
    <s v="026"/>
    <s v="231115"/>
    <s v="EAP"/>
    <m/>
    <m/>
    <m/>
    <m/>
    <s v="DXB"/>
    <s v="IAD"/>
    <s v="IAD"/>
    <s v="N"/>
    <s v="LO100"/>
    <m/>
    <m/>
    <s v="Failed"/>
    <m/>
    <x v="28"/>
    <m/>
    <m/>
    <m/>
    <m/>
    <m/>
    <m/>
    <m/>
    <m/>
    <s v="3.1"/>
    <n v="0.14285714285714285"/>
    <b v="0"/>
    <b v="0"/>
    <b v="0"/>
    <b v="0"/>
    <b v="0"/>
    <s v="No"/>
    <s v="No"/>
  </r>
  <r>
    <d v="2023-11-14T00:00:00"/>
    <x v="555"/>
    <s v="HA"/>
    <s v="05748659833004"/>
    <m/>
    <s v="142.2"/>
    <s v="1"/>
    <s v=".74"/>
    <s v="Y"/>
    <s v="N"/>
    <s v="AF"/>
    <s v="026"/>
    <s v="231115"/>
    <s v="EAP"/>
    <m/>
    <m/>
    <m/>
    <m/>
    <s v="DXB"/>
    <s v="IAD"/>
    <s v="IAD"/>
    <s v="N"/>
    <s v="LO100"/>
    <m/>
    <m/>
    <s v="Failed"/>
    <m/>
    <x v="28"/>
    <m/>
    <m/>
    <m/>
    <m/>
    <m/>
    <m/>
    <m/>
    <m/>
    <s v="3.1"/>
    <n v="0.14285714285714285"/>
    <b v="0"/>
    <b v="0"/>
    <b v="0"/>
    <b v="0"/>
    <b v="0"/>
    <s v="No"/>
    <s v="No"/>
  </r>
  <r>
    <d v="2023-11-14T00:00:00"/>
    <x v="555"/>
    <s v="JA"/>
    <s v="05748659833005"/>
    <m/>
    <s v="142.2"/>
    <s v="1"/>
    <s v=".74"/>
    <s v="Y"/>
    <s v="N"/>
    <s v="AF"/>
    <s v="026"/>
    <s v="231115"/>
    <s v="EAP"/>
    <m/>
    <m/>
    <m/>
    <m/>
    <s v="DXB"/>
    <s v="IAD"/>
    <s v="IAD"/>
    <s v="N"/>
    <s v="LO100"/>
    <m/>
    <m/>
    <s v="Failed"/>
    <m/>
    <x v="28"/>
    <m/>
    <m/>
    <m/>
    <m/>
    <m/>
    <m/>
    <m/>
    <m/>
    <s v="3.1"/>
    <n v="0.14285714285714285"/>
    <b v="0"/>
    <b v="0"/>
    <b v="0"/>
    <b v="0"/>
    <b v="0"/>
    <s v="No"/>
    <s v="No"/>
  </r>
  <r>
    <d v="2023-11-14T00:00:00"/>
    <x v="555"/>
    <s v="LA"/>
    <s v="05748659833006"/>
    <m/>
    <s v="142.2"/>
    <s v="1"/>
    <s v=".74"/>
    <s v="Y"/>
    <s v="N"/>
    <s v="AF"/>
    <s v="026"/>
    <s v="231115"/>
    <s v="EAP"/>
    <m/>
    <m/>
    <m/>
    <m/>
    <s v="DXB"/>
    <s v="IAD"/>
    <s v="IAD"/>
    <s v="N"/>
    <s v="LO100"/>
    <m/>
    <m/>
    <s v="Failed"/>
    <m/>
    <x v="28"/>
    <m/>
    <m/>
    <m/>
    <m/>
    <m/>
    <m/>
    <m/>
    <m/>
    <s v="3.1"/>
    <n v="0.14285714285714285"/>
    <b v="0"/>
    <b v="0"/>
    <b v="0"/>
    <b v="0"/>
    <b v="0"/>
    <s v="No"/>
    <s v="No"/>
  </r>
  <r>
    <d v="2023-11-14T00:00:00"/>
    <x v="555"/>
    <m/>
    <s v="05748659833007"/>
    <m/>
    <s v="142.2"/>
    <s v="1"/>
    <s v=".73"/>
    <s v="Y"/>
    <s v="N"/>
    <s v="AF"/>
    <s v="026"/>
    <s v="231115"/>
    <s v="EAP"/>
    <m/>
    <m/>
    <m/>
    <m/>
    <s v="DXB"/>
    <s v="IAD"/>
    <s v="IAD"/>
    <s v="N"/>
    <s v="LO100"/>
    <m/>
    <m/>
    <s v="Failed"/>
    <m/>
    <x v="28"/>
    <m/>
    <m/>
    <m/>
    <m/>
    <m/>
    <m/>
    <m/>
    <m/>
    <s v="3.1"/>
    <n v="0.14285714285714285"/>
    <b v="0"/>
    <b v="0"/>
    <b v="0"/>
    <b v="0"/>
    <b v="0"/>
    <s v="No"/>
    <s v="No"/>
  </r>
  <r>
    <d v="2023-11-14T00:00:00"/>
    <x v="556"/>
    <s v="BA"/>
    <s v="05748679072001"/>
    <m/>
    <s v="648.0"/>
    <s v="1"/>
    <s v="1.45"/>
    <s v="Y"/>
    <s v="N"/>
    <s v="AF"/>
    <s v="148"/>
    <s v="231116"/>
    <s v="ECP"/>
    <s v="HEA"/>
    <m/>
    <m/>
    <m/>
    <s v="NTE"/>
    <s v="LOS"/>
    <s v="LOS"/>
    <s v="N"/>
    <s v="R4003"/>
    <m/>
    <m/>
    <s v="Passed"/>
    <m/>
    <x v="25"/>
    <m/>
    <m/>
    <m/>
    <m/>
    <m/>
    <m/>
    <m/>
    <m/>
    <s v="3.1"/>
    <n v="1"/>
    <b v="0"/>
    <b v="0"/>
    <b v="0"/>
    <b v="0"/>
    <b v="0"/>
    <s v="No"/>
    <s v="No"/>
  </r>
  <r>
    <d v="2023-11-14T00:00:00"/>
    <x v="557"/>
    <s v="BA"/>
    <s v="05748684495001"/>
    <s v="PMC22290KL"/>
    <s v="1699.0"/>
    <s v="50"/>
    <s v="10.00"/>
    <s v="Y"/>
    <s v="N"/>
    <s v="AF"/>
    <s v="002"/>
    <s v="231115"/>
    <s v="ECC"/>
    <s v="UCB"/>
    <s v="ULD"/>
    <s v="EAP"/>
    <m/>
    <s v="DEL"/>
    <s v="JFK"/>
    <s v="JFK"/>
    <s v="N"/>
    <s v="B2C-6040"/>
    <s v="ML"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558"/>
    <s v="BA"/>
    <s v="05748684543001"/>
    <s v="PMC28390KL"/>
    <s v="1738.0"/>
    <s v="58"/>
    <s v="10.00"/>
    <s v="Y"/>
    <s v="N"/>
    <s v="AF"/>
    <s v="002"/>
    <s v="231115"/>
    <s v="ECC"/>
    <s v="UCB"/>
    <s v="ULD"/>
    <s v="EAP"/>
    <m/>
    <s v="DEL"/>
    <s v="JFK"/>
    <s v="JFK"/>
    <s v="N"/>
    <s v="B2A-4936"/>
    <s v="ML"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559"/>
    <s v="BA"/>
    <s v="05748716533001"/>
    <m/>
    <s v="72.7"/>
    <s v="1"/>
    <s v=".77"/>
    <s v="Y"/>
    <s v="N"/>
    <s v="AF"/>
    <s v="990"/>
    <s v="231115"/>
    <s v="COL"/>
    <s v="PIL"/>
    <m/>
    <m/>
    <m/>
    <s v="BRU"/>
    <s v="JNB"/>
    <s v="JNB"/>
    <s v="N"/>
    <s v="FR4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60"/>
    <s v="BA"/>
    <s v="05748752104001"/>
    <m/>
    <s v="265.2"/>
    <s v="1"/>
    <s v="1.53"/>
    <s v="Y"/>
    <s v="N"/>
    <s v="DL"/>
    <s v="153"/>
    <s v="231116"/>
    <s v="ECC"/>
    <s v="HEA"/>
    <s v="EAP"/>
    <m/>
    <m/>
    <s v="SIN"/>
    <s v="ORD"/>
    <s v="MSP"/>
    <s v="N"/>
    <s v="RFK41"/>
    <m/>
    <m/>
    <s v="Passed"/>
    <m/>
    <x v="29"/>
    <m/>
    <m/>
    <m/>
    <m/>
    <m/>
    <m/>
    <m/>
    <m/>
    <s v="3.1"/>
    <n v="0.25"/>
    <b v="0"/>
    <b v="0"/>
    <b v="0"/>
    <b v="0"/>
    <b v="0"/>
    <s v="No"/>
    <s v="No"/>
  </r>
  <r>
    <d v="2023-11-14T00:00:00"/>
    <x v="560"/>
    <s v="DA"/>
    <s v="05748752104002"/>
    <m/>
    <s v="265.3"/>
    <s v="1"/>
    <s v="1.53"/>
    <s v="Y"/>
    <s v="N"/>
    <s v="DL"/>
    <s v="153"/>
    <s v="231116"/>
    <s v="ECC"/>
    <s v="HEA"/>
    <s v="EAP"/>
    <m/>
    <m/>
    <s v="SIN"/>
    <s v="ORD"/>
    <s v="MSP"/>
    <s v="N"/>
    <s v="RFK41"/>
    <m/>
    <m/>
    <s v="Passed"/>
    <m/>
    <x v="29"/>
    <m/>
    <m/>
    <m/>
    <m/>
    <m/>
    <m/>
    <m/>
    <m/>
    <s v="3.1"/>
    <n v="0.25"/>
    <b v="0"/>
    <b v="0"/>
    <b v="0"/>
    <b v="0"/>
    <b v="0"/>
    <s v="No"/>
    <s v="No"/>
  </r>
  <r>
    <d v="2023-11-14T00:00:00"/>
    <x v="560"/>
    <s v="FA"/>
    <s v="05748752104003"/>
    <m/>
    <s v="265.3"/>
    <s v="1"/>
    <s v="1.53"/>
    <s v="Y"/>
    <s v="N"/>
    <s v="DL"/>
    <s v="153"/>
    <s v="231116"/>
    <s v="ECC"/>
    <s v="HEA"/>
    <s v="EAP"/>
    <m/>
    <m/>
    <s v="SIN"/>
    <s v="ORD"/>
    <s v="MSP"/>
    <s v="N"/>
    <s v="RFK40"/>
    <m/>
    <m/>
    <s v="Passed"/>
    <m/>
    <x v="29"/>
    <m/>
    <m/>
    <m/>
    <m/>
    <m/>
    <m/>
    <m/>
    <m/>
    <s v="3.1"/>
    <n v="0.25"/>
    <b v="0"/>
    <b v="0"/>
    <b v="0"/>
    <b v="0"/>
    <b v="0"/>
    <s v="No"/>
    <s v="No"/>
  </r>
  <r>
    <d v="2023-11-14T00:00:00"/>
    <x v="560"/>
    <s v="HA"/>
    <s v="05748752104004"/>
    <m/>
    <s v="265.3"/>
    <s v="1"/>
    <s v="1.53"/>
    <s v="Y"/>
    <s v="N"/>
    <s v="DL"/>
    <s v="153"/>
    <s v="231116"/>
    <s v="ECC"/>
    <s v="HEA"/>
    <s v="EAP"/>
    <m/>
    <m/>
    <s v="SIN"/>
    <s v="ORD"/>
    <s v="MSP"/>
    <s v="N"/>
    <s v="RFK41"/>
    <m/>
    <m/>
    <s v="Passed"/>
    <m/>
    <x v="29"/>
    <m/>
    <m/>
    <m/>
    <m/>
    <m/>
    <m/>
    <m/>
    <m/>
    <s v="3.1"/>
    <n v="0.25"/>
    <b v="0"/>
    <b v="0"/>
    <b v="0"/>
    <b v="0"/>
    <b v="0"/>
    <s v="No"/>
    <s v="No"/>
  </r>
  <r>
    <d v="2023-11-14T00:00:00"/>
    <x v="561"/>
    <s v="BA"/>
    <s v="05748753106001"/>
    <m/>
    <s v="180.0"/>
    <s v="1"/>
    <s v="1.34"/>
    <s v="Y"/>
    <s v="N"/>
    <s v="AF"/>
    <s v="6762"/>
    <s v="231115"/>
    <s v="ECP"/>
    <s v="HEA"/>
    <s v="EAW"/>
    <m/>
    <m/>
    <s v="AMS"/>
    <s v="IST"/>
    <s v="IST"/>
    <s v="N"/>
    <m/>
    <m/>
    <m/>
    <s v="Passed"/>
    <m/>
    <x v="25"/>
    <m/>
    <m/>
    <m/>
    <m/>
    <m/>
    <m/>
    <m/>
    <m/>
    <s v="3.1"/>
    <n v="1"/>
    <b v="0"/>
    <b v="0"/>
    <b v="0"/>
    <b v="0"/>
    <b v="0"/>
    <s v="No"/>
    <s v="No"/>
  </r>
  <r>
    <d v="2023-11-14T00:00:00"/>
    <x v="562"/>
    <s v="BA"/>
    <s v="05748756584001"/>
    <m/>
    <s v="16.0"/>
    <s v="1"/>
    <s v=".06"/>
    <s v="Y"/>
    <s v="N"/>
    <s v="AF"/>
    <s v="116"/>
    <s v="231115"/>
    <s v="EAP"/>
    <m/>
    <m/>
    <m/>
    <m/>
    <s v="NBO"/>
    <s v="PVG"/>
    <s v="PVG"/>
    <s v="N"/>
    <s v="ECV00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62"/>
    <s v="DA"/>
    <s v="05748756584002"/>
    <m/>
    <s v="16.0"/>
    <s v="1"/>
    <s v=".07"/>
    <s v="Y"/>
    <s v="N"/>
    <s v="AF"/>
    <s v="116"/>
    <s v="231115"/>
    <s v="RFL"/>
    <s v="EAP"/>
    <m/>
    <m/>
    <m/>
    <s v="NBO"/>
    <s v="PVG"/>
    <s v="PVG"/>
    <s v="N"/>
    <s v="ECV00"/>
    <m/>
    <m/>
    <s v="Failed"/>
    <m/>
    <x v="20"/>
    <m/>
    <m/>
    <m/>
    <m/>
    <m/>
    <m/>
    <m/>
    <m/>
    <s v="3.1"/>
    <n v="0.5"/>
    <s v="Yes"/>
    <b v="0"/>
    <b v="0"/>
    <b v="0"/>
    <b v="0"/>
    <s v="Yes"/>
    <s v="No"/>
  </r>
  <r>
    <d v="2023-11-14T00:00:00"/>
    <x v="563"/>
    <s v="DA"/>
    <s v="05748763046002"/>
    <m/>
    <s v="68.0"/>
    <s v="11"/>
    <s v=".11"/>
    <s v="Y"/>
    <s v="N"/>
    <s v="AF"/>
    <s v="062"/>
    <s v="231115"/>
    <s v="ECC"/>
    <s v="EAP"/>
    <m/>
    <m/>
    <m/>
    <s v="BLR"/>
    <s v="EWR"/>
    <s v="EWR"/>
    <s v="N"/>
    <s v="50104"/>
    <m/>
    <m/>
    <s v="Passed"/>
    <m/>
    <x v="25"/>
    <m/>
    <m/>
    <m/>
    <m/>
    <m/>
    <m/>
    <m/>
    <m/>
    <s v="3.1"/>
    <n v="0.25"/>
    <b v="0"/>
    <b v="0"/>
    <b v="0"/>
    <b v="0"/>
    <b v="0"/>
    <s v="No"/>
    <s v="No"/>
  </r>
  <r>
    <d v="2023-11-14T00:00:00"/>
    <x v="563"/>
    <s v="LA"/>
    <s v="05748763046006"/>
    <m/>
    <s v="340.0"/>
    <s v="55"/>
    <s v=".57"/>
    <s v="Y"/>
    <s v="N"/>
    <s v="AF"/>
    <s v="062"/>
    <s v="231115"/>
    <s v="ECC"/>
    <s v="EAP"/>
    <m/>
    <m/>
    <m/>
    <s v="BLR"/>
    <s v="EWR"/>
    <s v="EWR"/>
    <s v="N"/>
    <s v="71204"/>
    <m/>
    <m/>
    <s v="Passed"/>
    <m/>
    <x v="25"/>
    <m/>
    <m/>
    <m/>
    <m/>
    <m/>
    <m/>
    <m/>
    <m/>
    <s v="3.1"/>
    <n v="0.25"/>
    <b v="0"/>
    <b v="0"/>
    <b v="0"/>
    <b v="0"/>
    <b v="0"/>
    <s v="No"/>
    <s v="No"/>
  </r>
  <r>
    <d v="2023-11-14T00:00:00"/>
    <x v="563"/>
    <m/>
    <s v="05748763046007"/>
    <m/>
    <s v="272.0"/>
    <s v="44"/>
    <s v=".45"/>
    <s v="Y"/>
    <s v="N"/>
    <s v="AF"/>
    <s v="062"/>
    <s v="231115"/>
    <s v="ECC"/>
    <s v="EAP"/>
    <m/>
    <m/>
    <m/>
    <s v="BLR"/>
    <s v="EWR"/>
    <s v="EWR"/>
    <s v="N"/>
    <s v="52006"/>
    <m/>
    <m/>
    <s v="Passed"/>
    <m/>
    <x v="25"/>
    <m/>
    <m/>
    <m/>
    <m/>
    <m/>
    <m/>
    <m/>
    <m/>
    <s v="3.1"/>
    <n v="0.25"/>
    <b v="0"/>
    <b v="0"/>
    <b v="0"/>
    <b v="0"/>
    <b v="0"/>
    <s v="No"/>
    <s v="No"/>
  </r>
  <r>
    <d v="2023-11-14T00:00:00"/>
    <x v="563"/>
    <s v="PA"/>
    <s v="05748763046008"/>
    <m/>
    <s v="80.0"/>
    <s v="15"/>
    <s v=".50"/>
    <s v="Y"/>
    <s v="N"/>
    <s v="AF"/>
    <s v="062"/>
    <s v="231115"/>
    <s v="EAP"/>
    <m/>
    <m/>
    <m/>
    <m/>
    <s v="BLR"/>
    <s v="EWR"/>
    <s v="EWR"/>
    <s v="N"/>
    <s v="53409"/>
    <m/>
    <m/>
    <s v="Passed"/>
    <m/>
    <x v="25"/>
    <m/>
    <m/>
    <m/>
    <m/>
    <m/>
    <m/>
    <m/>
    <m/>
    <s v="3.1"/>
    <n v="0.25"/>
    <b v="0"/>
    <b v="0"/>
    <b v="0"/>
    <b v="0"/>
    <b v="0"/>
    <s v="No"/>
    <s v="No"/>
  </r>
  <r>
    <d v="2023-11-14T00:00:00"/>
    <x v="564"/>
    <s v="BA"/>
    <s v="05748763142001"/>
    <m/>
    <s v="190.0"/>
    <s v="6"/>
    <s v=".71"/>
    <s v="Y"/>
    <s v="N"/>
    <s v="AF"/>
    <s v="412"/>
    <s v="231115"/>
    <s v="ECP"/>
    <s v="EAP"/>
    <m/>
    <m/>
    <m/>
    <s v="BLR"/>
    <s v="EZE"/>
    <s v="EZE"/>
    <s v="N"/>
    <s v="P3001"/>
    <m/>
    <m/>
    <s v="Passed"/>
    <s v="Yes"/>
    <x v="6"/>
    <s v="Lynka / 0 code agent "/>
    <m/>
    <m/>
    <m/>
    <m/>
    <m/>
    <m/>
    <m/>
    <s v="3.1"/>
    <n v="1"/>
    <b v="0"/>
    <b v="0"/>
    <b v="0"/>
    <b v="0"/>
    <b v="0"/>
    <s v="No"/>
    <s v="No"/>
  </r>
  <r>
    <d v="2023-11-14T00:00:00"/>
    <x v="565"/>
    <s v="BA"/>
    <s v="05748765990001"/>
    <m/>
    <s v="20.6"/>
    <s v="2"/>
    <s v=".10"/>
    <s v="Y"/>
    <s v="N"/>
    <s v="AF"/>
    <s v="768"/>
    <s v="231115"/>
    <s v="ECP"/>
    <s v="EAW"/>
    <m/>
    <m/>
    <m/>
    <s v="HKG"/>
    <s v="NKC"/>
    <s v="NKC"/>
    <s v="N"/>
    <s v="ECV00"/>
    <m/>
    <m/>
    <s v="Passed"/>
    <m/>
    <x v="25"/>
    <m/>
    <m/>
    <m/>
    <m/>
    <m/>
    <m/>
    <m/>
    <m/>
    <s v="3.1"/>
    <n v="0.5"/>
    <b v="0"/>
    <b v="0"/>
    <b v="0"/>
    <b v="0"/>
    <b v="0"/>
    <s v="No"/>
    <s v="No"/>
  </r>
  <r>
    <d v="2023-11-14T00:00:00"/>
    <x v="565"/>
    <s v="DA"/>
    <s v="05748765990002"/>
    <m/>
    <s v="123.4"/>
    <s v="12"/>
    <s v=".59"/>
    <s v="Y"/>
    <s v="N"/>
    <s v="AF"/>
    <s v="768"/>
    <s v="231115"/>
    <s v="ECP"/>
    <s v="EAW"/>
    <m/>
    <m/>
    <m/>
    <s v="HKG"/>
    <s v="NKC"/>
    <s v="NKC"/>
    <s v="N"/>
    <s v="Q2104"/>
    <m/>
    <m/>
    <s v="Passed"/>
    <m/>
    <x v="25"/>
    <m/>
    <m/>
    <m/>
    <m/>
    <m/>
    <m/>
    <m/>
    <m/>
    <s v="3.1"/>
    <n v="0.5"/>
    <b v="0"/>
    <b v="0"/>
    <b v="0"/>
    <b v="0"/>
    <b v="0"/>
    <s v="No"/>
    <s v="No"/>
  </r>
  <r>
    <d v="2023-11-14T00:00:00"/>
    <x v="566"/>
    <s v="BA"/>
    <s v="05748770632001"/>
    <s v="PMC28707KL"/>
    <s v="653.0"/>
    <s v="4"/>
    <s v="5.85"/>
    <s v="Y"/>
    <s v="N"/>
    <s v="AF"/>
    <s v="178"/>
    <s v="231116"/>
    <s v="ECC"/>
    <s v="HEA"/>
    <s v="EAP"/>
    <m/>
    <m/>
    <s v="NRT"/>
    <s v="MEX"/>
    <s v="MEX"/>
    <s v="N"/>
    <s v="B2C-5931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67"/>
    <s v="BA"/>
    <s v="05748776151001"/>
    <m/>
    <s v="230.0"/>
    <s v="1"/>
    <s v=".91"/>
    <s v="Y"/>
    <s v="N"/>
    <s v="AF"/>
    <s v="702"/>
    <s v="231117"/>
    <s v="ECC"/>
    <s v="HEA"/>
    <s v="EAP"/>
    <m/>
    <m/>
    <s v="ARN"/>
    <s v="ABJ"/>
    <s v="ABJ"/>
    <s v="N"/>
    <s v="R81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68"/>
    <s v="BA"/>
    <s v="05748778726001"/>
    <m/>
    <s v="245.0"/>
    <s v="12"/>
    <s v=".20"/>
    <s v="Y"/>
    <s v="N"/>
    <s v="AF"/>
    <s v="344"/>
    <s v="231115"/>
    <m/>
    <m/>
    <m/>
    <m/>
    <m/>
    <s v="LOS"/>
    <s v="YHZ"/>
    <s v="YUL"/>
    <s v="N"/>
    <s v="49008"/>
    <m/>
    <m/>
    <s v="Failed"/>
    <m/>
    <x v="3"/>
    <m/>
    <m/>
    <m/>
    <m/>
    <m/>
    <m/>
    <m/>
    <m/>
    <s v="3.1"/>
    <n v="1"/>
    <b v="0"/>
    <b v="0"/>
    <b v="0"/>
    <b v="0"/>
    <b v="0"/>
    <s v="No"/>
    <s v="No"/>
  </r>
  <r>
    <d v="2023-11-14T00:00:00"/>
    <x v="569"/>
    <s v="BA"/>
    <s v="05748780701001"/>
    <m/>
    <s v="343.7"/>
    <s v="2"/>
    <s v=".52"/>
    <s v="Y"/>
    <s v="N"/>
    <s v="AF"/>
    <s v="002"/>
    <s v="231115"/>
    <s v="RMD"/>
    <s v="HEA"/>
    <m/>
    <m/>
    <m/>
    <s v="BCN"/>
    <s v="JFK"/>
    <s v="JFK"/>
    <s v="N"/>
    <s v="N8003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69"/>
    <s v="DA"/>
    <s v="05748780701002"/>
    <m/>
    <s v="171.8"/>
    <s v="1"/>
    <s v=".26"/>
    <s v="Y"/>
    <s v="N"/>
    <s v="AF"/>
    <s v="002"/>
    <s v="231115"/>
    <s v="HEA"/>
    <m/>
    <m/>
    <m/>
    <m/>
    <s v="BCN"/>
    <s v="JFK"/>
    <s v="JFK"/>
    <s v="N"/>
    <s v="N7000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69"/>
    <s v="FA"/>
    <s v="05748780701003"/>
    <m/>
    <s v="515.5"/>
    <s v="3"/>
    <s v=".78"/>
    <s v="Y"/>
    <s v="N"/>
    <s v="AF"/>
    <s v="002"/>
    <s v="231115"/>
    <s v="RMD"/>
    <s v="HEA"/>
    <m/>
    <m/>
    <m/>
    <s v="BCN"/>
    <s v="JFK"/>
    <s v="JFK"/>
    <s v="N"/>
    <s v="63012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70"/>
    <s v="BA"/>
    <s v="05748785936001"/>
    <m/>
    <s v="58.0"/>
    <s v="1"/>
    <s v=".66"/>
    <s v="Y"/>
    <s v="N"/>
    <s v="AF"/>
    <s v="702M"/>
    <s v="231115"/>
    <s v="ECC"/>
    <m/>
    <m/>
    <m/>
    <m/>
    <s v="TLS"/>
    <s v="RUN"/>
    <s v="ORY"/>
    <s v="N"/>
    <s v="ORY00"/>
    <m/>
    <m/>
    <s v="Passed"/>
    <m/>
    <x v="29"/>
    <m/>
    <m/>
    <m/>
    <m/>
    <m/>
    <m/>
    <m/>
    <m/>
    <s v="3.1"/>
    <n v="1"/>
    <b v="0"/>
    <b v="0"/>
    <b v="0"/>
    <b v="0"/>
    <b v="0"/>
    <s v="No"/>
    <s v="No"/>
  </r>
  <r>
    <d v="2023-11-14T00:00:00"/>
    <x v="571"/>
    <s v="BA"/>
    <s v="05748794896001"/>
    <m/>
    <s v="200.0"/>
    <s v="1"/>
    <s v="3.04"/>
    <s v="Y"/>
    <s v="N"/>
    <s v="AF"/>
    <s v="374"/>
    <s v="231117"/>
    <s v="HEA"/>
    <m/>
    <m/>
    <m/>
    <m/>
    <s v="LJU"/>
    <s v="YVR"/>
    <s v="YVR"/>
    <s v="N"/>
    <s v="XLC1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232"/>
    <s v="BA"/>
    <s v="05748795596001"/>
    <m/>
    <s v="271.8"/>
    <s v="26"/>
    <s v="1.52"/>
    <s v="Y"/>
    <s v="N"/>
    <s v="AF"/>
    <s v="136"/>
    <s v="231115"/>
    <s v="ECC"/>
    <s v="EAP"/>
    <m/>
    <m/>
    <m/>
    <s v="MAA"/>
    <s v="ORD"/>
    <s v="ORD"/>
    <s v="N"/>
    <s v="RFK69"/>
    <m/>
    <m/>
    <s v="Passed"/>
    <m/>
    <x v="5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232"/>
    <s v="FA"/>
    <s v="05748795596003"/>
    <m/>
    <s v="209.1"/>
    <s v="20"/>
    <s v="1.17"/>
    <s v="Y"/>
    <s v="N"/>
    <s v="AF"/>
    <s v="136"/>
    <s v="231115"/>
    <s v="ECC"/>
    <s v="EAP"/>
    <m/>
    <m/>
    <m/>
    <s v="MAA"/>
    <s v="ORD"/>
    <s v="ORD"/>
    <s v="N"/>
    <s v="RFK69"/>
    <m/>
    <m/>
    <s v="Passed"/>
    <m/>
    <x v="5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232"/>
    <s v="HA"/>
    <s v="05748795596004"/>
    <m/>
    <s v="209.1"/>
    <s v="20"/>
    <s v="1.17"/>
    <s v="Y"/>
    <s v="N"/>
    <s v="AF"/>
    <s v="136"/>
    <s v="231115"/>
    <s v="ECC"/>
    <s v="EAP"/>
    <m/>
    <m/>
    <m/>
    <s v="MAA"/>
    <s v="ORD"/>
    <s v="ORD"/>
    <s v="N"/>
    <s v="RFK69"/>
    <m/>
    <m/>
    <s v="Passed"/>
    <m/>
    <x v="5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232"/>
    <s v="JA"/>
    <s v="05748795596005"/>
    <m/>
    <s v="209.1"/>
    <s v="20"/>
    <s v="1.17"/>
    <s v="Y"/>
    <s v="N"/>
    <s v="AF"/>
    <s v="136"/>
    <s v="231115"/>
    <s v="ECC"/>
    <s v="EAP"/>
    <m/>
    <m/>
    <m/>
    <s v="MAA"/>
    <s v="ORD"/>
    <s v="ORD"/>
    <s v="N"/>
    <s v="RFK69"/>
    <m/>
    <m/>
    <s v="Passed"/>
    <m/>
    <x v="5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232"/>
    <s v="LA"/>
    <s v="05748795596006"/>
    <m/>
    <s v="209.1"/>
    <s v="20"/>
    <s v="1.17"/>
    <s v="Y"/>
    <s v="N"/>
    <s v="AF"/>
    <s v="136"/>
    <s v="231115"/>
    <s v="ECC"/>
    <s v="EAP"/>
    <m/>
    <m/>
    <m/>
    <s v="MAA"/>
    <s v="ORD"/>
    <s v="ORD"/>
    <s v="N"/>
    <s v="RFK69"/>
    <m/>
    <m/>
    <s v="Passed"/>
    <m/>
    <x v="5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572"/>
    <s v="BA"/>
    <s v="05748803602001"/>
    <m/>
    <s v="143.0"/>
    <s v="6"/>
    <s v=".63"/>
    <s v="Y"/>
    <s v="N"/>
    <s v="AF"/>
    <s v="342"/>
    <s v="231117"/>
    <m/>
    <m/>
    <m/>
    <m/>
    <m/>
    <s v="CMB"/>
    <s v="YUL"/>
    <s v="YUL"/>
    <s v="N"/>
    <s v="P91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73"/>
    <s v="BA"/>
    <s v="05748803786001"/>
    <m/>
    <s v="246.0"/>
    <s v="15"/>
    <s v=".96"/>
    <s v="Y"/>
    <s v="N"/>
    <s v="AF"/>
    <s v="004"/>
    <s v="231117"/>
    <m/>
    <m/>
    <m/>
    <m/>
    <m/>
    <s v="CMB"/>
    <s v="JFK"/>
    <s v="JFK"/>
    <s v="N"/>
    <s v="N60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74"/>
    <s v="BA"/>
    <s v="05748806936001"/>
    <m/>
    <s v="70.5"/>
    <s v="1"/>
    <s v=".98"/>
    <s v="Y"/>
    <s v="N"/>
    <s v="AF"/>
    <s v="084"/>
    <s v="231116"/>
    <s v="ECC"/>
    <s v="EAW"/>
    <m/>
    <m/>
    <m/>
    <s v="MUC"/>
    <s v="SFO"/>
    <s v="SFO"/>
    <s v="N"/>
    <s v="59014"/>
    <m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574"/>
    <s v="DA"/>
    <s v="05748806936002"/>
    <m/>
    <s v="140.9"/>
    <s v="2"/>
    <s v="1.95"/>
    <s v="Y"/>
    <s v="N"/>
    <s v="AF"/>
    <s v="084"/>
    <s v="231116"/>
    <s v="ECC"/>
    <s v="EAW"/>
    <m/>
    <m/>
    <m/>
    <s v="MUC"/>
    <s v="SFO"/>
    <s v="SFO"/>
    <s v="N"/>
    <s v="LLC40"/>
    <m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574"/>
    <s v="FA"/>
    <s v="05748806936003"/>
    <m/>
    <s v="70.4"/>
    <s v="1"/>
    <s v=".98"/>
    <s v="Y"/>
    <s v="N"/>
    <s v="AF"/>
    <s v="084"/>
    <s v="231116"/>
    <s v="ECC"/>
    <s v="EAW"/>
    <m/>
    <m/>
    <m/>
    <s v="MUC"/>
    <s v="SFO"/>
    <s v="SFO"/>
    <s v="N"/>
    <s v="61307"/>
    <m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574"/>
    <s v="HA"/>
    <s v="05748806936004"/>
    <m/>
    <s v="70.4"/>
    <s v="1"/>
    <s v=".98"/>
    <s v="Y"/>
    <s v="N"/>
    <s v="AF"/>
    <s v="084"/>
    <s v="231116"/>
    <s v="ECC"/>
    <s v="EAW"/>
    <m/>
    <m/>
    <m/>
    <s v="MUC"/>
    <s v="SFO"/>
    <s v="SFO"/>
    <s v="N"/>
    <s v="HLC106"/>
    <m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574"/>
    <s v="JA"/>
    <s v="05748806936005"/>
    <m/>
    <s v="70.4"/>
    <s v="1"/>
    <s v=".98"/>
    <s v="Y"/>
    <s v="N"/>
    <s v="AF"/>
    <s v="084"/>
    <s v="231116"/>
    <s v="ECC"/>
    <s v="EAW"/>
    <m/>
    <m/>
    <m/>
    <s v="MUC"/>
    <s v="SFO"/>
    <s v="SFO"/>
    <s v="N"/>
    <s v="54108"/>
    <m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574"/>
    <s v="LA"/>
    <s v="05748806936006"/>
    <m/>
    <s v="70.4"/>
    <s v="1"/>
    <s v=".98"/>
    <s v="Y"/>
    <s v="N"/>
    <s v="AF"/>
    <s v="084"/>
    <s v="231116"/>
    <s v="ECC"/>
    <s v="EAW"/>
    <m/>
    <m/>
    <m/>
    <s v="MUC"/>
    <s v="SFO"/>
    <s v="SFO"/>
    <s v="N"/>
    <s v="55304"/>
    <m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575"/>
    <s v="BA"/>
    <s v="05748866425001"/>
    <m/>
    <s v="426.7"/>
    <s v="1"/>
    <s v="2.56"/>
    <s v="Y"/>
    <s v="N"/>
    <s v="AF"/>
    <s v="084"/>
    <s v="231117"/>
    <s v="HEA"/>
    <s v="EAW"/>
    <m/>
    <m/>
    <m/>
    <s v="BRE"/>
    <s v="SFO"/>
    <s v="SFO"/>
    <s v="N"/>
    <s v="55111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75"/>
    <s v="DA"/>
    <s v="05748866425002"/>
    <s v="PMC63796AF"/>
    <s v="426.7"/>
    <s v="1"/>
    <s v="2.56"/>
    <s v="Y"/>
    <s v="N"/>
    <s v="AF"/>
    <s v="084"/>
    <s v="231117"/>
    <s v="HEA"/>
    <s v="EAW"/>
    <m/>
    <m/>
    <m/>
    <s v="BRE"/>
    <s v="SFO"/>
    <s v="SFO"/>
    <s v="N"/>
    <s v="B1C-2234"/>
    <s v="ML"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75"/>
    <s v="FA"/>
    <s v="05748866425003"/>
    <s v="PAG15646KL"/>
    <s v="426.7"/>
    <s v="1"/>
    <s v="2.56"/>
    <s v="Y"/>
    <s v="N"/>
    <s v="AF"/>
    <s v="084"/>
    <s v="231117"/>
    <s v="HEA"/>
    <s v="EAW"/>
    <m/>
    <m/>
    <m/>
    <s v="BRE"/>
    <s v="SFO"/>
    <s v="SFO"/>
    <s v="N"/>
    <s v="B2A-5331"/>
    <s v="AL"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576"/>
    <s v="BA"/>
    <s v="05748871163001"/>
    <m/>
    <s v="145.0"/>
    <s v="1"/>
    <s v=".78"/>
    <s v="Y"/>
    <s v="N"/>
    <s v="AF"/>
    <s v="132"/>
    <s v="231117"/>
    <s v="ELM"/>
    <s v="EAP"/>
    <m/>
    <m/>
    <m/>
    <s v="MAN"/>
    <s v="DFW"/>
    <s v="DFW"/>
    <s v="N"/>
    <s v="6141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77"/>
    <s v="BA"/>
    <s v="05748879655001"/>
    <m/>
    <s v="335.0"/>
    <s v="1"/>
    <s v="1.06"/>
    <s v="Y"/>
    <s v="N"/>
    <s v="AF"/>
    <s v="218"/>
    <s v="231115"/>
    <s v="VIC"/>
    <s v="ECP"/>
    <s v="HEA"/>
    <s v="EAP"/>
    <m/>
    <s v="SXB"/>
    <s v="BOM"/>
    <s v="BOM"/>
    <s v="N"/>
    <s v="N21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78"/>
    <s v="BA"/>
    <s v="05748879666001"/>
    <m/>
    <s v="38.0"/>
    <s v="1"/>
    <s v=".22"/>
    <s v="Y"/>
    <s v="N"/>
    <s v="AF"/>
    <s v="226"/>
    <s v="231115"/>
    <s v="ECP"/>
    <s v="XPH"/>
    <s v="EAP"/>
    <m/>
    <m/>
    <s v="SXB"/>
    <s v="DEL"/>
    <s v="DEL"/>
    <s v="N"/>
    <s v="R74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79"/>
    <s v="BA"/>
    <s v="05748885815001"/>
    <m/>
    <s v="100.0"/>
    <s v="11"/>
    <s v=".23"/>
    <s v="Y"/>
    <s v="N"/>
    <s v="AF"/>
    <s v="480"/>
    <s v="231116"/>
    <m/>
    <m/>
    <m/>
    <m/>
    <m/>
    <s v="IST"/>
    <s v="LIM"/>
    <s v="LIM"/>
    <s v="N"/>
    <s v="P34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80"/>
    <s v="BA"/>
    <s v="05748892981001"/>
    <m/>
    <s v="1.0"/>
    <s v="1"/>
    <s v=".10"/>
    <s v="N"/>
    <s v="N"/>
    <s v="AF"/>
    <s v="108"/>
    <s v="231115"/>
    <s v="ECP"/>
    <s v="XPS"/>
    <m/>
    <m/>
    <m/>
    <s v="CDG"/>
    <s v="MAA"/>
    <s v="MAA"/>
    <s v="N"/>
    <s v="61000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581"/>
    <s v="BA"/>
    <s v="05748895184001"/>
    <m/>
    <s v="362.0"/>
    <s v="1"/>
    <s v="1.04"/>
    <s v="N"/>
    <s v="N"/>
    <s v="AF"/>
    <s v="454"/>
    <s v="231116"/>
    <s v="HEA"/>
    <s v="FSA"/>
    <m/>
    <m/>
    <m/>
    <s v="CDG"/>
    <s v="GRU"/>
    <s v="GRU"/>
    <s v="N"/>
    <s v="Q5004"/>
    <m/>
    <m/>
    <s v="Failed"/>
    <m/>
    <x v="31"/>
    <m/>
    <m/>
    <m/>
    <m/>
    <m/>
    <m/>
    <m/>
    <m/>
    <s v="3.1"/>
    <n v="0.5"/>
    <b v="0"/>
    <b v="0"/>
    <b v="0"/>
    <b v="0"/>
    <b v="0"/>
    <s v="No"/>
    <s v="No"/>
  </r>
  <r>
    <d v="2023-11-14T00:00:00"/>
    <x v="581"/>
    <s v="DA"/>
    <s v="05748895184002"/>
    <m/>
    <s v="362.0"/>
    <s v="1"/>
    <s v="1.04"/>
    <s v="N"/>
    <s v="N"/>
    <s v="AF"/>
    <s v="454"/>
    <s v="231116"/>
    <s v="HEA"/>
    <s v="FSA"/>
    <m/>
    <m/>
    <m/>
    <s v="CDG"/>
    <s v="GRU"/>
    <s v="GRU"/>
    <s v="N"/>
    <s v="Q6104"/>
    <m/>
    <m/>
    <s v="Failed"/>
    <m/>
    <x v="31"/>
    <m/>
    <m/>
    <m/>
    <m/>
    <m/>
    <m/>
    <m/>
    <m/>
    <s v="3.1"/>
    <n v="0.5"/>
    <b v="0"/>
    <b v="0"/>
    <b v="0"/>
    <b v="0"/>
    <b v="0"/>
    <s v="No"/>
    <s v="No"/>
  </r>
  <r>
    <d v="2023-11-14T00:00:00"/>
    <x v="582"/>
    <s v="BA"/>
    <s v="05748929565001"/>
    <m/>
    <s v="87.0"/>
    <s v="23"/>
    <s v=".58"/>
    <s v="N"/>
    <s v="N"/>
    <s v="AF"/>
    <s v="702M"/>
    <s v="231115"/>
    <s v="ELI"/>
    <s v="ECC"/>
    <s v="XPH"/>
    <m/>
    <m/>
    <s v="CDG"/>
    <s v="PTP"/>
    <s v="ORY"/>
    <s v="N"/>
    <s v="ORY00"/>
    <m/>
    <m/>
    <s v="Failed"/>
    <m/>
    <x v="30"/>
    <m/>
    <m/>
    <m/>
    <m/>
    <m/>
    <m/>
    <m/>
    <m/>
    <s v="3.1"/>
    <n v="0.5"/>
    <b v="0"/>
    <b v="0"/>
    <b v="0"/>
    <b v="0"/>
    <b v="0"/>
    <s v="No"/>
    <s v="No"/>
  </r>
  <r>
    <d v="2023-11-14T00:00:00"/>
    <x v="582"/>
    <s v="DA"/>
    <s v="05748929565002"/>
    <m/>
    <s v="10.0"/>
    <s v="1"/>
    <s v=".07"/>
    <s v="N"/>
    <s v="N"/>
    <s v="AF"/>
    <s v="702M"/>
    <s v="231115"/>
    <s v="ELM"/>
    <s v="ECC"/>
    <s v="XPH"/>
    <m/>
    <m/>
    <s v="CDG"/>
    <s v="PTP"/>
    <s v="ORY"/>
    <s v="N"/>
    <s v="ORY00"/>
    <m/>
    <m/>
    <s v="Failed"/>
    <m/>
    <x v="30"/>
    <m/>
    <m/>
    <m/>
    <m/>
    <m/>
    <m/>
    <m/>
    <m/>
    <s v="3.1"/>
    <n v="0.5"/>
    <b v="0"/>
    <b v="0"/>
    <b v="0"/>
    <b v="0"/>
    <b v="0"/>
    <s v="No"/>
    <s v="No"/>
  </r>
  <r>
    <d v="2023-11-14T00:00:00"/>
    <x v="583"/>
    <s v="BA"/>
    <s v="05748929580001"/>
    <m/>
    <s v="8.0"/>
    <s v="1"/>
    <s v=".02"/>
    <s v="N"/>
    <s v="N"/>
    <s v="AF"/>
    <s v="768"/>
    <s v="231115"/>
    <s v="ELM"/>
    <s v="ECP"/>
    <s v="XPH"/>
    <s v="EAW"/>
    <m/>
    <s v="CDG"/>
    <s v="NKC"/>
    <s v="NKC"/>
    <s v="N"/>
    <s v="Q7000"/>
    <m/>
    <m/>
    <s v="Failed"/>
    <m/>
    <x v="30"/>
    <m/>
    <m/>
    <m/>
    <m/>
    <m/>
    <m/>
    <m/>
    <m/>
    <s v="3.1"/>
    <n v="0.5"/>
    <b v="0"/>
    <b v="0"/>
    <b v="0"/>
    <b v="0"/>
    <b v="0"/>
    <s v="No"/>
    <s v="No"/>
  </r>
  <r>
    <d v="2023-11-14T00:00:00"/>
    <x v="583"/>
    <s v="DA"/>
    <s v="05748929580002"/>
    <m/>
    <s v="80.0"/>
    <s v="6"/>
    <s v=".17"/>
    <s v="N"/>
    <s v="N"/>
    <s v="AF"/>
    <s v="768"/>
    <s v="231115"/>
    <s v="ELI"/>
    <s v="ECP"/>
    <s v="XPH"/>
    <m/>
    <m/>
    <s v="CDG"/>
    <s v="NKC"/>
    <s v="NKC"/>
    <s v="N"/>
    <s v="Q2002"/>
    <m/>
    <m/>
    <s v="Failed"/>
    <m/>
    <x v="30"/>
    <m/>
    <m/>
    <m/>
    <m/>
    <m/>
    <m/>
    <m/>
    <m/>
    <s v="3.1"/>
    <n v="0.5"/>
    <b v="0"/>
    <b v="0"/>
    <b v="0"/>
    <b v="0"/>
    <b v="0"/>
    <s v="No"/>
    <s v="No"/>
  </r>
  <r>
    <d v="2023-11-14T00:00:00"/>
    <x v="584"/>
    <s v="BA"/>
    <s v="05748929646001"/>
    <m/>
    <s v="14.0"/>
    <s v="4"/>
    <s v=".11"/>
    <s v="N"/>
    <s v="N"/>
    <s v="AF"/>
    <s v="952"/>
    <s v="231115"/>
    <s v="ELI"/>
    <s v="ECP"/>
    <s v="XPH"/>
    <s v="EAW"/>
    <m/>
    <s v="CDG"/>
    <s v="CAY"/>
    <s v="CAY"/>
    <s v="N"/>
    <s v="49107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585"/>
    <s v="BA"/>
    <s v="05748940964001"/>
    <m/>
    <s v="623.5"/>
    <s v="1"/>
    <s v="1.49"/>
    <s v="Y"/>
    <s v="N"/>
    <s v="AF"/>
    <s v="568"/>
    <s v="231116"/>
    <s v="ECP"/>
    <s v="HEA"/>
    <s v="OHG"/>
    <s v="EAP"/>
    <m/>
    <s v="ABZ"/>
    <s v="CAI"/>
    <s v="CAI"/>
    <s v="N"/>
    <s v="XLC00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585"/>
    <s v="DA"/>
    <s v="05748940964002"/>
    <m/>
    <s v="623.5"/>
    <s v="1"/>
    <s v="1.49"/>
    <s v="Y"/>
    <s v="N"/>
    <s v="AF"/>
    <s v="568"/>
    <s v="231116"/>
    <s v="ECP"/>
    <s v="HEA"/>
    <s v="OHG"/>
    <s v="EAP"/>
    <m/>
    <s v="ABZ"/>
    <s v="CAI"/>
    <s v="CAI"/>
    <s v="N"/>
    <s v="54007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586"/>
    <s v="BA"/>
    <s v="05748941012001"/>
    <m/>
    <s v="360.0"/>
    <s v="1"/>
    <s v="1.48"/>
    <s v="Y"/>
    <s v="N"/>
    <s v="AF"/>
    <s v="650"/>
    <s v="231115"/>
    <s v="ECC"/>
    <s v="HEA"/>
    <s v="EAP"/>
    <m/>
    <m/>
    <s v="ABZ"/>
    <s v="CUN"/>
    <s v="CUN"/>
    <s v="N"/>
    <s v="54101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587"/>
    <s v="BA"/>
    <s v="05748945083001"/>
    <m/>
    <s v="49.0"/>
    <s v="4"/>
    <s v=".30"/>
    <s v="N"/>
    <s v="N"/>
    <s v="AF"/>
    <s v="566"/>
    <s v="231115"/>
    <s v="MAE"/>
    <s v="ECP"/>
    <s v="XPS"/>
    <s v="EAP"/>
    <m/>
    <s v="CDG"/>
    <s v="BEY"/>
    <s v="BEY"/>
    <s v="N"/>
    <s v="63104"/>
    <m/>
    <m/>
    <s v="Failed"/>
    <m/>
    <x v="31"/>
    <m/>
    <m/>
    <m/>
    <m/>
    <m/>
    <m/>
    <m/>
    <m/>
    <s v="3.1"/>
    <n v="1"/>
    <b v="0"/>
    <b v="0"/>
    <b v="0"/>
    <b v="0"/>
    <b v="0"/>
    <s v="No"/>
    <s v="No"/>
  </r>
  <r>
    <d v="2023-11-14T00:00:00"/>
    <x v="588"/>
    <s v="BA"/>
    <s v="05748945131001"/>
    <m/>
    <s v="10.0"/>
    <s v="1"/>
    <s v=".60"/>
    <s v="N"/>
    <s v="N"/>
    <s v="AF"/>
    <s v="474"/>
    <s v="231115"/>
    <s v="MAE"/>
    <s v="ECP"/>
    <s v="XPS"/>
    <s v="EAP"/>
    <m/>
    <s v="CDG"/>
    <s v="PTY"/>
    <s v="PTY"/>
    <s v="N"/>
    <s v="63409"/>
    <m/>
    <m/>
    <s v="Failed"/>
    <m/>
    <x v="31"/>
    <m/>
    <m/>
    <m/>
    <m/>
    <m/>
    <m/>
    <m/>
    <m/>
    <s v="3.1"/>
    <n v="1"/>
    <b v="0"/>
    <b v="0"/>
    <b v="0"/>
    <b v="0"/>
    <b v="0"/>
    <s v="No"/>
    <s v="No"/>
  </r>
  <r>
    <d v="2023-11-14T00:00:00"/>
    <x v="589"/>
    <s v="BA"/>
    <s v="05748958372001"/>
    <m/>
    <s v="3.0"/>
    <s v="1"/>
    <s v=".05"/>
    <s v="Y"/>
    <s v="N"/>
    <s v="AF"/>
    <s v="174"/>
    <s v="231115"/>
    <s v="ECC"/>
    <s v="XPH"/>
    <m/>
    <m/>
    <m/>
    <s v="BSL"/>
    <s v="MEX"/>
    <s v="MEX"/>
    <s v="N"/>
    <s v="N7000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590"/>
    <s v="BA"/>
    <s v="05748967030001"/>
    <m/>
    <s v="125.3"/>
    <s v="10"/>
    <s v="1.31"/>
    <s v="Y"/>
    <s v="N"/>
    <s v="DL"/>
    <s v="225"/>
    <s v="231116"/>
    <s v="ECC"/>
    <s v="EAW"/>
    <m/>
    <m/>
    <m/>
    <s v="DWC"/>
    <s v="JFK"/>
    <s v="BOS"/>
    <s v="N"/>
    <s v="M6401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90"/>
    <m/>
    <s v="05748967030007"/>
    <m/>
    <s v="13.6"/>
    <s v="1"/>
    <s v=".13"/>
    <s v="Y"/>
    <s v="N"/>
    <s v="DL"/>
    <s v="225"/>
    <s v="231116"/>
    <s v="ECC"/>
    <s v="EAW"/>
    <m/>
    <m/>
    <m/>
    <s v="DWC"/>
    <s v="JFK"/>
    <s v="BOS"/>
    <s v="N"/>
    <s v="N6404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91"/>
    <s v="BA"/>
    <s v="05748967052001"/>
    <s v="PMC21670KL"/>
    <s v="1019.0"/>
    <s v="79"/>
    <s v="10.15"/>
    <s v="Y"/>
    <s v="N"/>
    <s v="DL"/>
    <s v="265"/>
    <s v="231120"/>
    <s v="ULD"/>
    <s v="EAW"/>
    <m/>
    <m/>
    <m/>
    <s v="DWC"/>
    <s v="JFK"/>
    <s v="JFK"/>
    <s v="N"/>
    <s v="B2B-4144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591"/>
    <s v="DA"/>
    <s v="05748967052002"/>
    <s v="PMC22606MP"/>
    <s v="926.1"/>
    <s v="76"/>
    <s v="9.76"/>
    <s v="Y"/>
    <s v="N"/>
    <s v="DL"/>
    <s v="265"/>
    <s v="231120"/>
    <s v="ULD"/>
    <s v="EAW"/>
    <m/>
    <m/>
    <m/>
    <s v="DWC"/>
    <s v="JFK"/>
    <s v="JFK"/>
    <s v="N"/>
    <s v="B2A-5416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591"/>
    <s v="FA"/>
    <s v="05748967052003"/>
    <s v="PMC24328KL"/>
    <s v="993.2"/>
    <s v="77"/>
    <s v="9.89"/>
    <s v="Y"/>
    <s v="N"/>
    <s v="DL"/>
    <s v="265"/>
    <s v="231120"/>
    <s v="ULD"/>
    <s v="EAW"/>
    <m/>
    <m/>
    <m/>
    <s v="DWC"/>
    <s v="JFK"/>
    <s v="JFK"/>
    <s v="N"/>
    <s v="B2B-4318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591"/>
    <s v="HA"/>
    <s v="05748967052004"/>
    <s v="PMC67626AF"/>
    <s v="580.0"/>
    <s v="46"/>
    <s v="5.91"/>
    <s v="Y"/>
    <s v="N"/>
    <s v="DL"/>
    <s v="265"/>
    <s v="231120"/>
    <s v="ULD"/>
    <s v="EAW"/>
    <m/>
    <m/>
    <m/>
    <s v="DWC"/>
    <s v="JFK"/>
    <s v="JFK"/>
    <s v="N"/>
    <s v="B2B-4336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591"/>
    <s v="JA"/>
    <s v="05748967052005"/>
    <s v="PMC71011AF"/>
    <s v="980.0"/>
    <s v="77"/>
    <s v="9.89"/>
    <s v="Y"/>
    <s v="N"/>
    <s v="DL"/>
    <s v="265"/>
    <s v="231120"/>
    <s v="ULD"/>
    <s v="EAW"/>
    <m/>
    <m/>
    <m/>
    <s v="DWC"/>
    <s v="JFK"/>
    <s v="JFK"/>
    <s v="N"/>
    <s v="B2A-4613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591"/>
    <s v="LA"/>
    <s v="05748967052006"/>
    <s v="PMC71815AF"/>
    <s v="993.2"/>
    <s v="77"/>
    <s v="9.89"/>
    <s v="Y"/>
    <s v="N"/>
    <s v="DL"/>
    <s v="265"/>
    <s v="231120"/>
    <s v="ULD"/>
    <s v="EAW"/>
    <m/>
    <m/>
    <m/>
    <s v="DWC"/>
    <s v="JFK"/>
    <s v="JFK"/>
    <s v="N"/>
    <s v="B1C-2112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592"/>
    <s v="BA"/>
    <s v="05748967063001"/>
    <s v="PMC21228MP"/>
    <s v="790.0"/>
    <s v="62"/>
    <s v="7.92"/>
    <s v="Y"/>
    <s v="N"/>
    <s v="AF"/>
    <s v="334"/>
    <s v="231116"/>
    <s v="ECC"/>
    <s v="EAW"/>
    <m/>
    <m/>
    <m/>
    <s v="DWC"/>
    <s v="JFK"/>
    <s v="BOS"/>
    <s v="N"/>
    <s v="B2B-4240"/>
    <s v="ML"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92"/>
    <s v="DA"/>
    <s v="05748967063002"/>
    <s v="PMC21342MP"/>
    <s v="580.0"/>
    <s v="47"/>
    <s v="6.01"/>
    <s v="Y"/>
    <s v="N"/>
    <s v="AF"/>
    <s v="334"/>
    <s v="231116"/>
    <s v="ECC"/>
    <s v="EAW"/>
    <m/>
    <m/>
    <m/>
    <s v="DWC"/>
    <s v="JFK"/>
    <s v="BOS"/>
    <s v="N"/>
    <s v="B2A-5240"/>
    <s v="ML"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92"/>
    <s v="JA"/>
    <s v="05748967063005"/>
    <s v="PMC63446AF"/>
    <s v="943.0"/>
    <s v="72"/>
    <s v="9.20"/>
    <s v="Y"/>
    <s v="N"/>
    <s v="AF"/>
    <s v="334"/>
    <s v="231116"/>
    <s v="ECC"/>
    <s v="EAW"/>
    <m/>
    <m/>
    <m/>
    <s v="DWC"/>
    <s v="JFK"/>
    <s v="BOS"/>
    <s v="N"/>
    <s v="B2B-4137"/>
    <s v="ML"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92"/>
    <s v="LA"/>
    <s v="05748967063006"/>
    <s v="PMC65137AF"/>
    <s v="1008.0"/>
    <s v="77"/>
    <s v="9.84"/>
    <s v="Y"/>
    <s v="N"/>
    <s v="AF"/>
    <s v="334"/>
    <s v="231116"/>
    <s v="ECC"/>
    <s v="EAW"/>
    <m/>
    <m/>
    <m/>
    <s v="DWC"/>
    <s v="JFK"/>
    <s v="BOS"/>
    <s v="N"/>
    <s v="B2B-4243"/>
    <s v="ML"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92"/>
    <m/>
    <s v="05748967063007"/>
    <s v="PMC70073AF"/>
    <s v="1008.0"/>
    <s v="77"/>
    <s v="9.84"/>
    <s v="Y"/>
    <s v="N"/>
    <s v="AF"/>
    <s v="334"/>
    <s v="231116"/>
    <s v="ECC"/>
    <s v="EAW"/>
    <m/>
    <m/>
    <m/>
    <s v="DWC"/>
    <s v="JFK"/>
    <s v="BOS"/>
    <s v="N"/>
    <s v="B2B-4342"/>
    <s v="ML"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593"/>
    <s v="BA"/>
    <s v="05748969093001"/>
    <m/>
    <s v="175.6"/>
    <s v="13"/>
    <s v=".68"/>
    <s v="Y"/>
    <s v="N"/>
    <s v="AF"/>
    <s v="6730"/>
    <s v="231116"/>
    <s v="CAO"/>
    <s v="RBI"/>
    <s v="EAW"/>
    <m/>
    <m/>
    <s v="FRA"/>
    <s v="JFK"/>
    <s v="ORD"/>
    <s v="N"/>
    <s v="59104"/>
    <m/>
    <m/>
    <s v="Failed"/>
    <m/>
    <x v="20"/>
    <m/>
    <m/>
    <m/>
    <m/>
    <m/>
    <m/>
    <m/>
    <m/>
    <s v="3.1"/>
    <n v="1"/>
    <s v="Yes"/>
    <s v="Yes"/>
    <b v="0"/>
    <b v="0"/>
    <b v="0"/>
    <s v="Yes"/>
    <s v="No"/>
  </r>
  <r>
    <d v="2023-11-14T00:00:00"/>
    <x v="594"/>
    <s v="BA"/>
    <s v="05748973385001"/>
    <m/>
    <s v="119.0"/>
    <s v="1"/>
    <s v=".25"/>
    <s v="Y"/>
    <s v="N"/>
    <s v="AF"/>
    <s v="702"/>
    <s v="231117"/>
    <s v="ECC"/>
    <s v="EAP"/>
    <m/>
    <m/>
    <m/>
    <s v="MUC"/>
    <s v="ABJ"/>
    <s v="ABJ"/>
    <s v="N"/>
    <s v="58102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595"/>
    <s v="BA"/>
    <s v="05748977412001"/>
    <m/>
    <s v="166.0"/>
    <s v="1"/>
    <s v="1.52"/>
    <s v="Y"/>
    <s v="N"/>
    <s v="AF"/>
    <s v="470M"/>
    <s v="231115"/>
    <s v="HEA"/>
    <s v="EAP"/>
    <m/>
    <m/>
    <m/>
    <s v="YYZ"/>
    <s v="HEL"/>
    <s v="MMX"/>
    <s v="N"/>
    <s v="MMX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596"/>
    <s v="BA"/>
    <s v="05748977994001"/>
    <m/>
    <s v="51.6"/>
    <s v="1"/>
    <s v=".55"/>
    <s v="Y"/>
    <s v="N"/>
    <s v="AF"/>
    <s v="702"/>
    <s v="231117"/>
    <s v="ECC"/>
    <s v="EAP"/>
    <m/>
    <m/>
    <m/>
    <s v="AMS"/>
    <s v="ABJ"/>
    <s v="ABJ"/>
    <s v="N"/>
    <s v="R9303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597"/>
    <s v="BA"/>
    <s v="05748982640001"/>
    <m/>
    <s v="137.5"/>
    <s v="1"/>
    <s v="1.32"/>
    <s v="Y"/>
    <s v="N"/>
    <s v="AF"/>
    <s v="682"/>
    <s v="231116"/>
    <s v="ELI"/>
    <s v="ECC"/>
    <m/>
    <m/>
    <m/>
    <s v="PRG"/>
    <s v="ATL"/>
    <s v="ATL"/>
    <s v="N"/>
    <s v="62008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97"/>
    <s v="DA"/>
    <s v="05748982640002"/>
    <m/>
    <s v="137.5"/>
    <s v="1"/>
    <s v="1.33"/>
    <s v="Y"/>
    <s v="N"/>
    <s v="AF"/>
    <s v="682"/>
    <s v="231116"/>
    <s v="ELI"/>
    <s v="ECC"/>
    <m/>
    <m/>
    <m/>
    <s v="PRG"/>
    <s v="ATL"/>
    <s v="ATL"/>
    <s v="N"/>
    <s v="62007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98"/>
    <s v="BA"/>
    <s v="05748983572001"/>
    <m/>
    <s v="139.0"/>
    <s v="1"/>
    <s v="2.08"/>
    <s v="Y"/>
    <s v="N"/>
    <s v="AF"/>
    <s v="6724"/>
    <s v="231116"/>
    <s v="ELM"/>
    <m/>
    <m/>
    <m/>
    <m/>
    <s v="BRU"/>
    <s v="NRT"/>
    <s v="NRT"/>
    <s v="N"/>
    <s v="HLC113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98"/>
    <s v="DA"/>
    <s v="05748983572002"/>
    <s v="PMC76321AF"/>
    <s v="278.0"/>
    <s v="2"/>
    <s v="4.16"/>
    <s v="Y"/>
    <s v="N"/>
    <s v="AF"/>
    <s v="6724"/>
    <s v="231116"/>
    <s v="ELM"/>
    <m/>
    <m/>
    <m/>
    <m/>
    <s v="BRU"/>
    <s v="NRT"/>
    <s v="NRT"/>
    <s v="N"/>
    <s v="B1C-2238"/>
    <s v="MJ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99"/>
    <s v="BA"/>
    <s v="05748989345001"/>
    <m/>
    <s v="73.2"/>
    <s v="7"/>
    <s v=".36"/>
    <s v="Y"/>
    <s v="N"/>
    <s v="AF"/>
    <s v="412"/>
    <s v="231115"/>
    <s v="ELI"/>
    <s v="ECP"/>
    <s v="EAP"/>
    <m/>
    <m/>
    <s v="HKG"/>
    <s v="EZE"/>
    <s v="EZE"/>
    <s v="N"/>
    <s v="ECV00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599"/>
    <s v="DA"/>
    <s v="05748989345002"/>
    <m/>
    <s v="198.8"/>
    <s v="19"/>
    <s v=".96"/>
    <s v="Y"/>
    <s v="N"/>
    <s v="AF"/>
    <s v="412"/>
    <s v="231115"/>
    <s v="ECP"/>
    <s v="EAP"/>
    <m/>
    <m/>
    <m/>
    <s v="HKG"/>
    <s v="EZE"/>
    <s v="EZE"/>
    <s v="N"/>
    <s v="ECV00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00"/>
    <s v="BA"/>
    <s v="05749017743001"/>
    <m/>
    <s v="114.2"/>
    <s v="1"/>
    <s v=".31"/>
    <s v="Y"/>
    <s v="N"/>
    <s v="DL"/>
    <s v="085"/>
    <s v="231117"/>
    <s v="ECC"/>
    <s v="EAW"/>
    <m/>
    <m/>
    <m/>
    <s v="SXB"/>
    <s v="ATL"/>
    <s v="ATL"/>
    <s v="N"/>
    <s v="N3401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00"/>
    <s v="DA"/>
    <s v="05749017743002"/>
    <m/>
    <s v="228.5"/>
    <s v="2"/>
    <s v=".63"/>
    <s v="Y"/>
    <s v="N"/>
    <s v="DL"/>
    <s v="085"/>
    <s v="231117"/>
    <s v="ECC"/>
    <s v="EAW"/>
    <m/>
    <m/>
    <m/>
    <s v="SXB"/>
    <s v="ATL"/>
    <s v="ATL"/>
    <s v="N"/>
    <s v="N3301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00"/>
    <s v="FA"/>
    <s v="05749017743003"/>
    <m/>
    <s v="114.3"/>
    <s v="1"/>
    <s v=".31"/>
    <s v="Y"/>
    <s v="N"/>
    <s v="DL"/>
    <s v="085"/>
    <s v="231117"/>
    <s v="ECC"/>
    <s v="EAW"/>
    <m/>
    <m/>
    <m/>
    <s v="SXB"/>
    <s v="ATL"/>
    <s v="ATL"/>
    <s v="N"/>
    <s v="M3401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01"/>
    <s v="BA"/>
    <s v="05749018502001"/>
    <m/>
    <s v="219.0"/>
    <s v="1"/>
    <s v=".32"/>
    <s v="Y"/>
    <s v="N"/>
    <s v="AF"/>
    <s v="6732"/>
    <s v="231115"/>
    <s v="ECC"/>
    <s v="HEA"/>
    <s v="EAP"/>
    <m/>
    <m/>
    <s v="DEL"/>
    <s v="MCI"/>
    <s v="ORD"/>
    <s v="N"/>
    <s v="LLC6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02"/>
    <s v="BA"/>
    <s v="05749023306001"/>
    <s v="PMC3848AF"/>
    <s v="242.4"/>
    <s v="8"/>
    <s v="1.10"/>
    <s v="Y"/>
    <s v="N"/>
    <s v="AF"/>
    <s v="148"/>
    <s v="231120"/>
    <s v="ELI"/>
    <m/>
    <m/>
    <m/>
    <m/>
    <s v="ORD"/>
    <s v="LOS"/>
    <s v="LOS"/>
    <s v="N"/>
    <s v="B2A-4644"/>
    <s v="ML"/>
    <m/>
    <s v="Failed"/>
    <m/>
    <x v="6"/>
    <m/>
    <m/>
    <m/>
    <m/>
    <m/>
    <m/>
    <m/>
    <m/>
    <s v="3.1"/>
    <n v="0.5"/>
    <b v="0"/>
    <b v="0"/>
    <b v="0"/>
    <b v="0"/>
    <b v="0"/>
    <s v="No"/>
    <s v="Yes"/>
  </r>
  <r>
    <d v="2023-11-14T00:00:00"/>
    <x v="602"/>
    <s v="DA"/>
    <s v="05749023306002"/>
    <s v="PMC3848AF"/>
    <s v="757.6"/>
    <s v="25"/>
    <s v="3.43"/>
    <s v="Y"/>
    <s v="N"/>
    <s v="AF"/>
    <s v="148"/>
    <s v="231120"/>
    <s v="ECC"/>
    <m/>
    <m/>
    <m/>
    <m/>
    <s v="ORD"/>
    <s v="LOS"/>
    <s v="LOS"/>
    <s v="N"/>
    <s v="B2A-4644"/>
    <s v="ML"/>
    <m/>
    <s v="Failed"/>
    <m/>
    <x v="6"/>
    <m/>
    <m/>
    <m/>
    <m/>
    <m/>
    <m/>
    <m/>
    <m/>
    <s v="3.1"/>
    <n v="0.5"/>
    <b v="0"/>
    <b v="0"/>
    <b v="0"/>
    <b v="0"/>
    <b v="0"/>
    <s v="No"/>
    <s v="Yes"/>
  </r>
  <r>
    <d v="2023-11-14T00:00:00"/>
    <x v="603"/>
    <s v="BA"/>
    <s v="05749023590001"/>
    <m/>
    <s v="648.7"/>
    <s v="1"/>
    <s v="1.82"/>
    <s v="Y"/>
    <s v="N"/>
    <s v="AF"/>
    <s v="6730"/>
    <s v="231116"/>
    <s v="ECC"/>
    <s v="HEA"/>
    <s v="EAP"/>
    <m/>
    <m/>
    <s v="BLR"/>
    <s v="ORD"/>
    <s v="ORD"/>
    <s v="N"/>
    <s v="63010"/>
    <m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603"/>
    <s v="FA"/>
    <s v="05749023590003"/>
    <m/>
    <s v="648.8"/>
    <s v="1"/>
    <s v="1.82"/>
    <s v="Y"/>
    <s v="N"/>
    <s v="AF"/>
    <s v="6730"/>
    <s v="231116"/>
    <s v="ECC"/>
    <s v="HEA"/>
    <s v="EAP"/>
    <m/>
    <m/>
    <s v="BLR"/>
    <s v="ORD"/>
    <s v="ORD"/>
    <s v="N"/>
    <s v="63005"/>
    <m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603"/>
    <s v="HA"/>
    <s v="05749023590004"/>
    <m/>
    <s v="648.8"/>
    <s v="1"/>
    <s v="1.82"/>
    <s v="Y"/>
    <s v="N"/>
    <s v="AF"/>
    <s v="6730"/>
    <s v="231116"/>
    <s v="ECC"/>
    <s v="HEA"/>
    <s v="EAP"/>
    <m/>
    <m/>
    <s v="BLR"/>
    <s v="ORD"/>
    <s v="ORD"/>
    <s v="N"/>
    <s v="58003"/>
    <m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603"/>
    <s v="JA"/>
    <s v="05749023590005"/>
    <m/>
    <s v="648.8"/>
    <s v="1"/>
    <s v="1.82"/>
    <s v="Y"/>
    <s v="N"/>
    <s v="AF"/>
    <s v="6730"/>
    <s v="231116"/>
    <s v="ECC"/>
    <s v="HEA"/>
    <s v="EAP"/>
    <m/>
    <m/>
    <s v="BLR"/>
    <s v="ORD"/>
    <s v="ORD"/>
    <s v="N"/>
    <s v="58006"/>
    <m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604"/>
    <s v="BA"/>
    <s v="05749023612001"/>
    <m/>
    <s v="164.0"/>
    <s v="6"/>
    <s v=".71"/>
    <s v="Y"/>
    <s v="N"/>
    <s v="AF"/>
    <s v="188M"/>
    <s v="231115"/>
    <s v="ECC"/>
    <s v="EAP"/>
    <m/>
    <m/>
    <m/>
    <s v="BLR"/>
    <s v="MLH"/>
    <s v="MLH"/>
    <s v="N"/>
    <s v="18005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05"/>
    <s v="BA"/>
    <s v="05749023634001"/>
    <m/>
    <s v="80.6"/>
    <s v="4"/>
    <s v=".50"/>
    <s v="Y"/>
    <s v="N"/>
    <s v="AF"/>
    <s v="132"/>
    <s v="231117"/>
    <s v="ECC"/>
    <s v="EAP"/>
    <m/>
    <m/>
    <m/>
    <s v="BLR"/>
    <s v="DFW"/>
    <s v="DFW"/>
    <s v="N"/>
    <s v="HLC102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605"/>
    <s v="DA"/>
    <s v="05749023634002"/>
    <m/>
    <s v="181.4"/>
    <s v="9"/>
    <s v="1.11"/>
    <s v="Y"/>
    <s v="N"/>
    <s v="AF"/>
    <s v="132"/>
    <s v="231117"/>
    <s v="ECC"/>
    <s v="EAP"/>
    <m/>
    <m/>
    <m/>
    <s v="BLR"/>
    <s v="DFW"/>
    <s v="DFW"/>
    <s v="N"/>
    <s v="HLC105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606"/>
    <s v="BA"/>
    <s v="05749023645001"/>
    <m/>
    <s v="199.0"/>
    <s v="17"/>
    <s v="1.56"/>
    <s v="Y"/>
    <s v="N"/>
    <s v="AF"/>
    <s v="012"/>
    <s v="231116"/>
    <s v="ECC"/>
    <s v="EAP"/>
    <m/>
    <m/>
    <m/>
    <s v="BLR"/>
    <s v="JFK"/>
    <s v="JFK"/>
    <s v="N"/>
    <s v="520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07"/>
    <s v="BA"/>
    <s v="05749026434001"/>
    <m/>
    <s v="129.0"/>
    <s v="1"/>
    <s v=".93"/>
    <s v="Y"/>
    <s v="N"/>
    <s v="AF"/>
    <s v="066"/>
    <s v="231117"/>
    <s v="NCC"/>
    <s v="EAP"/>
    <m/>
    <m/>
    <m/>
    <s v="NBO"/>
    <s v="LAX"/>
    <s v="LAX"/>
    <s v="N"/>
    <s v="M5301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607"/>
    <s v="FA"/>
    <s v="05749026434003"/>
    <m/>
    <s v="129.0"/>
    <s v="1"/>
    <s v=".94"/>
    <s v="Y"/>
    <s v="N"/>
    <s v="AF"/>
    <s v="066"/>
    <s v="231117"/>
    <s v="NCC"/>
    <s v="EAP"/>
    <m/>
    <m/>
    <m/>
    <s v="NBO"/>
    <s v="LAX"/>
    <s v="LAX"/>
    <s v="N"/>
    <s v="N2104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608"/>
    <s v="BA"/>
    <s v="05749040611001"/>
    <m/>
    <s v="302.9"/>
    <s v="20"/>
    <s v="1.39"/>
    <s v="Y"/>
    <s v="N"/>
    <s v="DL"/>
    <s v="221"/>
    <s v="231116"/>
    <m/>
    <m/>
    <m/>
    <m/>
    <m/>
    <s v="MAA"/>
    <s v="SLC"/>
    <s v="SLC"/>
    <s v="N"/>
    <s v="55106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608"/>
    <s v="DA"/>
    <s v="05749040611002"/>
    <m/>
    <s v="181.7"/>
    <s v="12"/>
    <s v=".83"/>
    <s v="Y"/>
    <s v="N"/>
    <s v="DL"/>
    <s v="221"/>
    <s v="231116"/>
    <m/>
    <m/>
    <m/>
    <m/>
    <m/>
    <s v="MAA"/>
    <s v="SLC"/>
    <s v="SLC"/>
    <s v="N"/>
    <s v="55104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608"/>
    <s v="FA"/>
    <s v="05749040611003"/>
    <m/>
    <s v="302.9"/>
    <s v="20"/>
    <s v="1.39"/>
    <s v="Y"/>
    <s v="N"/>
    <s v="DL"/>
    <s v="221"/>
    <s v="231116"/>
    <m/>
    <m/>
    <m/>
    <m/>
    <m/>
    <s v="MAA"/>
    <s v="SLC"/>
    <s v="SLC"/>
    <s v="N"/>
    <s v="58304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608"/>
    <s v="HA"/>
    <s v="05749040611004"/>
    <m/>
    <s v="378.6"/>
    <s v="25"/>
    <s v="1.73"/>
    <s v="Y"/>
    <s v="N"/>
    <s v="DL"/>
    <s v="221"/>
    <s v="231116"/>
    <m/>
    <m/>
    <m/>
    <m/>
    <m/>
    <s v="MAA"/>
    <s v="SLC"/>
    <s v="SLC"/>
    <s v="N"/>
    <s v="58303"/>
    <m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609"/>
    <s v="BA"/>
    <s v="05749057621001"/>
    <m/>
    <s v="82.0"/>
    <s v="1"/>
    <s v=".56"/>
    <s v="Y"/>
    <s v="N"/>
    <s v="AF"/>
    <s v="454"/>
    <s v="231115"/>
    <m/>
    <m/>
    <m/>
    <m/>
    <m/>
    <s v="TLV"/>
    <s v="GRU"/>
    <s v="GRU"/>
    <s v="N"/>
    <s v="Q33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10"/>
    <s v="BA"/>
    <s v="05749057912001"/>
    <s v="PMC31061KL"/>
    <s v="1500.0"/>
    <s v="6"/>
    <s v="7.92"/>
    <s v="Y"/>
    <s v="N"/>
    <s v="AF"/>
    <s v="054"/>
    <s v="231115"/>
    <s v="ERT"/>
    <s v="PIL"/>
    <s v="ECP"/>
    <s v="HEA"/>
    <s v="ULD"/>
    <s v="BSL"/>
    <s v="IAD"/>
    <s v="IAD"/>
    <s v="N"/>
    <s v="B2C-5941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11"/>
    <s v="BA"/>
    <s v="05749057923001"/>
    <s v="RAP200673D"/>
    <s v="1003.2"/>
    <s v="1"/>
    <s v="9.90"/>
    <s v="Y"/>
    <s v="Y"/>
    <s v="AF"/>
    <s v="356"/>
    <s v="231115"/>
    <s v="ACE"/>
    <s v="PIL"/>
    <s v="ECC"/>
    <s v="HEA"/>
    <s v="BUP"/>
    <s v="BSL"/>
    <s v="YYZ"/>
    <s v="YYZ"/>
    <s v="N"/>
    <s v="ACE-2056"/>
    <s v="AL"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612"/>
    <s v="BA"/>
    <s v="05749057945001"/>
    <m/>
    <s v="85.9"/>
    <s v="1"/>
    <s v=".82"/>
    <s v="Y"/>
    <s v="N"/>
    <s v="AF"/>
    <s v="474"/>
    <s v="231115"/>
    <s v="ERT"/>
    <s v="PIL"/>
    <s v="ECP"/>
    <m/>
    <m/>
    <s v="BSL"/>
    <s v="PTY"/>
    <s v="PTY"/>
    <s v="N"/>
    <s v="65104"/>
    <m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612"/>
    <s v="DA"/>
    <s v="05749057945002"/>
    <m/>
    <s v="86.0"/>
    <s v="1"/>
    <s v=".82"/>
    <s v="Y"/>
    <s v="N"/>
    <s v="AF"/>
    <s v="474"/>
    <s v="231115"/>
    <s v="ERT"/>
    <s v="PIL"/>
    <s v="ECP"/>
    <m/>
    <m/>
    <s v="BSL"/>
    <s v="PTY"/>
    <s v="PTY"/>
    <s v="N"/>
    <s v="65305"/>
    <m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612"/>
    <s v="FA"/>
    <s v="05749057945003"/>
    <m/>
    <s v="86.0"/>
    <s v="1"/>
    <s v=".82"/>
    <s v="Y"/>
    <s v="N"/>
    <s v="AF"/>
    <s v="474"/>
    <s v="231115"/>
    <s v="ERT"/>
    <s v="PIL"/>
    <s v="ECP"/>
    <m/>
    <m/>
    <s v="BSL"/>
    <s v="PTY"/>
    <s v="PTY"/>
    <s v="N"/>
    <s v="65306"/>
    <m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612"/>
    <s v="HA"/>
    <s v="05749057945004"/>
    <m/>
    <s v="86.0"/>
    <s v="1"/>
    <s v=".82"/>
    <s v="Y"/>
    <s v="N"/>
    <s v="AF"/>
    <s v="474"/>
    <s v="231115"/>
    <s v="ERT"/>
    <s v="PIL"/>
    <s v="ECP"/>
    <m/>
    <m/>
    <s v="BSL"/>
    <s v="PTY"/>
    <s v="PTY"/>
    <s v="N"/>
    <s v="65304"/>
    <m/>
    <m/>
    <s v="Passed"/>
    <m/>
    <x v="5"/>
    <m/>
    <m/>
    <m/>
    <m/>
    <m/>
    <m/>
    <m/>
    <m/>
    <s v="3.1"/>
    <n v="0.25"/>
    <b v="0"/>
    <b v="0"/>
    <b v="0"/>
    <b v="0"/>
    <b v="0"/>
    <s v="No"/>
    <s v="No"/>
  </r>
  <r>
    <d v="2023-11-14T00:00:00"/>
    <x v="613"/>
    <s v="BA"/>
    <s v="05749057971001"/>
    <m/>
    <s v="34.4"/>
    <s v="1"/>
    <s v=".47"/>
    <s v="Y"/>
    <s v="N"/>
    <s v="AF"/>
    <s v="474"/>
    <s v="231115"/>
    <s v="ERT"/>
    <s v="PIL"/>
    <s v="ECP"/>
    <m/>
    <m/>
    <s v="BSL"/>
    <s v="PTY"/>
    <s v="PTY"/>
    <s v="N"/>
    <s v="69404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613"/>
    <s v="DA"/>
    <s v="05749057971002"/>
    <m/>
    <s v="34.5"/>
    <s v="1"/>
    <s v=".47"/>
    <s v="Y"/>
    <s v="N"/>
    <s v="AF"/>
    <s v="474"/>
    <s v="231115"/>
    <s v="ERT"/>
    <s v="PIL"/>
    <s v="ECP"/>
    <m/>
    <m/>
    <s v="BSL"/>
    <s v="PTY"/>
    <s v="PTY"/>
    <s v="N"/>
    <s v="70401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614"/>
    <s v="BA"/>
    <s v="05749060642001"/>
    <m/>
    <s v="220.0"/>
    <s v="1"/>
    <s v=".48"/>
    <s v="Y"/>
    <s v="N"/>
    <s v="AF"/>
    <s v="6762"/>
    <s v="231115"/>
    <s v="HEA"/>
    <m/>
    <m/>
    <m/>
    <m/>
    <s v="ABZ"/>
    <s v="IST"/>
    <s v="IST"/>
    <s v="N"/>
    <s v="58308"/>
    <m/>
    <m/>
    <s v="Failed"/>
    <m/>
    <x v="32"/>
    <m/>
    <m/>
    <m/>
    <m/>
    <m/>
    <m/>
    <m/>
    <m/>
    <s v="3.1"/>
    <n v="1"/>
    <b v="0"/>
    <b v="0"/>
    <b v="0"/>
    <b v="0"/>
    <b v="0"/>
    <s v="No"/>
    <s v="No"/>
  </r>
  <r>
    <d v="2023-11-14T00:00:00"/>
    <x v="615"/>
    <s v="BA"/>
    <s v="05749061563001"/>
    <s v="PMC33051KL"/>
    <s v="618.6"/>
    <s v="5"/>
    <s v="9.34"/>
    <s v="Y"/>
    <s v="N"/>
    <s v="AF"/>
    <s v="460"/>
    <s v="231115"/>
    <s v="ECP"/>
    <m/>
    <m/>
    <m/>
    <m/>
    <s v="TLV"/>
    <s v="GRU"/>
    <s v="GRU"/>
    <s v="N"/>
    <s v="B2A-5222"/>
    <s v="ML"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15"/>
    <s v="DA"/>
    <s v="05749061563002"/>
    <m/>
    <s v="123.7"/>
    <s v="1"/>
    <s v="1.87"/>
    <s v="Y"/>
    <s v="N"/>
    <s v="AF"/>
    <s v="460"/>
    <s v="231115"/>
    <s v="ECP"/>
    <m/>
    <m/>
    <m/>
    <m/>
    <s v="TLV"/>
    <s v="GRU"/>
    <s v="GRU"/>
    <s v="N"/>
    <s v="Q4304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15"/>
    <s v="FA"/>
    <s v="05749061563003"/>
    <m/>
    <s v="123.7"/>
    <s v="1"/>
    <s v="1.87"/>
    <s v="Y"/>
    <s v="N"/>
    <s v="AF"/>
    <s v="460"/>
    <s v="231115"/>
    <s v="ECP"/>
    <m/>
    <m/>
    <m/>
    <m/>
    <s v="TLV"/>
    <s v="GRU"/>
    <s v="GRU"/>
    <s v="N"/>
    <s v="Q5002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16"/>
    <s v="BA"/>
    <s v="05749062182001"/>
    <m/>
    <s v="108.0"/>
    <s v="1"/>
    <s v=".48"/>
    <s v="Y"/>
    <s v="N"/>
    <s v="AF"/>
    <s v="148"/>
    <s v="231116"/>
    <s v="ECP"/>
    <s v="EAP"/>
    <m/>
    <m/>
    <m/>
    <s v="TLV"/>
    <s v="LOS"/>
    <s v="LOS"/>
    <s v="N"/>
    <s v="R3401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617"/>
    <s v="BA"/>
    <s v="05749062311001"/>
    <s v="PMC24110KL"/>
    <s v="1660.0"/>
    <s v="5"/>
    <s v="9.38"/>
    <s v="Y"/>
    <s v="N"/>
    <s v="AF"/>
    <s v="6730"/>
    <s v="231116"/>
    <s v="CRT"/>
    <s v="PIL"/>
    <s v="ECC"/>
    <s v="HEA"/>
    <s v="EAP"/>
    <s v="BLR"/>
    <s v="ORD"/>
    <s v="ORD"/>
    <s v="N"/>
    <s v="ACT-8116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18"/>
    <s v="BA"/>
    <s v="05749071470001"/>
    <m/>
    <s v="31.0"/>
    <s v="1"/>
    <s v=".17"/>
    <s v="Y"/>
    <s v="N"/>
    <s v="AF"/>
    <s v="174"/>
    <s v="231115"/>
    <s v="ECC"/>
    <s v="EAP"/>
    <m/>
    <m/>
    <m/>
    <s v="SOF"/>
    <s v="MEX"/>
    <s v="MEX"/>
    <s v="N"/>
    <s v="N7401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619"/>
    <s v="BA"/>
    <s v="05749071492001"/>
    <m/>
    <s v="210.0"/>
    <s v="1"/>
    <s v=".92"/>
    <s v="Y"/>
    <s v="N"/>
    <s v="AF"/>
    <s v="702M"/>
    <s v="231115"/>
    <s v="ECC"/>
    <s v="HEA"/>
    <s v="EAP"/>
    <m/>
    <m/>
    <s v="SOF"/>
    <s v="RUN"/>
    <s v="ORY"/>
    <s v="N"/>
    <s v="ORY00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620"/>
    <s v="BA"/>
    <s v="05749072726001"/>
    <m/>
    <s v="142.0"/>
    <s v="1"/>
    <s v=".53"/>
    <s v="Y"/>
    <s v="N"/>
    <s v="AF"/>
    <s v="816"/>
    <s v="231115"/>
    <m/>
    <m/>
    <m/>
    <m/>
    <m/>
    <s v="TLV"/>
    <s v="HAV"/>
    <s v="HAV"/>
    <s v="N"/>
    <s v="R2104"/>
    <m/>
    <m/>
    <s v="Failed"/>
    <m/>
    <x v="33"/>
    <m/>
    <m/>
    <m/>
    <m/>
    <m/>
    <m/>
    <m/>
    <m/>
    <s v="3.1"/>
    <n v="1"/>
    <b v="0"/>
    <b v="0"/>
    <b v="0"/>
    <b v="0"/>
    <b v="0"/>
    <s v="No"/>
    <s v="No"/>
  </r>
  <r>
    <d v="2023-11-14T00:00:00"/>
    <x v="621"/>
    <s v="BA"/>
    <s v="05749072870001"/>
    <m/>
    <s v="88.0"/>
    <s v="3"/>
    <s v=".92"/>
    <s v="Y"/>
    <s v="N"/>
    <s v="AF"/>
    <s v="090"/>
    <s v="231115"/>
    <s v="ECC"/>
    <s v="EAP"/>
    <m/>
    <m/>
    <m/>
    <s v="SOF"/>
    <s v="SAL"/>
    <s v="MIA"/>
    <s v="N"/>
    <s v="HLC012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622"/>
    <s v="BA"/>
    <s v="05749072881001"/>
    <m/>
    <s v="520.0"/>
    <s v="1"/>
    <s v="1.31"/>
    <s v="Y"/>
    <s v="N"/>
    <s v="AF"/>
    <s v="108"/>
    <s v="231115"/>
    <s v="ECP"/>
    <s v="HEA"/>
    <s v="EAP"/>
    <m/>
    <m/>
    <s v="SOF"/>
    <s v="MAA"/>
    <s v="MAA"/>
    <s v="N"/>
    <s v="50102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22"/>
    <s v="DA"/>
    <s v="05749072881002"/>
    <m/>
    <s v="520.0"/>
    <s v="1"/>
    <s v="1.32"/>
    <s v="Y"/>
    <s v="N"/>
    <s v="AF"/>
    <s v="108"/>
    <s v="231115"/>
    <s v="ECP"/>
    <s v="HEA"/>
    <s v="EAP"/>
    <m/>
    <m/>
    <s v="SOF"/>
    <s v="MAA"/>
    <s v="MAA"/>
    <s v="N"/>
    <s v="50008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23"/>
    <s v="BA"/>
    <s v="05749072892001"/>
    <m/>
    <s v="360.0"/>
    <s v="1"/>
    <s v="2.24"/>
    <s v="Y"/>
    <s v="N"/>
    <s v="AF"/>
    <s v="6734"/>
    <s v="231117"/>
    <s v="ECC"/>
    <s v="HEA"/>
    <s v="OHG"/>
    <s v="EAP"/>
    <m/>
    <s v="SOF"/>
    <s v="ORD"/>
    <s v="ORD"/>
    <s v="N"/>
    <s v="XLC30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624"/>
    <s v="BA"/>
    <s v="05749072914001"/>
    <m/>
    <s v="291.5"/>
    <s v="1"/>
    <s v="1.18"/>
    <s v="Y"/>
    <s v="N"/>
    <s v="AF"/>
    <s v="084"/>
    <s v="231116"/>
    <s v="NCC"/>
    <s v="ECC"/>
    <s v="HEA"/>
    <s v="EAP"/>
    <m/>
    <s v="SOF"/>
    <s v="SFO"/>
    <s v="SFO"/>
    <s v="N"/>
    <s v="M5003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24"/>
    <s v="DA"/>
    <s v="05749072914002"/>
    <m/>
    <s v="291.5"/>
    <s v="1"/>
    <s v="1.19"/>
    <s v="Y"/>
    <s v="N"/>
    <s v="AF"/>
    <s v="084"/>
    <s v="231116"/>
    <s v="NCC"/>
    <s v="ECC"/>
    <s v="HEA"/>
    <s v="EAP"/>
    <m/>
    <s v="SOF"/>
    <s v="SFO"/>
    <s v="SFO"/>
    <s v="N"/>
    <s v="M3303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25"/>
    <s v="BA"/>
    <s v="05749072925001"/>
    <m/>
    <s v="75.0"/>
    <s v="4"/>
    <s v=".18"/>
    <s v="Y"/>
    <s v="N"/>
    <s v="DL"/>
    <s v="097"/>
    <s v="231115"/>
    <s v="ECC"/>
    <s v="EAP"/>
    <m/>
    <m/>
    <m/>
    <s v="SOF"/>
    <s v="ORD"/>
    <s v="DTW"/>
    <s v="N"/>
    <s v="M2401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626"/>
    <s v="BA"/>
    <s v="05749072936001"/>
    <m/>
    <s v="261.0"/>
    <s v="1"/>
    <s v="1.63"/>
    <s v="Y"/>
    <s v="N"/>
    <s v="AF"/>
    <s v="890"/>
    <s v="231117"/>
    <s v="ECC"/>
    <s v="HEA"/>
    <s v="EAP"/>
    <m/>
    <m/>
    <s v="SOF"/>
    <s v="JNB"/>
    <s v="CPT"/>
    <s v="N"/>
    <s v="49005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27"/>
    <s v="BA"/>
    <s v="05749078072001"/>
    <m/>
    <s v="100.0"/>
    <s v="1"/>
    <s v=".40"/>
    <s v="Y"/>
    <s v="N"/>
    <s v="AF"/>
    <s v="890"/>
    <s v="231117"/>
    <m/>
    <m/>
    <m/>
    <m/>
    <m/>
    <s v="TLV"/>
    <s v="CPT"/>
    <s v="CPT"/>
    <s v="N"/>
    <s v="66006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27"/>
    <s v="DA"/>
    <s v="05749078072002"/>
    <m/>
    <s v="80.0"/>
    <s v="1"/>
    <s v=".32"/>
    <s v="Y"/>
    <s v="N"/>
    <s v="AF"/>
    <s v="890"/>
    <s v="231117"/>
    <m/>
    <m/>
    <m/>
    <m/>
    <m/>
    <s v="TLV"/>
    <s v="CPT"/>
    <s v="CPT"/>
    <s v="N"/>
    <s v="53101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28"/>
    <s v="BA"/>
    <s v="05749082703001"/>
    <s v="PMC93936DL"/>
    <s v="227.8"/>
    <s v="6"/>
    <s v="6.10"/>
    <s v="Y"/>
    <s v="N"/>
    <s v="AF"/>
    <s v="066"/>
    <s v="231115"/>
    <s v="ECC"/>
    <s v="EAW"/>
    <m/>
    <m/>
    <m/>
    <s v="FRA"/>
    <s v="LAX"/>
    <s v="LAX"/>
    <s v="N"/>
    <s v="T13-PN15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29"/>
    <s v="BA"/>
    <s v="05749083274001"/>
    <m/>
    <s v="100.0"/>
    <s v="5"/>
    <s v=".99"/>
    <s v="Y"/>
    <s v="N"/>
    <s v="AF"/>
    <s v="460"/>
    <s v="231115"/>
    <s v="EAW"/>
    <m/>
    <m/>
    <m/>
    <m/>
    <s v="TLV"/>
    <s v="GRU"/>
    <s v="GRU"/>
    <s v="N"/>
    <s v="71202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29"/>
    <s v="DA"/>
    <s v="05749083274002"/>
    <m/>
    <s v="40.0"/>
    <s v="5"/>
    <s v=".40"/>
    <s v="Y"/>
    <s v="N"/>
    <s v="AF"/>
    <s v="460"/>
    <s v="231115"/>
    <s v="EAW"/>
    <m/>
    <m/>
    <m/>
    <m/>
    <s v="TLV"/>
    <s v="GRU"/>
    <s v="GRU"/>
    <s v="N"/>
    <s v="74201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30"/>
    <s v="BA"/>
    <s v="05749083285001"/>
    <m/>
    <s v="2.0"/>
    <s v="1"/>
    <s v=".01"/>
    <s v="Y"/>
    <s v="N"/>
    <s v="AF"/>
    <s v="474"/>
    <s v="231116"/>
    <m/>
    <m/>
    <m/>
    <m/>
    <m/>
    <s v="TLV"/>
    <s v="PTY"/>
    <s v="PTY"/>
    <s v="N"/>
    <s v="S7000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631"/>
    <s v="BA"/>
    <s v="05749083300001"/>
    <m/>
    <s v="414.0"/>
    <s v="5"/>
    <s v="3.74"/>
    <s v="Y"/>
    <s v="N"/>
    <s v="AF"/>
    <s v="356"/>
    <s v="231116"/>
    <s v="NCC"/>
    <m/>
    <m/>
    <m/>
    <m/>
    <s v="TLV"/>
    <s v="YYZ"/>
    <s v="YYZ"/>
    <s v="N"/>
    <s v="LO400"/>
    <m/>
    <m/>
    <s v="Failed"/>
    <m/>
    <x v="33"/>
    <m/>
    <m/>
    <m/>
    <m/>
    <m/>
    <m/>
    <m/>
    <m/>
    <s v="3.1"/>
    <n v="1"/>
    <b v="0"/>
    <b v="0"/>
    <b v="0"/>
    <b v="0"/>
    <b v="0"/>
    <s v="No"/>
    <s v="No"/>
  </r>
  <r>
    <d v="2023-11-14T00:00:00"/>
    <x v="632"/>
    <s v="BA"/>
    <s v="05749085783001"/>
    <m/>
    <s v="94.6"/>
    <s v="6"/>
    <s v=".59"/>
    <s v="Y"/>
    <s v="N"/>
    <s v="AF"/>
    <s v="344"/>
    <s v="231117"/>
    <m/>
    <m/>
    <m/>
    <m/>
    <m/>
    <s v="IST"/>
    <s v="YUL"/>
    <s v="YUL"/>
    <s v="N"/>
    <s v="P7103"/>
    <m/>
    <m/>
    <s v="Failed"/>
    <m/>
    <x v="3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32"/>
    <s v="DA"/>
    <s v="05749085783002"/>
    <m/>
    <s v="236.5"/>
    <s v="15"/>
    <s v="1.48"/>
    <s v="Y"/>
    <s v="N"/>
    <s v="AF"/>
    <s v="344"/>
    <s v="231117"/>
    <m/>
    <m/>
    <m/>
    <m/>
    <m/>
    <s v="IST"/>
    <s v="YUL"/>
    <s v="YUL"/>
    <s v="N"/>
    <s v="51002"/>
    <m/>
    <m/>
    <s v="Failed"/>
    <m/>
    <x v="3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32"/>
    <s v="FA"/>
    <s v="05749085783003"/>
    <m/>
    <s v="78.8"/>
    <s v="5"/>
    <s v=".49"/>
    <s v="Y"/>
    <s v="N"/>
    <s v="AF"/>
    <s v="344"/>
    <s v="231117"/>
    <m/>
    <m/>
    <m/>
    <m/>
    <m/>
    <s v="IST"/>
    <s v="YUL"/>
    <s v="YUL"/>
    <s v="N"/>
    <s v="P7102"/>
    <m/>
    <m/>
    <s v="Failed"/>
    <m/>
    <x v="3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33"/>
    <s v="BA"/>
    <s v="05749086030001"/>
    <m/>
    <s v="250.0"/>
    <s v="1"/>
    <s v="1.52"/>
    <s v="Y"/>
    <s v="N"/>
    <s v="AF"/>
    <s v="682"/>
    <s v="231115"/>
    <s v="HEA"/>
    <m/>
    <m/>
    <m/>
    <m/>
    <s v="IST"/>
    <s v="ATL"/>
    <s v="ATL"/>
    <s v="N"/>
    <s v="LLC6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34"/>
    <s v="BA"/>
    <s v="05749086590001"/>
    <s v="PAG15800KL"/>
    <s v="1499.0"/>
    <s v="34"/>
    <s v="4.87"/>
    <s v="Y"/>
    <s v="N"/>
    <s v="AF"/>
    <s v="004"/>
    <s v="231117"/>
    <s v="ECC"/>
    <s v="EAP"/>
    <m/>
    <m/>
    <m/>
    <s v="BLR"/>
    <s v="JFK"/>
    <s v="JFK"/>
    <s v="N"/>
    <s v="B1A-3438"/>
    <s v="AL"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634"/>
    <s v="DA"/>
    <s v="05749086590002"/>
    <m/>
    <s v="283.1"/>
    <s v="15"/>
    <s v="2.15"/>
    <s v="Y"/>
    <s v="N"/>
    <s v="AF"/>
    <s v="004"/>
    <s v="231117"/>
    <s v="ECC"/>
    <s v="EAP"/>
    <m/>
    <m/>
    <m/>
    <s v="BLR"/>
    <s v="JFK"/>
    <s v="JFK"/>
    <s v="N"/>
    <s v="N8101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634"/>
    <s v="FA"/>
    <s v="05749086590003"/>
    <m/>
    <s v="134.3"/>
    <s v="8"/>
    <s v="1.14"/>
    <s v="Y"/>
    <s v="N"/>
    <s v="AF"/>
    <s v="004"/>
    <s v="231117"/>
    <s v="ECC"/>
    <s v="EAP"/>
    <m/>
    <m/>
    <m/>
    <s v="BLR"/>
    <s v="JFK"/>
    <s v="JFK"/>
    <s v="N"/>
    <s v="M4401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634"/>
    <s v="HA"/>
    <s v="05749086590004"/>
    <m/>
    <s v="251.7"/>
    <s v="15"/>
    <s v="2.15"/>
    <s v="Y"/>
    <s v="N"/>
    <s v="AF"/>
    <s v="004"/>
    <s v="231117"/>
    <s v="ECC"/>
    <s v="EAP"/>
    <m/>
    <m/>
    <m/>
    <s v="BLR"/>
    <s v="JFK"/>
    <s v="JFK"/>
    <s v="N"/>
    <s v="M2303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634"/>
    <s v="JA"/>
    <s v="05749086590005"/>
    <m/>
    <s v="18.9"/>
    <s v="1"/>
    <s v=".14"/>
    <s v="Y"/>
    <s v="N"/>
    <s v="AF"/>
    <s v="004"/>
    <s v="231117"/>
    <s v="ECC"/>
    <s v="EAP"/>
    <m/>
    <m/>
    <m/>
    <s v="BLR"/>
    <s v="JFK"/>
    <s v="JFK"/>
    <s v="N"/>
    <s v="53007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634"/>
    <s v="LA"/>
    <s v="05749086590006"/>
    <m/>
    <s v="18.9"/>
    <s v="1"/>
    <s v=".14"/>
    <s v="Y"/>
    <s v="N"/>
    <s v="AF"/>
    <s v="004"/>
    <s v="231117"/>
    <s v="ECC"/>
    <s v="EAP"/>
    <m/>
    <m/>
    <m/>
    <s v="BLR"/>
    <s v="JFK"/>
    <s v="JFK"/>
    <s v="N"/>
    <s v="54304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634"/>
    <m/>
    <s v="05749086590007"/>
    <m/>
    <s v="283.1"/>
    <s v="15"/>
    <s v="2.15"/>
    <s v="Y"/>
    <s v="N"/>
    <s v="AF"/>
    <s v="004"/>
    <s v="231117"/>
    <s v="ECC"/>
    <s v="EAP"/>
    <m/>
    <m/>
    <m/>
    <s v="BLR"/>
    <s v="JFK"/>
    <s v="JFK"/>
    <s v="N"/>
    <s v="53005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634"/>
    <s v="PA"/>
    <s v="05749086590008"/>
    <m/>
    <s v="283.1"/>
    <s v="15"/>
    <s v="2.15"/>
    <s v="Y"/>
    <s v="N"/>
    <s v="AF"/>
    <s v="004"/>
    <s v="231117"/>
    <s v="ECC"/>
    <s v="EAP"/>
    <m/>
    <m/>
    <m/>
    <s v="BLR"/>
    <s v="JFK"/>
    <s v="JFK"/>
    <s v="N"/>
    <s v="N8002"/>
    <m/>
    <m/>
    <s v="Failed"/>
    <m/>
    <x v="0"/>
    <m/>
    <m/>
    <m/>
    <m/>
    <m/>
    <m/>
    <m/>
    <m/>
    <s v="3.1"/>
    <n v="0.125"/>
    <b v="0"/>
    <b v="0"/>
    <b v="0"/>
    <b v="0"/>
    <b v="0"/>
    <s v="No"/>
    <s v="No"/>
  </r>
  <r>
    <d v="2023-11-14T00:00:00"/>
    <x v="635"/>
    <s v="BA"/>
    <s v="05749091556001"/>
    <m/>
    <s v="59.0"/>
    <s v="1"/>
    <s v=".60"/>
    <s v="N"/>
    <s v="N"/>
    <s v="AF"/>
    <s v="368"/>
    <s v="231116"/>
    <s v="VUN"/>
    <s v="EAP"/>
    <m/>
    <m/>
    <m/>
    <s v="CDG"/>
    <s v="SEA"/>
    <s v="SEA"/>
    <s v="N"/>
    <s v="VN109"/>
    <m/>
    <m/>
    <s v="Failed"/>
    <m/>
    <x v="34"/>
    <m/>
    <m/>
    <m/>
    <m/>
    <m/>
    <m/>
    <m/>
    <m/>
    <s v="3.1"/>
    <n v="0.5"/>
    <b v="0"/>
    <b v="0"/>
    <b v="0"/>
    <b v="0"/>
    <b v="0"/>
    <s v="No"/>
    <s v="No"/>
  </r>
  <r>
    <d v="2023-11-14T00:00:00"/>
    <x v="635"/>
    <s v="DA"/>
    <s v="05749091556002"/>
    <m/>
    <s v="59.0"/>
    <s v="1"/>
    <s v=".60"/>
    <s v="N"/>
    <s v="N"/>
    <s v="AF"/>
    <s v="368"/>
    <s v="231116"/>
    <s v="VUN"/>
    <s v="EAP"/>
    <m/>
    <m/>
    <m/>
    <s v="CDG"/>
    <s v="SEA"/>
    <s v="SEA"/>
    <s v="N"/>
    <s v="VN110"/>
    <m/>
    <m/>
    <s v="Failed"/>
    <m/>
    <x v="34"/>
    <m/>
    <m/>
    <m/>
    <m/>
    <m/>
    <m/>
    <m/>
    <m/>
    <s v="3.1"/>
    <n v="0.5"/>
    <b v="0"/>
    <b v="0"/>
    <b v="0"/>
    <b v="0"/>
    <b v="0"/>
    <s v="No"/>
    <s v="No"/>
  </r>
  <r>
    <d v="2023-11-14T00:00:00"/>
    <x v="636"/>
    <s v="BA"/>
    <s v="05749101301001"/>
    <s v="PMC23141KL"/>
    <s v="1405.0"/>
    <s v="3"/>
    <s v="3.14"/>
    <s v="Y"/>
    <s v="N"/>
    <s v="AF"/>
    <s v="566"/>
    <s v="231117"/>
    <s v="ECP"/>
    <s v="HEA"/>
    <s v="EAW"/>
    <m/>
    <m/>
    <s v="JFK"/>
    <s v="BEY"/>
    <s v="BEY"/>
    <s v="N"/>
    <s v="B2C-6037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37"/>
    <s v="FA"/>
    <s v="05749108102003"/>
    <m/>
    <s v="373.0"/>
    <s v="2"/>
    <s v="2.34"/>
    <s v="Y"/>
    <s v="N"/>
    <s v="AF"/>
    <s v="140M"/>
    <s v="231115"/>
    <s v="PRC"/>
    <s v="ELI"/>
    <s v="VIC"/>
    <s v="HEA"/>
    <m/>
    <s v="ATH"/>
    <s v="MRS"/>
    <s v="MRS"/>
    <s v="N"/>
    <s v="MRS00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638"/>
    <s v="BA"/>
    <s v="05749112022001"/>
    <s v="PMC28497KL"/>
    <s v="1715.8"/>
    <s v="8"/>
    <s v="10.30"/>
    <s v="Y"/>
    <s v="N"/>
    <s v="AF"/>
    <s v="002"/>
    <s v="231117"/>
    <s v="ERT"/>
    <s v="PIL"/>
    <s v="ECC"/>
    <s v="HEA"/>
    <s v="NPR"/>
    <s v="BSL"/>
    <s v="JFK"/>
    <s v="JFK"/>
    <s v="N"/>
    <s v="B2D-6142"/>
    <s v="ML"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638"/>
    <s v="DA"/>
    <s v="05749112022002"/>
    <s v="PMC75905AF"/>
    <s v="1930.2"/>
    <s v="9"/>
    <s v="11.58"/>
    <s v="Y"/>
    <s v="N"/>
    <s v="AF"/>
    <s v="002"/>
    <s v="231117"/>
    <s v="ERT"/>
    <s v="PIL"/>
    <s v="ECC"/>
    <s v="HEA"/>
    <s v="NPR"/>
    <s v="BSL"/>
    <s v="JFK"/>
    <s v="JFK"/>
    <s v="N"/>
    <s v="ACT-8129"/>
    <s v="ML"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639"/>
    <s v="BA"/>
    <s v="05749114155001"/>
    <m/>
    <s v="12.0"/>
    <s v="1"/>
    <s v=".06"/>
    <s v="Y"/>
    <s v="N"/>
    <s v="AF"/>
    <s v="076"/>
    <s v="231116"/>
    <s v="RCM"/>
    <s v="RMD"/>
    <s v="ECP"/>
    <s v="XPH"/>
    <s v="EAP"/>
    <s v="TLS"/>
    <s v="PPT"/>
    <s v="PPT"/>
    <s v="N"/>
    <s v="93000"/>
    <m/>
    <m/>
    <s v="Failed"/>
    <m/>
    <x v="35"/>
    <m/>
    <m/>
    <m/>
    <m/>
    <m/>
    <m/>
    <m/>
    <m/>
    <s v="3.1"/>
    <n v="1"/>
    <s v="Yes"/>
    <b v="0"/>
    <b v="0"/>
    <b v="0"/>
    <b v="0"/>
    <s v="Yes"/>
    <s v="No"/>
  </r>
  <r>
    <d v="2023-11-14T00:00:00"/>
    <x v="640"/>
    <s v="BA"/>
    <s v="05749130491001"/>
    <m/>
    <s v="8.0"/>
    <s v="1"/>
    <s v=".04"/>
    <s v="Y"/>
    <s v="N"/>
    <s v="AF"/>
    <s v="140M"/>
    <s v="231115"/>
    <s v="RFL"/>
    <s v="ECC"/>
    <s v="EAP"/>
    <m/>
    <m/>
    <s v="DSS"/>
    <s v="MRS"/>
    <s v="MRS"/>
    <s v="N"/>
    <s v="94000"/>
    <m/>
    <m/>
    <s v="Passed"/>
    <m/>
    <x v="5"/>
    <m/>
    <m/>
    <m/>
    <m/>
    <m/>
    <m/>
    <m/>
    <m/>
    <s v="3.1"/>
    <n v="1"/>
    <s v="Yes"/>
    <b v="0"/>
    <b v="0"/>
    <b v="0"/>
    <b v="0"/>
    <s v="Yes"/>
    <s v="Yes"/>
  </r>
  <r>
    <d v="2023-11-14T00:00:00"/>
    <x v="641"/>
    <s v="BA"/>
    <s v="05749140243001"/>
    <m/>
    <s v="220.0"/>
    <s v="1"/>
    <s v="1.26"/>
    <s v="Y"/>
    <s v="N"/>
    <s v="DL"/>
    <s v="225"/>
    <s v="231115"/>
    <s v="ECC"/>
    <s v="HEA"/>
    <m/>
    <m/>
    <m/>
    <s v="MLH"/>
    <s v="BOS"/>
    <s v="BOS"/>
    <s v="N"/>
    <s v="N1001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41"/>
    <s v="DA"/>
    <s v="05749140243002"/>
    <m/>
    <s v="220.0"/>
    <s v="1"/>
    <s v="1.26"/>
    <s v="Y"/>
    <s v="N"/>
    <s v="DL"/>
    <s v="225"/>
    <s v="231115"/>
    <s v="ECC"/>
    <s v="HEA"/>
    <m/>
    <m/>
    <m/>
    <s v="MLH"/>
    <s v="BOS"/>
    <s v="BOS"/>
    <s v="N"/>
    <s v="N4103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42"/>
    <s v="BA"/>
    <s v="05749158970001"/>
    <m/>
    <s v="55.0"/>
    <s v="1"/>
    <s v=".22"/>
    <s v="Y"/>
    <s v="N"/>
    <s v="AF"/>
    <s v="136"/>
    <s v="231115"/>
    <s v="ECC"/>
    <s v="XPH"/>
    <s v="EAP"/>
    <m/>
    <m/>
    <s v="TLS"/>
    <s v="ORD"/>
    <s v="ORD"/>
    <s v="N"/>
    <s v="T5401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643"/>
    <s v="BA"/>
    <s v="05764060824001"/>
    <m/>
    <s v="260.0"/>
    <s v="22"/>
    <s v="1.58"/>
    <s v="Y"/>
    <s v="N"/>
    <s v="AF"/>
    <s v="062"/>
    <s v="231115"/>
    <m/>
    <m/>
    <m/>
    <m/>
    <m/>
    <s v="IST"/>
    <s v="EWR"/>
    <s v="EWR"/>
    <s v="N"/>
    <s v="56011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644"/>
    <s v="BA"/>
    <s v="05771224790001"/>
    <m/>
    <s v="210.0"/>
    <s v="1"/>
    <s v="1.16"/>
    <s v="Y"/>
    <s v="N"/>
    <s v="AF"/>
    <s v="718"/>
    <s v="231115"/>
    <s v="ECC"/>
    <s v="HEA"/>
    <s v="EAP"/>
    <m/>
    <m/>
    <s v="IAH"/>
    <s v="DSS"/>
    <s v="DSS"/>
    <s v="N"/>
    <s v="HFI013"/>
    <m/>
    <m/>
    <s v="Passed"/>
    <m/>
    <x v="5"/>
    <m/>
    <m/>
    <m/>
    <m/>
    <m/>
    <m/>
    <m/>
    <m/>
    <s v="3.1"/>
    <n v="0.25"/>
    <b v="0"/>
    <b v="0"/>
    <b v="0"/>
    <b v="0"/>
    <b v="0"/>
    <s v="No"/>
    <s v="Yes"/>
  </r>
  <r>
    <d v="2023-11-14T00:00:00"/>
    <x v="644"/>
    <s v="DA"/>
    <s v="05771224790002"/>
    <m/>
    <s v="210.0"/>
    <s v="1"/>
    <s v="1.46"/>
    <s v="Y"/>
    <s v="N"/>
    <s v="AF"/>
    <s v="718"/>
    <s v="231115"/>
    <s v="ECC"/>
    <s v="HEA"/>
    <s v="EAP"/>
    <m/>
    <m/>
    <s v="IAH"/>
    <s v="DSS"/>
    <s v="DSS"/>
    <s v="N"/>
    <s v="16003"/>
    <m/>
    <m/>
    <s v="Passed"/>
    <m/>
    <x v="5"/>
    <m/>
    <m/>
    <m/>
    <m/>
    <m/>
    <m/>
    <m/>
    <m/>
    <s v="3.1"/>
    <n v="0.25"/>
    <b v="0"/>
    <b v="0"/>
    <b v="0"/>
    <b v="0"/>
    <b v="0"/>
    <s v="No"/>
    <s v="Yes"/>
  </r>
  <r>
    <d v="2023-11-14T00:00:00"/>
    <x v="644"/>
    <s v="FA"/>
    <s v="05771224790003"/>
    <m/>
    <s v="210.0"/>
    <s v="1"/>
    <s v="1.46"/>
    <s v="Y"/>
    <s v="N"/>
    <s v="AF"/>
    <s v="718"/>
    <s v="231115"/>
    <s v="ECC"/>
    <s v="HEA"/>
    <s v="EAP"/>
    <m/>
    <m/>
    <s v="IAH"/>
    <s v="DSS"/>
    <s v="DSS"/>
    <s v="N"/>
    <s v="HFI012"/>
    <m/>
    <m/>
    <s v="Passed"/>
    <m/>
    <x v="5"/>
    <m/>
    <m/>
    <m/>
    <m/>
    <m/>
    <m/>
    <m/>
    <m/>
    <s v="3.1"/>
    <n v="0.25"/>
    <b v="0"/>
    <b v="0"/>
    <b v="0"/>
    <b v="0"/>
    <b v="0"/>
    <s v="No"/>
    <s v="Yes"/>
  </r>
  <r>
    <d v="2023-11-14T00:00:00"/>
    <x v="644"/>
    <s v="HA"/>
    <s v="05771224790004"/>
    <m/>
    <s v="210.0"/>
    <s v="1"/>
    <s v="1.17"/>
    <s v="Y"/>
    <s v="N"/>
    <s v="AF"/>
    <s v="718"/>
    <s v="231115"/>
    <s v="ECC"/>
    <s v="HEA"/>
    <s v="EAP"/>
    <m/>
    <m/>
    <s v="IAH"/>
    <s v="DSS"/>
    <s v="DSS"/>
    <s v="N"/>
    <s v="Y6005"/>
    <m/>
    <m/>
    <s v="Passed"/>
    <m/>
    <x v="5"/>
    <m/>
    <m/>
    <m/>
    <m/>
    <m/>
    <m/>
    <m/>
    <m/>
    <s v="3.1"/>
    <n v="0.25"/>
    <b v="0"/>
    <b v="0"/>
    <b v="0"/>
    <b v="0"/>
    <b v="0"/>
    <s v="No"/>
    <s v="Yes"/>
  </r>
  <r>
    <d v="2023-11-14T00:00:00"/>
    <x v="645"/>
    <s v="FA"/>
    <s v="05771279972003"/>
    <s v="PMC25182KL"/>
    <s v="3240.0"/>
    <s v="1"/>
    <s v="10.00"/>
    <s v="Y"/>
    <s v="Y"/>
    <s v="AF"/>
    <s v="6730"/>
    <s v="231116"/>
    <s v="ECC"/>
    <s v="HEA"/>
    <s v="BUP"/>
    <s v="EAP"/>
    <s v="EAW"/>
    <s v="SWK"/>
    <s v="ORD"/>
    <s v="ORD"/>
    <s v="N"/>
    <s v="H20-2048"/>
    <s v="ML"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646"/>
    <s v="BA"/>
    <s v="05771301366001"/>
    <m/>
    <s v="703.0"/>
    <s v="1"/>
    <s v="1.15"/>
    <s v="Y"/>
    <s v="N"/>
    <s v="AF"/>
    <s v="682"/>
    <s v="231115"/>
    <s v="ECC"/>
    <s v="HEA"/>
    <m/>
    <m/>
    <m/>
    <s v="SWK"/>
    <s v="ATL"/>
    <s v="ATL"/>
    <s v="N"/>
    <s v="LLC14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46"/>
    <s v="DA"/>
    <s v="05771301366002"/>
    <m/>
    <s v="703.0"/>
    <s v="1"/>
    <s v="1.15"/>
    <s v="Y"/>
    <s v="N"/>
    <s v="AF"/>
    <s v="682"/>
    <s v="231115"/>
    <s v="ECC"/>
    <s v="HEA"/>
    <m/>
    <m/>
    <m/>
    <s v="SWK"/>
    <s v="ATL"/>
    <s v="ATL"/>
    <s v="N"/>
    <s v="HLC056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47"/>
    <s v="BA"/>
    <s v="05771307821001"/>
    <m/>
    <s v="330.5"/>
    <s v="1"/>
    <s v="1.91"/>
    <s v="Y"/>
    <s v="N"/>
    <s v="AF"/>
    <s v="6762"/>
    <s v="231115"/>
    <s v="HEA"/>
    <s v="EAP"/>
    <m/>
    <m/>
    <m/>
    <s v="SWK"/>
    <s v="IST"/>
    <s v="IST"/>
    <s v="N"/>
    <s v="XLC3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48"/>
    <s v="BA"/>
    <s v="05771318192001"/>
    <m/>
    <s v="189.0"/>
    <s v="2"/>
    <s v=".49"/>
    <s v="Y"/>
    <s v="N"/>
    <s v="AF"/>
    <s v="178"/>
    <s v="231116"/>
    <s v="EAP"/>
    <m/>
    <m/>
    <m/>
    <m/>
    <s v="SWK"/>
    <s v="MEX"/>
    <s v="MEX"/>
    <s v="N"/>
    <s v="N4303"/>
    <m/>
    <m/>
    <s v="Failed"/>
    <m/>
    <x v="0"/>
    <m/>
    <m/>
    <m/>
    <m/>
    <m/>
    <m/>
    <m/>
    <m/>
    <s v="3.1"/>
    <n v="0.1"/>
    <b v="0"/>
    <b v="0"/>
    <b v="0"/>
    <b v="0"/>
    <b v="0"/>
    <s v="No"/>
    <s v="No"/>
  </r>
  <r>
    <d v="2023-11-14T00:00:00"/>
    <x v="648"/>
    <s v="DA"/>
    <s v="05771318192002"/>
    <m/>
    <s v="94.5"/>
    <s v="1"/>
    <s v=".25"/>
    <s v="Y"/>
    <s v="N"/>
    <s v="AF"/>
    <s v="178"/>
    <s v="231116"/>
    <s v="EAP"/>
    <m/>
    <m/>
    <m/>
    <m/>
    <s v="SWK"/>
    <s v="MEX"/>
    <s v="MEX"/>
    <s v="N"/>
    <s v="74003"/>
    <m/>
    <m/>
    <s v="Failed"/>
    <m/>
    <x v="0"/>
    <m/>
    <m/>
    <m/>
    <m/>
    <m/>
    <m/>
    <m/>
    <m/>
    <s v="3.1"/>
    <n v="0.1"/>
    <b v="0"/>
    <b v="0"/>
    <b v="0"/>
    <b v="0"/>
    <b v="0"/>
    <s v="No"/>
    <s v="No"/>
  </r>
  <r>
    <d v="2023-11-14T00:00:00"/>
    <x v="648"/>
    <s v="FA"/>
    <s v="05771318192003"/>
    <m/>
    <s v="283.5"/>
    <s v="3"/>
    <s v=".74"/>
    <s v="Y"/>
    <s v="N"/>
    <s v="AF"/>
    <s v="178"/>
    <s v="231116"/>
    <s v="EAP"/>
    <m/>
    <m/>
    <m/>
    <m/>
    <s v="SWK"/>
    <s v="MEX"/>
    <s v="MEX"/>
    <s v="N"/>
    <s v="M6003"/>
    <m/>
    <m/>
    <s v="Failed"/>
    <m/>
    <x v="0"/>
    <m/>
    <m/>
    <m/>
    <m/>
    <m/>
    <m/>
    <m/>
    <m/>
    <s v="3.1"/>
    <n v="0.1"/>
    <b v="0"/>
    <b v="0"/>
    <b v="0"/>
    <b v="0"/>
    <b v="0"/>
    <s v="No"/>
    <s v="No"/>
  </r>
  <r>
    <d v="2023-11-14T00:00:00"/>
    <x v="648"/>
    <s v="HA"/>
    <s v="05771318192004"/>
    <m/>
    <s v="283.5"/>
    <s v="3"/>
    <s v=".74"/>
    <s v="Y"/>
    <s v="N"/>
    <s v="AF"/>
    <s v="178"/>
    <s v="231116"/>
    <s v="EAP"/>
    <m/>
    <m/>
    <m/>
    <m/>
    <s v="SWK"/>
    <s v="MEX"/>
    <s v="MEX"/>
    <s v="N"/>
    <s v="58307"/>
    <m/>
    <m/>
    <s v="Failed"/>
    <m/>
    <x v="0"/>
    <m/>
    <m/>
    <m/>
    <m/>
    <m/>
    <m/>
    <m/>
    <m/>
    <s v="3.1"/>
    <n v="0.1"/>
    <b v="0"/>
    <b v="0"/>
    <b v="0"/>
    <b v="0"/>
    <b v="0"/>
    <s v="No"/>
    <s v="No"/>
  </r>
  <r>
    <d v="2023-11-14T00:00:00"/>
    <x v="648"/>
    <s v="JA"/>
    <s v="05771318192005"/>
    <m/>
    <s v="472.5"/>
    <s v="5"/>
    <s v="1.23"/>
    <s v="Y"/>
    <s v="N"/>
    <s v="AF"/>
    <s v="178"/>
    <s v="231116"/>
    <s v="EAP"/>
    <m/>
    <m/>
    <m/>
    <m/>
    <s v="SWK"/>
    <s v="MEX"/>
    <s v="MEX"/>
    <s v="N"/>
    <s v="63107"/>
    <m/>
    <m/>
    <s v="Failed"/>
    <m/>
    <x v="0"/>
    <m/>
    <m/>
    <m/>
    <m/>
    <m/>
    <m/>
    <m/>
    <m/>
    <s v="3.1"/>
    <n v="0.1"/>
    <b v="0"/>
    <b v="0"/>
    <b v="0"/>
    <b v="0"/>
    <b v="0"/>
    <s v="No"/>
    <s v="No"/>
  </r>
  <r>
    <d v="2023-11-14T00:00:00"/>
    <x v="648"/>
    <s v="LA"/>
    <s v="05771318192006"/>
    <m/>
    <s v="94.5"/>
    <s v="1"/>
    <s v=".25"/>
    <s v="Y"/>
    <s v="N"/>
    <s v="AF"/>
    <s v="178"/>
    <s v="231116"/>
    <s v="EAP"/>
    <m/>
    <m/>
    <m/>
    <m/>
    <s v="SWK"/>
    <s v="MEX"/>
    <s v="MEX"/>
    <s v="N"/>
    <s v="Q8303"/>
    <m/>
    <m/>
    <s v="Failed"/>
    <m/>
    <x v="0"/>
    <m/>
    <m/>
    <m/>
    <m/>
    <m/>
    <m/>
    <m/>
    <m/>
    <s v="3.1"/>
    <n v="0.1"/>
    <b v="0"/>
    <b v="0"/>
    <b v="0"/>
    <b v="0"/>
    <b v="0"/>
    <s v="No"/>
    <s v="No"/>
  </r>
  <r>
    <d v="2023-11-14T00:00:00"/>
    <x v="648"/>
    <m/>
    <s v="05771318192007"/>
    <m/>
    <s v="94.5"/>
    <s v="1"/>
    <s v=".25"/>
    <s v="Y"/>
    <s v="N"/>
    <s v="AF"/>
    <s v="178"/>
    <s v="231116"/>
    <s v="EAP"/>
    <m/>
    <m/>
    <m/>
    <m/>
    <s v="SWK"/>
    <s v="MEX"/>
    <s v="MEX"/>
    <s v="N"/>
    <s v="N7402"/>
    <m/>
    <m/>
    <s v="Failed"/>
    <m/>
    <x v="0"/>
    <m/>
    <m/>
    <m/>
    <m/>
    <m/>
    <m/>
    <m/>
    <m/>
    <s v="3.1"/>
    <n v="0.1"/>
    <b v="0"/>
    <b v="0"/>
    <b v="0"/>
    <b v="0"/>
    <b v="0"/>
    <s v="No"/>
    <s v="No"/>
  </r>
  <r>
    <d v="2023-11-14T00:00:00"/>
    <x v="648"/>
    <s v="PA"/>
    <s v="05771318192008"/>
    <m/>
    <s v="94.5"/>
    <s v="1"/>
    <s v=".25"/>
    <s v="Y"/>
    <s v="N"/>
    <s v="AF"/>
    <s v="178"/>
    <s v="231116"/>
    <s v="EAP"/>
    <m/>
    <m/>
    <m/>
    <m/>
    <s v="SWK"/>
    <s v="MEX"/>
    <s v="MEX"/>
    <s v="N"/>
    <s v="63301"/>
    <m/>
    <m/>
    <s v="Failed"/>
    <m/>
    <x v="0"/>
    <m/>
    <m/>
    <m/>
    <m/>
    <m/>
    <m/>
    <m/>
    <m/>
    <s v="3.1"/>
    <n v="0.1"/>
    <b v="0"/>
    <b v="0"/>
    <b v="0"/>
    <b v="0"/>
    <b v="0"/>
    <s v="No"/>
    <s v="No"/>
  </r>
  <r>
    <d v="2023-11-14T00:00:00"/>
    <x v="648"/>
    <s v="RA"/>
    <s v="05771318192009"/>
    <m/>
    <s v="94.5"/>
    <s v="1"/>
    <s v=".25"/>
    <s v="Y"/>
    <s v="N"/>
    <s v="AF"/>
    <s v="178"/>
    <s v="231116"/>
    <s v="EAP"/>
    <m/>
    <m/>
    <m/>
    <m/>
    <s v="SWK"/>
    <s v="MEX"/>
    <s v="MEX"/>
    <s v="N"/>
    <s v="Y6108"/>
    <m/>
    <m/>
    <s v="Failed"/>
    <m/>
    <x v="0"/>
    <m/>
    <m/>
    <m/>
    <m/>
    <m/>
    <m/>
    <m/>
    <m/>
    <s v="3.1"/>
    <n v="0.1"/>
    <b v="0"/>
    <b v="0"/>
    <b v="0"/>
    <b v="0"/>
    <b v="0"/>
    <s v="No"/>
    <s v="No"/>
  </r>
  <r>
    <d v="2023-11-14T00:00:00"/>
    <x v="648"/>
    <s v="TA"/>
    <s v="05771318192010"/>
    <m/>
    <s v="189.0"/>
    <s v="2"/>
    <s v=".49"/>
    <s v="Y"/>
    <s v="N"/>
    <s v="AF"/>
    <s v="178"/>
    <s v="231116"/>
    <s v="EAP"/>
    <m/>
    <m/>
    <m/>
    <m/>
    <s v="SWK"/>
    <s v="MEX"/>
    <s v="MEX"/>
    <s v="N"/>
    <s v="N2403"/>
    <m/>
    <m/>
    <s v="Failed"/>
    <m/>
    <x v="0"/>
    <m/>
    <m/>
    <m/>
    <m/>
    <m/>
    <m/>
    <m/>
    <m/>
    <s v="3.1"/>
    <n v="0.1"/>
    <b v="0"/>
    <b v="0"/>
    <b v="0"/>
    <b v="0"/>
    <b v="0"/>
    <s v="No"/>
    <s v="No"/>
  </r>
  <r>
    <d v="2023-11-14T00:00:00"/>
    <x v="649"/>
    <s v="BA"/>
    <s v="05771320045001"/>
    <m/>
    <s v="155.0"/>
    <s v="1"/>
    <s v=".69"/>
    <s v="Y"/>
    <s v="N"/>
    <s v="AF"/>
    <s v="406"/>
    <s v="231115"/>
    <s v="HEA"/>
    <m/>
    <m/>
    <m/>
    <m/>
    <s v="FLR"/>
    <s v="SCL"/>
    <s v="SCL"/>
    <s v="N"/>
    <s v="Q5401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649"/>
    <s v="DA"/>
    <s v="05771320045002"/>
    <m/>
    <s v="155.0"/>
    <s v="1"/>
    <s v=".69"/>
    <s v="Y"/>
    <s v="N"/>
    <s v="AF"/>
    <s v="406"/>
    <s v="231115"/>
    <s v="HEA"/>
    <m/>
    <m/>
    <m/>
    <m/>
    <s v="FLR"/>
    <s v="SCL"/>
    <s v="SCL"/>
    <s v="N"/>
    <s v="Q4404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650"/>
    <s v="BA"/>
    <s v="05771323545001"/>
    <m/>
    <s v="112.9"/>
    <s v="6"/>
    <s v=".68"/>
    <s v="Y"/>
    <s v="N"/>
    <s v="AF"/>
    <s v="454"/>
    <s v="231116"/>
    <m/>
    <m/>
    <m/>
    <m/>
    <m/>
    <s v="SWK"/>
    <s v="GRU"/>
    <s v="GRU"/>
    <s v="N"/>
    <s v="Q2302"/>
    <m/>
    <m/>
    <s v="Failed"/>
    <m/>
    <x v="30"/>
    <m/>
    <m/>
    <m/>
    <m/>
    <m/>
    <m/>
    <m/>
    <m/>
    <s v="3.1"/>
    <n v="0.5"/>
    <b v="0"/>
    <b v="0"/>
    <b v="0"/>
    <b v="0"/>
    <b v="0"/>
    <s v="No"/>
    <s v="No"/>
  </r>
  <r>
    <d v="2023-11-14T00:00:00"/>
    <x v="650"/>
    <s v="DA"/>
    <s v="05771323545002"/>
    <m/>
    <s v="75.3"/>
    <s v="4"/>
    <s v=".46"/>
    <s v="Y"/>
    <s v="N"/>
    <s v="AF"/>
    <s v="454"/>
    <s v="231116"/>
    <m/>
    <m/>
    <m/>
    <m/>
    <m/>
    <s v="SWK"/>
    <s v="GRU"/>
    <s v="GRU"/>
    <s v="N"/>
    <s v="Q4002"/>
    <m/>
    <m/>
    <s v="Failed"/>
    <m/>
    <x v="30"/>
    <m/>
    <m/>
    <m/>
    <m/>
    <m/>
    <m/>
    <m/>
    <m/>
    <s v="3.1"/>
    <n v="0.5"/>
    <b v="0"/>
    <b v="0"/>
    <b v="0"/>
    <b v="0"/>
    <b v="0"/>
    <s v="No"/>
    <s v="No"/>
  </r>
  <r>
    <d v="2023-11-14T00:00:00"/>
    <x v="651"/>
    <s v="BA"/>
    <s v="05771332155001"/>
    <s v="PMC2762MP"/>
    <s v="523.5"/>
    <s v="10"/>
    <s v="10.00"/>
    <s v="N"/>
    <s v="N"/>
    <s v="AF"/>
    <s v="116"/>
    <s v="231115"/>
    <s v="FSB"/>
    <s v="EAW"/>
    <m/>
    <m/>
    <m/>
    <s v="CDG"/>
    <s v="PVG"/>
    <s v="PVG"/>
    <s v="N"/>
    <s v="B1B-2743"/>
    <s v="ML"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652"/>
    <s v="BA"/>
    <s v="05771333286001"/>
    <m/>
    <s v="69.5"/>
    <s v="1"/>
    <s v="2.46"/>
    <s v="N"/>
    <s v="N"/>
    <s v="AF"/>
    <s v="148"/>
    <s v="231116"/>
    <s v="ECP"/>
    <s v="FSB"/>
    <s v="EAW"/>
    <s v="SPX"/>
    <m/>
    <s v="CDG"/>
    <s v="LOS"/>
    <s v="LOS"/>
    <s v="N"/>
    <s v="R6402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653"/>
    <s v="BA"/>
    <s v="05771333290001"/>
    <m/>
    <s v="1495.7"/>
    <s v="4"/>
    <s v="3.49"/>
    <s v="N"/>
    <s v="N"/>
    <s v="AF"/>
    <s v="148"/>
    <s v="231115"/>
    <s v="ECP"/>
    <s v="HEA"/>
    <s v="FSA"/>
    <s v="EAW"/>
    <s v="SPX"/>
    <s v="CDG"/>
    <s v="LOS"/>
    <s v="LOS"/>
    <s v="N"/>
    <s v="LO100"/>
    <m/>
    <m/>
    <s v="Failed"/>
    <m/>
    <x v="3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53"/>
    <s v="WD"/>
    <s v="05771333290051"/>
    <s v="PAG15438KL"/>
    <s v="1869.6"/>
    <s v="5"/>
    <s v="4.37"/>
    <s v="N"/>
    <s v="N"/>
    <s v="AF"/>
    <s v="148"/>
    <s v="231115"/>
    <s v="ECP"/>
    <s v="HEA"/>
    <s v="FSA"/>
    <s v="EAW"/>
    <s v="SPX"/>
    <s v="CDG"/>
    <s v="LOS"/>
    <s v="LOS"/>
    <s v="N"/>
    <s v="B2A-4734"/>
    <s v="AL"/>
    <m/>
    <s v="Failed"/>
    <m/>
    <x v="3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283"/>
    <s v="YD"/>
    <s v="05771333544052"/>
    <s v="PAG12418AF"/>
    <s v="2007.3"/>
    <s v="8"/>
    <s v="6.91"/>
    <s v="N"/>
    <s v="N"/>
    <s v="AF"/>
    <s v="6724"/>
    <s v="231116"/>
    <s v="ECC"/>
    <s v="HEA"/>
    <s v="FSA"/>
    <s v="EAW"/>
    <s v="SPX"/>
    <s v="CDG"/>
    <s v="NRT"/>
    <s v="NRT"/>
    <s v="N"/>
    <s v="B2A-4730"/>
    <s v="AK"/>
    <m/>
    <s v="Failed"/>
    <m/>
    <x v="30"/>
    <m/>
    <m/>
    <m/>
    <m/>
    <m/>
    <m/>
    <m/>
    <m/>
    <s v="3.1"/>
    <n v="0.25"/>
    <b v="0"/>
    <b v="0"/>
    <b v="0"/>
    <b v="0"/>
    <b v="0"/>
    <s v="No"/>
    <s v="No"/>
  </r>
  <r>
    <d v="2023-11-14T00:00:00"/>
    <x v="283"/>
    <s v="BE"/>
    <s v="05771333544053"/>
    <s v="PMC71893AF"/>
    <s v="2007.3"/>
    <s v="8"/>
    <s v="6.91"/>
    <s v="N"/>
    <s v="N"/>
    <s v="AF"/>
    <s v="6724"/>
    <s v="231116"/>
    <s v="ECC"/>
    <s v="HEA"/>
    <s v="FSA"/>
    <s v="EAW"/>
    <s v="SPX"/>
    <s v="CDG"/>
    <s v="NRT"/>
    <s v="NRT"/>
    <s v="N"/>
    <s v="B2A-5338"/>
    <s v="MJ"/>
    <m/>
    <s v="Failed"/>
    <m/>
    <x v="30"/>
    <m/>
    <m/>
    <m/>
    <m/>
    <m/>
    <m/>
    <m/>
    <m/>
    <s v="3.1"/>
    <n v="0.25"/>
    <b v="0"/>
    <b v="0"/>
    <b v="0"/>
    <b v="0"/>
    <b v="0"/>
    <s v="No"/>
    <s v="No"/>
  </r>
  <r>
    <d v="2023-11-14T00:00:00"/>
    <x v="654"/>
    <s v="BA"/>
    <s v="05771333570001"/>
    <m/>
    <s v="7.5"/>
    <s v="3"/>
    <s v=".10"/>
    <s v="N"/>
    <s v="N"/>
    <s v="AF"/>
    <s v="670"/>
    <s v="231115"/>
    <s v="ECP"/>
    <s v="XPS"/>
    <s v="FSE"/>
    <s v="EAW"/>
    <m/>
    <s v="CDG"/>
    <s v="JIB"/>
    <s v="JIB"/>
    <s v="N"/>
    <s v="49402"/>
    <m/>
    <m/>
    <s v="Failed"/>
    <m/>
    <x v="34"/>
    <m/>
    <m/>
    <m/>
    <m/>
    <m/>
    <m/>
    <m/>
    <m/>
    <s v="3.1"/>
    <n v="1"/>
    <b v="0"/>
    <b v="0"/>
    <b v="0"/>
    <b v="0"/>
    <b v="0"/>
    <s v="No"/>
    <s v="No"/>
  </r>
  <r>
    <d v="2023-11-14T00:00:00"/>
    <x v="655"/>
    <s v="BA"/>
    <s v="05771333603001"/>
    <m/>
    <s v="249.2"/>
    <s v="1"/>
    <s v="1.50"/>
    <s v="N"/>
    <s v="N"/>
    <s v="AF"/>
    <s v="148"/>
    <s v="231118"/>
    <s v="ECP"/>
    <s v="HEA"/>
    <s v="FSA"/>
    <s v="EAW"/>
    <s v="SPX"/>
    <s v="CDG"/>
    <s v="LOS"/>
    <s v="LOS"/>
    <s v="N"/>
    <s v="Q3402"/>
    <m/>
    <m/>
    <s v="Failed"/>
    <m/>
    <x v="34"/>
    <m/>
    <m/>
    <m/>
    <m/>
    <m/>
    <m/>
    <m/>
    <m/>
    <s v="3.1"/>
    <n v="1"/>
    <b v="0"/>
    <b v="0"/>
    <b v="0"/>
    <b v="0"/>
    <b v="0"/>
    <s v="No"/>
    <s v="No"/>
  </r>
  <r>
    <d v="2023-11-14T00:00:00"/>
    <x v="656"/>
    <s v="BA"/>
    <s v="05771333614001"/>
    <m/>
    <s v="26.2"/>
    <s v="1"/>
    <s v=".20"/>
    <s v="N"/>
    <s v="N"/>
    <s v="AF"/>
    <s v="108"/>
    <s v="231115"/>
    <s v="ECP"/>
    <s v="XPS"/>
    <s v="FSE"/>
    <s v="EAW"/>
    <m/>
    <s v="CDG"/>
    <s v="MAA"/>
    <s v="MAA"/>
    <s v="N"/>
    <s v="49302"/>
    <m/>
    <m/>
    <s v="Failed"/>
    <m/>
    <x v="34"/>
    <m/>
    <m/>
    <m/>
    <m/>
    <m/>
    <m/>
    <m/>
    <m/>
    <s v="3.1"/>
    <n v="1"/>
    <b v="0"/>
    <b v="0"/>
    <b v="0"/>
    <b v="0"/>
    <b v="0"/>
    <s v="No"/>
    <s v="No"/>
  </r>
  <r>
    <d v="2023-11-14T00:00:00"/>
    <x v="657"/>
    <s v="BA"/>
    <s v="05771333651001"/>
    <m/>
    <s v="92.5"/>
    <s v="1"/>
    <s v=".60"/>
    <s v="N"/>
    <s v="N"/>
    <s v="AF"/>
    <s v="692"/>
    <s v="231115"/>
    <s v="ECC"/>
    <s v="FSB"/>
    <s v="EAW"/>
    <s v="SPX"/>
    <m/>
    <s v="CDG"/>
    <s v="RDU"/>
    <s v="RDU"/>
    <s v="N"/>
    <s v="49403"/>
    <m/>
    <m/>
    <s v="Failed"/>
    <m/>
    <x v="34"/>
    <m/>
    <m/>
    <m/>
    <m/>
    <m/>
    <m/>
    <m/>
    <m/>
    <s v="3.1"/>
    <n v="1"/>
    <b v="0"/>
    <b v="0"/>
    <b v="0"/>
    <b v="0"/>
    <b v="0"/>
    <s v="No"/>
    <s v="No"/>
  </r>
  <r>
    <d v="2023-11-14T00:00:00"/>
    <x v="658"/>
    <s v="BA"/>
    <s v="05771333662001"/>
    <m/>
    <s v="74.4"/>
    <s v="4"/>
    <s v=".24"/>
    <s v="N"/>
    <s v="N"/>
    <s v="AF"/>
    <s v="692"/>
    <s v="231115"/>
    <s v="ECC"/>
    <s v="FSB"/>
    <s v="EAW"/>
    <s v="SPX"/>
    <m/>
    <s v="CDG"/>
    <s v="RDU"/>
    <s v="RDU"/>
    <s v="N"/>
    <s v="51307"/>
    <m/>
    <m/>
    <s v="Failed"/>
    <m/>
    <x v="34"/>
    <m/>
    <m/>
    <m/>
    <m/>
    <m/>
    <m/>
    <m/>
    <m/>
    <s v="3.1"/>
    <n v="0.5"/>
    <b v="0"/>
    <b v="0"/>
    <b v="0"/>
    <b v="0"/>
    <b v="0"/>
    <s v="No"/>
    <s v="No"/>
  </r>
  <r>
    <d v="2023-11-14T00:00:00"/>
    <x v="658"/>
    <s v="DA"/>
    <s v="05771333662002"/>
    <m/>
    <s v="18.6"/>
    <s v="1"/>
    <s v=".06"/>
    <s v="N"/>
    <s v="N"/>
    <s v="AF"/>
    <s v="692"/>
    <s v="231115"/>
    <s v="ECC"/>
    <s v="FSB"/>
    <s v="EAW"/>
    <s v="SPX"/>
    <m/>
    <s v="CDG"/>
    <s v="RDU"/>
    <s v="RDU"/>
    <s v="N"/>
    <s v="52306"/>
    <m/>
    <m/>
    <s v="Failed"/>
    <m/>
    <x v="34"/>
    <m/>
    <m/>
    <m/>
    <m/>
    <m/>
    <m/>
    <m/>
    <m/>
    <s v="3.1"/>
    <n v="0.5"/>
    <b v="0"/>
    <b v="0"/>
    <b v="0"/>
    <b v="0"/>
    <b v="0"/>
    <s v="No"/>
    <s v="No"/>
  </r>
  <r>
    <d v="2023-11-14T00:00:00"/>
    <x v="659"/>
    <s v="BA"/>
    <s v="05771333706001"/>
    <m/>
    <s v="84.4"/>
    <s v="1"/>
    <s v=".60"/>
    <s v="N"/>
    <s v="N"/>
    <s v="AF"/>
    <s v="756"/>
    <s v="231115"/>
    <s v="ECP"/>
    <s v="FSA"/>
    <s v="EAW"/>
    <s v="SPX"/>
    <m/>
    <s v="CDG"/>
    <s v="FIH"/>
    <s v="FIH"/>
    <s v="N"/>
    <s v="R7404"/>
    <m/>
    <m/>
    <s v="Failed"/>
    <m/>
    <x v="34"/>
    <m/>
    <m/>
    <m/>
    <m/>
    <m/>
    <m/>
    <m/>
    <m/>
    <s v="3.1"/>
    <n v="1"/>
    <b v="0"/>
    <b v="0"/>
    <b v="0"/>
    <b v="0"/>
    <b v="0"/>
    <s v="No"/>
    <s v="No"/>
  </r>
  <r>
    <d v="2023-11-14T00:00:00"/>
    <x v="660"/>
    <s v="BA"/>
    <s v="05771333710001"/>
    <m/>
    <s v="874.8"/>
    <s v="2"/>
    <s v="5.25"/>
    <s v="N"/>
    <s v="N"/>
    <s v="AF"/>
    <s v="132"/>
    <s v="231118"/>
    <s v="ECC"/>
    <s v="HEA"/>
    <s v="FSB"/>
    <s v="EAW"/>
    <s v="SPX"/>
    <s v="CDG"/>
    <s v="DFW"/>
    <s v="DFW"/>
    <s v="N"/>
    <s v="56005"/>
    <m/>
    <m/>
    <s v="Failed"/>
    <m/>
    <x v="34"/>
    <m/>
    <m/>
    <m/>
    <m/>
    <m/>
    <m/>
    <m/>
    <m/>
    <s v="3.1"/>
    <n v="0.5"/>
    <b v="0"/>
    <b v="0"/>
    <b v="0"/>
    <b v="0"/>
    <b v="0"/>
    <s v="No"/>
    <s v="No"/>
  </r>
  <r>
    <d v="2023-11-14T00:00:00"/>
    <x v="660"/>
    <s v="DA"/>
    <s v="05771333710002"/>
    <m/>
    <s v="437.4"/>
    <s v="1"/>
    <s v="2.62"/>
    <s v="N"/>
    <s v="N"/>
    <s v="AF"/>
    <s v="132"/>
    <s v="231118"/>
    <s v="ECC"/>
    <s v="HEA"/>
    <s v="FSB"/>
    <s v="EAW"/>
    <s v="SPX"/>
    <s v="CDG"/>
    <s v="DFW"/>
    <s v="DFW"/>
    <s v="N"/>
    <s v="56006"/>
    <m/>
    <m/>
    <s v="Failed"/>
    <m/>
    <x v="34"/>
    <m/>
    <m/>
    <m/>
    <m/>
    <m/>
    <m/>
    <m/>
    <m/>
    <s v="3.1"/>
    <n v="0.5"/>
    <b v="0"/>
    <b v="0"/>
    <b v="0"/>
    <b v="0"/>
    <b v="0"/>
    <s v="No"/>
    <s v="No"/>
  </r>
  <r>
    <d v="2023-11-14T00:00:00"/>
    <x v="661"/>
    <s v="BA"/>
    <s v="05771333721001"/>
    <m/>
    <s v="402.7"/>
    <s v="1"/>
    <s v="2.42"/>
    <s v="N"/>
    <s v="N"/>
    <s v="AF"/>
    <s v="484"/>
    <s v="231115"/>
    <s v="ECP"/>
    <s v="HEA"/>
    <s v="FSB"/>
    <s v="EAW"/>
    <s v="SPX"/>
    <s v="CDG"/>
    <s v="GIG"/>
    <s v="GIG"/>
    <s v="N"/>
    <s v="P7101"/>
    <m/>
    <m/>
    <s v="Failed"/>
    <m/>
    <x v="34"/>
    <m/>
    <m/>
    <m/>
    <m/>
    <m/>
    <m/>
    <m/>
    <m/>
    <s v="3.1"/>
    <n v="0.5"/>
    <b v="0"/>
    <b v="0"/>
    <b v="0"/>
    <b v="0"/>
    <b v="0"/>
    <s v="No"/>
    <s v="No"/>
  </r>
  <r>
    <d v="2023-11-14T00:00:00"/>
    <x v="661"/>
    <s v="DA"/>
    <s v="05771333721002"/>
    <m/>
    <s v="402.6"/>
    <s v="1"/>
    <s v="2.42"/>
    <s v="N"/>
    <s v="N"/>
    <s v="AF"/>
    <s v="484"/>
    <s v="231115"/>
    <s v="ECP"/>
    <s v="HEA"/>
    <s v="FSB"/>
    <s v="EAW"/>
    <s v="SPX"/>
    <s v="CDG"/>
    <s v="GIG"/>
    <s v="GIG"/>
    <s v="N"/>
    <s v="P7004"/>
    <m/>
    <m/>
    <s v="Failed"/>
    <m/>
    <x v="34"/>
    <m/>
    <m/>
    <m/>
    <m/>
    <m/>
    <m/>
    <m/>
    <m/>
    <s v="3.1"/>
    <n v="0.5"/>
    <b v="0"/>
    <b v="0"/>
    <b v="0"/>
    <b v="0"/>
    <b v="0"/>
    <s v="No"/>
    <s v="No"/>
  </r>
  <r>
    <d v="2023-11-14T00:00:00"/>
    <x v="662"/>
    <s v="BA"/>
    <s v="05771333732001"/>
    <m/>
    <s v="537.5"/>
    <s v="1"/>
    <s v="3.23"/>
    <s v="N"/>
    <s v="N"/>
    <s v="AF"/>
    <s v="484"/>
    <s v="231115"/>
    <s v="ECP"/>
    <s v="HEA"/>
    <s v="FSB"/>
    <s v="EAW"/>
    <s v="SPX"/>
    <s v="CDG"/>
    <s v="GIG"/>
    <s v="GIG"/>
    <s v="N"/>
    <s v="P7003"/>
    <m/>
    <m/>
    <s v="Failed"/>
    <m/>
    <x v="31"/>
    <m/>
    <m/>
    <m/>
    <m/>
    <m/>
    <m/>
    <m/>
    <m/>
    <s v="3.1"/>
    <n v="0.5"/>
    <b v="0"/>
    <b v="0"/>
    <b v="0"/>
    <b v="0"/>
    <b v="0"/>
    <s v="No"/>
    <s v="No"/>
  </r>
  <r>
    <d v="2023-11-14T00:00:00"/>
    <x v="662"/>
    <s v="DA"/>
    <s v="05771333732002"/>
    <m/>
    <s v="537.5"/>
    <s v="1"/>
    <s v="3.23"/>
    <s v="N"/>
    <s v="N"/>
    <s v="AF"/>
    <s v="484"/>
    <s v="231115"/>
    <s v="ECP"/>
    <s v="HEA"/>
    <s v="FSB"/>
    <s v="EAW"/>
    <s v="SPX"/>
    <s v="CDG"/>
    <s v="GIG"/>
    <s v="GIG"/>
    <s v="N"/>
    <s v="P7002"/>
    <m/>
    <m/>
    <s v="Failed"/>
    <m/>
    <x v="31"/>
    <m/>
    <m/>
    <m/>
    <m/>
    <m/>
    <m/>
    <m/>
    <m/>
    <s v="3.1"/>
    <n v="0.5"/>
    <b v="0"/>
    <b v="0"/>
    <b v="0"/>
    <b v="0"/>
    <b v="0"/>
    <s v="No"/>
    <s v="No"/>
  </r>
  <r>
    <d v="2023-11-14T00:00:00"/>
    <x v="663"/>
    <s v="BA"/>
    <s v="05771333743001"/>
    <m/>
    <s v="1070.8"/>
    <s v="9"/>
    <s v="7.60"/>
    <s v="N"/>
    <s v="N"/>
    <s v="AF"/>
    <s v="568"/>
    <s v="231116"/>
    <s v="ECP"/>
    <s v="FSA"/>
    <s v="EAW"/>
    <s v="SPX"/>
    <m/>
    <s v="CDG"/>
    <s v="CAI"/>
    <s v="CAI"/>
    <s v="N"/>
    <s v="LO10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64"/>
    <s v="BA"/>
    <s v="05771476661001"/>
    <m/>
    <s v="780.0"/>
    <s v="1"/>
    <s v="1.47"/>
    <s v="Y"/>
    <s v="N"/>
    <s v="AF"/>
    <s v="470M"/>
    <s v="231115"/>
    <s v="ECC"/>
    <s v="HEA"/>
    <s v="EAW"/>
    <m/>
    <m/>
    <s v="LAX"/>
    <s v="CPH"/>
    <s v="CPH"/>
    <s v="N"/>
    <s v="170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65"/>
    <s v="BA"/>
    <s v="05771484405001"/>
    <m/>
    <s v="167.0"/>
    <s v="1"/>
    <s v="1.26"/>
    <s v="Y"/>
    <s v="N"/>
    <s v="AF"/>
    <s v="340M"/>
    <s v="231116"/>
    <s v="ECC"/>
    <s v="HEA"/>
    <s v="EAP"/>
    <m/>
    <m/>
    <s v="DFW"/>
    <s v="PRG"/>
    <s v="PRG"/>
    <s v="N"/>
    <s v="16301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65"/>
    <s v="DA"/>
    <s v="05771484405002"/>
    <s v="PMC69753AF"/>
    <s v="668.0"/>
    <s v="4"/>
    <s v="5.05"/>
    <s v="Y"/>
    <s v="N"/>
    <s v="AF"/>
    <s v="340M"/>
    <s v="231116"/>
    <s v="ECC"/>
    <s v="HEA"/>
    <s v="EAP"/>
    <m/>
    <m/>
    <s v="DFW"/>
    <s v="PRG"/>
    <s v="PRG"/>
    <s v="N"/>
    <s v="B2A-5044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66"/>
    <s v="DA"/>
    <s v="05771486435002"/>
    <m/>
    <s v="129.0"/>
    <s v="1"/>
    <s v=".71"/>
    <s v="Y"/>
    <s v="N"/>
    <s v="AF"/>
    <s v="400M"/>
    <s v="231116"/>
    <s v="ECC"/>
    <m/>
    <m/>
    <m/>
    <m/>
    <s v="ORD"/>
    <s v="SOF"/>
    <s v="BUD"/>
    <s v="N"/>
    <s v="AXB00"/>
    <m/>
    <m/>
    <s v="Passed"/>
    <m/>
    <x v="5"/>
    <m/>
    <m/>
    <m/>
    <m/>
    <m/>
    <m/>
    <m/>
    <m/>
    <s v="3.1"/>
    <n v="1"/>
    <b v="0"/>
    <b v="0"/>
    <b v="0"/>
    <b v="0"/>
    <b v="0"/>
    <s v="No"/>
    <s v="Yes"/>
  </r>
  <r>
    <d v="2023-11-14T00:00:00"/>
    <x v="667"/>
    <s v="BA"/>
    <s v="05771726594001"/>
    <m/>
    <s v="650.0"/>
    <s v="1"/>
    <s v="2.62"/>
    <s v="Y"/>
    <s v="N"/>
    <s v="AF"/>
    <s v="374"/>
    <s v="231116"/>
    <s v="HEA"/>
    <s v="OHG"/>
    <s v="EAW"/>
    <m/>
    <m/>
    <s v="SWK"/>
    <s v="YVR"/>
    <s v="YVR"/>
    <s v="N"/>
    <s v="XLC20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67"/>
    <s v="DA"/>
    <s v="05771726594002"/>
    <m/>
    <s v="25.0"/>
    <s v="1"/>
    <s v="2.62"/>
    <s v="Y"/>
    <s v="N"/>
    <s v="AF"/>
    <s v="374"/>
    <s v="231116"/>
    <s v="HEA"/>
    <s v="OHG"/>
    <s v="EAW"/>
    <m/>
    <m/>
    <s v="SWK"/>
    <s v="YVR"/>
    <s v="YVR"/>
    <s v="N"/>
    <s v="N1002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67"/>
    <s v="FA"/>
    <s v="05771726594003"/>
    <m/>
    <s v="650.0"/>
    <s v="1"/>
    <s v="2.62"/>
    <s v="Y"/>
    <s v="N"/>
    <s v="AF"/>
    <s v="374"/>
    <s v="231116"/>
    <s v="HEA"/>
    <s v="OHG"/>
    <s v="EAW"/>
    <m/>
    <m/>
    <s v="SWK"/>
    <s v="YVR"/>
    <s v="YVR"/>
    <s v="N"/>
    <s v="XLC20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68"/>
    <s v="FA"/>
    <s v="05771738155003"/>
    <s v="PMC31610KL"/>
    <s v="770.0"/>
    <s v="1"/>
    <s v="10.00"/>
    <s v="Y"/>
    <s v="Y"/>
    <s v="DL"/>
    <s v="265"/>
    <s v="231115"/>
    <s v="VUN"/>
    <s v="HEA"/>
    <s v="BUP"/>
    <s v="NPR"/>
    <s v="EAW"/>
    <s v="SWK"/>
    <s v="JFK"/>
    <s v="JFK"/>
    <s v="N"/>
    <s v="B1C-2136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68"/>
    <s v="HA"/>
    <s v="05771738155004"/>
    <s v="PMC66949AF"/>
    <s v="684.0"/>
    <s v="1"/>
    <s v="10.00"/>
    <s v="Y"/>
    <s v="Y"/>
    <s v="DL"/>
    <s v="265"/>
    <s v="231115"/>
    <s v="VUN"/>
    <s v="HEA"/>
    <s v="BUP"/>
    <s v="NPR"/>
    <s v="EAW"/>
    <s v="SWK"/>
    <s v="JFK"/>
    <s v="JFK"/>
    <s v="N"/>
    <s v="B1B-2727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69"/>
    <s v="BA"/>
    <s v="05771738870001"/>
    <m/>
    <s v="531.0"/>
    <s v="1"/>
    <s v="1.89"/>
    <s v="Y"/>
    <s v="N"/>
    <s v="AF"/>
    <s v="178"/>
    <s v="231115"/>
    <s v="ECC"/>
    <s v="HEA"/>
    <s v="EAW"/>
    <m/>
    <m/>
    <s v="SWK"/>
    <s v="MEX"/>
    <s v="MEX"/>
    <s v="N"/>
    <s v="XLC0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70"/>
    <s v="LA"/>
    <s v="05771743416006"/>
    <m/>
    <s v="187.6"/>
    <s v="1"/>
    <s v="1.30"/>
    <s v="Y"/>
    <s v="N"/>
    <s v="AF"/>
    <s v="008"/>
    <s v="231115"/>
    <s v="ECC"/>
    <s v="HEA"/>
    <s v="EAW"/>
    <m/>
    <m/>
    <s v="MXP"/>
    <s v="JFK"/>
    <s v="JFK"/>
    <s v="N"/>
    <s v="N3104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70"/>
    <m/>
    <s v="05771743416007"/>
    <m/>
    <s v="187.6"/>
    <s v="1"/>
    <s v="1.30"/>
    <s v="Y"/>
    <s v="N"/>
    <s v="AF"/>
    <s v="008"/>
    <s v="231115"/>
    <s v="ECC"/>
    <s v="HEA"/>
    <s v="EAW"/>
    <m/>
    <m/>
    <s v="MXP"/>
    <s v="JFK"/>
    <s v="JFK"/>
    <s v="N"/>
    <s v="55002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71"/>
    <s v="BA"/>
    <s v="05771750033001"/>
    <m/>
    <s v="175.0"/>
    <s v="1"/>
    <s v=".76"/>
    <s v="Y"/>
    <s v="N"/>
    <s v="AF"/>
    <s v="6762"/>
    <s v="231115"/>
    <s v="HEA"/>
    <s v="EAP"/>
    <m/>
    <m/>
    <m/>
    <s v="SWK"/>
    <s v="IST"/>
    <s v="IST"/>
    <s v="N"/>
    <s v="17003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72"/>
    <s v="BA"/>
    <s v="05771752424001"/>
    <s v="PMC21500KL"/>
    <s v="638.0"/>
    <s v="1"/>
    <s v="10.00"/>
    <s v="Y"/>
    <s v="Y"/>
    <s v="DL"/>
    <s v="265"/>
    <s v="231115"/>
    <s v="VUN"/>
    <s v="ECC"/>
    <s v="HEA"/>
    <s v="BUP"/>
    <s v="EAW"/>
    <s v="FLR"/>
    <s v="JFK"/>
    <s v="JFK"/>
    <s v="N"/>
    <s v="B1B-3034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672"/>
    <s v="DA"/>
    <s v="05771752424002"/>
    <s v="PMC31447KL"/>
    <s v="1301.7"/>
    <s v="1"/>
    <s v="10.00"/>
    <s v="Y"/>
    <s v="Y"/>
    <s v="DL"/>
    <s v="265"/>
    <s v="231115"/>
    <s v="VUN"/>
    <s v="ECC"/>
    <s v="HEA"/>
    <s v="BUP"/>
    <s v="EAW"/>
    <s v="FLR"/>
    <s v="JFK"/>
    <s v="JFK"/>
    <s v="N"/>
    <s v="B1C-2523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672"/>
    <s v="FA"/>
    <s v="05771752424003"/>
    <s v="PMC32810KL"/>
    <s v="1044.0"/>
    <s v="1"/>
    <s v="10.00"/>
    <s v="Y"/>
    <s v="Y"/>
    <s v="DL"/>
    <s v="265"/>
    <s v="231116"/>
    <s v="VUN"/>
    <s v="ECC"/>
    <s v="HEA"/>
    <s v="BUP"/>
    <s v="EAW"/>
    <s v="FLR"/>
    <s v="JFK"/>
    <s v="JFK"/>
    <s v="N"/>
    <s v="B1C-2522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672"/>
    <s v="HA"/>
    <s v="05771752424004"/>
    <s v="PMC73681AF"/>
    <s v="1030.0"/>
    <s v="1"/>
    <s v="10.00"/>
    <s v="Y"/>
    <s v="Y"/>
    <s v="DL"/>
    <s v="265"/>
    <s v="231116"/>
    <s v="VUN"/>
    <s v="ECC"/>
    <s v="HEA"/>
    <s v="BUP"/>
    <s v="EAW"/>
    <s v="FLR"/>
    <s v="JFK"/>
    <s v="JFK"/>
    <s v="N"/>
    <s v="B1B-3031"/>
    <s v="ML"/>
    <m/>
    <s v="Failed"/>
    <m/>
    <x v="0"/>
    <m/>
    <m/>
    <m/>
    <m/>
    <m/>
    <m/>
    <m/>
    <m/>
    <s v="3.1"/>
    <n v="0.25"/>
    <b v="0"/>
    <b v="0"/>
    <b v="0"/>
    <b v="0"/>
    <b v="0"/>
    <s v="No"/>
    <s v="No"/>
  </r>
  <r>
    <d v="2023-11-14T00:00:00"/>
    <x v="673"/>
    <s v="BA"/>
    <s v="05771752660001"/>
    <s v="PMC20835KL"/>
    <s v="722.4"/>
    <s v="1"/>
    <s v="10.00"/>
    <s v="Y"/>
    <s v="Y"/>
    <s v="AF"/>
    <s v="062"/>
    <s v="231115"/>
    <s v="ECC"/>
    <s v="HEA"/>
    <s v="BUP"/>
    <s v="EAW"/>
    <m/>
    <s v="FLR"/>
    <s v="EWR"/>
    <s v="EWR"/>
    <s v="N"/>
    <s v="B2B-4235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73"/>
    <s v="DA"/>
    <s v="05771752660002"/>
    <s v="PMC31493KL"/>
    <s v="837.8"/>
    <s v="1"/>
    <s v="10.00"/>
    <s v="Y"/>
    <s v="Y"/>
    <s v="AF"/>
    <s v="062"/>
    <s v="231115"/>
    <s v="ECC"/>
    <s v="HEA"/>
    <s v="BUP"/>
    <s v="EAW"/>
    <m/>
    <s v="FLR"/>
    <s v="EWR"/>
    <s v="EWR"/>
    <s v="N"/>
    <s v="B2D-6431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74"/>
    <s v="BA"/>
    <s v="05771758875001"/>
    <m/>
    <s v="150.0"/>
    <s v="1"/>
    <s v=".37"/>
    <s v="Y"/>
    <s v="N"/>
    <s v="AF"/>
    <s v="374"/>
    <s v="231116"/>
    <s v="HEA"/>
    <m/>
    <m/>
    <m/>
    <m/>
    <s v="SWK"/>
    <s v="YVR"/>
    <s v="YVR"/>
    <s v="N"/>
    <s v="XLC00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74"/>
    <s v="DA"/>
    <s v="05771758875002"/>
    <m/>
    <s v="100.0"/>
    <s v="1"/>
    <s v=".24"/>
    <s v="Y"/>
    <s v="N"/>
    <s v="AF"/>
    <s v="374"/>
    <s v="231116"/>
    <m/>
    <m/>
    <m/>
    <m/>
    <m/>
    <s v="SWK"/>
    <s v="YVR"/>
    <s v="YVR"/>
    <s v="N"/>
    <s v="LLC22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75"/>
    <s v="BA"/>
    <s v="05771761255001"/>
    <m/>
    <s v="100.0"/>
    <s v="1"/>
    <s v="1.57"/>
    <s v="Y"/>
    <s v="N"/>
    <s v="AF"/>
    <s v="092"/>
    <s v="231116"/>
    <s v="EAP"/>
    <m/>
    <m/>
    <m/>
    <m/>
    <s v="SWK"/>
    <s v="MIA"/>
    <s v="MIA"/>
    <s v="N"/>
    <s v="51305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76"/>
    <s v="BA"/>
    <s v="05771762902001"/>
    <s v="PMC71793AF"/>
    <s v="1158.8"/>
    <s v="1"/>
    <s v="10.00"/>
    <s v="Y"/>
    <s v="Y"/>
    <s v="AF"/>
    <s v="004"/>
    <s v="231117"/>
    <s v="HEA"/>
    <s v="BUP"/>
    <s v="EAP"/>
    <m/>
    <m/>
    <s v="SWK"/>
    <s v="JFK"/>
    <s v="JFK"/>
    <s v="N"/>
    <s v="B2B-4238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77"/>
    <s v="BA"/>
    <s v="05771768524001"/>
    <m/>
    <s v="551.0"/>
    <s v="1"/>
    <s v="2.15"/>
    <s v="Y"/>
    <s v="N"/>
    <s v="DL"/>
    <s v="265"/>
    <s v="231117"/>
    <s v="HEA"/>
    <s v="OHG"/>
    <s v="EAW"/>
    <m/>
    <m/>
    <s v="SWK"/>
    <s v="JFK"/>
    <s v="JFK"/>
    <s v="N"/>
    <s v="XLC10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77"/>
    <s v="DA"/>
    <s v="05771768524002"/>
    <m/>
    <s v="551.0"/>
    <s v="1"/>
    <s v="2.15"/>
    <s v="Y"/>
    <s v="N"/>
    <s v="DL"/>
    <s v="265"/>
    <s v="231117"/>
    <s v="HEA"/>
    <s v="OHG"/>
    <s v="EAW"/>
    <m/>
    <m/>
    <s v="SWK"/>
    <s v="JFK"/>
    <s v="JFK"/>
    <s v="N"/>
    <s v="N6102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78"/>
    <s v="BA"/>
    <s v="05771769320001"/>
    <m/>
    <s v="414.5"/>
    <s v="1"/>
    <s v=".90"/>
    <s v="Y"/>
    <s v="N"/>
    <s v="AF"/>
    <s v="460"/>
    <s v="231115"/>
    <s v="HEA"/>
    <m/>
    <m/>
    <m/>
    <m/>
    <s v="SWK"/>
    <s v="GRU"/>
    <s v="GRU"/>
    <s v="N"/>
    <s v="Q5102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679"/>
    <s v="BA"/>
    <s v="05771769434001"/>
    <s v="PMC21266KL"/>
    <s v="1858.0"/>
    <s v="5"/>
    <s v="7.58"/>
    <s v="Y"/>
    <s v="N"/>
    <s v="AF"/>
    <s v="090"/>
    <s v="231116"/>
    <s v="HEA"/>
    <m/>
    <m/>
    <m/>
    <m/>
    <s v="FLR"/>
    <s v="MIA"/>
    <s v="MIA"/>
    <s v="N"/>
    <s v="B2B-4019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79"/>
    <s v="DA"/>
    <s v="05771769434002"/>
    <s v="PMC32949KL"/>
    <s v="1959.0"/>
    <s v="6"/>
    <s v="9.11"/>
    <s v="Y"/>
    <s v="N"/>
    <s v="AF"/>
    <s v="090"/>
    <s v="231116"/>
    <s v="HEA"/>
    <m/>
    <m/>
    <m/>
    <m/>
    <s v="FLR"/>
    <s v="MIA"/>
    <s v="MIA"/>
    <s v="N"/>
    <s v="B1C-2443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80"/>
    <s v="BA"/>
    <s v="05771772256001"/>
    <m/>
    <s v="137.7"/>
    <s v="1"/>
    <s v="2.23"/>
    <s v="Y"/>
    <s v="N"/>
    <s v="AF"/>
    <s v="092"/>
    <s v="231116"/>
    <m/>
    <m/>
    <m/>
    <m/>
    <m/>
    <s v="SWK"/>
    <s v="LPB"/>
    <s v="MIA"/>
    <s v="N"/>
    <s v="HLC085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80"/>
    <s v="DA"/>
    <s v="05771772256002"/>
    <m/>
    <s v="137.7"/>
    <s v="1"/>
    <s v="2.23"/>
    <s v="Y"/>
    <s v="N"/>
    <s v="AF"/>
    <s v="092"/>
    <s v="231116"/>
    <m/>
    <m/>
    <m/>
    <m/>
    <m/>
    <s v="SWK"/>
    <s v="LPB"/>
    <s v="MIA"/>
    <s v="N"/>
    <s v="XLC10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80"/>
    <s v="FA"/>
    <s v="05771772256003"/>
    <m/>
    <s v="137.7"/>
    <s v="1"/>
    <s v="2.23"/>
    <s v="Y"/>
    <s v="N"/>
    <s v="AF"/>
    <s v="092"/>
    <s v="231116"/>
    <m/>
    <m/>
    <m/>
    <m/>
    <m/>
    <s v="SWK"/>
    <s v="LPB"/>
    <s v="MIA"/>
    <s v="N"/>
    <s v="XLC00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81"/>
    <s v="BA"/>
    <s v="05771881025001"/>
    <m/>
    <s v="133.8"/>
    <s v="1"/>
    <s v=".32"/>
    <s v="Y"/>
    <s v="N"/>
    <s v="AF"/>
    <s v="568"/>
    <s v="231116"/>
    <s v="ECP"/>
    <s v="EAP"/>
    <m/>
    <m/>
    <m/>
    <s v="IAH"/>
    <s v="CAI"/>
    <s v="CAI"/>
    <s v="N"/>
    <s v="LLC34"/>
    <m/>
    <m/>
    <s v="Passed"/>
    <m/>
    <x v="36"/>
    <m/>
    <m/>
    <m/>
    <m/>
    <m/>
    <m/>
    <m/>
    <m/>
    <s v="3.1"/>
    <n v="0.25"/>
    <b v="0"/>
    <b v="0"/>
    <b v="0"/>
    <b v="0"/>
    <b v="0"/>
    <s v="No"/>
    <s v="Yes"/>
  </r>
  <r>
    <d v="2023-11-14T00:00:00"/>
    <x v="681"/>
    <s v="DA"/>
    <s v="05771881025002"/>
    <m/>
    <s v="133.8"/>
    <s v="1"/>
    <s v=".32"/>
    <s v="Y"/>
    <s v="N"/>
    <s v="AF"/>
    <s v="568"/>
    <s v="231116"/>
    <s v="ECP"/>
    <s v="EAP"/>
    <m/>
    <m/>
    <m/>
    <s v="IAH"/>
    <s v="CAI"/>
    <s v="CAI"/>
    <s v="N"/>
    <s v="LLC31"/>
    <m/>
    <m/>
    <s v="Passed"/>
    <m/>
    <x v="36"/>
    <m/>
    <m/>
    <m/>
    <m/>
    <m/>
    <m/>
    <m/>
    <m/>
    <s v="3.1"/>
    <n v="0.25"/>
    <b v="0"/>
    <b v="0"/>
    <b v="0"/>
    <b v="0"/>
    <b v="0"/>
    <s v="No"/>
    <s v="Yes"/>
  </r>
  <r>
    <d v="2023-11-14T00:00:00"/>
    <x v="681"/>
    <s v="FA"/>
    <s v="05771881025003"/>
    <m/>
    <s v="133.8"/>
    <s v="1"/>
    <s v=".32"/>
    <s v="Y"/>
    <s v="N"/>
    <s v="AF"/>
    <s v="568"/>
    <s v="231116"/>
    <s v="ECP"/>
    <s v="EAP"/>
    <m/>
    <m/>
    <m/>
    <s v="IAH"/>
    <s v="CAI"/>
    <s v="CAI"/>
    <s v="N"/>
    <s v="LLC31"/>
    <m/>
    <m/>
    <s v="Passed"/>
    <m/>
    <x v="36"/>
    <m/>
    <m/>
    <m/>
    <m/>
    <m/>
    <m/>
    <m/>
    <m/>
    <s v="3.1"/>
    <n v="0.25"/>
    <b v="0"/>
    <b v="0"/>
    <b v="0"/>
    <b v="0"/>
    <b v="0"/>
    <s v="No"/>
    <s v="Yes"/>
  </r>
  <r>
    <d v="2023-11-14T00:00:00"/>
    <x v="681"/>
    <s v="HA"/>
    <s v="05771881025004"/>
    <m/>
    <s v="133.8"/>
    <s v="1"/>
    <s v=".32"/>
    <s v="Y"/>
    <s v="N"/>
    <s v="AF"/>
    <s v="568"/>
    <s v="231116"/>
    <s v="ECP"/>
    <s v="EAP"/>
    <m/>
    <m/>
    <m/>
    <s v="IAH"/>
    <s v="CAI"/>
    <s v="CAI"/>
    <s v="N"/>
    <s v="LLC30"/>
    <m/>
    <m/>
    <s v="Passed"/>
    <m/>
    <x v="36"/>
    <m/>
    <m/>
    <m/>
    <m/>
    <m/>
    <m/>
    <m/>
    <m/>
    <s v="3.1"/>
    <n v="0.25"/>
    <b v="0"/>
    <b v="0"/>
    <b v="0"/>
    <b v="0"/>
    <b v="0"/>
    <s v="No"/>
    <s v="Yes"/>
  </r>
  <r>
    <d v="2023-11-14T00:00:00"/>
    <x v="682"/>
    <s v="BA"/>
    <s v="05771881040001"/>
    <s v="PMC86427DL"/>
    <s v="2223.7"/>
    <s v="22"/>
    <s v="10.06"/>
    <s v="Y"/>
    <s v="N"/>
    <s v="AF"/>
    <s v="990"/>
    <s v="231116"/>
    <s v="ECC"/>
    <s v="EAW"/>
    <m/>
    <m/>
    <m/>
    <s v="ORD"/>
    <s v="JNB"/>
    <s v="JNB"/>
    <s v="N"/>
    <s v="B2A-4739"/>
    <s v="ML"/>
    <m/>
    <s v="Passed"/>
    <m/>
    <x v="36"/>
    <m/>
    <m/>
    <m/>
    <m/>
    <m/>
    <m/>
    <m/>
    <m/>
    <s v="3.1"/>
    <n v="0.5"/>
    <b v="0"/>
    <b v="0"/>
    <b v="0"/>
    <b v="0"/>
    <b v="0"/>
    <s v="No"/>
    <s v="Yes"/>
  </r>
  <r>
    <d v="2023-11-14T00:00:00"/>
    <x v="682"/>
    <s v="DA"/>
    <s v="05771881040002"/>
    <m/>
    <s v="202.2"/>
    <s v="2"/>
    <s v=".91"/>
    <s v="Y"/>
    <s v="N"/>
    <s v="AF"/>
    <s v="990"/>
    <s v="231116"/>
    <s v="ECC"/>
    <s v="EAW"/>
    <m/>
    <m/>
    <m/>
    <s v="ORD"/>
    <s v="JNB"/>
    <s v="JNB"/>
    <s v="N"/>
    <s v="R8303"/>
    <m/>
    <m/>
    <s v="Passed"/>
    <m/>
    <x v="36"/>
    <m/>
    <m/>
    <m/>
    <m/>
    <m/>
    <m/>
    <m/>
    <m/>
    <s v="3.1"/>
    <n v="0.5"/>
    <b v="0"/>
    <b v="0"/>
    <b v="0"/>
    <b v="0"/>
    <b v="0"/>
    <s v="No"/>
    <s v="Yes"/>
  </r>
  <r>
    <d v="2023-11-14T00:00:00"/>
    <x v="683"/>
    <s v="BA"/>
    <s v="05771886662001"/>
    <m/>
    <s v="1687.3"/>
    <s v="4"/>
    <s v="6.87"/>
    <s v="Y"/>
    <s v="N"/>
    <s v="AF"/>
    <s v="718"/>
    <s v="231115"/>
    <s v="ECC"/>
    <s v="HEA"/>
    <m/>
    <m/>
    <m/>
    <s v="ORD"/>
    <s v="DSS"/>
    <s v="DSS"/>
    <s v="N"/>
    <m/>
    <m/>
    <m/>
    <s v="Passed"/>
    <m/>
    <x v="5"/>
    <m/>
    <m/>
    <m/>
    <m/>
    <m/>
    <m/>
    <m/>
    <m/>
    <s v="3.1"/>
    <n v="0.5"/>
    <b v="0"/>
    <b v="0"/>
    <b v="0"/>
    <b v="0"/>
    <b v="0"/>
    <s v="No"/>
    <s v="Yes"/>
  </r>
  <r>
    <d v="2023-11-14T00:00:00"/>
    <x v="684"/>
    <s v="BA"/>
    <s v="05771889742001"/>
    <m/>
    <s v="73.5"/>
    <s v="7"/>
    <s v=".53"/>
    <s v="Y"/>
    <s v="N"/>
    <s v="AF"/>
    <s v="814"/>
    <s v="231115"/>
    <s v="ECP"/>
    <s v="EAP"/>
    <m/>
    <m/>
    <m/>
    <s v="SFO"/>
    <s v="NBO"/>
    <s v="NBO"/>
    <s v="N"/>
    <s v="N3002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84"/>
    <s v="DA"/>
    <s v="05771889742002"/>
    <m/>
    <s v="31.5"/>
    <s v="3"/>
    <s v=".23"/>
    <s v="Y"/>
    <s v="N"/>
    <s v="AF"/>
    <s v="814"/>
    <s v="231115"/>
    <s v="ECP"/>
    <s v="EAP"/>
    <m/>
    <m/>
    <m/>
    <s v="SFO"/>
    <s v="NBO"/>
    <s v="NBO"/>
    <s v="N"/>
    <s v="HLC043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85"/>
    <s v="BA"/>
    <s v="05771895224001"/>
    <s v="PMC24887KL"/>
    <s v="737.6"/>
    <s v="1"/>
    <s v=".92"/>
    <s v="Y"/>
    <s v="N"/>
    <s v="AF"/>
    <s v="470M"/>
    <s v="231115"/>
    <s v="ECC"/>
    <s v="HEA"/>
    <s v="EAP"/>
    <m/>
    <m/>
    <s v="IAD"/>
    <s v="ARN"/>
    <s v="MMX"/>
    <s v="N"/>
    <s v="B2C-5835"/>
    <s v="ML"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686"/>
    <s v="BA"/>
    <s v="05771895331001"/>
    <m/>
    <s v="182.6"/>
    <s v="29"/>
    <s v=".94"/>
    <s v="Y"/>
    <s v="N"/>
    <s v="AF"/>
    <s v="658M"/>
    <s v="231115"/>
    <s v="ECC"/>
    <s v="EAW"/>
    <m/>
    <m/>
    <m/>
    <s v="LAX"/>
    <s v="BCN"/>
    <s v="BCN"/>
    <s v="N"/>
    <s v="BCN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87"/>
    <s v="BA"/>
    <s v="05771995011001"/>
    <m/>
    <s v="100.0"/>
    <s v="1"/>
    <s v="1.17"/>
    <s v="Y"/>
    <s v="N"/>
    <s v="AF"/>
    <s v="084"/>
    <s v="231116"/>
    <s v="ECC"/>
    <s v="EAP"/>
    <m/>
    <m/>
    <m/>
    <s v="SWK"/>
    <s v="SFO"/>
    <s v="SFO"/>
    <s v="N"/>
    <s v="XLC0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88"/>
    <s v="BA"/>
    <s v="05774576191001"/>
    <m/>
    <s v="80.0"/>
    <s v="1"/>
    <s v="1.51"/>
    <s v="Y"/>
    <s v="N"/>
    <s v="AF"/>
    <s v="174"/>
    <s v="231115"/>
    <s v="ELI"/>
    <s v="EAP"/>
    <m/>
    <m/>
    <m/>
    <s v="FRA"/>
    <s v="GDL"/>
    <s v="MEX"/>
    <s v="N"/>
    <s v="71201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88"/>
    <s v="DA"/>
    <s v="05774576191002"/>
    <m/>
    <s v="80.0"/>
    <s v="1"/>
    <s v="1.52"/>
    <s v="Y"/>
    <s v="N"/>
    <s v="AF"/>
    <s v="174"/>
    <s v="231115"/>
    <s v="ELI"/>
    <s v="EAP"/>
    <m/>
    <m/>
    <m/>
    <s v="FRA"/>
    <s v="GDL"/>
    <s v="MEX"/>
    <s v="N"/>
    <s v="71004"/>
    <m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689"/>
    <s v="BA"/>
    <s v="05780333525001"/>
    <m/>
    <s v="86.9"/>
    <s v="1"/>
    <s v=".16"/>
    <s v="Y"/>
    <s v="N"/>
    <s v="AF"/>
    <s v="694"/>
    <s v="231116"/>
    <s v="ECC"/>
    <s v="EAP"/>
    <m/>
    <m/>
    <m/>
    <s v="FRA"/>
    <s v="IAH"/>
    <s v="IAH"/>
    <s v="N"/>
    <s v="LLC60"/>
    <m/>
    <m/>
    <s v="Passed"/>
    <m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689"/>
    <s v="DA"/>
    <s v="05780333525002"/>
    <m/>
    <s v="347.8"/>
    <s v="4"/>
    <s v=".62"/>
    <s v="Y"/>
    <s v="N"/>
    <s v="AF"/>
    <s v="694"/>
    <s v="231116"/>
    <s v="ECC"/>
    <s v="EAP"/>
    <m/>
    <m/>
    <m/>
    <s v="FRA"/>
    <s v="IAH"/>
    <s v="IAH"/>
    <s v="N"/>
    <s v="50001"/>
    <m/>
    <m/>
    <s v="Passed"/>
    <m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689"/>
    <s v="FA"/>
    <s v="05780333525003"/>
    <m/>
    <s v="173.9"/>
    <s v="2"/>
    <s v=".31"/>
    <s v="Y"/>
    <s v="N"/>
    <s v="AF"/>
    <s v="694"/>
    <s v="231116"/>
    <s v="ECC"/>
    <s v="EAP"/>
    <m/>
    <m/>
    <m/>
    <s v="FRA"/>
    <s v="IAH"/>
    <s v="IAH"/>
    <s v="N"/>
    <s v="N5001"/>
    <m/>
    <m/>
    <s v="Passed"/>
    <m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689"/>
    <s v="HA"/>
    <s v="05780333525004"/>
    <m/>
    <s v="86.9"/>
    <s v="1"/>
    <s v=".16"/>
    <s v="Y"/>
    <s v="N"/>
    <s v="AF"/>
    <s v="694"/>
    <s v="231116"/>
    <s v="ECC"/>
    <s v="EAP"/>
    <m/>
    <m/>
    <m/>
    <s v="FRA"/>
    <s v="IAH"/>
    <s v="IAH"/>
    <s v="N"/>
    <s v="N6101"/>
    <m/>
    <m/>
    <s v="Passed"/>
    <m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689"/>
    <s v="JA"/>
    <s v="05780333525005"/>
    <m/>
    <s v="86.9"/>
    <s v="1"/>
    <s v=".16"/>
    <s v="Y"/>
    <s v="N"/>
    <s v="AF"/>
    <s v="694"/>
    <s v="231116"/>
    <s v="ECC"/>
    <s v="EAP"/>
    <m/>
    <m/>
    <m/>
    <s v="FRA"/>
    <s v="IAH"/>
    <s v="IAH"/>
    <s v="N"/>
    <s v="53301"/>
    <m/>
    <m/>
    <s v="Passed"/>
    <m/>
    <x v="5"/>
    <m/>
    <m/>
    <m/>
    <m/>
    <m/>
    <m/>
    <m/>
    <m/>
    <s v="3.1"/>
    <n v="0.2"/>
    <b v="0"/>
    <b v="0"/>
    <b v="0"/>
    <b v="0"/>
    <b v="0"/>
    <s v="No"/>
    <s v="No"/>
  </r>
  <r>
    <d v="2023-11-14T00:00:00"/>
    <x v="690"/>
    <s v="BA"/>
    <s v="05781625876001"/>
    <m/>
    <s v="140.0"/>
    <s v="1"/>
    <s v="1.10"/>
    <s v="Y"/>
    <s v="N"/>
    <s v="AF"/>
    <s v="356"/>
    <s v="231116"/>
    <m/>
    <m/>
    <m/>
    <m/>
    <m/>
    <s v="IST"/>
    <s v="YYZ"/>
    <s v="YYZ"/>
    <s v="N"/>
    <s v="P2001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691"/>
    <s v="BA"/>
    <s v="05787183762001"/>
    <s v="PMC70144AF"/>
    <s v="2584.0"/>
    <s v="100"/>
    <s v="15.47"/>
    <s v="Y"/>
    <s v="N"/>
    <s v="AF"/>
    <s v="054"/>
    <s v="231115"/>
    <s v="PES"/>
    <s v="ERT"/>
    <s v="EAP"/>
    <m/>
    <m/>
    <s v="DSS"/>
    <s v="IAD"/>
    <s v="IAD"/>
    <s v="N"/>
    <s v="BFR-4422"/>
    <s v="ML"/>
    <m/>
    <s v="Failed"/>
    <m/>
    <x v="30"/>
    <m/>
    <m/>
    <m/>
    <m/>
    <m/>
    <m/>
    <m/>
    <m/>
    <s v="3.1"/>
    <n v="1"/>
    <b v="0"/>
    <b v="0"/>
    <b v="0"/>
    <b v="0"/>
    <b v="0"/>
    <s v="No"/>
    <s v="Yes"/>
  </r>
  <r>
    <d v="2023-11-14T00:00:00"/>
    <x v="692"/>
    <s v="BA"/>
    <s v="05787402582001"/>
    <m/>
    <s v="720.0"/>
    <s v="10"/>
    <s v="2.58"/>
    <s v="Y"/>
    <s v="N"/>
    <s v="AF"/>
    <s v="084"/>
    <s v="231116"/>
    <m/>
    <m/>
    <m/>
    <m/>
    <m/>
    <s v="IST"/>
    <s v="LAX"/>
    <s v="SFO"/>
    <s v="N"/>
    <s v="XLC20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93"/>
    <s v="BA"/>
    <s v="05788337826001"/>
    <s v="PMC32427KL"/>
    <s v="166.0"/>
    <s v="1"/>
    <s v=".80"/>
    <s v="Y"/>
    <s v="N"/>
    <s v="AF"/>
    <s v="328"/>
    <s v="231116"/>
    <s v="HEA"/>
    <m/>
    <m/>
    <m/>
    <m/>
    <s v="LIL"/>
    <s v="YYZ"/>
    <s v="YOW"/>
    <s v="N"/>
    <s v="B2B-4135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693"/>
    <s v="DA"/>
    <s v="05788337826002"/>
    <s v="PMC32427KL"/>
    <s v="166.0"/>
    <s v="1"/>
    <s v=".80"/>
    <s v="Y"/>
    <s v="N"/>
    <s v="AF"/>
    <s v="328"/>
    <s v="231116"/>
    <s v="HEA"/>
    <m/>
    <m/>
    <m/>
    <m/>
    <s v="LIL"/>
    <s v="YYZ"/>
    <s v="YOW"/>
    <s v="N"/>
    <s v="B2B-4135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693"/>
    <s v="FA"/>
    <s v="05788337826003"/>
    <s v="PMC32427KL"/>
    <s v="166.0"/>
    <s v="1"/>
    <s v=".80"/>
    <s v="Y"/>
    <s v="N"/>
    <s v="AF"/>
    <s v="328"/>
    <s v="231116"/>
    <s v="HEA"/>
    <m/>
    <m/>
    <m/>
    <m/>
    <s v="LIL"/>
    <s v="YYZ"/>
    <s v="YOW"/>
    <s v="N"/>
    <s v="B2B-4135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693"/>
    <s v="HA"/>
    <s v="05788337826004"/>
    <s v="PMC32427KL"/>
    <s v="166.0"/>
    <s v="1"/>
    <s v=".80"/>
    <s v="Y"/>
    <s v="N"/>
    <s v="AF"/>
    <s v="328"/>
    <s v="231116"/>
    <s v="HEA"/>
    <m/>
    <m/>
    <m/>
    <m/>
    <s v="LIL"/>
    <s v="YYZ"/>
    <s v="YOW"/>
    <s v="N"/>
    <s v="B2B-4135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693"/>
    <s v="JA"/>
    <s v="05788337826005"/>
    <s v="PMC32427KL"/>
    <s v="166.0"/>
    <s v="1"/>
    <s v=".80"/>
    <s v="Y"/>
    <s v="N"/>
    <s v="AF"/>
    <s v="328"/>
    <s v="231116"/>
    <s v="HEA"/>
    <m/>
    <m/>
    <m/>
    <m/>
    <s v="LIL"/>
    <s v="YYZ"/>
    <s v="YOW"/>
    <s v="N"/>
    <s v="B2B-4135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693"/>
    <s v="LA"/>
    <s v="05788337826006"/>
    <s v="PMC32427KL"/>
    <s v="166.0"/>
    <s v="1"/>
    <s v=".80"/>
    <s v="Y"/>
    <s v="N"/>
    <s v="AF"/>
    <s v="328"/>
    <s v="231116"/>
    <s v="HEA"/>
    <m/>
    <m/>
    <m/>
    <m/>
    <s v="LIL"/>
    <s v="YYZ"/>
    <s v="YOW"/>
    <s v="N"/>
    <s v="B2B-4135"/>
    <s v="ML"/>
    <m/>
    <s v="Failed"/>
    <m/>
    <x v="0"/>
    <m/>
    <m/>
    <m/>
    <m/>
    <m/>
    <m/>
    <m/>
    <m/>
    <s v="3.1"/>
    <n v="0.16666666666666666"/>
    <b v="0"/>
    <b v="0"/>
    <b v="0"/>
    <b v="0"/>
    <b v="0"/>
    <s v="No"/>
    <s v="No"/>
  </r>
  <r>
    <d v="2023-11-14T00:00:00"/>
    <x v="694"/>
    <s v="BA"/>
    <s v="05788901595001"/>
    <m/>
    <s v="626.0"/>
    <s v="8"/>
    <s v="1.19"/>
    <s v="Y"/>
    <s v="N"/>
    <s v="AF"/>
    <s v="374"/>
    <s v="231117"/>
    <s v="EAP"/>
    <m/>
    <m/>
    <m/>
    <m/>
    <s v="NBO"/>
    <s v="YVR"/>
    <s v="YVR"/>
    <s v="N"/>
    <s v="ECV00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695"/>
    <s v="BA"/>
    <s v="05788914501001"/>
    <m/>
    <s v="385.0"/>
    <s v="1"/>
    <s v=".72"/>
    <s v="Y"/>
    <s v="N"/>
    <s v="AF"/>
    <s v="6730"/>
    <s v="231116"/>
    <s v="HEA"/>
    <m/>
    <m/>
    <m/>
    <m/>
    <s v="IST"/>
    <s v="ORD"/>
    <s v="ORD"/>
    <s v="N"/>
    <s v="S30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96"/>
    <s v="BA"/>
    <s v="05792062806001"/>
    <m/>
    <s v="153.0"/>
    <s v="1"/>
    <s v=".58"/>
    <s v="Y"/>
    <s v="N"/>
    <s v="AF"/>
    <s v="194"/>
    <s v="231115"/>
    <s v="ELM"/>
    <s v="ECC"/>
    <s v="HEA"/>
    <s v="EAW"/>
    <m/>
    <s v="BSL"/>
    <s v="BLR"/>
    <s v="BLR"/>
    <s v="N"/>
    <s v="R90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97"/>
    <s v="BA"/>
    <s v="05793398255001"/>
    <m/>
    <s v="197.0"/>
    <s v="2"/>
    <s v=".77"/>
    <s v="Y"/>
    <s v="N"/>
    <s v="AF"/>
    <s v="454"/>
    <s v="231116"/>
    <s v="ECP"/>
    <m/>
    <m/>
    <m/>
    <m/>
    <s v="MAN"/>
    <s v="GRU"/>
    <s v="GRU"/>
    <s v="N"/>
    <s v="Q2003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698"/>
    <s v="BA"/>
    <s v="05793639895001"/>
    <m/>
    <s v="265.3"/>
    <s v="1"/>
    <s v="1.24"/>
    <s v="Y"/>
    <s v="N"/>
    <s v="DL"/>
    <s v="263"/>
    <s v="231115"/>
    <s v="ECC"/>
    <s v="HEA"/>
    <s v="EAP"/>
    <m/>
    <m/>
    <s v="TLS"/>
    <s v="JFK"/>
    <s v="JFK"/>
    <s v="N"/>
    <s v="M6302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98"/>
    <s v="DA"/>
    <s v="05793639895002"/>
    <m/>
    <s v="265.3"/>
    <s v="1"/>
    <s v="1.24"/>
    <s v="Y"/>
    <s v="N"/>
    <s v="DL"/>
    <s v="263"/>
    <s v="231115"/>
    <s v="ECC"/>
    <s v="HEA"/>
    <s v="EAP"/>
    <m/>
    <m/>
    <s v="TLS"/>
    <s v="JFK"/>
    <s v="JFK"/>
    <s v="N"/>
    <s v="72201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98"/>
    <s v="FA"/>
    <s v="05793639895003"/>
    <m/>
    <s v="265.3"/>
    <s v="1"/>
    <s v="1.24"/>
    <s v="Y"/>
    <s v="N"/>
    <s v="DL"/>
    <s v="263"/>
    <s v="231115"/>
    <s v="ECC"/>
    <s v="HEA"/>
    <s v="EAP"/>
    <m/>
    <m/>
    <s v="TLS"/>
    <s v="JFK"/>
    <s v="JFK"/>
    <s v="N"/>
    <s v="M5002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699"/>
    <s v="BA"/>
    <s v="05795661576001"/>
    <m/>
    <s v="233.5"/>
    <s v="1"/>
    <s v="1.79"/>
    <s v="Y"/>
    <s v="N"/>
    <s v="AF"/>
    <s v="702"/>
    <s v="231117"/>
    <s v="ELI"/>
    <s v="HEA"/>
    <m/>
    <m/>
    <m/>
    <s v="LHR"/>
    <s v="ABJ"/>
    <s v="ABJ"/>
    <s v="N"/>
    <s v="56205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699"/>
    <s v="DA"/>
    <s v="05795661576002"/>
    <m/>
    <s v="233.5"/>
    <s v="1"/>
    <s v="1.80"/>
    <s v="Y"/>
    <s v="N"/>
    <s v="AF"/>
    <s v="702"/>
    <s v="231117"/>
    <s v="HEA"/>
    <m/>
    <m/>
    <m/>
    <m/>
    <s v="LHR"/>
    <s v="ABJ"/>
    <s v="ABJ"/>
    <s v="N"/>
    <s v="56203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700"/>
    <s v="BA"/>
    <s v="05797464076001"/>
    <m/>
    <s v="110.0"/>
    <s v="1"/>
    <s v=".90"/>
    <s v="Y"/>
    <s v="N"/>
    <s v="AF"/>
    <s v="926"/>
    <s v="231117"/>
    <m/>
    <m/>
    <m/>
    <m/>
    <m/>
    <s v="LOS"/>
    <s v="LBV"/>
    <s v="LBV"/>
    <s v="N"/>
    <s v="HLC112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701"/>
    <s v="BA"/>
    <s v="05797569614001"/>
    <s v="PMC28364KL"/>
    <s v="2298.0"/>
    <s v="5"/>
    <s v="10.75"/>
    <s v="Y"/>
    <s v="N"/>
    <s v="AF"/>
    <s v="062"/>
    <s v="231116"/>
    <s v="ECC"/>
    <s v="HEA"/>
    <s v="ULD"/>
    <s v="EAP"/>
    <m/>
    <s v="SOF"/>
    <s v="EWR"/>
    <s v="EWR"/>
    <s v="N"/>
    <s v="B1A-3434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701"/>
    <s v="DA"/>
    <s v="05797569614002"/>
    <s v="PMC69342AF"/>
    <s v="2183.0"/>
    <s v="4"/>
    <s v="10.75"/>
    <s v="Y"/>
    <s v="N"/>
    <s v="AF"/>
    <s v="062"/>
    <s v="231116"/>
    <s v="ECC"/>
    <s v="HEA"/>
    <s v="ULD"/>
    <s v="EAP"/>
    <m/>
    <s v="SOF"/>
    <s v="EWR"/>
    <s v="EWR"/>
    <s v="N"/>
    <s v="B2C-6038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702"/>
    <s v="BA"/>
    <s v="05797570126001"/>
    <m/>
    <s v="109.6"/>
    <s v="1"/>
    <s v=".66"/>
    <s v="N"/>
    <s v="N"/>
    <s v="AF"/>
    <s v="140M"/>
    <s v="231115"/>
    <s v="RMD"/>
    <m/>
    <m/>
    <m/>
    <m/>
    <s v="CDG"/>
    <s v="MRS"/>
    <s v="MRS"/>
    <s v="N"/>
    <s v="21006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703"/>
    <s v="BA"/>
    <s v="07400849424001"/>
    <m/>
    <s v="63.4"/>
    <s v="1"/>
    <s v=".79"/>
    <s v="Y"/>
    <s v="N"/>
    <s v="AF"/>
    <s v="474"/>
    <s v="231115"/>
    <s v="CRT"/>
    <s v="PIL"/>
    <s v="ECP"/>
    <s v="EAP"/>
    <m/>
    <s v="BOM"/>
    <s v="PTY"/>
    <s v="PTY"/>
    <s v="N"/>
    <s v="C1103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703"/>
    <s v="DA"/>
    <s v="07400849424002"/>
    <m/>
    <s v="63.4"/>
    <s v="1"/>
    <s v=".79"/>
    <s v="Y"/>
    <s v="N"/>
    <s v="AF"/>
    <s v="474"/>
    <s v="231115"/>
    <s v="CRT"/>
    <s v="PIL"/>
    <s v="ECP"/>
    <s v="EAP"/>
    <m/>
    <s v="BOM"/>
    <s v="PTY"/>
    <s v="PTY"/>
    <s v="N"/>
    <s v="C1101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703"/>
    <s v="FA"/>
    <s v="07400849424003"/>
    <m/>
    <s v="63.4"/>
    <s v="1"/>
    <s v=".79"/>
    <s v="Y"/>
    <s v="N"/>
    <s v="AF"/>
    <s v="474"/>
    <s v="231115"/>
    <s v="CRT"/>
    <s v="PIL"/>
    <s v="ECP"/>
    <s v="EAP"/>
    <m/>
    <s v="BOM"/>
    <s v="PTY"/>
    <s v="PTY"/>
    <s v="N"/>
    <s v="C1106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704"/>
    <s v="BA"/>
    <s v="07400879992001"/>
    <m/>
    <s v="85.0"/>
    <s v="1"/>
    <s v=".53"/>
    <s v="Y"/>
    <s v="N"/>
    <s v="AF"/>
    <s v="6762"/>
    <s v="231115"/>
    <m/>
    <m/>
    <m/>
    <m/>
    <m/>
    <s v="MIA"/>
    <s v="IST"/>
    <s v="IST"/>
    <s v="N"/>
    <s v="534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705"/>
    <s v="BA"/>
    <s v="07400880935001"/>
    <s v="PMC97371DL"/>
    <s v="469.0"/>
    <s v="1"/>
    <s v="1.89"/>
    <s v="Y"/>
    <s v="N"/>
    <s v="DL"/>
    <s v="263"/>
    <s v="231115"/>
    <s v="ECC"/>
    <s v="HEA"/>
    <s v="EAP"/>
    <m/>
    <m/>
    <s v="BOM"/>
    <s v="JFK"/>
    <s v="JFK"/>
    <s v="N"/>
    <s v="B1A-3241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705"/>
    <s v="DA"/>
    <s v="07400880935002"/>
    <s v="PMC97371DL"/>
    <s v="469.0"/>
    <s v="1"/>
    <s v="1.90"/>
    <s v="Y"/>
    <s v="N"/>
    <s v="DL"/>
    <s v="263"/>
    <s v="231115"/>
    <s v="ECC"/>
    <s v="HEA"/>
    <s v="EAP"/>
    <m/>
    <m/>
    <s v="BOM"/>
    <s v="JFK"/>
    <s v="JFK"/>
    <s v="N"/>
    <s v="B1A-3241"/>
    <s v="ML"/>
    <m/>
    <s v="Failed"/>
    <m/>
    <x v="0"/>
    <m/>
    <m/>
    <m/>
    <m/>
    <m/>
    <m/>
    <m/>
    <m/>
    <s v="3.1"/>
    <n v="0.5"/>
    <b v="0"/>
    <b v="0"/>
    <b v="0"/>
    <b v="0"/>
    <b v="0"/>
    <s v="No"/>
    <s v="No"/>
  </r>
  <r>
    <d v="2023-11-14T00:00:00"/>
    <x v="706"/>
    <s v="BA"/>
    <s v="07400883002001"/>
    <m/>
    <s v="105.9"/>
    <s v="1"/>
    <s v=".25"/>
    <s v="Y"/>
    <s v="N"/>
    <s v="AF"/>
    <s v="990"/>
    <s v="231117"/>
    <m/>
    <m/>
    <m/>
    <m/>
    <m/>
    <s v="BSL"/>
    <s v="JNB"/>
    <s v="JNB"/>
    <s v="N"/>
    <s v="R90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707"/>
    <s v="BA"/>
    <s v="07400884446001"/>
    <s v="PLA70805AF"/>
    <s v="1252.0"/>
    <s v="2"/>
    <s v="1.83"/>
    <s v="Y"/>
    <s v="N"/>
    <s v="AF"/>
    <s v="152"/>
    <s v="231115"/>
    <s v="ECC"/>
    <s v="HEA"/>
    <s v="EAP"/>
    <m/>
    <m/>
    <s v="JFK"/>
    <s v="BKK"/>
    <s v="BKK"/>
    <s v="N"/>
    <s v="B2A-5235"/>
    <s v="L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708"/>
    <s v="BA"/>
    <s v="07400888543001"/>
    <s v="PMC31479KL"/>
    <s v="2915.0"/>
    <s v="12"/>
    <s v="6.77"/>
    <s v="Y"/>
    <s v="N"/>
    <s v="AF"/>
    <s v="454"/>
    <s v="231115"/>
    <s v="HEA"/>
    <s v="EAP"/>
    <m/>
    <m/>
    <m/>
    <s v="FRA"/>
    <s v="GRU"/>
    <s v="GRU"/>
    <s v="N"/>
    <s v="B2C-5843"/>
    <s v="ML"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709"/>
    <s v="BA"/>
    <s v="07410740785001"/>
    <s v="PMC21341KL"/>
    <s v="1322.9"/>
    <s v="23"/>
    <s v="8.18"/>
    <s v="Y"/>
    <s v="N"/>
    <s v="AF"/>
    <s v="090"/>
    <s v="231115"/>
    <m/>
    <m/>
    <m/>
    <m/>
    <m/>
    <s v="BOM"/>
    <s v="MIA"/>
    <s v="MIA"/>
    <s v="N"/>
    <s v="B2C-5836"/>
    <s v="ML"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710"/>
    <s v="FA"/>
    <s v="07448028046003"/>
    <m/>
    <s v="197.0"/>
    <s v="1"/>
    <s v="1.23"/>
    <s v="Y"/>
    <s v="N"/>
    <s v="AF"/>
    <s v="480"/>
    <s v="231116"/>
    <s v="XPH"/>
    <m/>
    <m/>
    <m/>
    <m/>
    <s v="AMS"/>
    <s v="LIM"/>
    <s v="LIM"/>
    <s v="N"/>
    <s v="XT000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711"/>
    <s v="BA"/>
    <s v="07448449936001"/>
    <m/>
    <s v="235.0"/>
    <s v="1"/>
    <s v=".42"/>
    <s v="Y"/>
    <s v="N"/>
    <s v="DL"/>
    <s v="265"/>
    <s v="231117"/>
    <s v="HEA"/>
    <m/>
    <m/>
    <m/>
    <m/>
    <s v="KRK"/>
    <s v="JFK"/>
    <s v="JFK"/>
    <s v="N"/>
    <s v="M3302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712"/>
    <s v="BA"/>
    <s v="07455001111001"/>
    <s v="PMC00601DL"/>
    <s v="4892.0"/>
    <s v="4"/>
    <s v="4.96"/>
    <s v="Y"/>
    <s v="N"/>
    <s v="AF"/>
    <s v="090"/>
    <s v="231116"/>
    <s v="BIG"/>
    <s v="ECC"/>
    <s v="HEA"/>
    <s v="ULD"/>
    <s v="EAW"/>
    <s v="SWK"/>
    <s v="MIA"/>
    <s v="MIA"/>
    <s v="N"/>
    <s v="B1B-2741"/>
    <s v="ML"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712"/>
    <s v="DA"/>
    <s v="07455001111002"/>
    <s v="PMC04465DL"/>
    <s v="5014.0"/>
    <s v="4"/>
    <s v="4.96"/>
    <s v="Y"/>
    <s v="N"/>
    <s v="AF"/>
    <s v="090"/>
    <s v="231116"/>
    <s v="BIG"/>
    <s v="ECC"/>
    <s v="HEA"/>
    <s v="ULD"/>
    <s v="EAW"/>
    <s v="SWK"/>
    <s v="MIA"/>
    <s v="MIA"/>
    <s v="N"/>
    <s v="B2A-4619"/>
    <s v="ML"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712"/>
    <s v="FA"/>
    <s v="07455001111003"/>
    <s v="PMC96242DL"/>
    <s v="4494.0"/>
    <s v="5"/>
    <s v="6.28"/>
    <s v="Y"/>
    <s v="N"/>
    <s v="AF"/>
    <s v="090"/>
    <s v="231116"/>
    <s v="BIG"/>
    <s v="ECC"/>
    <s v="HEA"/>
    <s v="ULD"/>
    <s v="EAW"/>
    <s v="SWK"/>
    <s v="MIA"/>
    <s v="MIA"/>
    <s v="N"/>
    <s v="B2A-5343"/>
    <s v="ML"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713"/>
    <s v="BA"/>
    <s v="07456280416001"/>
    <m/>
    <s v="168.5"/>
    <s v="1"/>
    <s v="1.04"/>
    <s v="Y"/>
    <s v="N"/>
    <s v="AF"/>
    <s v="658M"/>
    <s v="231115"/>
    <s v="ECC"/>
    <s v="HEA"/>
    <m/>
    <m/>
    <m/>
    <s v="MIA"/>
    <s v="BCN"/>
    <s v="BCN"/>
    <s v="N"/>
    <s v="BCN01"/>
    <m/>
    <m/>
    <s v="Failed"/>
    <m/>
    <x v="30"/>
    <m/>
    <m/>
    <m/>
    <m/>
    <m/>
    <m/>
    <m/>
    <m/>
    <s v="3.1"/>
    <n v="0.5"/>
    <b v="0"/>
    <b v="0"/>
    <b v="0"/>
    <b v="0"/>
    <b v="0"/>
    <s v="No"/>
    <s v="No"/>
  </r>
  <r>
    <d v="2023-11-14T00:00:00"/>
    <x v="713"/>
    <s v="DA"/>
    <s v="07456280416002"/>
    <m/>
    <s v="168.5"/>
    <s v="1"/>
    <s v="1.04"/>
    <s v="Y"/>
    <s v="N"/>
    <s v="AF"/>
    <s v="658M"/>
    <s v="231115"/>
    <s v="CAO"/>
    <s v="RCM"/>
    <s v="RFL"/>
    <s v="RMD"/>
    <s v="HEA"/>
    <s v="MIA"/>
    <s v="BCN"/>
    <s v="BCN"/>
    <s v="N"/>
    <s v="93102"/>
    <m/>
    <m/>
    <s v="Failed"/>
    <m/>
    <x v="37"/>
    <m/>
    <m/>
    <m/>
    <m/>
    <m/>
    <m/>
    <m/>
    <m/>
    <s v="3.1"/>
    <n v="0.5"/>
    <s v="Yes"/>
    <s v="Yes"/>
    <s v="Yes"/>
    <b v="0"/>
    <b v="0"/>
    <s v="Yes"/>
    <s v="No"/>
  </r>
  <r>
    <d v="2023-11-14T00:00:00"/>
    <x v="714"/>
    <s v="BA"/>
    <s v="07457267000001"/>
    <s v="PMC22975KL"/>
    <s v="2191.0"/>
    <s v="118"/>
    <s v="10.44"/>
    <s v="Y"/>
    <s v="N"/>
    <s v="AF"/>
    <s v="694"/>
    <s v="231117"/>
    <s v="EAT"/>
    <s v="ERT"/>
    <m/>
    <m/>
    <m/>
    <s v="LOS"/>
    <s v="IAH"/>
    <s v="IAH"/>
    <s v="N"/>
    <s v="B2B-4244"/>
    <s v="ML"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715"/>
    <s v="BA"/>
    <s v="07459411041001"/>
    <s v="PMC76322AF"/>
    <s v="1568.0"/>
    <s v="6"/>
    <s v="6.96"/>
    <s v="Y"/>
    <s v="N"/>
    <s v="DL"/>
    <s v="097"/>
    <s v="231115"/>
    <s v="ECC"/>
    <s v="HEA"/>
    <s v="EAP"/>
    <m/>
    <m/>
    <s v="BKK"/>
    <s v="DTW"/>
    <s v="DTW"/>
    <s v="N"/>
    <s v="B2A-5018"/>
    <s v="ML"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716"/>
    <s v="BA"/>
    <s v="07459745825001"/>
    <m/>
    <s v="199.5"/>
    <s v="1"/>
    <s v="1.63"/>
    <s v="Y"/>
    <s v="N"/>
    <s v="AF"/>
    <s v="568"/>
    <s v="231115"/>
    <s v="HEA"/>
    <m/>
    <m/>
    <m/>
    <m/>
    <s v="POS"/>
    <s v="CAI"/>
    <s v="CAI"/>
    <s v="N"/>
    <s v="XLC20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716"/>
    <s v="DA"/>
    <s v="07459745825002"/>
    <m/>
    <s v="199.5"/>
    <s v="1"/>
    <s v="1.63"/>
    <s v="Y"/>
    <s v="N"/>
    <s v="AF"/>
    <s v="568"/>
    <s v="231115"/>
    <s v="HEA"/>
    <m/>
    <m/>
    <m/>
    <m/>
    <s v="POS"/>
    <s v="CAI"/>
    <s v="CAI"/>
    <s v="N"/>
    <s v="S8302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325"/>
    <s v="BA"/>
    <s v="07460511776001"/>
    <m/>
    <s v="63.4"/>
    <s v="2"/>
    <s v=".21"/>
    <s v="Y"/>
    <s v="N"/>
    <s v="AF"/>
    <s v="404"/>
    <s v="231115"/>
    <s v="ECC"/>
    <s v="EAP"/>
    <m/>
    <m/>
    <m/>
    <s v="PVG"/>
    <s v="FOR"/>
    <s v="FOR"/>
    <s v="N"/>
    <s v="62308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25"/>
    <s v="DA"/>
    <s v="07460511776002"/>
    <m/>
    <s v="95.1"/>
    <s v="3"/>
    <s v=".31"/>
    <s v="Y"/>
    <s v="N"/>
    <s v="AF"/>
    <s v="404"/>
    <s v="231115"/>
    <s v="ECC"/>
    <s v="EAP"/>
    <m/>
    <m/>
    <m/>
    <s v="PVG"/>
    <s v="FOR"/>
    <s v="FOR"/>
    <s v="N"/>
    <s v="HLC065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326"/>
    <s v="DA"/>
    <s v="07461109565002"/>
    <m/>
    <s v="315.6"/>
    <s v="1"/>
    <s v="1.33"/>
    <s v="Y"/>
    <s v="N"/>
    <s v="AF"/>
    <s v="718"/>
    <s v="231115"/>
    <s v="ECC"/>
    <s v="HEA"/>
    <s v="EAP"/>
    <m/>
    <m/>
    <s v="SIN"/>
    <s v="DSS"/>
    <s v="DSS"/>
    <s v="N"/>
    <s v="71003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717"/>
    <s v="BA"/>
    <s v="07461513045001"/>
    <m/>
    <s v="80.3"/>
    <s v="3"/>
    <s v=".32"/>
    <s v="Y"/>
    <s v="N"/>
    <s v="AF"/>
    <s v="804"/>
    <s v="231115"/>
    <s v="ECP"/>
    <s v="EAP"/>
    <m/>
    <m/>
    <m/>
    <s v="DXB"/>
    <s v="COO"/>
    <s v="COO"/>
    <s v="N"/>
    <s v="S2102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717"/>
    <s v="DA"/>
    <s v="07461513045002"/>
    <m/>
    <s v="26.8"/>
    <s v="1"/>
    <s v=".10"/>
    <s v="Y"/>
    <s v="N"/>
    <s v="AF"/>
    <s v="804"/>
    <s v="231115"/>
    <s v="RMD"/>
    <m/>
    <m/>
    <m/>
    <m/>
    <s v="DXB"/>
    <s v="COO"/>
    <s v="COO"/>
    <s v="N"/>
    <s v="S7000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718"/>
    <s v="BA"/>
    <s v="07461530976001"/>
    <m/>
    <s v="212.0"/>
    <s v="8"/>
    <s v=".25"/>
    <s v="Y"/>
    <s v="N"/>
    <s v="AF"/>
    <s v="690M"/>
    <s v="231116"/>
    <s v="ECC"/>
    <s v="EAW"/>
    <m/>
    <m/>
    <m/>
    <s v="PEK"/>
    <s v="OPO"/>
    <s v="OPO"/>
    <s v="N"/>
    <s v="OPO00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719"/>
    <s v="BA"/>
    <s v="07461531385001"/>
    <m/>
    <s v="235.0"/>
    <s v="22"/>
    <s v=".91"/>
    <s v="Y"/>
    <s v="N"/>
    <s v="AF"/>
    <s v="690M"/>
    <s v="231116"/>
    <s v="ECC"/>
    <s v="EAW"/>
    <m/>
    <m/>
    <m/>
    <s v="PEK"/>
    <s v="OPO"/>
    <s v="OPO"/>
    <s v="N"/>
    <s v="OPO00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720"/>
    <s v="BA"/>
    <s v="07461846212001"/>
    <m/>
    <s v="90.0"/>
    <s v="7"/>
    <s v=".40"/>
    <s v="Y"/>
    <s v="N"/>
    <s v="AF"/>
    <s v="108M"/>
    <s v="231116"/>
    <s v="ECC"/>
    <s v="EAW"/>
    <m/>
    <m/>
    <m/>
    <s v="PVG"/>
    <s v="BOD"/>
    <s v="BOD"/>
    <s v="N"/>
    <s v="BOD01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721"/>
    <s v="BA"/>
    <s v="07461846245001"/>
    <m/>
    <s v="118.0"/>
    <s v="1"/>
    <s v=".52"/>
    <s v="Y"/>
    <s v="N"/>
    <s v="AF"/>
    <s v="108M"/>
    <s v="231116"/>
    <s v="ECC"/>
    <s v="EAP"/>
    <m/>
    <m/>
    <m/>
    <s v="PVG"/>
    <s v="BOD"/>
    <s v="BOD"/>
    <s v="N"/>
    <s v="BOD01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330"/>
    <s v="DA"/>
    <s v="07462295914002"/>
    <m/>
    <s v="1160.0"/>
    <s v="1"/>
    <s v="1.00"/>
    <s v="Y"/>
    <s v="N"/>
    <s v="AF"/>
    <s v="682"/>
    <s v="231116"/>
    <s v="BIG"/>
    <s v="HEA"/>
    <s v="EAW"/>
    <m/>
    <m/>
    <s v="SWK"/>
    <s v="ATL"/>
    <s v="ATL"/>
    <s v="N"/>
    <s v="N6001"/>
    <m/>
    <m/>
    <s v="Failed"/>
    <m/>
    <x v="0"/>
    <m/>
    <m/>
    <m/>
    <m/>
    <m/>
    <m/>
    <m/>
    <m/>
    <s v="3.1"/>
    <n v="0.2"/>
    <b v="0"/>
    <b v="0"/>
    <b v="0"/>
    <b v="0"/>
    <b v="0"/>
    <s v="No"/>
    <s v="No"/>
  </r>
  <r>
    <d v="2023-11-14T00:00:00"/>
    <x v="722"/>
    <s v="BA"/>
    <s v="07462357256001"/>
    <m/>
    <s v="138.0"/>
    <s v="1"/>
    <s v="1.71"/>
    <s v="Y"/>
    <s v="N"/>
    <s v="AF"/>
    <s v="148"/>
    <s v="231116"/>
    <s v="ECP"/>
    <s v="EAW"/>
    <m/>
    <m/>
    <m/>
    <s v="DWC"/>
    <s v="LOS"/>
    <s v="LOS"/>
    <s v="N"/>
    <s v="HLC156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722"/>
    <s v="DA"/>
    <s v="07462357256002"/>
    <m/>
    <s v="138.0"/>
    <s v="1"/>
    <s v="1.72"/>
    <s v="Y"/>
    <s v="N"/>
    <s v="AF"/>
    <s v="148"/>
    <s v="231116"/>
    <s v="ECP"/>
    <s v="EAW"/>
    <m/>
    <m/>
    <m/>
    <s v="DWC"/>
    <s v="LOS"/>
    <s v="LOS"/>
    <s v="N"/>
    <s v="56012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723"/>
    <s v="BA"/>
    <s v="07462566906001"/>
    <s v="PMC2464MP"/>
    <s v="2233.0"/>
    <s v="7"/>
    <s v="7.17"/>
    <s v="Y"/>
    <s v="N"/>
    <s v="AF"/>
    <s v="148"/>
    <s v="231118"/>
    <s v="ECP"/>
    <s v="HEA"/>
    <s v="EAP"/>
    <m/>
    <m/>
    <s v="AMS"/>
    <s v="LOS"/>
    <s v="LOS"/>
    <s v="N"/>
    <s v="B2A-4735"/>
    <s v="ML"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724"/>
    <s v="BA"/>
    <s v="07462653566001"/>
    <m/>
    <s v="113.9"/>
    <s v="1"/>
    <s v=".96"/>
    <s v="Y"/>
    <s v="N"/>
    <s v="AF"/>
    <s v="484"/>
    <s v="231115"/>
    <s v="CRT"/>
    <s v="PIL"/>
    <s v="ECP"/>
    <s v="EAP"/>
    <m/>
    <s v="BSL"/>
    <s v="GIG"/>
    <s v="GIG"/>
    <s v="N"/>
    <s v="C1304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725"/>
    <s v="BA"/>
    <s v="07462788972001"/>
    <m/>
    <s v="206.3"/>
    <s v="1"/>
    <s v=".46"/>
    <s v="Y"/>
    <s v="N"/>
    <s v="AF"/>
    <s v="132"/>
    <s v="231117"/>
    <s v="HEA"/>
    <m/>
    <m/>
    <m/>
    <m/>
    <s v="TPE"/>
    <s v="DFW"/>
    <s v="DFW"/>
    <s v="N"/>
    <s v="53304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725"/>
    <s v="DA"/>
    <s v="07462788972002"/>
    <m/>
    <s v="206.3"/>
    <s v="1"/>
    <s v=".46"/>
    <s v="Y"/>
    <s v="N"/>
    <s v="AF"/>
    <s v="132"/>
    <s v="231117"/>
    <s v="HEA"/>
    <m/>
    <m/>
    <m/>
    <m/>
    <s v="TPE"/>
    <s v="DFW"/>
    <s v="DFW"/>
    <s v="N"/>
    <s v="51409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725"/>
    <s v="FA"/>
    <s v="07462788972003"/>
    <m/>
    <s v="206.3"/>
    <s v="1"/>
    <s v=".47"/>
    <s v="Y"/>
    <s v="N"/>
    <s v="AF"/>
    <s v="132"/>
    <s v="231117"/>
    <s v="HEA"/>
    <m/>
    <m/>
    <m/>
    <m/>
    <s v="TPE"/>
    <s v="DFW"/>
    <s v="DFW"/>
    <s v="N"/>
    <s v="53103"/>
    <m/>
    <m/>
    <s v="Failed"/>
    <m/>
    <x v="0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726"/>
    <s v="BA"/>
    <s v="07462792752001"/>
    <m/>
    <s v="76.0"/>
    <s v="1"/>
    <s v=".60"/>
    <s v="Y"/>
    <s v="N"/>
    <s v="AF"/>
    <s v="066"/>
    <s v="231119"/>
    <m/>
    <m/>
    <m/>
    <m/>
    <m/>
    <s v="LOS"/>
    <s v="LAX"/>
    <s v="LAX"/>
    <s v="N"/>
    <s v="HLC004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726"/>
    <s v="DA"/>
    <s v="07462792752002"/>
    <m/>
    <s v="152.0"/>
    <s v="2"/>
    <s v="1.20"/>
    <s v="Y"/>
    <s v="N"/>
    <s v="AF"/>
    <s v="066"/>
    <s v="231119"/>
    <m/>
    <m/>
    <m/>
    <m/>
    <m/>
    <s v="LOS"/>
    <s v="LAX"/>
    <s v="LAX"/>
    <s v="N"/>
    <s v="N2304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727"/>
    <s v="BA"/>
    <s v="07462794782001"/>
    <m/>
    <s v="381.5"/>
    <s v="18"/>
    <s v="1.21"/>
    <s v="Y"/>
    <s v="N"/>
    <s v="AF"/>
    <s v="356"/>
    <s v="231117"/>
    <s v="EAT"/>
    <s v="ERT"/>
    <m/>
    <m/>
    <m/>
    <s v="LOS"/>
    <s v="YYZ"/>
    <s v="YYZ"/>
    <s v="N"/>
    <s v="P5002"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727"/>
    <s v="DA"/>
    <s v="07462794782002"/>
    <m/>
    <s v="381.5"/>
    <s v="18"/>
    <s v="1.21"/>
    <s v="Y"/>
    <s v="N"/>
    <s v="AF"/>
    <s v="356"/>
    <s v="231117"/>
    <s v="EAT"/>
    <s v="ERT"/>
    <m/>
    <m/>
    <m/>
    <s v="LOS"/>
    <s v="YYZ"/>
    <s v="YYZ"/>
    <s v="N"/>
    <s v="56202"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727"/>
    <s v="FA"/>
    <s v="07462794782003"/>
    <m/>
    <s v="317.9"/>
    <s v="15"/>
    <s v="1.01"/>
    <s v="Y"/>
    <s v="N"/>
    <s v="AF"/>
    <s v="356"/>
    <s v="231117"/>
    <s v="EAT"/>
    <s v="ERT"/>
    <m/>
    <m/>
    <m/>
    <s v="LOS"/>
    <s v="YYZ"/>
    <s v="YYZ"/>
    <s v="N"/>
    <s v="P5101"/>
    <m/>
    <m/>
    <s v="Passed"/>
    <m/>
    <x v="5"/>
    <m/>
    <m/>
    <m/>
    <m/>
    <m/>
    <m/>
    <m/>
    <m/>
    <s v="3.1"/>
    <n v="0.33333333333333331"/>
    <b v="0"/>
    <b v="0"/>
    <b v="0"/>
    <b v="0"/>
    <b v="0"/>
    <s v="No"/>
    <s v="No"/>
  </r>
  <r>
    <d v="2023-11-14T00:00:00"/>
    <x v="728"/>
    <s v="BA"/>
    <s v="07462794992001"/>
    <s v="PMC24887KL"/>
    <s v="128.0"/>
    <s v="6"/>
    <s v=".43"/>
    <s v="Y"/>
    <s v="N"/>
    <s v="AF"/>
    <s v="470M"/>
    <s v="231115"/>
    <s v="EAT"/>
    <s v="ERT"/>
    <m/>
    <m/>
    <m/>
    <s v="LOS"/>
    <s v="HEL"/>
    <s v="MMX"/>
    <s v="N"/>
    <s v="B2C-5835"/>
    <s v="ML"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729"/>
    <s v="BA"/>
    <s v="07462795154001"/>
    <s v="PMC24887KL"/>
    <s v="120.0"/>
    <s v="7"/>
    <s v=".64"/>
    <s v="Y"/>
    <s v="N"/>
    <s v="AF"/>
    <s v="470M"/>
    <s v="231115"/>
    <s v="EAT"/>
    <s v="ERT"/>
    <m/>
    <m/>
    <m/>
    <s v="LOS"/>
    <s v="HEL"/>
    <s v="MMX"/>
    <s v="N"/>
    <s v="B2C-5835"/>
    <s v="ML"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730"/>
    <s v="BA"/>
    <s v="07462795246001"/>
    <m/>
    <s v="97.8"/>
    <s v="1"/>
    <s v=".60"/>
    <s v="Y"/>
    <s v="N"/>
    <s v="AF"/>
    <s v="454"/>
    <s v="231116"/>
    <m/>
    <m/>
    <m/>
    <m/>
    <m/>
    <s v="LOS"/>
    <s v="GRU"/>
    <s v="GRU"/>
    <s v="N"/>
    <s v="LO100"/>
    <m/>
    <m/>
    <s v="Failed"/>
    <m/>
    <x v="30"/>
    <m/>
    <m/>
    <m/>
    <m/>
    <m/>
    <m/>
    <m/>
    <m/>
    <s v="3.1"/>
    <n v="0.2"/>
    <b v="0"/>
    <b v="0"/>
    <b v="0"/>
    <b v="0"/>
    <b v="0"/>
    <s v="No"/>
    <s v="No"/>
  </r>
  <r>
    <d v="2023-11-14T00:00:00"/>
    <x v="730"/>
    <s v="DA"/>
    <s v="07462795246002"/>
    <m/>
    <s v="97.8"/>
    <s v="1"/>
    <s v=".60"/>
    <s v="Y"/>
    <s v="N"/>
    <s v="AF"/>
    <s v="454"/>
    <s v="231116"/>
    <m/>
    <m/>
    <m/>
    <m/>
    <m/>
    <s v="LOS"/>
    <s v="GRU"/>
    <s v="GRU"/>
    <s v="N"/>
    <s v="LO100"/>
    <m/>
    <m/>
    <s v="Failed"/>
    <m/>
    <x v="30"/>
    <m/>
    <m/>
    <m/>
    <m/>
    <m/>
    <m/>
    <m/>
    <m/>
    <s v="3.1"/>
    <n v="0.2"/>
    <b v="0"/>
    <b v="0"/>
    <b v="0"/>
    <b v="0"/>
    <b v="0"/>
    <s v="No"/>
    <s v="No"/>
  </r>
  <r>
    <d v="2023-11-14T00:00:00"/>
    <x v="730"/>
    <s v="FA"/>
    <s v="07462795246003"/>
    <m/>
    <s v="97.8"/>
    <s v="1"/>
    <s v=".60"/>
    <s v="Y"/>
    <s v="N"/>
    <s v="AF"/>
    <s v="454"/>
    <s v="231116"/>
    <m/>
    <m/>
    <m/>
    <m/>
    <m/>
    <s v="LOS"/>
    <s v="GRU"/>
    <s v="GRU"/>
    <s v="N"/>
    <s v="LO100"/>
    <m/>
    <m/>
    <s v="Failed"/>
    <m/>
    <x v="30"/>
    <m/>
    <m/>
    <m/>
    <m/>
    <m/>
    <m/>
    <m/>
    <m/>
    <s v="3.1"/>
    <n v="0.2"/>
    <b v="0"/>
    <b v="0"/>
    <b v="0"/>
    <b v="0"/>
    <b v="0"/>
    <s v="No"/>
    <s v="No"/>
  </r>
  <r>
    <d v="2023-11-14T00:00:00"/>
    <x v="730"/>
    <s v="HA"/>
    <s v="07462795246004"/>
    <m/>
    <s v="97.8"/>
    <s v="1"/>
    <s v=".60"/>
    <s v="Y"/>
    <s v="N"/>
    <s v="AF"/>
    <s v="454"/>
    <s v="231116"/>
    <m/>
    <m/>
    <m/>
    <m/>
    <m/>
    <s v="LOS"/>
    <s v="GRU"/>
    <s v="GRU"/>
    <s v="N"/>
    <s v="LO100"/>
    <m/>
    <m/>
    <s v="Failed"/>
    <m/>
    <x v="30"/>
    <m/>
    <m/>
    <m/>
    <m/>
    <m/>
    <m/>
    <m/>
    <m/>
    <s v="3.1"/>
    <n v="0.2"/>
    <b v="0"/>
    <b v="0"/>
    <b v="0"/>
    <b v="0"/>
    <b v="0"/>
    <s v="No"/>
    <s v="No"/>
  </r>
  <r>
    <d v="2023-11-14T00:00:00"/>
    <x v="730"/>
    <s v="JA"/>
    <s v="07462795246005"/>
    <m/>
    <s v="97.8"/>
    <s v="1"/>
    <s v=".60"/>
    <s v="Y"/>
    <s v="N"/>
    <s v="AF"/>
    <s v="454"/>
    <s v="231116"/>
    <m/>
    <m/>
    <m/>
    <m/>
    <m/>
    <s v="LOS"/>
    <s v="GRU"/>
    <s v="GRU"/>
    <s v="N"/>
    <s v="LO100"/>
    <m/>
    <m/>
    <s v="Failed"/>
    <m/>
    <x v="30"/>
    <m/>
    <m/>
    <m/>
    <m/>
    <m/>
    <m/>
    <m/>
    <m/>
    <s v="3.1"/>
    <n v="0.2"/>
    <b v="0"/>
    <b v="0"/>
    <b v="0"/>
    <b v="0"/>
    <b v="0"/>
    <s v="No"/>
    <s v="No"/>
  </r>
  <r>
    <d v="2023-11-14T00:00:00"/>
    <x v="731"/>
    <s v="BA"/>
    <s v="07462795390001"/>
    <m/>
    <s v="225.0"/>
    <s v="12"/>
    <s v=".19"/>
    <s v="Y"/>
    <s v="N"/>
    <s v="AF"/>
    <s v="682"/>
    <s v="231116"/>
    <s v="EAT"/>
    <s v="ERT"/>
    <m/>
    <m/>
    <m/>
    <s v="LOS"/>
    <s v="ATL"/>
    <s v="ATL"/>
    <s v="N"/>
    <s v="N7102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731"/>
    <s v="DA"/>
    <s v="07462795390002"/>
    <m/>
    <s v="225.0"/>
    <s v="12"/>
    <s v=".19"/>
    <s v="Y"/>
    <s v="N"/>
    <s v="AF"/>
    <s v="682"/>
    <s v="231116"/>
    <s v="EAT"/>
    <s v="ERT"/>
    <m/>
    <m/>
    <m/>
    <s v="LOS"/>
    <s v="ATL"/>
    <s v="ATL"/>
    <s v="N"/>
    <s v="N8301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732"/>
    <s v="BA"/>
    <s v="07462795460001"/>
    <s v="PMC67598AF"/>
    <s v="2451.0"/>
    <s v="8"/>
    <s v="5.45"/>
    <s v="Y"/>
    <s v="N"/>
    <s v="AF"/>
    <s v="688"/>
    <s v="231116"/>
    <s v="EAT"/>
    <s v="ERT"/>
    <s v="HEA"/>
    <m/>
    <m/>
    <s v="LOS"/>
    <s v="ATL"/>
    <s v="ATL"/>
    <s v="N"/>
    <s v="B2A-5342"/>
    <s v="ML"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733"/>
    <s v="BA"/>
    <s v="07462795611001"/>
    <s v="PMC24887KL"/>
    <s v="143.0"/>
    <s v="6"/>
    <s v=".45"/>
    <s v="Y"/>
    <s v="N"/>
    <s v="AF"/>
    <s v="470M"/>
    <s v="231115"/>
    <s v="EAT"/>
    <s v="ERT"/>
    <m/>
    <m/>
    <m/>
    <s v="LOS"/>
    <s v="HEL"/>
    <s v="MMX"/>
    <s v="N"/>
    <s v="B2C-5835"/>
    <s v="ML"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734"/>
    <s v="BA"/>
    <s v="07462918870001"/>
    <s v="AKE12857AF"/>
    <s v="624.0"/>
    <s v="16"/>
    <s v="2.76"/>
    <s v="Y"/>
    <s v="N"/>
    <s v="AF"/>
    <s v="932"/>
    <s v="231115"/>
    <s v="EAP"/>
    <m/>
    <m/>
    <m/>
    <m/>
    <s v="KHI"/>
    <s v="ACC"/>
    <s v="ACC"/>
    <s v="N"/>
    <s v="SOR-0000"/>
    <s v="KE"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735"/>
    <s v="BA"/>
    <s v="07462929661001"/>
    <m/>
    <s v="157.0"/>
    <s v="1"/>
    <s v=".21"/>
    <s v="Y"/>
    <s v="N"/>
    <s v="AF"/>
    <s v="718"/>
    <s v="231115"/>
    <s v="HEA"/>
    <m/>
    <m/>
    <m/>
    <m/>
    <s v="TPE"/>
    <s v="DSS"/>
    <s v="DSS"/>
    <s v="N"/>
    <s v="49106"/>
    <m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736"/>
    <s v="BA"/>
    <s v="07462959654001"/>
    <m/>
    <s v="110.0"/>
    <s v="11"/>
    <s v=".74"/>
    <s v="Y"/>
    <s v="N"/>
    <s v="AF"/>
    <s v="140M"/>
    <s v="231115"/>
    <m/>
    <m/>
    <m/>
    <m/>
    <m/>
    <s v="DAC"/>
    <s v="MRS"/>
    <s v="MRS"/>
    <s v="N"/>
    <s v="MRS00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737"/>
    <s v="BA"/>
    <s v="07462975555001"/>
    <m/>
    <s v="338.3"/>
    <s v="14"/>
    <s v=".71"/>
    <s v="Y"/>
    <s v="N"/>
    <s v="AF"/>
    <s v="804"/>
    <s v="231115"/>
    <s v="EAW"/>
    <m/>
    <m/>
    <m/>
    <m/>
    <s v="DEL"/>
    <s v="COO"/>
    <s v="COO"/>
    <s v="N"/>
    <s v="S4304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737"/>
    <s v="DA"/>
    <s v="07462975555002"/>
    <m/>
    <s v="386.7"/>
    <s v="16"/>
    <s v=".81"/>
    <s v="Y"/>
    <s v="N"/>
    <s v="AF"/>
    <s v="804"/>
    <s v="231115"/>
    <s v="EAW"/>
    <m/>
    <m/>
    <m/>
    <m/>
    <s v="DEL"/>
    <s v="COO"/>
    <s v="COO"/>
    <s v="N"/>
    <s v="S3103"/>
    <m/>
    <m/>
    <s v="Passed"/>
    <m/>
    <x v="5"/>
    <m/>
    <m/>
    <m/>
    <m/>
    <m/>
    <m/>
    <m/>
    <m/>
    <s v="3.1"/>
    <n v="0.5"/>
    <b v="0"/>
    <b v="0"/>
    <b v="0"/>
    <b v="0"/>
    <b v="0"/>
    <s v="No"/>
    <s v="No"/>
  </r>
  <r>
    <d v="2023-11-14T00:00:00"/>
    <x v="738"/>
    <s v="BA"/>
    <s v="07462979980001"/>
    <s v="PMC75278AF"/>
    <s v="2211.0"/>
    <s v="25"/>
    <s v="9.37"/>
    <s v="Y"/>
    <s v="N"/>
    <s v="AF"/>
    <s v="356"/>
    <s v="231117"/>
    <s v="EAT"/>
    <s v="ERT"/>
    <m/>
    <m/>
    <m/>
    <s v="LOS"/>
    <s v="YYZ"/>
    <s v="YYZ"/>
    <s v="N"/>
    <s v="B2A-4712"/>
    <s v="ML"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739"/>
    <s v="BA"/>
    <s v="07462979991001"/>
    <m/>
    <s v="47.0"/>
    <s v="3"/>
    <s v=".11"/>
    <s v="Y"/>
    <s v="N"/>
    <s v="AF"/>
    <s v="356"/>
    <s v="231118"/>
    <s v="EAT"/>
    <s v="ERT"/>
    <m/>
    <m/>
    <m/>
    <s v="LOS"/>
    <s v="YYZ"/>
    <s v="YYZ"/>
    <s v="N"/>
    <s v="P3401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740"/>
    <s v="BA"/>
    <s v="07462980153001"/>
    <s v="PMC21394KL"/>
    <s v="2100.0"/>
    <s v="115"/>
    <s v="6.00"/>
    <s v="Y"/>
    <s v="N"/>
    <s v="AF"/>
    <s v="694"/>
    <s v="231115"/>
    <s v="EAT"/>
    <s v="ERT"/>
    <m/>
    <m/>
    <m/>
    <s v="LOS"/>
    <s v="IAH"/>
    <s v="IAH"/>
    <s v="N"/>
    <s v="B2A-5432"/>
    <s v="ML"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741"/>
    <s v="BA"/>
    <s v="07462980455001"/>
    <s v="PMC24887KL"/>
    <s v="100.0"/>
    <s v="4"/>
    <s v=".33"/>
    <s v="Y"/>
    <s v="N"/>
    <s v="AF"/>
    <s v="470M"/>
    <s v="231115"/>
    <s v="EAT"/>
    <s v="ERT"/>
    <m/>
    <m/>
    <m/>
    <s v="LOS"/>
    <s v="HEL"/>
    <s v="MMX"/>
    <s v="N"/>
    <s v="B2C-5835"/>
    <s v="ML"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742"/>
    <s v="BA"/>
    <s v="07463065214001"/>
    <s v="PMC69522AF"/>
    <s v="2636.0"/>
    <s v="4"/>
    <s v="3.71"/>
    <s v="Y"/>
    <s v="N"/>
    <s v="AF"/>
    <s v="948"/>
    <s v="231119"/>
    <s v="BIG"/>
    <s v="XPH"/>
    <s v="HEA"/>
    <s v="EAP"/>
    <m/>
    <s v="DEL"/>
    <s v="DLA"/>
    <s v="DLA"/>
    <s v="N"/>
    <s v="B2A-4736"/>
    <s v="ML"/>
    <m/>
    <s v="Passed"/>
    <m/>
    <x v="5"/>
    <m/>
    <m/>
    <m/>
    <m/>
    <m/>
    <m/>
    <m/>
    <m/>
    <s v="3.1"/>
    <n v="1"/>
    <b v="0"/>
    <b v="0"/>
    <b v="0"/>
    <b v="0"/>
    <b v="0"/>
    <s v="No"/>
    <s v="No"/>
  </r>
  <r>
    <d v="2023-11-14T00:00:00"/>
    <x v="743"/>
    <s v="BA"/>
    <s v="07484758914001"/>
    <m/>
    <s v="121.0"/>
    <s v="1"/>
    <s v=".96"/>
    <s v="Y"/>
    <s v="N"/>
    <s v="AF"/>
    <s v="484"/>
    <s v="231115"/>
    <s v="CRT"/>
    <s v="PIL"/>
    <s v="ECP"/>
    <s v="EAP"/>
    <m/>
    <s v="BSL"/>
    <s v="GIG"/>
    <s v="GIG"/>
    <s v="N"/>
    <s v="C1403"/>
    <m/>
    <m/>
    <s v="Failed"/>
    <m/>
    <x v="0"/>
    <m/>
    <m/>
    <m/>
    <m/>
    <m/>
    <m/>
    <m/>
    <m/>
    <s v="3.1"/>
    <n v="1"/>
    <b v="0"/>
    <b v="0"/>
    <b v="0"/>
    <b v="0"/>
    <b v="0"/>
    <s v="No"/>
    <s v="No"/>
  </r>
  <r>
    <d v="2023-11-14T00:00:00"/>
    <x v="744"/>
    <s v="BA"/>
    <s v="64309866511001"/>
    <m/>
    <s v="58.0"/>
    <s v="1"/>
    <s v=".48"/>
    <s v="Y"/>
    <s v="N"/>
    <s v="AF"/>
    <s v="990"/>
    <s v="231117"/>
    <m/>
    <m/>
    <m/>
    <m/>
    <m/>
    <s v="MLA"/>
    <s v="JNB"/>
    <s v="JNB"/>
    <s v="N"/>
    <s v="S2403"/>
    <m/>
    <m/>
    <s v="Failed"/>
    <m/>
    <x v="30"/>
    <m/>
    <m/>
    <m/>
    <m/>
    <m/>
    <m/>
    <m/>
    <m/>
    <s v="3.1"/>
    <n v="1"/>
    <b v="0"/>
    <b v="0"/>
    <b v="0"/>
    <b v="0"/>
    <b v="0"/>
    <s v="No"/>
    <s v="No"/>
  </r>
  <r>
    <d v="2023-11-14T00:00:00"/>
    <x v="745"/>
    <s v="BA"/>
    <s v="00679759116001"/>
    <m/>
    <s v="7.0"/>
    <s v="2"/>
    <s v=".07"/>
    <s v="N"/>
    <s v="N"/>
    <s v="DL"/>
    <s v="083"/>
    <s v="231115"/>
    <s v="FSA"/>
    <m/>
    <m/>
    <m/>
    <m/>
    <s v="CDG"/>
    <s v="ATL"/>
    <s v="ATL"/>
    <s v="N"/>
    <s v="N6303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746"/>
    <s v="BA"/>
    <s v="05702367352001"/>
    <m/>
    <s v="518.0"/>
    <s v="1"/>
    <s v="3.02"/>
    <s v="Y"/>
    <s v="N"/>
    <s v="AF"/>
    <s v="344"/>
    <s v="231117"/>
    <s v="ECC"/>
    <s v="HEA"/>
    <s v="EAW"/>
    <m/>
    <m/>
    <s v="SIN"/>
    <s v="YUL"/>
    <s v="YUL"/>
    <s v="N"/>
    <s v="XLC00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747"/>
    <s v="BA"/>
    <s v="05702574084001"/>
    <m/>
    <s v="49.5"/>
    <s v="1"/>
    <s v=".31"/>
    <s v="Y"/>
    <s v="N"/>
    <s v="AF"/>
    <s v="990"/>
    <s v="231117"/>
    <s v="ECC"/>
    <s v="EAP"/>
    <m/>
    <m/>
    <m/>
    <s v="DTW"/>
    <s v="JNB"/>
    <s v="JNB"/>
    <s v="N"/>
    <s v="S1103"/>
    <m/>
    <m/>
    <s v="Passed"/>
    <m/>
    <x v="5"/>
    <m/>
    <m/>
    <m/>
    <m/>
    <m/>
    <m/>
    <m/>
    <m/>
    <s v="3.2"/>
    <n v="0.33333333333333331"/>
    <b v="0"/>
    <b v="0"/>
    <b v="0"/>
    <b v="0"/>
    <b v="0"/>
    <s v="No"/>
    <s v="Yes"/>
  </r>
  <r>
    <d v="2023-11-14T00:00:00"/>
    <x v="747"/>
    <s v="DA"/>
    <s v="05702574084002"/>
    <m/>
    <s v="49.5"/>
    <s v="1"/>
    <s v=".31"/>
    <s v="Y"/>
    <s v="N"/>
    <s v="AF"/>
    <s v="990"/>
    <s v="231117"/>
    <s v="ECC"/>
    <s v="EAP"/>
    <m/>
    <m/>
    <m/>
    <s v="DTW"/>
    <s v="JNB"/>
    <s v="JNB"/>
    <s v="N"/>
    <s v="S3301"/>
    <m/>
    <m/>
    <s v="Passed"/>
    <m/>
    <x v="5"/>
    <m/>
    <m/>
    <m/>
    <m/>
    <m/>
    <m/>
    <m/>
    <m/>
    <s v="3.2"/>
    <n v="0.33333333333333331"/>
    <b v="0"/>
    <b v="0"/>
    <b v="0"/>
    <b v="0"/>
    <b v="0"/>
    <s v="No"/>
    <s v="Yes"/>
  </r>
  <r>
    <d v="2023-11-14T00:00:00"/>
    <x v="747"/>
    <s v="FA"/>
    <s v="05702574084003"/>
    <m/>
    <s v="49.5"/>
    <s v="1"/>
    <s v=".31"/>
    <s v="Y"/>
    <s v="N"/>
    <s v="AF"/>
    <s v="990"/>
    <s v="231117"/>
    <s v="ECC"/>
    <s v="EAP"/>
    <m/>
    <m/>
    <m/>
    <s v="DTW"/>
    <s v="JNB"/>
    <s v="JNB"/>
    <s v="N"/>
    <s v="S2103"/>
    <m/>
    <m/>
    <s v="Passed"/>
    <m/>
    <x v="5"/>
    <m/>
    <m/>
    <m/>
    <m/>
    <m/>
    <m/>
    <m/>
    <m/>
    <s v="3.2"/>
    <n v="0.33333333333333331"/>
    <b v="0"/>
    <b v="0"/>
    <b v="0"/>
    <b v="0"/>
    <b v="0"/>
    <s v="No"/>
    <s v="Yes"/>
  </r>
  <r>
    <d v="2023-11-14T00:00:00"/>
    <x v="748"/>
    <s v="BA"/>
    <s v="05702586065001"/>
    <s v="PMC66890AF"/>
    <s v="647.0"/>
    <s v="4"/>
    <s v="7.96"/>
    <s v="Y"/>
    <s v="N"/>
    <s v="AF"/>
    <s v="694"/>
    <s v="231115"/>
    <s v="ECC"/>
    <s v="HEA"/>
    <s v="EAW"/>
    <m/>
    <m/>
    <s v="SIN"/>
    <s v="IAH"/>
    <s v="IAH"/>
    <s v="N"/>
    <s v="B1A-3234"/>
    <m/>
    <m/>
    <s v="Failed"/>
    <m/>
    <x v="38"/>
    <m/>
    <m/>
    <m/>
    <m/>
    <m/>
    <m/>
    <m/>
    <m/>
    <s v="3.2"/>
    <n v="1"/>
    <b v="0"/>
    <b v="0"/>
    <b v="0"/>
    <b v="0"/>
    <b v="0"/>
    <s v="No"/>
    <s v="No"/>
  </r>
  <r>
    <d v="2023-11-14T00:00:00"/>
    <x v="749"/>
    <s v="BA"/>
    <s v="05702734664001"/>
    <m/>
    <s v="119.0"/>
    <s v="1"/>
    <s v=".73"/>
    <s v="Y"/>
    <s v="N"/>
    <s v="AF"/>
    <s v="374"/>
    <s v="231117"/>
    <s v="ECC"/>
    <s v="EAP"/>
    <s v="EAW"/>
    <m/>
    <m/>
    <s v="SIN"/>
    <s v="YVR"/>
    <s v="YVR"/>
    <s v="N"/>
    <s v="M2403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750"/>
    <s v="BA"/>
    <s v="05703125651001"/>
    <m/>
    <s v="629.0"/>
    <s v="41"/>
    <s v="4.72"/>
    <s v="N"/>
    <s v="N"/>
    <s v="AF"/>
    <s v="682"/>
    <s v="231115"/>
    <s v="ECC"/>
    <s v="EAP"/>
    <s v="SPX"/>
    <m/>
    <m/>
    <s v="CDG"/>
    <s v="ATL"/>
    <s v="ATL"/>
    <s v="N"/>
    <s v="LO40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751"/>
    <s v="BA"/>
    <s v="05703126815001"/>
    <m/>
    <s v="1.6"/>
    <s v="1"/>
    <s v=".02"/>
    <s v="N"/>
    <s v="N"/>
    <s v="AF"/>
    <s v="182"/>
    <s v="231115"/>
    <s v="ECP"/>
    <s v="XPS"/>
    <m/>
    <m/>
    <m/>
    <s v="CDG"/>
    <s v="NOU"/>
    <s v="NOU"/>
    <s v="N"/>
    <s v="61000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752"/>
    <s v="BA"/>
    <s v="05703135215001"/>
    <m/>
    <s v="50.0"/>
    <s v="1"/>
    <s v=".67"/>
    <s v="N"/>
    <s v="N"/>
    <s v="AF"/>
    <s v="178"/>
    <s v="231115"/>
    <s v="ECC"/>
    <s v="XPH"/>
    <s v="EAP"/>
    <m/>
    <m/>
    <s v="CDG"/>
    <s v="MEX"/>
    <s v="MEX"/>
    <s v="N"/>
    <s v="N1304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753"/>
    <s v="BA"/>
    <s v="05703151923001"/>
    <m/>
    <s v="120.0"/>
    <s v="3"/>
    <s v=".43"/>
    <s v="N"/>
    <s v="N"/>
    <s v="AF"/>
    <s v="652"/>
    <s v="231115"/>
    <s v="EAP"/>
    <m/>
    <m/>
    <m/>
    <m/>
    <s v="CDG"/>
    <s v="RUN"/>
    <s v="RUN"/>
    <s v="N"/>
    <s v="RSD0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754"/>
    <s v="BA"/>
    <s v="05703167301001"/>
    <m/>
    <s v="516.0"/>
    <s v="3"/>
    <s v="1.64"/>
    <s v="Y"/>
    <s v="N"/>
    <s v="AF"/>
    <s v="218"/>
    <s v="231115"/>
    <s v="ECP"/>
    <s v="HEA"/>
    <m/>
    <m/>
    <m/>
    <s v="CGN"/>
    <s v="BOM"/>
    <s v="BOM"/>
    <s v="N"/>
    <s v="N4002"/>
    <m/>
    <m/>
    <s v="Failed"/>
    <m/>
    <x v="30"/>
    <m/>
    <m/>
    <m/>
    <m/>
    <m/>
    <m/>
    <m/>
    <m/>
    <s v="3.2"/>
    <n v="0.5"/>
    <b v="0"/>
    <b v="0"/>
    <b v="0"/>
    <b v="0"/>
    <b v="0"/>
    <s v="No"/>
    <s v="No"/>
  </r>
  <r>
    <d v="2023-11-14T00:00:00"/>
    <x v="754"/>
    <s v="DA"/>
    <s v="05703167301002"/>
    <m/>
    <s v="172.0"/>
    <s v="1"/>
    <s v=".55"/>
    <s v="Y"/>
    <s v="N"/>
    <s v="AF"/>
    <s v="218"/>
    <s v="231115"/>
    <s v="ECP"/>
    <s v="HEA"/>
    <m/>
    <m/>
    <m/>
    <s v="CGN"/>
    <s v="BOM"/>
    <s v="BOM"/>
    <s v="N"/>
    <s v="HLC054"/>
    <m/>
    <m/>
    <s v="Failed"/>
    <m/>
    <x v="30"/>
    <m/>
    <m/>
    <m/>
    <m/>
    <m/>
    <m/>
    <m/>
    <m/>
    <s v="3.2"/>
    <n v="0.5"/>
    <b v="0"/>
    <b v="0"/>
    <b v="0"/>
    <b v="0"/>
    <b v="0"/>
    <s v="No"/>
    <s v="No"/>
  </r>
  <r>
    <d v="2023-11-14T00:00:00"/>
    <x v="755"/>
    <s v="BA"/>
    <s v="05704624222001"/>
    <m/>
    <s v="100.0"/>
    <s v="1"/>
    <s v=".38"/>
    <s v="N"/>
    <s v="N"/>
    <s v="AF"/>
    <s v="926"/>
    <s v="231115"/>
    <s v="ECP"/>
    <s v="EAP"/>
    <s v="SPX"/>
    <m/>
    <m/>
    <s v="CDG"/>
    <s v="LBV"/>
    <s v="LBV"/>
    <s v="N"/>
    <s v="S2401"/>
    <m/>
    <m/>
    <s v="Failed"/>
    <m/>
    <x v="31"/>
    <m/>
    <m/>
    <m/>
    <m/>
    <m/>
    <m/>
    <m/>
    <m/>
    <s v="3.2"/>
    <n v="1"/>
    <b v="0"/>
    <b v="0"/>
    <b v="0"/>
    <b v="0"/>
    <b v="0"/>
    <s v="No"/>
    <s v="No"/>
  </r>
  <r>
    <d v="2023-11-14T00:00:00"/>
    <x v="756"/>
    <s v="BA"/>
    <s v="05704789131001"/>
    <m/>
    <s v="211.0"/>
    <s v="1"/>
    <s v=".48"/>
    <s v="N"/>
    <s v="N"/>
    <s v="AF"/>
    <s v="718"/>
    <s v="231115"/>
    <s v="ECC"/>
    <s v="HEA"/>
    <s v="EAP"/>
    <s v="SPX"/>
    <m/>
    <s v="CDG"/>
    <s v="DSS"/>
    <s v="DSS"/>
    <s v="N"/>
    <s v="49009"/>
    <m/>
    <m/>
    <s v="Failed"/>
    <m/>
    <x v="31"/>
    <m/>
    <m/>
    <m/>
    <m/>
    <m/>
    <m/>
    <m/>
    <m/>
    <s v="3.2"/>
    <n v="1"/>
    <b v="0"/>
    <b v="0"/>
    <b v="0"/>
    <b v="0"/>
    <b v="0"/>
    <s v="No"/>
    <s v="No"/>
  </r>
  <r>
    <d v="2023-11-14T00:00:00"/>
    <x v="757"/>
    <s v="BA"/>
    <s v="05704867284001"/>
    <m/>
    <s v="24.0"/>
    <s v="1"/>
    <s v="2.11"/>
    <s v="Y"/>
    <s v="N"/>
    <s v="AF"/>
    <s v="140M"/>
    <s v="231115"/>
    <s v="PRC"/>
    <s v="XPH"/>
    <s v="EAW"/>
    <m/>
    <m/>
    <s v="ORD"/>
    <s v="MRS"/>
    <s v="MRS"/>
    <s v="N"/>
    <s v="XT000"/>
    <m/>
    <m/>
    <s v="Failed"/>
    <m/>
    <x v="30"/>
    <m/>
    <m/>
    <m/>
    <m/>
    <m/>
    <m/>
    <m/>
    <m/>
    <s v="3.2"/>
    <n v="1"/>
    <b v="0"/>
    <b v="0"/>
    <b v="0"/>
    <b v="0"/>
    <b v="0"/>
    <s v="No"/>
    <s v="Yes"/>
  </r>
  <r>
    <d v="2023-11-14T00:00:00"/>
    <x v="758"/>
    <s v="BA"/>
    <s v="05705161262001"/>
    <m/>
    <s v="214.0"/>
    <s v="3"/>
    <s v="2.00"/>
    <s v="Y"/>
    <s v="N"/>
    <s v="AF"/>
    <s v="718"/>
    <s v="231115"/>
    <m/>
    <m/>
    <m/>
    <m/>
    <m/>
    <s v="ORD"/>
    <s v="DSS"/>
    <s v="DSS"/>
    <s v="N"/>
    <s v="HLC155"/>
    <m/>
    <m/>
    <s v="Failed"/>
    <m/>
    <x v="6"/>
    <m/>
    <m/>
    <m/>
    <m/>
    <m/>
    <m/>
    <m/>
    <m/>
    <s v="3.2"/>
    <n v="1"/>
    <b v="0"/>
    <b v="0"/>
    <b v="0"/>
    <b v="0"/>
    <b v="0"/>
    <s v="No"/>
    <s v="Yes"/>
  </r>
  <r>
    <d v="2023-11-14T00:00:00"/>
    <x v="759"/>
    <s v="BA"/>
    <s v="05705174853001"/>
    <m/>
    <s v="240.0"/>
    <s v="1"/>
    <s v="4.27"/>
    <s v="N"/>
    <s v="N"/>
    <s v="AF"/>
    <s v="566"/>
    <s v="231115"/>
    <s v="HEA"/>
    <m/>
    <m/>
    <m/>
    <m/>
    <s v="CDG"/>
    <s v="BEY"/>
    <s v="BEY"/>
    <s v="N"/>
    <s v="XLC00"/>
    <m/>
    <m/>
    <s v="Failed"/>
    <m/>
    <x v="31"/>
    <m/>
    <m/>
    <m/>
    <m/>
    <m/>
    <m/>
    <m/>
    <m/>
    <s v="3.2"/>
    <n v="1"/>
    <b v="0"/>
    <b v="0"/>
    <b v="0"/>
    <b v="0"/>
    <b v="0"/>
    <s v="No"/>
    <s v="No"/>
  </r>
  <r>
    <d v="2023-11-14T00:00:00"/>
    <x v="760"/>
    <s v="BA"/>
    <s v="05705182656001"/>
    <s v="PMC90128AF"/>
    <s v="1208.0"/>
    <s v="76"/>
    <s v="1.13"/>
    <s v="Y"/>
    <s v="N"/>
    <s v="AF"/>
    <s v="566"/>
    <s v="231115"/>
    <s v="EAP"/>
    <m/>
    <m/>
    <m/>
    <m/>
    <s v="AMS"/>
    <s v="BEY"/>
    <s v="BEY"/>
    <s v="N"/>
    <s v="NCX-4540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761"/>
    <s v="BA"/>
    <s v="05705203516001"/>
    <m/>
    <s v="225.0"/>
    <s v="1"/>
    <s v=".52"/>
    <s v="N"/>
    <s v="N"/>
    <s v="AF"/>
    <s v="116"/>
    <s v="231115"/>
    <s v="HEA"/>
    <s v="OHG"/>
    <m/>
    <m/>
    <m/>
    <s v="CDG"/>
    <s v="PVG"/>
    <s v="PVG"/>
    <s v="N"/>
    <s v="LLC2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762"/>
    <s v="BA"/>
    <s v="05705231284001"/>
    <m/>
    <s v="512.5"/>
    <s v="1"/>
    <s v="1.21"/>
    <s v="Y"/>
    <s v="N"/>
    <s v="AF"/>
    <s v="990"/>
    <s v="231116"/>
    <s v="HEA"/>
    <s v="EAW"/>
    <m/>
    <m/>
    <m/>
    <s v="JFK"/>
    <s v="JNB"/>
    <s v="JNB"/>
    <s v="N"/>
    <s v="R7103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762"/>
    <s v="DA"/>
    <s v="05705231284002"/>
    <m/>
    <s v="512.5"/>
    <s v="1"/>
    <s v="1.21"/>
    <s v="Y"/>
    <s v="N"/>
    <s v="AF"/>
    <s v="990"/>
    <s v="231116"/>
    <s v="HEA"/>
    <s v="EAW"/>
    <m/>
    <m/>
    <m/>
    <s v="JFK"/>
    <s v="JNB"/>
    <s v="JNB"/>
    <s v="N"/>
    <s v="S4101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763"/>
    <s v="BA"/>
    <s v="05705235381001"/>
    <m/>
    <s v="281.0"/>
    <s v="1"/>
    <s v="1.26"/>
    <s v="Y"/>
    <s v="N"/>
    <s v="AF"/>
    <s v="890"/>
    <s v="231117"/>
    <s v="ECC"/>
    <s v="HEA"/>
    <s v="EAW"/>
    <m/>
    <m/>
    <s v="ORD"/>
    <s v="CPT"/>
    <s v="CPT"/>
    <s v="N"/>
    <s v="49104"/>
    <m/>
    <m/>
    <s v="Failed"/>
    <m/>
    <x v="0"/>
    <m/>
    <m/>
    <m/>
    <m/>
    <m/>
    <m/>
    <m/>
    <m/>
    <s v="3.2"/>
    <n v="1"/>
    <b v="0"/>
    <b v="0"/>
    <b v="0"/>
    <b v="0"/>
    <b v="0"/>
    <s v="No"/>
    <s v="Yes"/>
  </r>
  <r>
    <d v="2023-11-14T00:00:00"/>
    <x v="764"/>
    <s v="BA"/>
    <s v="05705242064001"/>
    <m/>
    <s v="19.0"/>
    <s v="1"/>
    <s v=".08"/>
    <s v="N"/>
    <s v="N"/>
    <s v="AF"/>
    <s v="670"/>
    <s v="231115"/>
    <s v="NCC"/>
    <s v="ECP"/>
    <s v="XPS"/>
    <s v="EAP"/>
    <m/>
    <s v="CDG"/>
    <s v="JIB"/>
    <s v="JIB"/>
    <s v="N"/>
    <s v="49112"/>
    <m/>
    <m/>
    <s v="Failed"/>
    <m/>
    <x v="31"/>
    <m/>
    <m/>
    <m/>
    <m/>
    <m/>
    <m/>
    <m/>
    <m/>
    <s v="3.2"/>
    <n v="1"/>
    <b v="0"/>
    <b v="0"/>
    <b v="0"/>
    <b v="0"/>
    <b v="0"/>
    <s v="No"/>
    <s v="No"/>
  </r>
  <r>
    <d v="2023-11-14T00:00:00"/>
    <x v="765"/>
    <s v="BA"/>
    <s v="05705242801001"/>
    <m/>
    <s v="270.5"/>
    <s v="1"/>
    <s v="1.56"/>
    <s v="N"/>
    <s v="N"/>
    <s v="AF"/>
    <s v="566"/>
    <s v="231117"/>
    <s v="NSC"/>
    <s v="ECP"/>
    <s v="HEA"/>
    <s v="EAP"/>
    <m/>
    <s v="CDG"/>
    <s v="BEY"/>
    <s v="BEY"/>
    <s v="N"/>
    <s v="N1403"/>
    <m/>
    <m/>
    <s v="Failed"/>
    <m/>
    <x v="31"/>
    <m/>
    <m/>
    <m/>
    <m/>
    <m/>
    <m/>
    <m/>
    <m/>
    <s v="3.2"/>
    <n v="0.25"/>
    <b v="0"/>
    <b v="0"/>
    <b v="0"/>
    <b v="0"/>
    <b v="0"/>
    <s v="No"/>
    <s v="No"/>
  </r>
  <r>
    <d v="2023-11-14T00:00:00"/>
    <x v="766"/>
    <s v="BA"/>
    <s v="05705244400001"/>
    <m/>
    <s v="30.0"/>
    <s v="1"/>
    <s v=".14"/>
    <s v="N"/>
    <s v="N"/>
    <s v="AF"/>
    <s v="090"/>
    <s v="231115"/>
    <s v="XPH"/>
    <m/>
    <m/>
    <m/>
    <m/>
    <s v="CDG"/>
    <s v="MIA"/>
    <s v="MIA"/>
    <s v="N"/>
    <s v="HLC141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767"/>
    <s v="BA"/>
    <s v="05705245800001"/>
    <m/>
    <s v="28.6"/>
    <s v="1"/>
    <s v=".27"/>
    <s v="Y"/>
    <s v="N"/>
    <s v="AF"/>
    <s v="694"/>
    <s v="231115"/>
    <s v="OHG"/>
    <m/>
    <m/>
    <m/>
    <m/>
    <s v="SWK"/>
    <s v="IAH"/>
    <s v="IAH"/>
    <s v="N"/>
    <s v="LLC50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768"/>
    <s v="BA"/>
    <s v="05705245940001"/>
    <m/>
    <s v="626.0"/>
    <s v="1"/>
    <s v=".73"/>
    <s v="Y"/>
    <s v="N"/>
    <s v="AF"/>
    <s v="694"/>
    <s v="231115"/>
    <s v="HEA"/>
    <m/>
    <m/>
    <m/>
    <m/>
    <s v="SWK"/>
    <s v="IAH"/>
    <s v="IAH"/>
    <s v="N"/>
    <s v="63002"/>
    <m/>
    <m/>
    <s v="Passed"/>
    <m/>
    <x v="5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768"/>
    <s v="DA"/>
    <s v="05705245940002"/>
    <m/>
    <s v="626.0"/>
    <s v="1"/>
    <s v=".73"/>
    <s v="Y"/>
    <s v="N"/>
    <s v="AF"/>
    <s v="694"/>
    <s v="231115"/>
    <s v="HEA"/>
    <m/>
    <m/>
    <m/>
    <m/>
    <s v="SWK"/>
    <s v="IAH"/>
    <s v="IAH"/>
    <s v="N"/>
    <s v="LLC34"/>
    <m/>
    <m/>
    <s v="Passed"/>
    <m/>
    <x v="5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768"/>
    <s v="FA"/>
    <s v="05705245940003"/>
    <m/>
    <s v="626.0"/>
    <s v="1"/>
    <s v=".73"/>
    <s v="Y"/>
    <s v="N"/>
    <s v="AF"/>
    <s v="694"/>
    <s v="231115"/>
    <s v="HEA"/>
    <m/>
    <m/>
    <m/>
    <m/>
    <s v="SWK"/>
    <s v="IAH"/>
    <s v="IAH"/>
    <s v="N"/>
    <s v="XLC00"/>
    <m/>
    <m/>
    <s v="Passed"/>
    <m/>
    <x v="5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769"/>
    <s v="BA"/>
    <s v="05705245984001"/>
    <m/>
    <s v="345.0"/>
    <s v="1"/>
    <s v=".86"/>
    <s v="Y"/>
    <s v="N"/>
    <s v="AF"/>
    <s v="890"/>
    <s v="231117"/>
    <s v="ECC"/>
    <s v="HEA"/>
    <m/>
    <m/>
    <m/>
    <s v="LHR"/>
    <s v="CPT"/>
    <s v="CPT"/>
    <s v="N"/>
    <s v="49304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770"/>
    <s v="BA"/>
    <s v="05705246732001"/>
    <s v="PAG11467AF"/>
    <s v="2781.0"/>
    <s v="6"/>
    <s v="7.31"/>
    <s v="Y"/>
    <s v="N"/>
    <s v="AF"/>
    <s v="090"/>
    <s v="231115"/>
    <s v="ECC"/>
    <s v="HEA"/>
    <s v="EAP"/>
    <m/>
    <m/>
    <s v="BOM"/>
    <s v="MIA"/>
    <s v="MIA"/>
    <s v="N"/>
    <s v="B2A-5339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771"/>
    <s v="DA"/>
    <s v="05705264184002"/>
    <m/>
    <s v="150.3"/>
    <s v="1"/>
    <s v="1.55"/>
    <s v="Y"/>
    <s v="N"/>
    <s v="AF"/>
    <s v="090"/>
    <s v="231115"/>
    <s v="ECC"/>
    <s v="HEA"/>
    <m/>
    <m/>
    <m/>
    <s v="MRS"/>
    <s v="MIA"/>
    <s v="MIA"/>
    <s v="N"/>
    <s v="HLC126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771"/>
    <s v="FA"/>
    <s v="05705264184003"/>
    <m/>
    <s v="150.3"/>
    <s v="1"/>
    <s v="1.55"/>
    <s v="Y"/>
    <s v="N"/>
    <s v="AF"/>
    <s v="090"/>
    <s v="231115"/>
    <s v="ECC"/>
    <s v="HEA"/>
    <m/>
    <m/>
    <m/>
    <s v="MRS"/>
    <s v="MIA"/>
    <s v="MIA"/>
    <s v="N"/>
    <s v="HLC116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772"/>
    <s v="BA"/>
    <s v="05705264453001"/>
    <m/>
    <s v="94.0"/>
    <s v="1"/>
    <s v=".73"/>
    <s v="N"/>
    <s v="N"/>
    <s v="AF"/>
    <s v="116"/>
    <s v="231115"/>
    <s v="ECP"/>
    <s v="EAW"/>
    <m/>
    <m/>
    <m/>
    <s v="CDG"/>
    <s v="PVG"/>
    <s v="PVG"/>
    <s v="N"/>
    <s v="XLC20"/>
    <m/>
    <m/>
    <s v="Failed"/>
    <m/>
    <x v="6"/>
    <m/>
    <m/>
    <m/>
    <m/>
    <m/>
    <m/>
    <m/>
    <m/>
    <s v="3.2"/>
    <n v="1"/>
    <b v="0"/>
    <b v="0"/>
    <b v="0"/>
    <b v="0"/>
    <b v="0"/>
    <s v="No"/>
    <s v="No"/>
  </r>
  <r>
    <d v="2023-11-14T00:00:00"/>
    <x v="773"/>
    <s v="BA"/>
    <s v="05705266704001"/>
    <m/>
    <s v="152.5"/>
    <s v="1"/>
    <s v=".50"/>
    <s v="N"/>
    <s v="N"/>
    <s v="AF"/>
    <s v="6732"/>
    <s v="231115"/>
    <s v="HEA"/>
    <m/>
    <m/>
    <m/>
    <m/>
    <s v="CDG"/>
    <s v="ORD"/>
    <s v="ORD"/>
    <s v="N"/>
    <s v="OD1OUI"/>
    <m/>
    <m/>
    <s v="Failed"/>
    <m/>
    <x v="30"/>
    <m/>
    <m/>
    <m/>
    <m/>
    <m/>
    <m/>
    <m/>
    <m/>
    <s v="3.2"/>
    <n v="0.5"/>
    <b v="0"/>
    <b v="0"/>
    <b v="0"/>
    <b v="0"/>
    <b v="0"/>
    <s v="No"/>
    <s v="No"/>
  </r>
  <r>
    <d v="2023-11-14T00:00:00"/>
    <x v="773"/>
    <s v="DA"/>
    <s v="05705266704002"/>
    <m/>
    <s v="152.5"/>
    <s v="1"/>
    <s v=".50"/>
    <s v="N"/>
    <s v="N"/>
    <s v="AF"/>
    <s v="6732"/>
    <s v="231115"/>
    <s v="HEA"/>
    <m/>
    <m/>
    <m/>
    <m/>
    <s v="CDG"/>
    <s v="ORD"/>
    <s v="ORD"/>
    <s v="N"/>
    <s v="OD1OUI"/>
    <m/>
    <m/>
    <s v="Failed"/>
    <m/>
    <x v="30"/>
    <m/>
    <m/>
    <m/>
    <m/>
    <m/>
    <m/>
    <m/>
    <m/>
    <s v="3.2"/>
    <n v="0.5"/>
    <b v="0"/>
    <b v="0"/>
    <b v="0"/>
    <b v="0"/>
    <b v="0"/>
    <s v="No"/>
    <s v="No"/>
  </r>
  <r>
    <d v="2023-11-14T00:00:00"/>
    <x v="774"/>
    <s v="BA"/>
    <s v="05705267905001"/>
    <m/>
    <s v="178.0"/>
    <s v="1"/>
    <s v=".58"/>
    <s v="N"/>
    <s v="N"/>
    <s v="AF"/>
    <s v="926"/>
    <s v="231115"/>
    <s v="RMD"/>
    <s v="HEA"/>
    <m/>
    <m/>
    <m/>
    <s v="CDG"/>
    <s v="LBV"/>
    <s v="LBV"/>
    <s v="N"/>
    <s v="S3402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775"/>
    <s v="BA"/>
    <s v="05705268292001"/>
    <m/>
    <s v="65.8"/>
    <s v="1"/>
    <s v=".67"/>
    <s v="Y"/>
    <s v="N"/>
    <s v="AF"/>
    <s v="990"/>
    <s v="231116"/>
    <s v="ECC"/>
    <s v="EAW"/>
    <m/>
    <m/>
    <m/>
    <s v="IAH"/>
    <s v="JNB"/>
    <s v="JNB"/>
    <s v="N"/>
    <s v="55401"/>
    <m/>
    <m/>
    <s v="Failed"/>
    <m/>
    <x v="30"/>
    <m/>
    <m/>
    <m/>
    <m/>
    <m/>
    <m/>
    <m/>
    <m/>
    <s v="3.2"/>
    <n v="1"/>
    <b v="0"/>
    <b v="0"/>
    <b v="0"/>
    <b v="0"/>
    <b v="0"/>
    <s v="No"/>
    <s v="Yes"/>
  </r>
  <r>
    <d v="2023-11-14T00:00:00"/>
    <x v="776"/>
    <s v="DA"/>
    <s v="05705272050002"/>
    <m/>
    <s v="209.0"/>
    <s v="1"/>
    <s v=".86"/>
    <s v="Y"/>
    <s v="N"/>
    <s v="AF"/>
    <s v="990"/>
    <s v="231116"/>
    <s v="HEA"/>
    <s v="EAP"/>
    <m/>
    <m/>
    <m/>
    <s v="DFW"/>
    <s v="JNB"/>
    <s v="JNB"/>
    <s v="N"/>
    <s v="HLC042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777"/>
    <s v="BA"/>
    <s v="05705276924001"/>
    <m/>
    <s v="208.0"/>
    <s v="1"/>
    <s v="1.07"/>
    <s v="Y"/>
    <s v="N"/>
    <s v="AF"/>
    <s v="890"/>
    <s v="231117"/>
    <s v="ECC"/>
    <s v="HEA"/>
    <s v="EAW"/>
    <m/>
    <m/>
    <s v="ORD"/>
    <s v="CPT"/>
    <s v="CPT"/>
    <s v="N"/>
    <s v="49108"/>
    <m/>
    <m/>
    <s v="Failed"/>
    <m/>
    <x v="0"/>
    <m/>
    <m/>
    <m/>
    <m/>
    <m/>
    <m/>
    <m/>
    <m/>
    <s v="3.2"/>
    <n v="1"/>
    <b v="0"/>
    <b v="0"/>
    <b v="0"/>
    <b v="0"/>
    <b v="0"/>
    <s v="No"/>
    <s v="Yes"/>
  </r>
  <r>
    <d v="2023-11-14T00:00:00"/>
    <x v="778"/>
    <s v="BA"/>
    <s v="05705281846001"/>
    <m/>
    <s v="410.0"/>
    <s v="1"/>
    <s v="1.22"/>
    <s v="Y"/>
    <s v="N"/>
    <s v="AF"/>
    <s v="990"/>
    <s v="231117"/>
    <s v="ECC"/>
    <s v="HEA"/>
    <s v="EAW"/>
    <m/>
    <m/>
    <s v="SFO"/>
    <s v="JNB"/>
    <s v="JNB"/>
    <s v="N"/>
    <s v="S8103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778"/>
    <s v="DA"/>
    <s v="05705281846002"/>
    <m/>
    <s v="410.0"/>
    <s v="1"/>
    <s v="1.23"/>
    <s v="Y"/>
    <s v="N"/>
    <s v="AF"/>
    <s v="990"/>
    <s v="231117"/>
    <s v="ECC"/>
    <s v="HEA"/>
    <s v="EAW"/>
    <m/>
    <m/>
    <s v="SFO"/>
    <s v="JNB"/>
    <s v="JNB"/>
    <s v="N"/>
    <s v="S7102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779"/>
    <s v="BA"/>
    <s v="05705285674001"/>
    <m/>
    <s v="86.2"/>
    <s v="1"/>
    <s v="1.65"/>
    <s v="Y"/>
    <s v="N"/>
    <s v="AF"/>
    <s v="694"/>
    <s v="231115"/>
    <m/>
    <m/>
    <m/>
    <m/>
    <m/>
    <s v="BLL"/>
    <s v="IAH"/>
    <s v="IAH"/>
    <s v="N"/>
    <s v="XLC00"/>
    <m/>
    <m/>
    <s v="Passed"/>
    <m/>
    <x v="39"/>
    <m/>
    <m/>
    <m/>
    <m/>
    <m/>
    <m/>
    <m/>
    <m/>
    <s v="3.2"/>
    <n v="0.5"/>
    <b v="0"/>
    <b v="0"/>
    <b v="0"/>
    <b v="0"/>
    <b v="0"/>
    <s v="No"/>
    <s v="No"/>
  </r>
  <r>
    <d v="2023-11-14T00:00:00"/>
    <x v="779"/>
    <s v="DA"/>
    <s v="05705285674002"/>
    <m/>
    <s v="86.3"/>
    <s v="1"/>
    <s v="1.65"/>
    <s v="Y"/>
    <s v="N"/>
    <s v="AF"/>
    <s v="694"/>
    <s v="231115"/>
    <m/>
    <m/>
    <m/>
    <m/>
    <m/>
    <s v="BLL"/>
    <s v="IAH"/>
    <s v="IAH"/>
    <s v="N"/>
    <s v="NFL00"/>
    <m/>
    <m/>
    <s v="Passed"/>
    <m/>
    <x v="39"/>
    <m/>
    <m/>
    <m/>
    <m/>
    <m/>
    <m/>
    <m/>
    <m/>
    <s v="3.2"/>
    <n v="0.5"/>
    <b v="0"/>
    <b v="0"/>
    <b v="0"/>
    <b v="0"/>
    <b v="0"/>
    <s v="No"/>
    <s v="No"/>
  </r>
  <r>
    <d v="2023-11-14T00:00:00"/>
    <x v="780"/>
    <s v="BA"/>
    <s v="05705285696001"/>
    <m/>
    <s v="130.0"/>
    <s v="1"/>
    <s v=".85"/>
    <s v="Y"/>
    <s v="N"/>
    <s v="AF"/>
    <s v="718"/>
    <s v="231115"/>
    <s v="ECC"/>
    <s v="EAP"/>
    <m/>
    <m/>
    <m/>
    <s v="HAM"/>
    <s v="DSS"/>
    <s v="DSS"/>
    <s v="N"/>
    <s v="54401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781"/>
    <s v="BA"/>
    <s v="05705289620001"/>
    <m/>
    <s v="170.0"/>
    <s v="1"/>
    <s v=".05"/>
    <s v="Y"/>
    <s v="N"/>
    <s v="DL"/>
    <s v="085"/>
    <s v="231117"/>
    <s v="ECC"/>
    <s v="HEA"/>
    <s v="EAP"/>
    <m/>
    <m/>
    <s v="DUS"/>
    <s v="ATL"/>
    <s v="ATL"/>
    <s v="N"/>
    <s v="N6304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782"/>
    <s v="BA"/>
    <s v="05705292140001"/>
    <m/>
    <s v="126.3"/>
    <s v="1"/>
    <s v="2.34"/>
    <s v="Y"/>
    <s v="N"/>
    <s v="AF"/>
    <s v="194"/>
    <s v="231115"/>
    <s v="ECC"/>
    <s v="EAP"/>
    <m/>
    <m/>
    <m/>
    <s v="HEL"/>
    <s v="BLR"/>
    <s v="BLR"/>
    <s v="N"/>
    <s v="S2302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782"/>
    <s v="DA"/>
    <s v="05705292140002"/>
    <m/>
    <s v="126.3"/>
    <s v="1"/>
    <s v="2.34"/>
    <s v="Y"/>
    <s v="N"/>
    <s v="AF"/>
    <s v="194"/>
    <s v="231115"/>
    <s v="ECC"/>
    <s v="EAP"/>
    <m/>
    <m/>
    <m/>
    <s v="HEL"/>
    <s v="BLR"/>
    <s v="BLR"/>
    <s v="N"/>
    <s v="56007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782"/>
    <s v="FA"/>
    <s v="05705292140003"/>
    <m/>
    <s v="126.4"/>
    <s v="1"/>
    <s v="2.35"/>
    <s v="Y"/>
    <s v="N"/>
    <s v="AF"/>
    <s v="194"/>
    <s v="231115"/>
    <s v="ECC"/>
    <s v="EAP"/>
    <m/>
    <m/>
    <m/>
    <s v="HEL"/>
    <s v="BLR"/>
    <s v="BLR"/>
    <s v="N"/>
    <s v="R3001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783"/>
    <s v="BA"/>
    <s v="05705292420001"/>
    <s v="PMC98853DL"/>
    <s v="85.0"/>
    <s v="1"/>
    <s v="1.19"/>
    <s v="Y"/>
    <s v="N"/>
    <s v="DL"/>
    <s v="9888"/>
    <s v="231115"/>
    <s v="ECC"/>
    <s v="EAW"/>
    <m/>
    <m/>
    <m/>
    <s v="STR"/>
    <s v="JFK"/>
    <s v="JFK"/>
    <s v="N"/>
    <s v="B2A-5026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784"/>
    <s v="BA"/>
    <s v="05705293142001"/>
    <m/>
    <s v="315.0"/>
    <s v="1"/>
    <s v=".45"/>
    <s v="Y"/>
    <s v="N"/>
    <s v="AF"/>
    <s v="694"/>
    <s v="231115"/>
    <s v="HEA"/>
    <m/>
    <m/>
    <m/>
    <m/>
    <s v="DSS"/>
    <s v="IAH"/>
    <s v="IAH"/>
    <s v="N"/>
    <s v="53110"/>
    <m/>
    <m/>
    <s v="Passed"/>
    <m/>
    <x v="5"/>
    <m/>
    <m/>
    <m/>
    <m/>
    <m/>
    <m/>
    <m/>
    <m/>
    <s v="3.2"/>
    <n v="1"/>
    <b v="0"/>
    <b v="0"/>
    <b v="0"/>
    <b v="0"/>
    <b v="0"/>
    <s v="No"/>
    <s v="Yes"/>
  </r>
  <r>
    <d v="2023-11-14T00:00:00"/>
    <x v="785"/>
    <s v="BA"/>
    <s v="05705294380001"/>
    <m/>
    <s v="508.0"/>
    <s v="1"/>
    <s v="4.47"/>
    <s v="N"/>
    <s v="N"/>
    <s v="AF"/>
    <s v="484"/>
    <s v="231115"/>
    <s v="HEA"/>
    <m/>
    <m/>
    <m/>
    <m/>
    <s v="CDG"/>
    <s v="GIG"/>
    <s v="GIG"/>
    <s v="N"/>
    <s v="XLC00"/>
    <m/>
    <m/>
    <s v="Failed"/>
    <m/>
    <x v="30"/>
    <m/>
    <m/>
    <m/>
    <m/>
    <m/>
    <m/>
    <m/>
    <m/>
    <s v="3.2"/>
    <n v="0.5"/>
    <b v="0"/>
    <b v="0"/>
    <b v="0"/>
    <b v="0"/>
    <b v="0"/>
    <s v="No"/>
    <s v="No"/>
  </r>
  <r>
    <d v="2023-11-14T00:00:00"/>
    <x v="785"/>
    <s v="DA"/>
    <s v="05705294380002"/>
    <m/>
    <s v="508.0"/>
    <s v="1"/>
    <s v="4.47"/>
    <s v="N"/>
    <s v="N"/>
    <s v="AF"/>
    <s v="484"/>
    <s v="231115"/>
    <s v="HEA"/>
    <m/>
    <m/>
    <m/>
    <m/>
    <s v="CDG"/>
    <s v="GIG"/>
    <s v="GIG"/>
    <s v="N"/>
    <s v="XLC30"/>
    <m/>
    <m/>
    <s v="Failed"/>
    <m/>
    <x v="30"/>
    <m/>
    <m/>
    <m/>
    <m/>
    <m/>
    <m/>
    <m/>
    <m/>
    <s v="3.2"/>
    <n v="0.5"/>
    <b v="0"/>
    <b v="0"/>
    <b v="0"/>
    <b v="0"/>
    <b v="0"/>
    <s v="No"/>
    <s v="No"/>
  </r>
  <r>
    <d v="2023-11-14T00:00:00"/>
    <x v="786"/>
    <s v="BA"/>
    <s v="05705294833001"/>
    <m/>
    <s v="244.5"/>
    <s v="1"/>
    <s v="2.79"/>
    <s v="Y"/>
    <s v="N"/>
    <s v="AF"/>
    <s v="342"/>
    <s v="231118"/>
    <s v="ECC"/>
    <s v="HEA"/>
    <m/>
    <m/>
    <m/>
    <s v="BOD"/>
    <s v="YYZ"/>
    <s v="YUL"/>
    <s v="N"/>
    <s v="54005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786"/>
    <s v="DA"/>
    <s v="05705294833002"/>
    <m/>
    <s v="244.5"/>
    <s v="1"/>
    <s v="2.79"/>
    <s v="Y"/>
    <s v="N"/>
    <s v="AF"/>
    <s v="342"/>
    <s v="231118"/>
    <s v="ECC"/>
    <s v="HEA"/>
    <m/>
    <m/>
    <m/>
    <s v="BOD"/>
    <s v="YYZ"/>
    <s v="YUL"/>
    <s v="N"/>
    <s v="53008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787"/>
    <s v="BA"/>
    <s v="05705295161001"/>
    <m/>
    <s v="298.0"/>
    <s v="1"/>
    <s v="1.36"/>
    <s v="N"/>
    <s v="N"/>
    <s v="AF"/>
    <s v="694"/>
    <s v="231116"/>
    <s v="HEA"/>
    <m/>
    <m/>
    <m/>
    <m/>
    <s v="CDG"/>
    <s v="IAH"/>
    <s v="IAH"/>
    <s v="N"/>
    <s v="XLC3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788"/>
    <s v="BA"/>
    <s v="05705295850001"/>
    <m/>
    <s v="95.0"/>
    <s v="1"/>
    <s v=".59"/>
    <s v="Y"/>
    <s v="N"/>
    <s v="AF"/>
    <s v="566"/>
    <s v="231116"/>
    <s v="ECP"/>
    <m/>
    <m/>
    <m/>
    <m/>
    <s v="STR"/>
    <s v="BEY"/>
    <s v="BEY"/>
    <s v="N"/>
    <s v="53002"/>
    <m/>
    <m/>
    <s v="Passed"/>
    <m/>
    <x v="5"/>
    <m/>
    <m/>
    <m/>
    <m/>
    <m/>
    <m/>
    <m/>
    <m/>
    <s v="3.2"/>
    <n v="0.5"/>
    <b v="0"/>
    <b v="0"/>
    <b v="0"/>
    <b v="0"/>
    <b v="0"/>
    <s v="No"/>
    <s v="No"/>
  </r>
  <r>
    <d v="2023-11-14T00:00:00"/>
    <x v="788"/>
    <s v="DA"/>
    <s v="05705295850002"/>
    <m/>
    <s v="95.0"/>
    <s v="1"/>
    <s v=".60"/>
    <s v="Y"/>
    <s v="N"/>
    <s v="AF"/>
    <s v="566"/>
    <s v="231116"/>
    <s v="ECP"/>
    <m/>
    <m/>
    <m/>
    <m/>
    <s v="STR"/>
    <s v="BEY"/>
    <s v="BEY"/>
    <s v="N"/>
    <s v="N5002"/>
    <m/>
    <m/>
    <s v="Passed"/>
    <m/>
    <x v="5"/>
    <m/>
    <m/>
    <m/>
    <m/>
    <m/>
    <m/>
    <m/>
    <m/>
    <s v="3.2"/>
    <n v="0.5"/>
    <b v="0"/>
    <b v="0"/>
    <b v="0"/>
    <b v="0"/>
    <b v="0"/>
    <s v="No"/>
    <s v="No"/>
  </r>
  <r>
    <d v="2023-11-14T00:00:00"/>
    <x v="789"/>
    <s v="BA"/>
    <s v="05705297154001"/>
    <m/>
    <s v="50.0"/>
    <s v="1"/>
    <s v=".60"/>
    <s v="Y"/>
    <s v="N"/>
    <s v="AF"/>
    <s v="718"/>
    <s v="231115"/>
    <s v="ECC"/>
    <m/>
    <m/>
    <m/>
    <m/>
    <s v="MRS"/>
    <s v="DSS"/>
    <s v="DSS"/>
    <s v="N"/>
    <s v="61104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790"/>
    <s v="BA"/>
    <s v="05705298016001"/>
    <m/>
    <s v="51.0"/>
    <s v="1"/>
    <s v=".60"/>
    <s v="Y"/>
    <s v="N"/>
    <s v="AF"/>
    <s v="718"/>
    <s v="231115"/>
    <m/>
    <m/>
    <m/>
    <m/>
    <m/>
    <s v="MRS"/>
    <s v="DSS"/>
    <s v="DSS"/>
    <s v="N"/>
    <s v="51407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791"/>
    <s v="BA"/>
    <s v="05705298742001"/>
    <m/>
    <s v="998.0"/>
    <s v="1"/>
    <s v=".62"/>
    <s v="Y"/>
    <s v="N"/>
    <s v="AF"/>
    <s v="194"/>
    <s v="231115"/>
    <s v="ECC"/>
    <s v="HEA"/>
    <s v="OHG"/>
    <m/>
    <m/>
    <s v="MAN"/>
    <s v="BLR"/>
    <s v="BLR"/>
    <s v="N"/>
    <s v="LLC40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792"/>
    <s v="BA"/>
    <s v="05705302275001"/>
    <s v="PAG30961NW"/>
    <s v="142.0"/>
    <s v="1"/>
    <s v="1.22"/>
    <s v="Y"/>
    <s v="N"/>
    <s v="DL"/>
    <s v="9888"/>
    <s v="231115"/>
    <s v="ECC"/>
    <m/>
    <m/>
    <m/>
    <m/>
    <s v="MMX"/>
    <s v="JFK"/>
    <s v="JFK"/>
    <s v="N"/>
    <s v="B2B-4127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792"/>
    <s v="DA"/>
    <s v="05705302275002"/>
    <s v="PAG30961NW"/>
    <s v="142.0"/>
    <s v="1"/>
    <s v="1.23"/>
    <s v="Y"/>
    <s v="N"/>
    <s v="DL"/>
    <s v="9888"/>
    <s v="231115"/>
    <s v="ECC"/>
    <m/>
    <m/>
    <m/>
    <m/>
    <s v="MMX"/>
    <s v="JFK"/>
    <s v="JFK"/>
    <s v="N"/>
    <s v="B2B-4127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793"/>
    <s v="BA"/>
    <s v="05705310826001"/>
    <m/>
    <s v="131.0"/>
    <s v="1"/>
    <s v=".34"/>
    <s v="Y"/>
    <s v="N"/>
    <s v="AF"/>
    <s v="136"/>
    <s v="231115"/>
    <s v="ECC"/>
    <s v="EAP"/>
    <m/>
    <m/>
    <m/>
    <s v="DUS"/>
    <s v="ORD"/>
    <s v="ORD"/>
    <s v="N"/>
    <s v="T3303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794"/>
    <s v="BA"/>
    <s v="05705314072001"/>
    <m/>
    <s v="387.7"/>
    <s v="1"/>
    <s v="1.90"/>
    <s v="Y"/>
    <s v="N"/>
    <s v="AF"/>
    <s v="004"/>
    <s v="231115"/>
    <s v="ECC"/>
    <s v="HEA"/>
    <s v="EAP"/>
    <m/>
    <m/>
    <s v="BOM"/>
    <s v="JFK"/>
    <s v="JFK"/>
    <s v="N"/>
    <s v="EC400"/>
    <m/>
    <m/>
    <s v="Failed"/>
    <m/>
    <x v="3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794"/>
    <s v="DA"/>
    <s v="05705314072002"/>
    <m/>
    <s v="387.7"/>
    <s v="1"/>
    <s v="1.90"/>
    <s v="Y"/>
    <s v="N"/>
    <s v="AF"/>
    <s v="004"/>
    <s v="231115"/>
    <s v="ECC"/>
    <s v="HEA"/>
    <s v="EAP"/>
    <m/>
    <m/>
    <s v="BOM"/>
    <s v="JFK"/>
    <s v="JFK"/>
    <s v="N"/>
    <s v="EC400"/>
    <m/>
    <m/>
    <s v="Failed"/>
    <m/>
    <x v="3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794"/>
    <s v="FA"/>
    <s v="05705314072003"/>
    <m/>
    <s v="387.7"/>
    <s v="1"/>
    <s v="1.90"/>
    <s v="Y"/>
    <s v="N"/>
    <s v="AF"/>
    <s v="004"/>
    <s v="231115"/>
    <s v="ECC"/>
    <s v="HEA"/>
    <s v="EAP"/>
    <m/>
    <m/>
    <s v="BOM"/>
    <s v="JFK"/>
    <s v="JFK"/>
    <s v="N"/>
    <s v="EC400"/>
    <m/>
    <m/>
    <s v="Failed"/>
    <m/>
    <x v="3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795"/>
    <s v="BA"/>
    <s v="05705323916001"/>
    <m/>
    <s v="12.5"/>
    <s v="1"/>
    <s v=".05"/>
    <s v="Y"/>
    <s v="N"/>
    <s v="AF"/>
    <s v="6724"/>
    <s v="231116"/>
    <s v="RMD"/>
    <s v="ECC"/>
    <s v="EAP"/>
    <m/>
    <m/>
    <s v="DUS"/>
    <s v="NRT"/>
    <s v="NRT"/>
    <s v="N"/>
    <s v="S7000"/>
    <m/>
    <m/>
    <s v="Passed"/>
    <m/>
    <x v="5"/>
    <m/>
    <m/>
    <m/>
    <m/>
    <m/>
    <m/>
    <m/>
    <m/>
    <s v="3.2"/>
    <n v="0.2"/>
    <b v="0"/>
    <b v="0"/>
    <b v="0"/>
    <b v="0"/>
    <b v="0"/>
    <s v="No"/>
    <s v="No"/>
  </r>
  <r>
    <d v="2023-11-14T00:00:00"/>
    <x v="795"/>
    <s v="DA"/>
    <s v="05705323916002"/>
    <m/>
    <s v="12.4"/>
    <s v="1"/>
    <s v=".04"/>
    <s v="Y"/>
    <s v="N"/>
    <s v="AF"/>
    <s v="6724"/>
    <s v="231116"/>
    <s v="RFL"/>
    <s v="ECC"/>
    <s v="EAP"/>
    <m/>
    <m/>
    <s v="DUS"/>
    <s v="NRT"/>
    <s v="NRT"/>
    <s v="N"/>
    <s v="EC300"/>
    <m/>
    <m/>
    <s v="Passed"/>
    <m/>
    <x v="5"/>
    <m/>
    <m/>
    <m/>
    <m/>
    <m/>
    <m/>
    <m/>
    <m/>
    <s v="3.2"/>
    <n v="0.2"/>
    <s v="Yes"/>
    <b v="0"/>
    <b v="0"/>
    <b v="0"/>
    <b v="0"/>
    <s v="Yes"/>
    <s v="No"/>
  </r>
  <r>
    <d v="2023-11-14T00:00:00"/>
    <x v="795"/>
    <s v="FA"/>
    <s v="05705323916003"/>
    <m/>
    <s v="12.5"/>
    <s v="1"/>
    <s v=".05"/>
    <s v="Y"/>
    <s v="N"/>
    <s v="AF"/>
    <s v="6724"/>
    <s v="231116"/>
    <s v="RMD"/>
    <s v="ECC"/>
    <s v="EAP"/>
    <m/>
    <m/>
    <s v="DUS"/>
    <s v="NRT"/>
    <s v="NRT"/>
    <s v="N"/>
    <s v="S7000"/>
    <m/>
    <m/>
    <s v="Passed"/>
    <m/>
    <x v="5"/>
    <m/>
    <m/>
    <m/>
    <m/>
    <m/>
    <m/>
    <m/>
    <m/>
    <s v="3.2"/>
    <n v="0.2"/>
    <b v="0"/>
    <b v="0"/>
    <b v="0"/>
    <b v="0"/>
    <b v="0"/>
    <s v="No"/>
    <s v="No"/>
  </r>
  <r>
    <d v="2023-11-14T00:00:00"/>
    <x v="795"/>
    <s v="HA"/>
    <s v="05705323916004"/>
    <m/>
    <s v="12.5"/>
    <s v="1"/>
    <s v=".05"/>
    <s v="Y"/>
    <s v="N"/>
    <s v="AF"/>
    <s v="6724"/>
    <s v="231116"/>
    <s v="ECC"/>
    <s v="EAP"/>
    <m/>
    <m/>
    <m/>
    <s v="DUS"/>
    <s v="NRT"/>
    <s v="NRT"/>
    <s v="N"/>
    <s v="S6403"/>
    <m/>
    <m/>
    <s v="Passed"/>
    <m/>
    <x v="5"/>
    <m/>
    <m/>
    <m/>
    <m/>
    <m/>
    <m/>
    <m/>
    <m/>
    <s v="3.2"/>
    <n v="0.2"/>
    <b v="0"/>
    <b v="0"/>
    <b v="0"/>
    <b v="0"/>
    <b v="0"/>
    <s v="No"/>
    <s v="No"/>
  </r>
  <r>
    <d v="2023-11-14T00:00:00"/>
    <x v="796"/>
    <s v="JA"/>
    <s v="05705323916005"/>
    <m/>
    <s v="12.5"/>
    <s v="1"/>
    <s v=".05"/>
    <s v="Y"/>
    <s v="N"/>
    <s v="AF"/>
    <s v="6724"/>
    <s v="231116"/>
    <s v="RFL"/>
    <s v="ECC"/>
    <s v="EAP"/>
    <m/>
    <m/>
    <s v="DUS"/>
    <s v="NRT"/>
    <s v="NRT"/>
    <s v="N"/>
    <s v="94402"/>
    <m/>
    <m/>
    <s v="Passed"/>
    <m/>
    <x v="5"/>
    <m/>
    <m/>
    <m/>
    <m/>
    <m/>
    <m/>
    <m/>
    <m/>
    <s v="3.2"/>
    <n v="0.2"/>
    <s v="Yes"/>
    <b v="0"/>
    <b v="0"/>
    <b v="0"/>
    <b v="0"/>
    <s v="Yes"/>
    <s v="No"/>
  </r>
  <r>
    <d v="2023-11-14T00:00:00"/>
    <x v="797"/>
    <s v="BA"/>
    <s v="05705331911001"/>
    <m/>
    <s v="53.6"/>
    <s v="3"/>
    <s v=".40"/>
    <s v="N"/>
    <s v="N"/>
    <s v="AF"/>
    <s v="804"/>
    <s v="231117"/>
    <s v="ECP"/>
    <s v="EAP"/>
    <s v="SPX"/>
    <m/>
    <m/>
    <s v="CDG"/>
    <s v="COO"/>
    <s v="COO"/>
    <s v="N"/>
    <s v="S2404"/>
    <m/>
    <m/>
    <s v="Failed"/>
    <m/>
    <x v="31"/>
    <m/>
    <m/>
    <m/>
    <m/>
    <m/>
    <m/>
    <m/>
    <m/>
    <s v="3.2"/>
    <n v="0.5"/>
    <b v="0"/>
    <b v="0"/>
    <b v="0"/>
    <b v="0"/>
    <b v="0"/>
    <s v="No"/>
    <s v="No"/>
  </r>
  <r>
    <d v="2023-11-14T00:00:00"/>
    <x v="797"/>
    <s v="DA"/>
    <s v="05705331911002"/>
    <m/>
    <s v="89.4"/>
    <s v="5"/>
    <s v=".67"/>
    <s v="N"/>
    <s v="N"/>
    <s v="AF"/>
    <s v="804"/>
    <s v="231117"/>
    <s v="ECP"/>
    <s v="EAP"/>
    <s v="SPX"/>
    <m/>
    <m/>
    <s v="CDG"/>
    <s v="COO"/>
    <s v="COO"/>
    <s v="N"/>
    <s v="S1001"/>
    <m/>
    <m/>
    <s v="Failed"/>
    <m/>
    <x v="31"/>
    <m/>
    <m/>
    <m/>
    <m/>
    <m/>
    <m/>
    <m/>
    <m/>
    <s v="3.2"/>
    <n v="0.5"/>
    <b v="0"/>
    <b v="0"/>
    <b v="0"/>
    <b v="0"/>
    <b v="0"/>
    <s v="No"/>
    <s v="No"/>
  </r>
  <r>
    <d v="2023-11-14T00:00:00"/>
    <x v="798"/>
    <s v="DA"/>
    <s v="05705334372002"/>
    <m/>
    <s v="45.0"/>
    <s v="1"/>
    <s v=".46"/>
    <s v="Y"/>
    <s v="N"/>
    <s v="AF"/>
    <s v="218"/>
    <s v="231115"/>
    <m/>
    <m/>
    <m/>
    <m/>
    <m/>
    <s v="ORD"/>
    <s v="BOM"/>
    <s v="BOM"/>
    <s v="N"/>
    <s v="HLC104"/>
    <m/>
    <m/>
    <s v="Failed"/>
    <m/>
    <x v="30"/>
    <m/>
    <m/>
    <m/>
    <m/>
    <m/>
    <m/>
    <m/>
    <m/>
    <s v="3.2"/>
    <n v="1"/>
    <b v="0"/>
    <b v="0"/>
    <b v="0"/>
    <b v="0"/>
    <b v="0"/>
    <s v="No"/>
    <s v="Yes"/>
  </r>
  <r>
    <d v="2023-11-14T00:00:00"/>
    <x v="799"/>
    <s v="BA"/>
    <s v="05705341943001"/>
    <m/>
    <s v="14.0"/>
    <s v="1"/>
    <s v=".01"/>
    <s v="N"/>
    <s v="N"/>
    <s v="AF"/>
    <s v="804"/>
    <s v="231115"/>
    <s v="ELI"/>
    <s v="ECP"/>
    <s v="XPH"/>
    <s v="EAP"/>
    <m/>
    <s v="CDG"/>
    <s v="COO"/>
    <s v="COO"/>
    <s v="N"/>
    <s v="S1402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00"/>
    <s v="BA"/>
    <s v="05705342422001"/>
    <m/>
    <s v="111.3"/>
    <s v="3"/>
    <s v=".44"/>
    <s v="N"/>
    <s v="N"/>
    <s v="DL"/>
    <s v="153"/>
    <s v="231116"/>
    <s v="EAP"/>
    <m/>
    <m/>
    <m/>
    <m/>
    <s v="CDG"/>
    <s v="ORD"/>
    <s v="MSP"/>
    <s v="N"/>
    <s v="N1302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01"/>
    <s v="BA"/>
    <s v="05705351920001"/>
    <m/>
    <s v="4.0"/>
    <s v="1"/>
    <s v=".01"/>
    <s v="N"/>
    <s v="N"/>
    <s v="AF"/>
    <s v="566"/>
    <s v="231115"/>
    <s v="ECP"/>
    <s v="XPS"/>
    <s v="EAW"/>
    <m/>
    <m/>
    <s v="CDG"/>
    <s v="BEY"/>
    <s v="BEY"/>
    <s v="N"/>
    <s v="XR00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02"/>
    <s v="BA"/>
    <s v="05705353246001"/>
    <m/>
    <s v="13.3"/>
    <s v="1"/>
    <s v=".08"/>
    <s v="N"/>
    <s v="N"/>
    <s v="DL"/>
    <s v="081"/>
    <s v="231115"/>
    <s v="ECC"/>
    <s v="XPS"/>
    <s v="EAP"/>
    <m/>
    <m/>
    <s v="CDG"/>
    <s v="SEA"/>
    <s v="SEA"/>
    <s v="N"/>
    <s v="XR00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03"/>
    <s v="BA"/>
    <s v="05705362280001"/>
    <m/>
    <s v="1.0"/>
    <s v="1"/>
    <s v=".01"/>
    <s v="N"/>
    <s v="N"/>
    <s v="AF"/>
    <s v="194"/>
    <s v="231115"/>
    <s v="ECC"/>
    <s v="XPS"/>
    <s v="EAP"/>
    <m/>
    <m/>
    <s v="CDG"/>
    <s v="BLR"/>
    <s v="BLR"/>
    <s v="N"/>
    <s v="XR00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04"/>
    <s v="BA"/>
    <s v="05706908786001"/>
    <m/>
    <s v="300.0"/>
    <s v="1"/>
    <s v=".39"/>
    <s v="Y"/>
    <s v="N"/>
    <s v="AF"/>
    <s v="174"/>
    <s v="231115"/>
    <s v="ECC"/>
    <s v="HEA"/>
    <s v="EAP"/>
    <m/>
    <m/>
    <s v="IST"/>
    <s v="MEX"/>
    <s v="MEX"/>
    <s v="N"/>
    <s v="N5301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05"/>
    <s v="BA"/>
    <s v="05709669730001"/>
    <m/>
    <s v="53.0"/>
    <s v="1"/>
    <s v=".30"/>
    <s v="Y"/>
    <s v="N"/>
    <s v="AF"/>
    <s v="718"/>
    <s v="231115"/>
    <m/>
    <m/>
    <m/>
    <m/>
    <m/>
    <s v="ABZ"/>
    <s v="DSS"/>
    <s v="DSS"/>
    <s v="N"/>
    <s v="51306"/>
    <m/>
    <m/>
    <s v="Passed"/>
    <m/>
    <x v="5"/>
    <m/>
    <m/>
    <m/>
    <m/>
    <m/>
    <m/>
    <m/>
    <m/>
    <s v="3.2"/>
    <n v="0.5"/>
    <b v="0"/>
    <b v="0"/>
    <b v="0"/>
    <b v="0"/>
    <b v="0"/>
    <s v="No"/>
    <s v="No"/>
  </r>
  <r>
    <d v="2023-11-14T00:00:00"/>
    <x v="805"/>
    <s v="DA"/>
    <s v="05709669730002"/>
    <m/>
    <s v="53.0"/>
    <s v="1"/>
    <s v=".30"/>
    <s v="Y"/>
    <s v="N"/>
    <s v="AF"/>
    <s v="718"/>
    <s v="231115"/>
    <m/>
    <m/>
    <m/>
    <m/>
    <m/>
    <s v="ABZ"/>
    <s v="DSS"/>
    <s v="DSS"/>
    <s v="N"/>
    <s v="Y5014"/>
    <m/>
    <m/>
    <s v="Passed"/>
    <m/>
    <x v="5"/>
    <m/>
    <m/>
    <m/>
    <m/>
    <m/>
    <m/>
    <m/>
    <m/>
    <s v="3.2"/>
    <n v="0.5"/>
    <b v="0"/>
    <b v="0"/>
    <b v="0"/>
    <b v="0"/>
    <b v="0"/>
    <s v="No"/>
    <s v="No"/>
  </r>
  <r>
    <d v="2023-11-14T00:00:00"/>
    <x v="806"/>
    <s v="BA"/>
    <s v="05710611020001"/>
    <m/>
    <s v="220.0"/>
    <s v="13"/>
    <s v="2.27"/>
    <s v="Y"/>
    <s v="N"/>
    <s v="AF"/>
    <s v="480"/>
    <s v="231117"/>
    <m/>
    <m/>
    <m/>
    <m/>
    <m/>
    <s v="IST"/>
    <s v="LIM"/>
    <s v="LIM"/>
    <s v="N"/>
    <s v="73004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07"/>
    <s v="BA"/>
    <s v="05711412542001"/>
    <m/>
    <s v="97.5"/>
    <s v="1"/>
    <s v="1.14"/>
    <s v="Y"/>
    <s v="N"/>
    <s v="AF"/>
    <s v="990"/>
    <s v="231116"/>
    <s v="EAW"/>
    <m/>
    <m/>
    <m/>
    <m/>
    <s v="ATL"/>
    <s v="JNB"/>
    <s v="JNB"/>
    <s v="N"/>
    <s v="R5401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08"/>
    <s v="BA"/>
    <s v="05712328551001"/>
    <m/>
    <s v="32.1"/>
    <s v="1"/>
    <s v=".19"/>
    <s v="Y"/>
    <s v="N"/>
    <s v="AF"/>
    <s v="718"/>
    <s v="231115"/>
    <s v="ECC"/>
    <s v="EAW"/>
    <m/>
    <m/>
    <m/>
    <s v="AMS"/>
    <s v="DSS"/>
    <s v="DSS"/>
    <s v="N"/>
    <s v="LLC30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809"/>
    <s v="BA"/>
    <s v="05712484721001"/>
    <s v="PMC01421DL"/>
    <s v="126.0"/>
    <s v="1"/>
    <s v="1.56"/>
    <s v="Y"/>
    <s v="N"/>
    <s v="DL"/>
    <s v="9888"/>
    <s v="231115"/>
    <s v="VIC"/>
    <s v="ECC"/>
    <s v="EAP"/>
    <m/>
    <m/>
    <s v="AMS"/>
    <s v="JFK"/>
    <s v="JFK"/>
    <s v="N"/>
    <s v="B1A-3436"/>
    <m/>
    <m/>
    <s v="Passed"/>
    <m/>
    <x v="5"/>
    <m/>
    <m/>
    <m/>
    <m/>
    <m/>
    <m/>
    <m/>
    <m/>
    <s v="3.2"/>
    <n v="0.5"/>
    <b v="0"/>
    <b v="0"/>
    <b v="0"/>
    <b v="0"/>
    <b v="0"/>
    <s v="No"/>
    <s v="No"/>
  </r>
  <r>
    <d v="2023-11-14T00:00:00"/>
    <x v="809"/>
    <s v="DA"/>
    <s v="05712484721002"/>
    <s v="PMC01421DL"/>
    <s v="126.0"/>
    <s v="1"/>
    <s v="1.56"/>
    <s v="Y"/>
    <s v="N"/>
    <s v="DL"/>
    <s v="9888"/>
    <s v="231115"/>
    <s v="VIC"/>
    <s v="ECC"/>
    <s v="EAP"/>
    <m/>
    <m/>
    <s v="AMS"/>
    <s v="JFK"/>
    <s v="JFK"/>
    <s v="N"/>
    <s v="B1A-3436"/>
    <m/>
    <m/>
    <s v="Passed"/>
    <m/>
    <x v="5"/>
    <m/>
    <m/>
    <m/>
    <m/>
    <m/>
    <m/>
    <m/>
    <m/>
    <s v="3.2"/>
    <n v="0.5"/>
    <b v="0"/>
    <b v="0"/>
    <b v="0"/>
    <b v="0"/>
    <b v="0"/>
    <s v="No"/>
    <s v="No"/>
  </r>
  <r>
    <d v="2023-11-14T00:00:00"/>
    <x v="117"/>
    <s v="PA"/>
    <s v="05712564134008"/>
    <s v="PMC24235KL"/>
    <s v="103.7"/>
    <s v="4"/>
    <s v=".13"/>
    <s v="Y"/>
    <s v="N"/>
    <s v="AF"/>
    <s v="148"/>
    <s v="231115"/>
    <m/>
    <m/>
    <m/>
    <m/>
    <m/>
    <s v="DUB"/>
    <s v="LOS"/>
    <s v="LOS"/>
    <s v="N"/>
    <s v="B2A-5138"/>
    <m/>
    <m/>
    <s v="Passed"/>
    <m/>
    <x v="5"/>
    <m/>
    <m/>
    <m/>
    <m/>
    <m/>
    <m/>
    <m/>
    <m/>
    <s v="3.2"/>
    <n v="0.1111111111111111"/>
    <b v="0"/>
    <b v="0"/>
    <b v="0"/>
    <b v="0"/>
    <b v="0"/>
    <s v="No"/>
    <s v="No"/>
  </r>
  <r>
    <d v="2023-11-14T00:00:00"/>
    <x v="117"/>
    <s v="RA"/>
    <s v="05712564134009"/>
    <s v="PMC64459AF"/>
    <s v="207.4"/>
    <s v="8"/>
    <s v=".25"/>
    <s v="Y"/>
    <s v="N"/>
    <s v="AF"/>
    <s v="148"/>
    <s v="231115"/>
    <m/>
    <m/>
    <m/>
    <m/>
    <m/>
    <s v="DUB"/>
    <s v="LOS"/>
    <s v="LOS"/>
    <s v="N"/>
    <s v="FA8-PI00"/>
    <m/>
    <m/>
    <s v="Passed"/>
    <m/>
    <x v="5"/>
    <m/>
    <m/>
    <m/>
    <m/>
    <m/>
    <m/>
    <m/>
    <m/>
    <s v="3.2"/>
    <n v="0.1111111111111111"/>
    <b v="0"/>
    <b v="0"/>
    <b v="0"/>
    <b v="0"/>
    <b v="0"/>
    <s v="No"/>
    <s v="No"/>
  </r>
  <r>
    <d v="2023-11-14T00:00:00"/>
    <x v="810"/>
    <s v="BA"/>
    <s v="05712655436001"/>
    <m/>
    <s v="132.0"/>
    <s v="1"/>
    <s v=".67"/>
    <s v="Y"/>
    <s v="N"/>
    <s v="AF"/>
    <s v="136"/>
    <s v="231115"/>
    <s v="ECC"/>
    <s v="EAP"/>
    <m/>
    <m/>
    <m/>
    <s v="DUS"/>
    <s v="ORD"/>
    <s v="ORD"/>
    <s v="N"/>
    <s v="S1301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11"/>
    <s v="BA"/>
    <s v="05712835233001"/>
    <m/>
    <s v="12.0"/>
    <s v="1"/>
    <s v=".03"/>
    <s v="N"/>
    <s v="N"/>
    <s v="AF"/>
    <s v="054"/>
    <s v="231115"/>
    <s v="RDS"/>
    <s v="ICE"/>
    <m/>
    <m/>
    <m/>
    <s v="CDG"/>
    <s v="IAD"/>
    <s v="IAD"/>
    <s v="N"/>
    <s v="91102"/>
    <m/>
    <m/>
    <s v="Failed"/>
    <m/>
    <x v="30"/>
    <m/>
    <m/>
    <m/>
    <m/>
    <m/>
    <m/>
    <m/>
    <m/>
    <s v="3.2"/>
    <n v="1"/>
    <s v="Yes"/>
    <s v="Yes"/>
    <b v="0"/>
    <b v="0"/>
    <b v="0"/>
    <s v="Yes"/>
    <s v="No"/>
  </r>
  <r>
    <d v="2023-11-14T00:00:00"/>
    <x v="812"/>
    <s v="BA"/>
    <s v="05712888993001"/>
    <m/>
    <s v="2.4"/>
    <s v="1"/>
    <s v=".02"/>
    <s v="N"/>
    <s v="N"/>
    <s v="AF"/>
    <s v="498"/>
    <s v="231115"/>
    <s v="VUN"/>
    <s v="ECP"/>
    <s v="EAP"/>
    <m/>
    <m/>
    <s v="CDG"/>
    <s v="SXM"/>
    <s v="SXM"/>
    <s v="N"/>
    <s v="VN00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13"/>
    <s v="BA"/>
    <s v="05712970296001"/>
    <m/>
    <s v="111.0"/>
    <s v="1"/>
    <s v="1.34"/>
    <s v="Y"/>
    <s v="N"/>
    <s v="AF"/>
    <s v="990"/>
    <s v="231117"/>
    <s v="ECC"/>
    <s v="EAP"/>
    <m/>
    <m/>
    <m/>
    <s v="BKK"/>
    <s v="JNB"/>
    <s v="JNB"/>
    <s v="N"/>
    <s v="61111"/>
    <m/>
    <m/>
    <s v="Failed"/>
    <m/>
    <x v="0"/>
    <m/>
    <m/>
    <m/>
    <m/>
    <m/>
    <m/>
    <m/>
    <m/>
    <s v="3.2"/>
    <n v="0.25"/>
    <b v="0"/>
    <b v="0"/>
    <b v="0"/>
    <b v="0"/>
    <b v="0"/>
    <s v="No"/>
    <s v="No"/>
  </r>
  <r>
    <d v="2023-11-14T00:00:00"/>
    <x v="813"/>
    <s v="DA"/>
    <s v="05712970296002"/>
    <m/>
    <s v="111.0"/>
    <s v="1"/>
    <s v="1.35"/>
    <s v="Y"/>
    <s v="N"/>
    <s v="AF"/>
    <s v="990"/>
    <s v="231117"/>
    <s v="ECC"/>
    <s v="EAP"/>
    <m/>
    <m/>
    <m/>
    <s v="BKK"/>
    <s v="JNB"/>
    <s v="JNB"/>
    <s v="N"/>
    <s v="58306"/>
    <m/>
    <m/>
    <s v="Failed"/>
    <m/>
    <x v="0"/>
    <m/>
    <m/>
    <m/>
    <m/>
    <m/>
    <m/>
    <m/>
    <m/>
    <s v="3.2"/>
    <n v="0.25"/>
    <b v="0"/>
    <b v="0"/>
    <b v="0"/>
    <b v="0"/>
    <b v="0"/>
    <s v="No"/>
    <s v="No"/>
  </r>
  <r>
    <d v="2023-11-14T00:00:00"/>
    <x v="813"/>
    <s v="FA"/>
    <s v="05712970296003"/>
    <m/>
    <s v="111.0"/>
    <s v="1"/>
    <s v="1.35"/>
    <s v="Y"/>
    <s v="N"/>
    <s v="AF"/>
    <s v="990"/>
    <s v="231117"/>
    <s v="ECC"/>
    <s v="EAP"/>
    <m/>
    <m/>
    <m/>
    <s v="BKK"/>
    <s v="JNB"/>
    <s v="JNB"/>
    <s v="N"/>
    <s v="61010"/>
    <m/>
    <m/>
    <s v="Failed"/>
    <m/>
    <x v="0"/>
    <m/>
    <m/>
    <m/>
    <m/>
    <m/>
    <m/>
    <m/>
    <m/>
    <s v="3.2"/>
    <n v="0.25"/>
    <b v="0"/>
    <b v="0"/>
    <b v="0"/>
    <b v="0"/>
    <b v="0"/>
    <s v="No"/>
    <s v="No"/>
  </r>
  <r>
    <d v="2023-11-14T00:00:00"/>
    <x v="813"/>
    <s v="HA"/>
    <s v="05712970296004"/>
    <m/>
    <s v="111.0"/>
    <s v="1"/>
    <s v="1.35"/>
    <s v="Y"/>
    <s v="N"/>
    <s v="AF"/>
    <s v="990"/>
    <s v="231117"/>
    <s v="ECC"/>
    <s v="EAP"/>
    <m/>
    <m/>
    <m/>
    <s v="BKK"/>
    <s v="JNB"/>
    <s v="JNB"/>
    <s v="N"/>
    <s v="53307"/>
    <m/>
    <m/>
    <s v="Failed"/>
    <m/>
    <x v="0"/>
    <m/>
    <m/>
    <m/>
    <m/>
    <m/>
    <m/>
    <m/>
    <m/>
    <s v="3.2"/>
    <n v="0.25"/>
    <b v="0"/>
    <b v="0"/>
    <b v="0"/>
    <b v="0"/>
    <b v="0"/>
    <s v="No"/>
    <s v="No"/>
  </r>
  <r>
    <d v="2023-11-14T00:00:00"/>
    <x v="436"/>
    <s v="BA"/>
    <s v="05741304885001"/>
    <m/>
    <s v="262.0"/>
    <s v="1"/>
    <s v="1.64"/>
    <s v="Y"/>
    <s v="N"/>
    <s v="AF"/>
    <s v="990"/>
    <s v="231116"/>
    <s v="ECC"/>
    <s v="HEA"/>
    <m/>
    <m/>
    <m/>
    <s v="ORD"/>
    <s v="JNB"/>
    <s v="JNB"/>
    <s v="N"/>
    <s v="54408"/>
    <m/>
    <m/>
    <s v="Passed"/>
    <m/>
    <x v="5"/>
    <m/>
    <m/>
    <m/>
    <m/>
    <m/>
    <m/>
    <m/>
    <m/>
    <s v="3.2"/>
    <n v="0.5"/>
    <b v="0"/>
    <b v="0"/>
    <b v="0"/>
    <b v="0"/>
    <b v="0"/>
    <s v="No"/>
    <s v="Yes"/>
  </r>
  <r>
    <d v="2023-11-14T00:00:00"/>
    <x v="814"/>
    <s v="BA"/>
    <s v="05745105885001"/>
    <m/>
    <s v="286.7"/>
    <s v="1"/>
    <s v=".84"/>
    <s v="Y"/>
    <s v="N"/>
    <s v="AF"/>
    <s v="002"/>
    <s v="231115"/>
    <s v="ECC"/>
    <s v="HEA"/>
    <m/>
    <m/>
    <m/>
    <s v="IST"/>
    <s v="JFK"/>
    <s v="JFK"/>
    <s v="N"/>
    <s v="M5104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14"/>
    <s v="DA"/>
    <s v="05745105885002"/>
    <m/>
    <s v="286.7"/>
    <s v="1"/>
    <s v=".84"/>
    <s v="Y"/>
    <s v="N"/>
    <s v="AF"/>
    <s v="002"/>
    <s v="231115"/>
    <s v="ECC"/>
    <s v="HEA"/>
    <m/>
    <m/>
    <m/>
    <s v="IST"/>
    <s v="JFK"/>
    <s v="JFK"/>
    <s v="N"/>
    <s v="M2101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14"/>
    <s v="FA"/>
    <s v="05745105885003"/>
    <m/>
    <s v="286.7"/>
    <s v="1"/>
    <s v=".84"/>
    <s v="Y"/>
    <s v="N"/>
    <s v="AF"/>
    <s v="002"/>
    <s v="231115"/>
    <s v="ECC"/>
    <s v="HEA"/>
    <m/>
    <m/>
    <m/>
    <s v="IST"/>
    <s v="JFK"/>
    <s v="JFK"/>
    <s v="N"/>
    <s v="M5101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15"/>
    <s v="BA"/>
    <s v="05745510220001"/>
    <m/>
    <s v="517.0"/>
    <s v="1"/>
    <s v="1.58"/>
    <s v="Y"/>
    <s v="N"/>
    <s v="AF"/>
    <s v="136"/>
    <s v="231117"/>
    <s v="ECC"/>
    <s v="HEA"/>
    <s v="EAP"/>
    <m/>
    <m/>
    <s v="NRT"/>
    <s v="ORD"/>
    <s v="ORD"/>
    <s v="N"/>
    <s v="HLC001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16"/>
    <s v="BA"/>
    <s v="05745879422001"/>
    <s v="PMC04299DL"/>
    <s v="95.0"/>
    <s v="1"/>
    <s v=".91"/>
    <s v="Y"/>
    <s v="N"/>
    <s v="DL"/>
    <s v="9888"/>
    <s v="231115"/>
    <s v="ECC"/>
    <m/>
    <m/>
    <m/>
    <m/>
    <s v="CPH"/>
    <s v="JFK"/>
    <s v="JFK"/>
    <s v="N"/>
    <s v="B1C-2228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17"/>
    <s v="BA"/>
    <s v="05745990081001"/>
    <s v="PMC65574AF"/>
    <s v="5550.0"/>
    <s v="6"/>
    <s v="11.81"/>
    <s v="Y"/>
    <s v="N"/>
    <s v="AF"/>
    <s v="6730"/>
    <s v="231116"/>
    <s v="BIG"/>
    <s v="ECC"/>
    <s v="HEA"/>
    <s v="EAP"/>
    <m/>
    <s v="BOM"/>
    <s v="ORD"/>
    <s v="ORD"/>
    <s v="N"/>
    <s v="B2A-5228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18"/>
    <s v="BA"/>
    <s v="05746441721001"/>
    <m/>
    <s v="1.6"/>
    <s v="1"/>
    <s v=".04"/>
    <s v="Y"/>
    <s v="N"/>
    <s v="AF"/>
    <s v="566"/>
    <s v="231115"/>
    <s v="RPB"/>
    <s v="COL"/>
    <s v="PIL"/>
    <s v="ECP"/>
    <s v="EAP"/>
    <s v="DUS"/>
    <s v="BEY"/>
    <s v="BEY"/>
    <s v="N"/>
    <s v="91000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18"/>
    <s v="DA"/>
    <s v="05746441721002"/>
    <m/>
    <s v="1.6"/>
    <s v="1"/>
    <s v=".04"/>
    <s v="Y"/>
    <s v="N"/>
    <s v="AF"/>
    <s v="566"/>
    <s v="231115"/>
    <s v="COL"/>
    <s v="PIL"/>
    <s v="ECP"/>
    <s v="EAP"/>
    <m/>
    <s v="DUS"/>
    <s v="BEY"/>
    <s v="BEY"/>
    <s v="N"/>
    <s v="FR000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19"/>
    <s v="BA"/>
    <s v="05746594973001"/>
    <s v="PMC28235KL"/>
    <s v="1568.0"/>
    <s v="188"/>
    <s v="10.00"/>
    <s v="Y"/>
    <s v="N"/>
    <s v="AF"/>
    <s v="066"/>
    <s v="231117"/>
    <s v="ECC"/>
    <s v="ULD"/>
    <s v="EAP"/>
    <m/>
    <m/>
    <s v="MAA"/>
    <s v="LAX"/>
    <s v="LAX"/>
    <s v="N"/>
    <s v="B1C-2430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20"/>
    <s v="BA"/>
    <s v="05746642201001"/>
    <m/>
    <s v="121.0"/>
    <s v="1"/>
    <s v="1.10"/>
    <s v="Y"/>
    <s v="N"/>
    <s v="AF"/>
    <s v="002"/>
    <s v="231116"/>
    <s v="ECC"/>
    <s v="EAP"/>
    <m/>
    <m/>
    <m/>
    <s v="DUS"/>
    <s v="PHL"/>
    <s v="JFK"/>
    <s v="N"/>
    <s v="N6301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21"/>
    <s v="BA"/>
    <s v="05746727155001"/>
    <m/>
    <s v="120.0"/>
    <s v="1"/>
    <s v=".43"/>
    <s v="Y"/>
    <s v="N"/>
    <s v="AF"/>
    <s v="174"/>
    <s v="231115"/>
    <m/>
    <m/>
    <m/>
    <m/>
    <m/>
    <s v="IST"/>
    <s v="MEX"/>
    <s v="MEX"/>
    <s v="N"/>
    <s v="51112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22"/>
    <s v="BA"/>
    <s v="05746858733001"/>
    <s v="PMC72621AF"/>
    <s v="1433.0"/>
    <s v="95"/>
    <s v="8.55"/>
    <s v="Y"/>
    <s v="Y"/>
    <s v="AF"/>
    <s v="006"/>
    <s v="231117"/>
    <s v="ECC"/>
    <s v="BUP"/>
    <s v="EAP"/>
    <m/>
    <m/>
    <s v="PVG"/>
    <s v="JFK"/>
    <s v="JFK"/>
    <s v="N"/>
    <s v="B1C-2215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23"/>
    <s v="BA"/>
    <s v="05746858744001"/>
    <s v="PMC32441KL"/>
    <s v="1453.0"/>
    <s v="96"/>
    <s v="8.64"/>
    <s v="Y"/>
    <s v="Y"/>
    <s v="AF"/>
    <s v="008"/>
    <s v="231115"/>
    <s v="ECC"/>
    <s v="BUP"/>
    <s v="EAP"/>
    <m/>
    <m/>
    <s v="PVG"/>
    <s v="JFK"/>
    <s v="JFK"/>
    <s v="N"/>
    <s v="B2A-5011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24"/>
    <s v="BA"/>
    <s v="05746967955001"/>
    <m/>
    <s v="271.0"/>
    <s v="1"/>
    <s v="1.63"/>
    <s v="Y"/>
    <s v="N"/>
    <s v="AF"/>
    <s v="108"/>
    <s v="231115"/>
    <s v="VIC"/>
    <s v="HEA"/>
    <m/>
    <m/>
    <m/>
    <s v="GRU"/>
    <s v="MAA"/>
    <s v="MAA"/>
    <s v="N"/>
    <s v="LLC00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25"/>
    <s v="BA"/>
    <s v="05746993052001"/>
    <s v="AKE05138AF"/>
    <s v="65.8"/>
    <s v="17"/>
    <s v=".58"/>
    <s v="Y"/>
    <s v="N"/>
    <s v="AF"/>
    <s v="814"/>
    <s v="231115"/>
    <s v="ERT"/>
    <s v="PIL"/>
    <s v="VIC"/>
    <s v="ECP"/>
    <m/>
    <s v="BOD"/>
    <s v="NBO"/>
    <s v="NBO"/>
    <s v="N"/>
    <m/>
    <m/>
    <m/>
    <s v="Failed"/>
    <m/>
    <x v="6"/>
    <m/>
    <m/>
    <m/>
    <m/>
    <m/>
    <m/>
    <m/>
    <m/>
    <s v="3.2"/>
    <n v="0.5"/>
    <b v="0"/>
    <b v="0"/>
    <b v="0"/>
    <b v="0"/>
    <b v="0"/>
    <s v="No"/>
    <s v="No"/>
  </r>
  <r>
    <d v="2023-11-14T00:00:00"/>
    <x v="825"/>
    <s v="DA"/>
    <s v="05746993052002"/>
    <s v="AKE05138AF"/>
    <s v="116.2"/>
    <s v="30"/>
    <s v="1.02"/>
    <s v="Y"/>
    <s v="N"/>
    <s v="AF"/>
    <s v="814"/>
    <s v="231115"/>
    <s v="ERT"/>
    <s v="PIL"/>
    <s v="VIC"/>
    <s v="ECP"/>
    <m/>
    <s v="BOD"/>
    <s v="NBO"/>
    <s v="NBO"/>
    <s v="N"/>
    <m/>
    <m/>
    <m/>
    <s v="Failed"/>
    <m/>
    <x v="6"/>
    <m/>
    <m/>
    <m/>
    <m/>
    <m/>
    <m/>
    <m/>
    <m/>
    <s v="3.2"/>
    <n v="0.5"/>
    <b v="0"/>
    <b v="0"/>
    <b v="0"/>
    <b v="0"/>
    <b v="0"/>
    <s v="No"/>
    <s v="No"/>
  </r>
  <r>
    <d v="2023-11-14T00:00:00"/>
    <x v="826"/>
    <s v="BA"/>
    <s v="05747064194001"/>
    <s v="PMC64886AF"/>
    <s v="1690.0"/>
    <s v="100"/>
    <s v="10.20"/>
    <s v="Y"/>
    <s v="N"/>
    <s v="DL"/>
    <s v="225"/>
    <s v="231115"/>
    <s v="ECC"/>
    <s v="EAP"/>
    <m/>
    <m/>
    <m/>
    <s v="PVG"/>
    <s v="JFK"/>
    <s v="BOS"/>
    <s v="N"/>
    <s v="B2A-4912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27"/>
    <s v="BA"/>
    <s v="05747206493001"/>
    <s v="PMC32766KL"/>
    <s v="161.2"/>
    <s v="1"/>
    <s v=".98"/>
    <s v="Y"/>
    <s v="N"/>
    <s v="AF"/>
    <s v="026"/>
    <s v="231115"/>
    <s v="ECC"/>
    <s v="HEA"/>
    <s v="EAW"/>
    <m/>
    <m/>
    <s v="STR"/>
    <s v="IAD"/>
    <s v="IAD"/>
    <s v="N"/>
    <s v="FA2-PI00"/>
    <m/>
    <m/>
    <s v="Failed"/>
    <m/>
    <x v="0"/>
    <m/>
    <m/>
    <m/>
    <m/>
    <m/>
    <m/>
    <m/>
    <m/>
    <s v="3.2"/>
    <n v="0.2"/>
    <b v="0"/>
    <b v="0"/>
    <b v="0"/>
    <b v="0"/>
    <b v="0"/>
    <s v="No"/>
    <s v="No"/>
  </r>
  <r>
    <d v="2023-11-14T00:00:00"/>
    <x v="827"/>
    <s v="FA"/>
    <s v="05747206493003"/>
    <s v="PMC32766KL"/>
    <s v="161.2"/>
    <s v="1"/>
    <s v=".98"/>
    <s v="Y"/>
    <s v="N"/>
    <s v="AF"/>
    <s v="026"/>
    <s v="231115"/>
    <s v="ECC"/>
    <s v="HEA"/>
    <s v="EAW"/>
    <m/>
    <m/>
    <s v="STR"/>
    <s v="IAD"/>
    <s v="IAD"/>
    <s v="N"/>
    <s v="FA2-PI00"/>
    <m/>
    <m/>
    <s v="Failed"/>
    <m/>
    <x v="0"/>
    <m/>
    <m/>
    <m/>
    <m/>
    <m/>
    <m/>
    <m/>
    <m/>
    <s v="3.2"/>
    <n v="0.2"/>
    <b v="0"/>
    <b v="0"/>
    <b v="0"/>
    <b v="0"/>
    <b v="0"/>
    <s v="No"/>
    <s v="No"/>
  </r>
  <r>
    <d v="2023-11-14T00:00:00"/>
    <x v="827"/>
    <s v="HA"/>
    <s v="05747206493004"/>
    <s v="PMC32766KL"/>
    <s v="161.2"/>
    <s v="1"/>
    <s v=".98"/>
    <s v="Y"/>
    <s v="N"/>
    <s v="AF"/>
    <s v="026"/>
    <s v="231115"/>
    <s v="ECC"/>
    <s v="HEA"/>
    <s v="EAW"/>
    <m/>
    <m/>
    <s v="STR"/>
    <s v="IAD"/>
    <s v="IAD"/>
    <s v="N"/>
    <s v="FA2-PI00"/>
    <m/>
    <m/>
    <s v="Failed"/>
    <m/>
    <x v="0"/>
    <m/>
    <m/>
    <m/>
    <m/>
    <m/>
    <m/>
    <m/>
    <m/>
    <s v="3.2"/>
    <n v="0.2"/>
    <b v="0"/>
    <b v="0"/>
    <b v="0"/>
    <b v="0"/>
    <b v="0"/>
    <s v="No"/>
    <s v="No"/>
  </r>
  <r>
    <d v="2023-11-14T00:00:00"/>
    <x v="828"/>
    <s v="BA"/>
    <s v="05747211872001"/>
    <s v="PMC95922DL"/>
    <s v="270.0"/>
    <s v="1"/>
    <s v="1.58"/>
    <s v="Y"/>
    <s v="N"/>
    <s v="DL"/>
    <s v="9888"/>
    <s v="231115"/>
    <s v="ECC"/>
    <s v="HEA"/>
    <s v="EAP"/>
    <m/>
    <m/>
    <s v="GRZ"/>
    <s v="JFK"/>
    <s v="JFK"/>
    <s v="N"/>
    <s v="B1C-2429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29"/>
    <s v="BA"/>
    <s v="05747228215001"/>
    <s v="PMC71178AF"/>
    <s v="2423.8"/>
    <s v="5"/>
    <s v="4.06"/>
    <s v="Y"/>
    <s v="N"/>
    <s v="AF"/>
    <s v="6722"/>
    <s v="231117"/>
    <s v="ECP"/>
    <s v="HEA"/>
    <s v="ULD"/>
    <s v="EAP"/>
    <m/>
    <s v="LEJ"/>
    <s v="NLU"/>
    <s v="NLU"/>
    <s v="N"/>
    <s v="B2A-5043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29"/>
    <s v="DA"/>
    <s v="05747228215002"/>
    <s v="PMC73764AF"/>
    <s v="2423.8"/>
    <s v="5"/>
    <s v="4.06"/>
    <s v="Y"/>
    <s v="N"/>
    <s v="AF"/>
    <s v="6722"/>
    <s v="231117"/>
    <s v="ECP"/>
    <s v="HEA"/>
    <s v="ULD"/>
    <s v="EAP"/>
    <m/>
    <s v="LEJ"/>
    <s v="NLU"/>
    <s v="NLU"/>
    <s v="N"/>
    <s v="B2B-4133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29"/>
    <s v="FA"/>
    <s v="05747228215003"/>
    <s v="PMC76257AF"/>
    <s v="2423.8"/>
    <s v="5"/>
    <s v="4.06"/>
    <s v="Y"/>
    <s v="N"/>
    <s v="AF"/>
    <s v="6722"/>
    <s v="231117"/>
    <s v="ECP"/>
    <s v="HEA"/>
    <s v="ULD"/>
    <s v="EAP"/>
    <m/>
    <s v="LEJ"/>
    <s v="NLU"/>
    <s v="NLU"/>
    <s v="N"/>
    <s v="B2A-5233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30"/>
    <s v="BA"/>
    <s v="05747273450001"/>
    <m/>
    <s v="213.5"/>
    <s v="1"/>
    <s v=".57"/>
    <s v="Y"/>
    <s v="N"/>
    <s v="AF"/>
    <s v="004"/>
    <s v="231115"/>
    <s v="ECC"/>
    <s v="HEA"/>
    <m/>
    <m/>
    <m/>
    <s v="DUS"/>
    <s v="JFK"/>
    <s v="JFK"/>
    <s v="N"/>
    <s v="N5102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30"/>
    <s v="DA"/>
    <s v="05747273450002"/>
    <m/>
    <s v="213.5"/>
    <s v="1"/>
    <s v=".57"/>
    <s v="Y"/>
    <s v="N"/>
    <s v="AF"/>
    <s v="004"/>
    <s v="231115"/>
    <s v="ECC"/>
    <s v="HEA"/>
    <m/>
    <m/>
    <m/>
    <s v="DUS"/>
    <s v="JFK"/>
    <s v="JFK"/>
    <s v="N"/>
    <s v="50109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31"/>
    <s v="BA"/>
    <s v="05747381913001"/>
    <m/>
    <s v="325.0"/>
    <s v="1"/>
    <s v="1.37"/>
    <s v="Y"/>
    <s v="N"/>
    <s v="AF"/>
    <s v="054"/>
    <s v="231115"/>
    <s v="ECC"/>
    <s v="HEA"/>
    <m/>
    <m/>
    <m/>
    <s v="CGN"/>
    <s v="IAD"/>
    <s v="IAD"/>
    <s v="N"/>
    <s v="HLC066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32"/>
    <s v="BA"/>
    <s v="05747502674001"/>
    <m/>
    <s v="546.7"/>
    <s v="1"/>
    <s v="1.06"/>
    <s v="Y"/>
    <s v="N"/>
    <s v="AF"/>
    <s v="132"/>
    <s v="231117"/>
    <s v="HEA"/>
    <m/>
    <m/>
    <m/>
    <m/>
    <s v="IST"/>
    <s v="DFW"/>
    <s v="DFW"/>
    <s v="N"/>
    <s v="51104"/>
    <m/>
    <m/>
    <s v="Failed"/>
    <m/>
    <x v="3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32"/>
    <s v="DA"/>
    <s v="05747502674002"/>
    <m/>
    <s v="546.7"/>
    <s v="1"/>
    <s v="1.06"/>
    <s v="Y"/>
    <s v="N"/>
    <s v="AF"/>
    <s v="132"/>
    <s v="231117"/>
    <s v="HEA"/>
    <m/>
    <m/>
    <m/>
    <m/>
    <s v="IST"/>
    <s v="DFW"/>
    <s v="DFW"/>
    <s v="N"/>
    <s v="50108"/>
    <m/>
    <m/>
    <s v="Failed"/>
    <m/>
    <x v="3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32"/>
    <s v="FA"/>
    <s v="05747502674003"/>
    <m/>
    <s v="546.7"/>
    <s v="1"/>
    <s v="1.06"/>
    <s v="Y"/>
    <s v="N"/>
    <s v="AF"/>
    <s v="132"/>
    <s v="231117"/>
    <s v="HEA"/>
    <m/>
    <m/>
    <m/>
    <m/>
    <s v="IST"/>
    <s v="DFW"/>
    <s v="DFW"/>
    <s v="N"/>
    <s v="51101"/>
    <m/>
    <m/>
    <s v="Failed"/>
    <m/>
    <x v="3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33"/>
    <s v="LA"/>
    <s v="05747652010006"/>
    <m/>
    <s v="215.0"/>
    <s v="2"/>
    <s v="1.48"/>
    <s v="Y"/>
    <s v="N"/>
    <s v="AF"/>
    <s v="926"/>
    <s v="231115"/>
    <s v="RMD"/>
    <s v="XPH"/>
    <m/>
    <m/>
    <m/>
    <s v="AMS"/>
    <s v="LBV"/>
    <s v="LBV"/>
    <s v="N"/>
    <s v="XT000"/>
    <m/>
    <m/>
    <s v="Failed"/>
    <m/>
    <x v="30"/>
    <m/>
    <m/>
    <m/>
    <m/>
    <m/>
    <m/>
    <m/>
    <m/>
    <s v="3.2"/>
    <n v="0.25"/>
    <b v="0"/>
    <b v="0"/>
    <b v="0"/>
    <b v="0"/>
    <b v="0"/>
    <s v="No"/>
    <s v="No"/>
  </r>
  <r>
    <d v="2023-11-14T00:00:00"/>
    <x v="833"/>
    <m/>
    <s v="05747652010007"/>
    <m/>
    <s v="15.0"/>
    <s v="1"/>
    <s v=".06"/>
    <s v="Y"/>
    <s v="N"/>
    <s v="AF"/>
    <s v="926"/>
    <s v="231115"/>
    <s v="RCM"/>
    <s v="ECP"/>
    <m/>
    <m/>
    <m/>
    <s v="AMS"/>
    <s v="LBV"/>
    <s v="LBV"/>
    <s v="N"/>
    <s v="XT000"/>
    <m/>
    <m/>
    <s v="Failed"/>
    <m/>
    <x v="30"/>
    <m/>
    <m/>
    <m/>
    <m/>
    <m/>
    <m/>
    <m/>
    <m/>
    <s v="3.2"/>
    <n v="0.25"/>
    <s v="Yes"/>
    <b v="0"/>
    <b v="0"/>
    <b v="0"/>
    <b v="0"/>
    <s v="Yes"/>
    <s v="No"/>
  </r>
  <r>
    <d v="2023-11-14T00:00:00"/>
    <x v="833"/>
    <s v="PA"/>
    <s v="05747652010008"/>
    <m/>
    <s v="151.0"/>
    <s v="1"/>
    <s v=".60"/>
    <s v="Y"/>
    <s v="N"/>
    <s v="AF"/>
    <s v="926"/>
    <s v="231115"/>
    <s v="ECP"/>
    <s v="XPH"/>
    <s v="HEA"/>
    <m/>
    <m/>
    <s v="AMS"/>
    <s v="LBV"/>
    <s v="LBV"/>
    <s v="N"/>
    <s v="XT000"/>
    <m/>
    <m/>
    <s v="Failed"/>
    <m/>
    <x v="30"/>
    <m/>
    <m/>
    <m/>
    <m/>
    <m/>
    <m/>
    <m/>
    <m/>
    <s v="3.2"/>
    <n v="0.25"/>
    <b v="0"/>
    <b v="0"/>
    <b v="0"/>
    <b v="0"/>
    <b v="0"/>
    <s v="No"/>
    <s v="No"/>
  </r>
  <r>
    <d v="2023-11-14T00:00:00"/>
    <x v="834"/>
    <s v="BA"/>
    <s v="05747800594001"/>
    <m/>
    <s v=".6"/>
    <s v="1"/>
    <s v=".02"/>
    <s v="N"/>
    <s v="N"/>
    <s v="AF"/>
    <s v="182"/>
    <s v="231115"/>
    <s v="NCC"/>
    <s v="ECC"/>
    <s v="XPS"/>
    <m/>
    <m/>
    <s v="CDG"/>
    <s v="SIN"/>
    <s v="SIN"/>
    <s v="N"/>
    <s v="XR00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35"/>
    <s v="BA"/>
    <s v="05747819041001"/>
    <s v="PMC01421DL"/>
    <s v="269.0"/>
    <s v="1"/>
    <s v="1.28"/>
    <s v="Y"/>
    <s v="N"/>
    <s v="DL"/>
    <s v="9888"/>
    <s v="231115"/>
    <s v="ECC"/>
    <s v="HEA"/>
    <s v="EAP"/>
    <m/>
    <m/>
    <s v="STR"/>
    <s v="JFK"/>
    <s v="JFK"/>
    <s v="N"/>
    <s v="B1A-3436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35"/>
    <s v="DA"/>
    <s v="05747819041002"/>
    <s v="PMC01421DL"/>
    <s v="269.0"/>
    <s v="1"/>
    <s v="1.29"/>
    <s v="Y"/>
    <s v="N"/>
    <s v="DL"/>
    <s v="9888"/>
    <s v="231115"/>
    <s v="ECC"/>
    <s v="HEA"/>
    <s v="EAP"/>
    <m/>
    <m/>
    <s v="STR"/>
    <s v="JFK"/>
    <s v="JFK"/>
    <s v="N"/>
    <s v="B1A-3436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36"/>
    <s v="DA"/>
    <s v="05747847833002"/>
    <s v="PMC73769AF"/>
    <s v="1250.0"/>
    <s v="1"/>
    <s v="13.73"/>
    <s v="Y"/>
    <s v="N"/>
    <s v="AF"/>
    <s v="6722"/>
    <s v="231117"/>
    <s v="BIG"/>
    <s v="HEA"/>
    <s v="EAP"/>
    <m/>
    <m/>
    <s v="FRA"/>
    <s v="NLU"/>
    <s v="NLU"/>
    <s v="N"/>
    <s v="B2A-5325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36"/>
    <m/>
    <s v="05747847833007"/>
    <s v="PMC73059AF"/>
    <s v="1250.0"/>
    <s v="1"/>
    <s v="13.73"/>
    <s v="Y"/>
    <s v="N"/>
    <s v="AF"/>
    <s v="6722"/>
    <s v="231117"/>
    <s v="BIG"/>
    <s v="HEA"/>
    <s v="EAP"/>
    <m/>
    <m/>
    <s v="FRA"/>
    <s v="NLU"/>
    <s v="NLU"/>
    <s v="N"/>
    <s v="B2B-4116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37"/>
    <s v="BA"/>
    <s v="05747905701001"/>
    <s v="PMC01421DL"/>
    <s v="22.0"/>
    <s v="1"/>
    <s v=".09"/>
    <s v="Y"/>
    <s v="N"/>
    <s v="DL"/>
    <s v="9888"/>
    <s v="231115"/>
    <m/>
    <m/>
    <m/>
    <m/>
    <m/>
    <s v="BLL"/>
    <s v="JFK"/>
    <s v="JFK"/>
    <s v="N"/>
    <s v="B1A-3436"/>
    <m/>
    <m/>
    <s v="Failed"/>
    <m/>
    <x v="0"/>
    <m/>
    <m/>
    <m/>
    <m/>
    <m/>
    <m/>
    <m/>
    <m/>
    <s v="3.2"/>
    <n v="0.25"/>
    <b v="0"/>
    <b v="0"/>
    <b v="0"/>
    <b v="0"/>
    <b v="0"/>
    <s v="No"/>
    <s v="No"/>
  </r>
  <r>
    <d v="2023-11-14T00:00:00"/>
    <x v="837"/>
    <s v="DA"/>
    <s v="05747905701002"/>
    <s v="PMC01421DL"/>
    <s v="22.0"/>
    <s v="1"/>
    <s v=".09"/>
    <s v="Y"/>
    <s v="N"/>
    <s v="DL"/>
    <s v="9888"/>
    <s v="231115"/>
    <m/>
    <m/>
    <m/>
    <m/>
    <m/>
    <s v="BLL"/>
    <s v="JFK"/>
    <s v="JFK"/>
    <s v="N"/>
    <s v="B1A-3436"/>
    <m/>
    <m/>
    <s v="Failed"/>
    <m/>
    <x v="0"/>
    <m/>
    <m/>
    <m/>
    <m/>
    <m/>
    <m/>
    <m/>
    <m/>
    <s v="3.2"/>
    <n v="0.25"/>
    <b v="0"/>
    <b v="0"/>
    <b v="0"/>
    <b v="0"/>
    <b v="0"/>
    <s v="No"/>
    <s v="No"/>
  </r>
  <r>
    <d v="2023-11-14T00:00:00"/>
    <x v="837"/>
    <s v="FA"/>
    <s v="05747905701003"/>
    <s v="PMC04299DL"/>
    <s v="87.9"/>
    <s v="4"/>
    <s v=".35"/>
    <s v="Y"/>
    <s v="N"/>
    <s v="DL"/>
    <s v="9888"/>
    <s v="231115"/>
    <m/>
    <m/>
    <m/>
    <m/>
    <m/>
    <s v="BLL"/>
    <s v="JFK"/>
    <s v="JFK"/>
    <s v="N"/>
    <s v="B1C-2228"/>
    <m/>
    <m/>
    <s v="Failed"/>
    <m/>
    <x v="0"/>
    <m/>
    <m/>
    <m/>
    <m/>
    <m/>
    <m/>
    <m/>
    <m/>
    <s v="3.2"/>
    <n v="0.25"/>
    <b v="0"/>
    <b v="0"/>
    <b v="0"/>
    <b v="0"/>
    <b v="0"/>
    <s v="No"/>
    <s v="No"/>
  </r>
  <r>
    <d v="2023-11-14T00:00:00"/>
    <x v="837"/>
    <s v="HA"/>
    <s v="05747905701004"/>
    <s v="PMC04299DL"/>
    <s v="241.8"/>
    <s v="11"/>
    <s v=".98"/>
    <s v="Y"/>
    <s v="N"/>
    <s v="DL"/>
    <s v="9888"/>
    <s v="231115"/>
    <m/>
    <m/>
    <m/>
    <m/>
    <m/>
    <s v="BLL"/>
    <s v="JFK"/>
    <s v="JFK"/>
    <s v="N"/>
    <s v="B1C-2228"/>
    <m/>
    <m/>
    <s v="Failed"/>
    <m/>
    <x v="0"/>
    <m/>
    <m/>
    <m/>
    <m/>
    <m/>
    <m/>
    <m/>
    <m/>
    <s v="3.2"/>
    <n v="0.25"/>
    <b v="0"/>
    <b v="0"/>
    <b v="0"/>
    <b v="0"/>
    <b v="0"/>
    <s v="No"/>
    <s v="No"/>
  </r>
  <r>
    <d v="2023-11-14T00:00:00"/>
    <x v="838"/>
    <s v="BA"/>
    <s v="05747971733001"/>
    <s v="AKE12741AF"/>
    <s v="107.0"/>
    <s v="1"/>
    <s v="5.00"/>
    <s v="N"/>
    <s v="N"/>
    <s v="AF"/>
    <s v="952"/>
    <s v="231115"/>
    <s v="XPH"/>
    <m/>
    <m/>
    <m/>
    <m/>
    <s v="CDG"/>
    <s v="CAY"/>
    <s v="CAY"/>
    <s v="N"/>
    <s v="HUBEXPRESS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39"/>
    <s v="JA"/>
    <s v="05748046191005"/>
    <s v="PMC04299DL"/>
    <s v="116.0"/>
    <s v="1"/>
    <s v="1.41"/>
    <s v="Y"/>
    <s v="N"/>
    <s v="DL"/>
    <s v="9888"/>
    <s v="231115"/>
    <s v="ECC"/>
    <s v="NPR"/>
    <m/>
    <m/>
    <m/>
    <s v="LIL"/>
    <s v="JFK"/>
    <s v="JFK"/>
    <s v="N"/>
    <s v="B1C-2228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39"/>
    <s v="LA"/>
    <s v="05748046191006"/>
    <s v="PMC04299DL"/>
    <s v="116.0"/>
    <s v="1"/>
    <s v="1.41"/>
    <s v="Y"/>
    <s v="N"/>
    <s v="DL"/>
    <s v="9888"/>
    <s v="231115"/>
    <s v="ECC"/>
    <s v="NPR"/>
    <m/>
    <m/>
    <m/>
    <s v="LIL"/>
    <s v="JFK"/>
    <s v="JFK"/>
    <s v="N"/>
    <s v="B1C-2228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39"/>
    <m/>
    <s v="05748046191007"/>
    <s v="PMC04299DL"/>
    <s v="116.0"/>
    <s v="1"/>
    <s v="1.41"/>
    <s v="Y"/>
    <s v="N"/>
    <s v="DL"/>
    <s v="9888"/>
    <s v="231115"/>
    <s v="ECC"/>
    <s v="NPR"/>
    <m/>
    <m/>
    <m/>
    <s v="LIL"/>
    <s v="JFK"/>
    <s v="JFK"/>
    <s v="N"/>
    <s v="B1C-2228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40"/>
    <s v="BA"/>
    <s v="05748092520001"/>
    <s v="PMC20589KL"/>
    <s v="2023.0"/>
    <s v="5"/>
    <s v="10.00"/>
    <s v="Y"/>
    <s v="N"/>
    <s v="AF"/>
    <s v="066"/>
    <s v="231116"/>
    <s v="ELI"/>
    <s v="VIC"/>
    <s v="ECC"/>
    <s v="HEA"/>
    <s v="ULD"/>
    <s v="MAA"/>
    <s v="LAX"/>
    <s v="LAX"/>
    <s v="N"/>
    <s v="B1B-2939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40"/>
    <s v="DA"/>
    <s v="05748092520002"/>
    <s v="PMC21260MP"/>
    <s v="2022.0"/>
    <s v="5"/>
    <s v="10.00"/>
    <s v="Y"/>
    <s v="N"/>
    <s v="AF"/>
    <s v="066"/>
    <s v="231116"/>
    <s v="ELI"/>
    <s v="VIC"/>
    <s v="ECC"/>
    <s v="HEA"/>
    <s v="ULD"/>
    <s v="MAA"/>
    <s v="LAX"/>
    <s v="LAX"/>
    <s v="N"/>
    <s v="B1B-2732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41"/>
    <s v="BA"/>
    <s v="05748108664001"/>
    <s v="PMC65631AF"/>
    <s v="514.1"/>
    <s v="8"/>
    <s v="12.80"/>
    <s v="Y"/>
    <s v="N"/>
    <s v="AF"/>
    <s v="6734"/>
    <s v="231117"/>
    <s v="ECC"/>
    <s v="XPH"/>
    <s v="ULD"/>
    <m/>
    <m/>
    <s v="STR"/>
    <s v="ORD"/>
    <s v="ORD"/>
    <s v="N"/>
    <s v="B2A-4935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42"/>
    <s v="BA"/>
    <s v="05748108690001"/>
    <s v="PMC71744DL"/>
    <s v="960.0"/>
    <s v="7"/>
    <s v="11.56"/>
    <s v="Y"/>
    <s v="N"/>
    <s v="AF"/>
    <s v="6732"/>
    <s v="231115"/>
    <s v="ECC"/>
    <s v="XPH"/>
    <m/>
    <m/>
    <m/>
    <s v="STR"/>
    <s v="ORD"/>
    <s v="ORD"/>
    <s v="N"/>
    <s v="B2A-5234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43"/>
    <s v="BA"/>
    <s v="05748166440001"/>
    <m/>
    <s v="216.0"/>
    <s v="1"/>
    <s v=".49"/>
    <s v="Y"/>
    <s v="N"/>
    <s v="AF"/>
    <s v="990"/>
    <s v="231116"/>
    <s v="HEA"/>
    <m/>
    <m/>
    <m/>
    <m/>
    <s v="BCN"/>
    <s v="JNB"/>
    <s v="JNB"/>
    <s v="N"/>
    <s v="59003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44"/>
    <s v="DA"/>
    <s v="05748176332002"/>
    <m/>
    <s v="264.0"/>
    <s v="22"/>
    <s v="1.85"/>
    <s v="Y"/>
    <s v="N"/>
    <s v="AF"/>
    <s v="066"/>
    <s v="231115"/>
    <s v="ECC"/>
    <m/>
    <m/>
    <m/>
    <m/>
    <s v="CAI"/>
    <s v="LAX"/>
    <s v="LAX"/>
    <s v="N"/>
    <s v="55009"/>
    <m/>
    <m/>
    <s v="Passed"/>
    <m/>
    <x v="5"/>
    <m/>
    <m/>
    <m/>
    <m/>
    <m/>
    <m/>
    <m/>
    <m/>
    <s v="3.2"/>
    <n v="0.5"/>
    <b v="0"/>
    <b v="0"/>
    <b v="0"/>
    <b v="0"/>
    <b v="0"/>
    <s v="No"/>
    <s v="No"/>
  </r>
  <r>
    <d v="2023-11-14T00:00:00"/>
    <x v="844"/>
    <s v="HA"/>
    <s v="05748176332004"/>
    <m/>
    <s v="120.0"/>
    <s v="10"/>
    <s v=".84"/>
    <s v="Y"/>
    <s v="N"/>
    <s v="AF"/>
    <s v="066"/>
    <s v="231115"/>
    <s v="ECC"/>
    <m/>
    <m/>
    <m/>
    <m/>
    <s v="CAI"/>
    <s v="LAX"/>
    <s v="LAX"/>
    <s v="N"/>
    <s v="55112"/>
    <m/>
    <m/>
    <s v="Passed"/>
    <m/>
    <x v="5"/>
    <m/>
    <m/>
    <m/>
    <m/>
    <m/>
    <m/>
    <m/>
    <m/>
    <s v="3.2"/>
    <n v="0.5"/>
    <b v="0"/>
    <b v="0"/>
    <b v="0"/>
    <b v="0"/>
    <b v="0"/>
    <s v="No"/>
    <s v="No"/>
  </r>
  <r>
    <d v="2023-11-14T00:00:00"/>
    <x v="845"/>
    <s v="BA"/>
    <s v="05748197041001"/>
    <s v="PMC90296AF"/>
    <s v="3903.0"/>
    <s v="6"/>
    <s v="10.00"/>
    <s v="Y"/>
    <s v="N"/>
    <s v="AF"/>
    <s v="460"/>
    <s v="231115"/>
    <s v="ECP"/>
    <s v="XPH"/>
    <s v="HEA"/>
    <s v="ULD"/>
    <s v="EAW"/>
    <s v="MAA"/>
    <s v="GRU"/>
    <s v="GRU"/>
    <s v="N"/>
    <s v="B2C-6028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46"/>
    <s v="BA"/>
    <s v="05748197052001"/>
    <s v="PMC21571KL"/>
    <s v="3903.0"/>
    <s v="6"/>
    <s v="10.00"/>
    <s v="Y"/>
    <s v="N"/>
    <s v="AF"/>
    <s v="460"/>
    <s v="231115"/>
    <s v="ECP"/>
    <s v="XPH"/>
    <s v="HEA"/>
    <s v="ULD"/>
    <s v="EAW"/>
    <s v="MAA"/>
    <s v="GRU"/>
    <s v="GRU"/>
    <s v="N"/>
    <s v="B2A-5231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518"/>
    <s v="DA"/>
    <s v="05748224153002"/>
    <m/>
    <s v="75.4"/>
    <s v="4"/>
    <s v=".28"/>
    <s v="Y"/>
    <s v="N"/>
    <s v="AF"/>
    <s v="470M"/>
    <s v="231115"/>
    <s v="ECC"/>
    <s v="EAP"/>
    <m/>
    <m/>
    <m/>
    <s v="DXB"/>
    <s v="CPH"/>
    <s v="CPH"/>
    <s v="N"/>
    <s v="16306"/>
    <m/>
    <m/>
    <s v="Failed"/>
    <m/>
    <x v="30"/>
    <m/>
    <m/>
    <m/>
    <m/>
    <m/>
    <m/>
    <m/>
    <m/>
    <s v="3.2"/>
    <n v="0.25"/>
    <b v="0"/>
    <b v="0"/>
    <b v="0"/>
    <b v="0"/>
    <b v="0"/>
    <s v="No"/>
    <s v="No"/>
  </r>
  <r>
    <d v="2023-11-14T00:00:00"/>
    <x v="518"/>
    <s v="HA"/>
    <s v="05748224153004"/>
    <m/>
    <s v="452.6"/>
    <s v="24"/>
    <s v="1.65"/>
    <s v="Y"/>
    <s v="N"/>
    <s v="AF"/>
    <s v="470M"/>
    <s v="231115"/>
    <s v="ECC"/>
    <s v="EAP"/>
    <m/>
    <m/>
    <m/>
    <s v="DXB"/>
    <s v="CPH"/>
    <s v="CPH"/>
    <s v="N"/>
    <s v="HFE00"/>
    <m/>
    <m/>
    <s v="Failed"/>
    <m/>
    <x v="30"/>
    <m/>
    <m/>
    <m/>
    <m/>
    <m/>
    <m/>
    <m/>
    <m/>
    <s v="3.2"/>
    <n v="0.25"/>
    <b v="0"/>
    <b v="0"/>
    <b v="0"/>
    <b v="0"/>
    <b v="0"/>
    <s v="No"/>
    <s v="No"/>
  </r>
  <r>
    <d v="2023-11-14T00:00:00"/>
    <x v="847"/>
    <s v="BA"/>
    <s v="05748234572001"/>
    <s v="PMC98853DL"/>
    <s v="21.5"/>
    <s v="12"/>
    <s v=".14"/>
    <s v="Y"/>
    <s v="N"/>
    <s v="DL"/>
    <s v="9888"/>
    <s v="231115"/>
    <s v="EAP"/>
    <m/>
    <m/>
    <m/>
    <m/>
    <s v="SGN"/>
    <s v="JFK"/>
    <s v="JFK"/>
    <s v="N"/>
    <s v="B2A-5026"/>
    <m/>
    <m/>
    <s v="Failed"/>
    <m/>
    <x v="0"/>
    <m/>
    <m/>
    <m/>
    <m/>
    <m/>
    <m/>
    <m/>
    <m/>
    <s v="3.2"/>
    <n v="7.6923076923076927E-2"/>
    <b v="0"/>
    <b v="0"/>
    <b v="0"/>
    <b v="0"/>
    <b v="0"/>
    <s v="No"/>
    <s v="No"/>
  </r>
  <r>
    <d v="2023-11-14T00:00:00"/>
    <x v="847"/>
    <s v="FA"/>
    <s v="05748234572003"/>
    <s v="PAG30961NW"/>
    <s v="30.0"/>
    <s v="33"/>
    <s v=".39"/>
    <s v="Y"/>
    <s v="N"/>
    <s v="DL"/>
    <s v="9888"/>
    <s v="231115"/>
    <s v="EAP"/>
    <m/>
    <m/>
    <m/>
    <m/>
    <s v="SGN"/>
    <s v="JFK"/>
    <s v="JFK"/>
    <s v="N"/>
    <s v="B2B-4127"/>
    <m/>
    <m/>
    <s v="Failed"/>
    <m/>
    <x v="0"/>
    <m/>
    <m/>
    <m/>
    <m/>
    <m/>
    <m/>
    <m/>
    <m/>
    <s v="3.2"/>
    <n v="7.6923076923076927E-2"/>
    <b v="0"/>
    <b v="0"/>
    <b v="0"/>
    <b v="0"/>
    <b v="0"/>
    <s v="No"/>
    <s v="No"/>
  </r>
  <r>
    <d v="2023-11-14T00:00:00"/>
    <x v="847"/>
    <m/>
    <s v="05748234572007"/>
    <s v="PMC98853DL"/>
    <s v="238.5"/>
    <s v="133"/>
    <s v="1.57"/>
    <s v="Y"/>
    <s v="N"/>
    <s v="DL"/>
    <s v="9888"/>
    <s v="231115"/>
    <s v="EAP"/>
    <m/>
    <m/>
    <m/>
    <m/>
    <s v="SGN"/>
    <s v="JFK"/>
    <s v="JFK"/>
    <s v="N"/>
    <s v="B2A-5026"/>
    <m/>
    <m/>
    <s v="Failed"/>
    <m/>
    <x v="0"/>
    <m/>
    <m/>
    <m/>
    <m/>
    <m/>
    <m/>
    <m/>
    <m/>
    <s v="3.2"/>
    <n v="7.6923076923076927E-2"/>
    <b v="0"/>
    <b v="0"/>
    <b v="0"/>
    <b v="0"/>
    <b v="0"/>
    <s v="No"/>
    <s v="No"/>
  </r>
  <r>
    <d v="2023-11-14T00:00:00"/>
    <x v="847"/>
    <s v="PA"/>
    <s v="05748234572008"/>
    <s v="PMC98853DL"/>
    <s v="120.1"/>
    <s v="67"/>
    <s v=".79"/>
    <s v="Y"/>
    <s v="N"/>
    <s v="DL"/>
    <s v="9888"/>
    <s v="231115"/>
    <s v="EAP"/>
    <m/>
    <m/>
    <m/>
    <m/>
    <s v="SGN"/>
    <s v="JFK"/>
    <s v="JFK"/>
    <s v="N"/>
    <s v="B2A-5026"/>
    <m/>
    <m/>
    <s v="Failed"/>
    <m/>
    <x v="0"/>
    <m/>
    <m/>
    <m/>
    <m/>
    <m/>
    <m/>
    <m/>
    <m/>
    <s v="3.2"/>
    <n v="7.6923076923076927E-2"/>
    <b v="0"/>
    <b v="0"/>
    <b v="0"/>
    <b v="0"/>
    <b v="0"/>
    <s v="No"/>
    <s v="No"/>
  </r>
  <r>
    <d v="2023-11-14T00:00:00"/>
    <x v="847"/>
    <s v="RA"/>
    <s v="05748234572009"/>
    <s v="PAG30961NW"/>
    <s v="69.9"/>
    <s v="39"/>
    <s v=".46"/>
    <s v="Y"/>
    <s v="N"/>
    <s v="DL"/>
    <s v="9888"/>
    <s v="231115"/>
    <s v="EAP"/>
    <m/>
    <m/>
    <m/>
    <m/>
    <s v="SGN"/>
    <s v="JFK"/>
    <s v="JFK"/>
    <s v="N"/>
    <s v="B2B-4127"/>
    <m/>
    <m/>
    <s v="Failed"/>
    <m/>
    <x v="0"/>
    <m/>
    <m/>
    <m/>
    <m/>
    <m/>
    <m/>
    <m/>
    <m/>
    <s v="3.2"/>
    <n v="7.6923076923076927E-2"/>
    <b v="0"/>
    <b v="0"/>
    <b v="0"/>
    <b v="0"/>
    <b v="0"/>
    <s v="No"/>
    <s v="No"/>
  </r>
  <r>
    <d v="2023-11-14T00:00:00"/>
    <x v="847"/>
    <s v="TA"/>
    <s v="05748234572010"/>
    <s v="PMC98853DL"/>
    <s v="70.0"/>
    <s v="39"/>
    <s v=".46"/>
    <s v="Y"/>
    <s v="N"/>
    <s v="DL"/>
    <s v="9888"/>
    <s v="231115"/>
    <s v="EAP"/>
    <m/>
    <m/>
    <m/>
    <m/>
    <s v="SGN"/>
    <s v="JFK"/>
    <s v="JFK"/>
    <s v="N"/>
    <s v="B2A-5026"/>
    <m/>
    <m/>
    <s v="Failed"/>
    <m/>
    <x v="0"/>
    <m/>
    <m/>
    <m/>
    <m/>
    <m/>
    <m/>
    <m/>
    <m/>
    <s v="3.2"/>
    <n v="7.6923076923076927E-2"/>
    <b v="0"/>
    <b v="0"/>
    <b v="0"/>
    <b v="0"/>
    <b v="0"/>
    <s v="No"/>
    <s v="No"/>
  </r>
  <r>
    <d v="2023-11-14T00:00:00"/>
    <x v="847"/>
    <s v="VA"/>
    <s v="05748234572011"/>
    <s v="PAG30961NW"/>
    <s v="68.4"/>
    <s v="84"/>
    <s v=".99"/>
    <s v="Y"/>
    <s v="N"/>
    <s v="DL"/>
    <s v="9888"/>
    <s v="231115"/>
    <s v="EAP"/>
    <m/>
    <m/>
    <m/>
    <m/>
    <s v="SGN"/>
    <s v="JFK"/>
    <s v="JFK"/>
    <s v="N"/>
    <s v="B2B-4127"/>
    <m/>
    <m/>
    <s v="Failed"/>
    <m/>
    <x v="0"/>
    <m/>
    <m/>
    <m/>
    <m/>
    <m/>
    <m/>
    <m/>
    <m/>
    <s v="3.2"/>
    <n v="7.6923076923076927E-2"/>
    <b v="0"/>
    <b v="0"/>
    <b v="0"/>
    <b v="0"/>
    <b v="0"/>
    <s v="No"/>
    <s v="No"/>
  </r>
  <r>
    <d v="2023-11-14T00:00:00"/>
    <x v="847"/>
    <s v="XA"/>
    <s v="05748234572012"/>
    <s v="PMC98853DL"/>
    <s v="1.6"/>
    <s v="2"/>
    <s v=".02"/>
    <s v="Y"/>
    <s v="N"/>
    <s v="DL"/>
    <s v="9888"/>
    <s v="231115"/>
    <s v="EAP"/>
    <m/>
    <m/>
    <m/>
    <m/>
    <s v="SGN"/>
    <s v="JFK"/>
    <s v="JFK"/>
    <s v="N"/>
    <s v="B2A-5026"/>
    <m/>
    <m/>
    <s v="Failed"/>
    <m/>
    <x v="0"/>
    <m/>
    <m/>
    <m/>
    <m/>
    <m/>
    <m/>
    <m/>
    <m/>
    <s v="3.2"/>
    <n v="7.6923076923076927E-2"/>
    <b v="0"/>
    <b v="0"/>
    <b v="0"/>
    <b v="0"/>
    <b v="0"/>
    <s v="No"/>
    <s v="No"/>
  </r>
  <r>
    <d v="2023-11-14T00:00:00"/>
    <x v="848"/>
    <s v="BA"/>
    <s v="05748237501001"/>
    <m/>
    <s v="258.0"/>
    <s v="1"/>
    <s v=".27"/>
    <s v="Y"/>
    <s v="N"/>
    <s v="AF"/>
    <s v="090"/>
    <s v="231115"/>
    <s v="NCC"/>
    <s v="ECC"/>
    <s v="HEA"/>
    <s v="EAW"/>
    <m/>
    <s v="STR"/>
    <s v="MCO"/>
    <s v="MIA"/>
    <s v="N"/>
    <s v="LO100"/>
    <m/>
    <m/>
    <s v="Failed"/>
    <m/>
    <x v="0"/>
    <m/>
    <m/>
    <m/>
    <m/>
    <m/>
    <m/>
    <m/>
    <m/>
    <s v="3.2"/>
    <n v="0.16666666666666666"/>
    <b v="0"/>
    <b v="0"/>
    <b v="0"/>
    <b v="0"/>
    <b v="0"/>
    <s v="No"/>
    <s v="No"/>
  </r>
  <r>
    <d v="2023-11-14T00:00:00"/>
    <x v="848"/>
    <s v="DA"/>
    <s v="05748237501002"/>
    <m/>
    <s v="258.0"/>
    <s v="1"/>
    <s v=".27"/>
    <s v="Y"/>
    <s v="N"/>
    <s v="AF"/>
    <s v="090"/>
    <s v="231115"/>
    <s v="NCC"/>
    <s v="ECC"/>
    <s v="HEA"/>
    <s v="EAW"/>
    <m/>
    <s v="STR"/>
    <s v="MCO"/>
    <s v="MIA"/>
    <s v="N"/>
    <s v="LLC22"/>
    <m/>
    <m/>
    <s v="Failed"/>
    <m/>
    <x v="0"/>
    <m/>
    <m/>
    <m/>
    <m/>
    <m/>
    <m/>
    <m/>
    <m/>
    <s v="3.2"/>
    <n v="0.16666666666666666"/>
    <b v="0"/>
    <b v="0"/>
    <b v="0"/>
    <b v="0"/>
    <b v="0"/>
    <s v="No"/>
    <s v="No"/>
  </r>
  <r>
    <d v="2023-11-14T00:00:00"/>
    <x v="848"/>
    <s v="FA"/>
    <s v="05748237501003"/>
    <m/>
    <s v="774.1"/>
    <s v="3"/>
    <s v=".81"/>
    <s v="Y"/>
    <s v="N"/>
    <s v="AF"/>
    <s v="090"/>
    <s v="231115"/>
    <s v="NCC"/>
    <s v="ECC"/>
    <s v="HEA"/>
    <s v="EAW"/>
    <m/>
    <s v="STR"/>
    <s v="MCO"/>
    <s v="MIA"/>
    <s v="N"/>
    <s v="LO100"/>
    <m/>
    <m/>
    <s v="Failed"/>
    <m/>
    <x v="0"/>
    <m/>
    <m/>
    <m/>
    <m/>
    <m/>
    <m/>
    <m/>
    <m/>
    <s v="3.2"/>
    <n v="0.16666666666666666"/>
    <b v="0"/>
    <b v="0"/>
    <b v="0"/>
    <b v="0"/>
    <b v="0"/>
    <s v="No"/>
    <s v="No"/>
  </r>
  <r>
    <d v="2023-11-14T00:00:00"/>
    <x v="848"/>
    <s v="HA"/>
    <s v="05748237501004"/>
    <m/>
    <s v="258.0"/>
    <s v="1"/>
    <s v=".27"/>
    <s v="Y"/>
    <s v="N"/>
    <s v="AF"/>
    <s v="090"/>
    <s v="231115"/>
    <s v="NCC"/>
    <s v="ECC"/>
    <s v="HEA"/>
    <s v="EAW"/>
    <m/>
    <s v="STR"/>
    <s v="MCO"/>
    <s v="MIA"/>
    <s v="N"/>
    <s v="LO100"/>
    <m/>
    <m/>
    <s v="Failed"/>
    <m/>
    <x v="0"/>
    <m/>
    <m/>
    <m/>
    <m/>
    <m/>
    <m/>
    <m/>
    <m/>
    <s v="3.2"/>
    <n v="0.16666666666666666"/>
    <b v="0"/>
    <b v="0"/>
    <b v="0"/>
    <b v="0"/>
    <b v="0"/>
    <s v="No"/>
    <s v="No"/>
  </r>
  <r>
    <d v="2023-11-14T00:00:00"/>
    <x v="848"/>
    <s v="JA"/>
    <s v="05748237501005"/>
    <m/>
    <s v="258.0"/>
    <s v="1"/>
    <s v=".27"/>
    <s v="Y"/>
    <s v="N"/>
    <s v="AF"/>
    <s v="090"/>
    <s v="231115"/>
    <s v="NCC"/>
    <s v="ECC"/>
    <s v="HEA"/>
    <s v="EAW"/>
    <m/>
    <s v="STR"/>
    <s v="MCO"/>
    <s v="MIA"/>
    <s v="N"/>
    <s v="LO100"/>
    <m/>
    <m/>
    <s v="Failed"/>
    <m/>
    <x v="0"/>
    <m/>
    <m/>
    <m/>
    <m/>
    <m/>
    <m/>
    <m/>
    <m/>
    <s v="3.2"/>
    <n v="0.16666666666666666"/>
    <b v="0"/>
    <b v="0"/>
    <b v="0"/>
    <b v="0"/>
    <b v="0"/>
    <s v="No"/>
    <s v="No"/>
  </r>
  <r>
    <d v="2023-11-14T00:00:00"/>
    <x v="848"/>
    <s v="LA"/>
    <s v="05748237501006"/>
    <m/>
    <s v="258.0"/>
    <s v="1"/>
    <s v=".27"/>
    <s v="Y"/>
    <s v="N"/>
    <s v="AF"/>
    <s v="090"/>
    <s v="231115"/>
    <s v="NCC"/>
    <s v="ECC"/>
    <s v="HEA"/>
    <s v="EAW"/>
    <m/>
    <s v="STR"/>
    <s v="MCO"/>
    <s v="MIA"/>
    <s v="N"/>
    <s v="LO100"/>
    <m/>
    <m/>
    <s v="Failed"/>
    <m/>
    <x v="0"/>
    <m/>
    <m/>
    <m/>
    <m/>
    <m/>
    <m/>
    <m/>
    <m/>
    <s v="3.2"/>
    <n v="0.16666666666666666"/>
    <b v="0"/>
    <b v="0"/>
    <b v="0"/>
    <b v="0"/>
    <b v="0"/>
    <s v="No"/>
    <s v="No"/>
  </r>
  <r>
    <d v="2023-11-14T00:00:00"/>
    <x v="849"/>
    <s v="BA"/>
    <s v="05748248056001"/>
    <m/>
    <s v="200.0"/>
    <s v="1"/>
    <s v="1.25"/>
    <s v="Y"/>
    <s v="N"/>
    <s v="AF"/>
    <s v="406"/>
    <s v="231115"/>
    <s v="HEA"/>
    <s v="DIP"/>
    <m/>
    <m/>
    <m/>
    <s v="CGN"/>
    <s v="SCL"/>
    <s v="SCL"/>
    <s v="N"/>
    <s v="56008"/>
    <m/>
    <m/>
    <s v="Passed"/>
    <m/>
    <x v="5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49"/>
    <s v="DA"/>
    <s v="05748248056002"/>
    <m/>
    <s v="200.0"/>
    <s v="1"/>
    <s v="1.25"/>
    <s v="Y"/>
    <s v="N"/>
    <s v="AF"/>
    <s v="406"/>
    <s v="231115"/>
    <s v="HEA"/>
    <s v="DIP"/>
    <m/>
    <m/>
    <m/>
    <s v="CGN"/>
    <s v="SCL"/>
    <s v="SCL"/>
    <s v="N"/>
    <s v="Q2401"/>
    <m/>
    <m/>
    <s v="Passed"/>
    <m/>
    <x v="5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49"/>
    <s v="FA"/>
    <s v="05748248056003"/>
    <m/>
    <s v="200.0"/>
    <s v="1"/>
    <s v="1.26"/>
    <s v="Y"/>
    <s v="N"/>
    <s v="AF"/>
    <s v="406"/>
    <s v="231115"/>
    <s v="HEA"/>
    <s v="DIP"/>
    <m/>
    <m/>
    <m/>
    <s v="CGN"/>
    <s v="SCL"/>
    <s v="SCL"/>
    <s v="N"/>
    <s v="56209"/>
    <m/>
    <m/>
    <s v="Passed"/>
    <m/>
    <x v="5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50"/>
    <s v="BA"/>
    <s v="05748248071001"/>
    <m/>
    <s v="35.0"/>
    <s v="1"/>
    <s v=".20"/>
    <s v="Y"/>
    <s v="N"/>
    <s v="AF"/>
    <s v="756"/>
    <s v="231115"/>
    <s v="DIP"/>
    <m/>
    <m/>
    <m/>
    <m/>
    <s v="CGN"/>
    <s v="BZV"/>
    <s v="BZV"/>
    <s v="N"/>
    <s v="N5303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851"/>
    <s v="BA"/>
    <s v="05748248082001"/>
    <m/>
    <s v="78.0"/>
    <s v="1"/>
    <s v=".77"/>
    <s v="Y"/>
    <s v="N"/>
    <s v="AF"/>
    <s v="484"/>
    <s v="231115"/>
    <s v="DIP"/>
    <m/>
    <m/>
    <m/>
    <m/>
    <s v="CGN"/>
    <s v="GIG"/>
    <s v="GIG"/>
    <s v="N"/>
    <s v="73003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52"/>
    <s v="BA"/>
    <s v="05748248115001"/>
    <m/>
    <s v="9.0"/>
    <s v="1"/>
    <s v=".11"/>
    <s v="Y"/>
    <s v="N"/>
    <s v="AF"/>
    <s v="226"/>
    <s v="231115"/>
    <s v="RCM"/>
    <s v="RFL"/>
    <s v="XPH"/>
    <s v="DIP"/>
    <m/>
    <s v="CGN"/>
    <s v="DEL"/>
    <s v="DEL"/>
    <s v="N"/>
    <s v="93406"/>
    <m/>
    <m/>
    <s v="Passed"/>
    <m/>
    <x v="5"/>
    <m/>
    <m/>
    <m/>
    <m/>
    <m/>
    <m/>
    <m/>
    <m/>
    <s v="3.2"/>
    <n v="1"/>
    <s v="Yes"/>
    <s v="Yes"/>
    <b v="0"/>
    <b v="0"/>
    <b v="0"/>
    <s v="Yes"/>
    <s v="No"/>
  </r>
  <r>
    <d v="2023-11-14T00:00:00"/>
    <x v="853"/>
    <s v="DA"/>
    <s v="05748255852002"/>
    <m/>
    <s v="786.0"/>
    <s v="1"/>
    <s v="1.35"/>
    <s v="Y"/>
    <s v="N"/>
    <s v="AF"/>
    <s v="990"/>
    <s v="231115"/>
    <s v="ECC"/>
    <s v="HEA"/>
    <s v="ULD"/>
    <s v="EAP"/>
    <m/>
    <s v="DXB"/>
    <s v="DUR"/>
    <s v="JNB"/>
    <s v="N"/>
    <s v="51007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854"/>
    <s v="BA"/>
    <s v="05748285296001"/>
    <m/>
    <s v="13.2"/>
    <s v="5"/>
    <s v=".14"/>
    <s v="N"/>
    <s v="N"/>
    <s v="AF"/>
    <s v="084"/>
    <s v="231115"/>
    <s v="RMD"/>
    <s v="RLM"/>
    <s v="VUN"/>
    <s v="VIC"/>
    <m/>
    <s v="CDG"/>
    <s v="SFO"/>
    <s v="SFO"/>
    <s v="N"/>
    <s v="OD1OUI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55"/>
    <s v="BA"/>
    <s v="05748330730001"/>
    <s v="PMC98853DL"/>
    <s v="114.8"/>
    <s v="16"/>
    <s v=".16"/>
    <s v="N"/>
    <s v="N"/>
    <s v="DL"/>
    <s v="9888"/>
    <s v="231115"/>
    <s v="ECC"/>
    <s v="EAP"/>
    <m/>
    <m/>
    <m/>
    <s v="CDG"/>
    <s v="JFK"/>
    <s v="JFK"/>
    <s v="N"/>
    <s v="B2A-5026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55"/>
    <s v="DA"/>
    <s v="05748330730002"/>
    <s v="PMC98853DL"/>
    <s v="7.2"/>
    <s v="1"/>
    <s v=".01"/>
    <s v="N"/>
    <s v="N"/>
    <s v="DL"/>
    <s v="9888"/>
    <s v="231115"/>
    <s v="ECC"/>
    <s v="EAP"/>
    <m/>
    <m/>
    <m/>
    <s v="CDG"/>
    <s v="JFK"/>
    <s v="JFK"/>
    <s v="N"/>
    <s v="B2A-5026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56"/>
    <s v="BA"/>
    <s v="05748338754001"/>
    <m/>
    <s v="1875.0"/>
    <s v="1"/>
    <s v="4.44"/>
    <s v="Y"/>
    <s v="N"/>
    <s v="AF"/>
    <s v="694"/>
    <s v="231115"/>
    <s v="HEA"/>
    <s v="OHG"/>
    <m/>
    <m/>
    <m/>
    <s v="BRU"/>
    <s v="IAH"/>
    <s v="IAH"/>
    <s v="N"/>
    <s v="XLC20"/>
    <m/>
    <m/>
    <s v="Failed"/>
    <m/>
    <x v="40"/>
    <m/>
    <m/>
    <m/>
    <m/>
    <m/>
    <m/>
    <m/>
    <m/>
    <s v="3.2"/>
    <n v="0.5"/>
    <b v="0"/>
    <b v="0"/>
    <b v="0"/>
    <b v="0"/>
    <b v="0"/>
    <s v="No"/>
    <s v="No"/>
  </r>
  <r>
    <d v="2023-11-14T00:00:00"/>
    <x v="857"/>
    <s v="DA"/>
    <s v="05748338754002"/>
    <m/>
    <s v="1875.0"/>
    <s v="1"/>
    <s v="4.45"/>
    <s v="Y"/>
    <s v="N"/>
    <s v="AF"/>
    <s v="694"/>
    <s v="231115"/>
    <s v="HEA"/>
    <s v="OHG"/>
    <m/>
    <m/>
    <m/>
    <s v="BRU"/>
    <s v="IAH"/>
    <s v="IAH"/>
    <s v="N"/>
    <s v="XLC20"/>
    <m/>
    <m/>
    <s v="Failed"/>
    <m/>
    <x v="40"/>
    <m/>
    <m/>
    <m/>
    <m/>
    <m/>
    <m/>
    <m/>
    <m/>
    <s v="3.2"/>
    <n v="0.5"/>
    <b v="0"/>
    <b v="0"/>
    <b v="0"/>
    <b v="0"/>
    <b v="0"/>
    <s v="No"/>
    <s v="No"/>
  </r>
  <r>
    <d v="2023-11-14T00:00:00"/>
    <x v="858"/>
    <s v="BA"/>
    <s v="05748340541001"/>
    <m/>
    <s v="115.0"/>
    <s v="1"/>
    <s v="1.06"/>
    <s v="N"/>
    <s v="N"/>
    <s v="AF"/>
    <s v="218"/>
    <s v="231115"/>
    <s v="VUN"/>
    <s v="VIC"/>
    <m/>
    <m/>
    <m/>
    <s v="CDG"/>
    <s v="BOM"/>
    <s v="BOM"/>
    <s v="N"/>
    <s v="VN404"/>
    <m/>
    <m/>
    <s v="Failed"/>
    <m/>
    <x v="30"/>
    <m/>
    <m/>
    <m/>
    <m/>
    <m/>
    <m/>
    <m/>
    <m/>
    <s v="3.2"/>
    <n v="0.5"/>
    <b v="0"/>
    <b v="0"/>
    <b v="0"/>
    <b v="0"/>
    <b v="0"/>
    <s v="No"/>
    <s v="No"/>
  </r>
  <r>
    <d v="2023-11-14T00:00:00"/>
    <x v="858"/>
    <s v="DA"/>
    <s v="05748340541002"/>
    <m/>
    <s v="115.0"/>
    <s v="1"/>
    <s v="1.06"/>
    <s v="N"/>
    <s v="N"/>
    <s v="AF"/>
    <s v="218"/>
    <s v="231115"/>
    <s v="VUN"/>
    <s v="VIC"/>
    <m/>
    <m/>
    <m/>
    <s v="CDG"/>
    <s v="BOM"/>
    <s v="BOM"/>
    <s v="N"/>
    <s v="VN405"/>
    <m/>
    <m/>
    <s v="Failed"/>
    <m/>
    <x v="30"/>
    <m/>
    <m/>
    <m/>
    <m/>
    <m/>
    <m/>
    <m/>
    <m/>
    <s v="3.2"/>
    <n v="0.5"/>
    <b v="0"/>
    <b v="0"/>
    <b v="0"/>
    <b v="0"/>
    <b v="0"/>
    <s v="No"/>
    <s v="No"/>
  </r>
  <r>
    <d v="2023-11-14T00:00:00"/>
    <x v="859"/>
    <s v="BA"/>
    <s v="05748341075001"/>
    <m/>
    <s v="210.0"/>
    <s v="1"/>
    <s v=".73"/>
    <s v="Y"/>
    <s v="N"/>
    <s v="AF"/>
    <s v="990"/>
    <s v="231115"/>
    <s v="HEA"/>
    <m/>
    <m/>
    <m/>
    <m/>
    <s v="FRA"/>
    <s v="JNB"/>
    <s v="JNB"/>
    <s v="N"/>
    <s v="LLC52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60"/>
    <s v="BA"/>
    <s v="05748386855001"/>
    <s v="PMC04299DL"/>
    <s v="262.0"/>
    <s v="2"/>
    <s v="1.07"/>
    <s v="Y"/>
    <s v="N"/>
    <s v="DL"/>
    <s v="9888"/>
    <s v="231115"/>
    <s v="ECC"/>
    <m/>
    <m/>
    <m/>
    <m/>
    <s v="MAD"/>
    <s v="JFK"/>
    <s v="JFK"/>
    <s v="N"/>
    <s v="B1C-2228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61"/>
    <s v="BA"/>
    <s v="05748451336001"/>
    <s v="PMC66082AF"/>
    <s v="436.0"/>
    <s v="1"/>
    <s v="2.62"/>
    <s v="Y"/>
    <s v="N"/>
    <s v="AF"/>
    <s v="694"/>
    <s v="231115"/>
    <s v="ECC"/>
    <s v="HEA"/>
    <s v="EAW"/>
    <m/>
    <m/>
    <s v="BCN"/>
    <s v="PHX"/>
    <s v="IAH"/>
    <s v="N"/>
    <s v="FA3-PI00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62"/>
    <s v="BA"/>
    <s v="05748463881001"/>
    <m/>
    <s v="169.3"/>
    <s v="1"/>
    <s v=".23"/>
    <s v="Y"/>
    <s v="N"/>
    <s v="AF"/>
    <s v="694"/>
    <s v="231115"/>
    <s v="ECC"/>
    <s v="HEA"/>
    <m/>
    <m/>
    <m/>
    <s v="DUS"/>
    <s v="IAH"/>
    <s v="IAH"/>
    <s v="N"/>
    <s v="54412"/>
    <m/>
    <m/>
    <s v="Passed"/>
    <m/>
    <x v="41"/>
    <m/>
    <m/>
    <m/>
    <m/>
    <m/>
    <m/>
    <m/>
    <m/>
    <s v="3.2"/>
    <n v="0.5"/>
    <b v="0"/>
    <b v="0"/>
    <b v="0"/>
    <b v="0"/>
    <b v="0"/>
    <s v="No"/>
    <s v="No"/>
  </r>
  <r>
    <d v="2023-11-14T00:00:00"/>
    <x v="862"/>
    <s v="DA"/>
    <s v="05748463881002"/>
    <m/>
    <s v="338.7"/>
    <s v="2"/>
    <s v=".46"/>
    <s v="Y"/>
    <s v="N"/>
    <s v="AF"/>
    <s v="694"/>
    <s v="231115"/>
    <s v="ECC"/>
    <s v="HEA"/>
    <m/>
    <m/>
    <m/>
    <s v="DUS"/>
    <s v="IAH"/>
    <s v="IAH"/>
    <s v="N"/>
    <s v="55102"/>
    <m/>
    <m/>
    <s v="Passed"/>
    <m/>
    <x v="41"/>
    <m/>
    <m/>
    <m/>
    <m/>
    <m/>
    <m/>
    <m/>
    <m/>
    <s v="3.2"/>
    <n v="0.5"/>
    <b v="0"/>
    <b v="0"/>
    <b v="0"/>
    <b v="0"/>
    <b v="0"/>
    <s v="No"/>
    <s v="No"/>
  </r>
  <r>
    <d v="2023-11-14T00:00:00"/>
    <x v="863"/>
    <s v="BA"/>
    <s v="05748467871001"/>
    <m/>
    <s v="239.5"/>
    <s v="1"/>
    <s v="1.35"/>
    <s v="Y"/>
    <s v="N"/>
    <s v="AF"/>
    <s v="460"/>
    <s v="231115"/>
    <s v="ERT"/>
    <s v="PIL"/>
    <s v="ECP"/>
    <s v="HEA"/>
    <m/>
    <s v="CGN"/>
    <s v="GRU"/>
    <s v="GRU"/>
    <s v="N"/>
    <s v="69103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64"/>
    <s v="BA"/>
    <s v="05748467926001"/>
    <m/>
    <s v="181.5"/>
    <s v="1"/>
    <s v=".53"/>
    <s v="Y"/>
    <s v="N"/>
    <s v="AF"/>
    <s v="116"/>
    <s v="231115"/>
    <s v="RFL"/>
    <s v="HEA"/>
    <m/>
    <m/>
    <m/>
    <s v="CGN"/>
    <s v="PVG"/>
    <s v="PVG"/>
    <s v="N"/>
    <s v="94009"/>
    <m/>
    <m/>
    <s v="Failed"/>
    <m/>
    <x v="30"/>
    <m/>
    <m/>
    <m/>
    <m/>
    <m/>
    <m/>
    <m/>
    <m/>
    <s v="3.2"/>
    <n v="1"/>
    <s v="Yes"/>
    <b v="0"/>
    <b v="0"/>
    <b v="0"/>
    <b v="0"/>
    <s v="Yes"/>
    <s v="No"/>
  </r>
  <r>
    <d v="2023-11-14T00:00:00"/>
    <x v="865"/>
    <s v="BA"/>
    <s v="05748469341001"/>
    <s v="PMC73301AF"/>
    <s v="633.0"/>
    <s v="6"/>
    <s v="6.94"/>
    <s v="Y"/>
    <s v="N"/>
    <s v="AF"/>
    <s v="084"/>
    <s v="231115"/>
    <s v="VIC"/>
    <s v="ECC"/>
    <s v="EAW"/>
    <m/>
    <m/>
    <s v="AMS"/>
    <s v="SFO"/>
    <s v="SFO"/>
    <s v="N"/>
    <s v="B1A-3443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66"/>
    <s v="BA"/>
    <s v="05748479771001"/>
    <m/>
    <s v="210.0"/>
    <s v="1"/>
    <s v=".96"/>
    <s v="Y"/>
    <s v="N"/>
    <s v="DL"/>
    <s v="097"/>
    <s v="231118"/>
    <s v="ECC"/>
    <s v="HEA"/>
    <s v="EAP"/>
    <m/>
    <m/>
    <s v="DUS"/>
    <s v="DTW"/>
    <s v="DTW"/>
    <s v="N"/>
    <s v="N3001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67"/>
    <s v="BA"/>
    <s v="05748500911001"/>
    <m/>
    <s v="48.0"/>
    <s v="1"/>
    <s v=".10"/>
    <s v="N"/>
    <s v="N"/>
    <s v="AF"/>
    <s v="804"/>
    <s v="231115"/>
    <m/>
    <m/>
    <m/>
    <m/>
    <m/>
    <s v="CDG"/>
    <s v="COO"/>
    <s v="COO"/>
    <s v="N"/>
    <s v="S3101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68"/>
    <s v="BA"/>
    <s v="05748513511001"/>
    <m/>
    <s v="568.0"/>
    <s v="2"/>
    <s v=".54"/>
    <s v="Y"/>
    <s v="N"/>
    <s v="AF"/>
    <s v="694"/>
    <s v="231115"/>
    <s v="ECC"/>
    <s v="HEA"/>
    <s v="EAW"/>
    <m/>
    <m/>
    <s v="BIO"/>
    <s v="IAH"/>
    <s v="IAH"/>
    <s v="N"/>
    <s v="AX600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869"/>
    <s v="BA"/>
    <s v="05748596822001"/>
    <s v="PMC72494AF"/>
    <s v="1329.5"/>
    <s v="37"/>
    <s v="8.20"/>
    <s v="Y"/>
    <s v="N"/>
    <s v="AF"/>
    <s v="566"/>
    <s v="231115"/>
    <s v="ECP"/>
    <s v="EAP"/>
    <m/>
    <m/>
    <m/>
    <s v="LHR"/>
    <s v="BEY"/>
    <s v="BEY"/>
    <s v="N"/>
    <s v="B2A-5430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870"/>
    <s v="BA"/>
    <s v="05748625135001"/>
    <m/>
    <s v="105.0"/>
    <s v="1"/>
    <s v=".18"/>
    <s v="Y"/>
    <s v="N"/>
    <s v="AF"/>
    <s v="694"/>
    <s v="231115"/>
    <s v="ECC"/>
    <s v="EAP"/>
    <m/>
    <m/>
    <m/>
    <s v="BLR"/>
    <s v="IAH"/>
    <s v="IAH"/>
    <s v="N"/>
    <s v="N5103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871"/>
    <s v="BA"/>
    <s v="05748659704001"/>
    <m/>
    <s v="46.8"/>
    <s v="1"/>
    <s v=".26"/>
    <s v="Y"/>
    <s v="N"/>
    <s v="AF"/>
    <s v="860"/>
    <s v="231115"/>
    <s v="ELI"/>
    <s v="ECP"/>
    <s v="XPH"/>
    <s v="EAW"/>
    <m/>
    <s v="DXB"/>
    <s v="LFW"/>
    <s v="LFW"/>
    <s v="N"/>
    <s v="EC300"/>
    <m/>
    <m/>
    <s v="Passed"/>
    <m/>
    <x v="5"/>
    <m/>
    <m/>
    <m/>
    <m/>
    <m/>
    <m/>
    <m/>
    <m/>
    <s v="3.2"/>
    <n v="0.25"/>
    <b v="0"/>
    <b v="0"/>
    <b v="0"/>
    <b v="0"/>
    <b v="0"/>
    <s v="No"/>
    <s v="No"/>
  </r>
  <r>
    <d v="2023-11-14T00:00:00"/>
    <x v="871"/>
    <s v="DA"/>
    <s v="05748659704002"/>
    <m/>
    <s v="374.5"/>
    <s v="8"/>
    <s v="2.12"/>
    <s v="Y"/>
    <s v="N"/>
    <s v="AF"/>
    <s v="860"/>
    <s v="231115"/>
    <s v="ELI"/>
    <s v="ECP"/>
    <s v="XPH"/>
    <s v="EAW"/>
    <m/>
    <s v="DXB"/>
    <s v="LFW"/>
    <s v="LFW"/>
    <s v="N"/>
    <s v="R5001"/>
    <m/>
    <m/>
    <s v="Passed"/>
    <m/>
    <x v="5"/>
    <m/>
    <m/>
    <m/>
    <m/>
    <m/>
    <m/>
    <m/>
    <m/>
    <s v="3.2"/>
    <n v="0.25"/>
    <b v="0"/>
    <b v="0"/>
    <b v="0"/>
    <b v="0"/>
    <b v="0"/>
    <s v="No"/>
    <s v="No"/>
  </r>
  <r>
    <d v="2023-11-14T00:00:00"/>
    <x v="871"/>
    <s v="FA"/>
    <s v="05748659704003"/>
    <m/>
    <s v="234.1"/>
    <s v="5"/>
    <s v="1.33"/>
    <s v="Y"/>
    <s v="N"/>
    <s v="AF"/>
    <s v="860"/>
    <s v="231115"/>
    <s v="ELI"/>
    <s v="ECP"/>
    <s v="XPH"/>
    <s v="EAW"/>
    <m/>
    <s v="DXB"/>
    <s v="LFW"/>
    <s v="LFW"/>
    <s v="N"/>
    <s v="S7302"/>
    <m/>
    <m/>
    <s v="Passed"/>
    <m/>
    <x v="5"/>
    <m/>
    <m/>
    <m/>
    <m/>
    <m/>
    <m/>
    <m/>
    <m/>
    <s v="3.2"/>
    <n v="0.25"/>
    <b v="0"/>
    <b v="0"/>
    <b v="0"/>
    <b v="0"/>
    <b v="0"/>
    <s v="No"/>
    <s v="No"/>
  </r>
  <r>
    <d v="2023-11-14T00:00:00"/>
    <x v="871"/>
    <s v="HA"/>
    <s v="05748659704004"/>
    <m/>
    <s v="93.6"/>
    <s v="2"/>
    <s v=".53"/>
    <s v="Y"/>
    <s v="N"/>
    <s v="AF"/>
    <s v="860"/>
    <s v="231115"/>
    <s v="ELI"/>
    <s v="ECP"/>
    <s v="XPH"/>
    <s v="EAW"/>
    <m/>
    <s v="DXB"/>
    <s v="LFW"/>
    <s v="LFW"/>
    <s v="N"/>
    <s v="EC300"/>
    <m/>
    <m/>
    <s v="Passed"/>
    <m/>
    <x v="5"/>
    <m/>
    <m/>
    <m/>
    <m/>
    <m/>
    <m/>
    <m/>
    <m/>
    <s v="3.2"/>
    <n v="0.25"/>
    <b v="0"/>
    <b v="0"/>
    <b v="0"/>
    <b v="0"/>
    <b v="0"/>
    <s v="No"/>
    <s v="No"/>
  </r>
  <r>
    <d v="2023-11-14T00:00:00"/>
    <x v="872"/>
    <s v="BA"/>
    <s v="05748670112001"/>
    <s v="PMC76436AF"/>
    <s v="1479.0"/>
    <s v="163"/>
    <s v="10.20"/>
    <s v="Y"/>
    <s v="N"/>
    <s v="AF"/>
    <s v="006"/>
    <s v="231117"/>
    <s v="ECC"/>
    <s v="EAP"/>
    <m/>
    <m/>
    <m/>
    <s v="PVG"/>
    <s v="JFK"/>
    <s v="JFK"/>
    <s v="N"/>
    <s v="B2B-4115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73"/>
    <s v="BA"/>
    <s v="05748670123001"/>
    <s v="PMC24546KL"/>
    <s v="1453.0"/>
    <s v="100"/>
    <s v="8.71"/>
    <s v="Y"/>
    <s v="Y"/>
    <s v="AF"/>
    <s v="008"/>
    <s v="231115"/>
    <s v="ECC"/>
    <s v="BUP"/>
    <s v="EAP"/>
    <m/>
    <m/>
    <s v="PVG"/>
    <s v="JFK"/>
    <s v="JFK"/>
    <s v="N"/>
    <s v="B2A-5215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74"/>
    <s v="BA"/>
    <s v="05748684311001"/>
    <s v="PMC71558AF"/>
    <s v="2274.0"/>
    <s v="84"/>
    <s v="10.00"/>
    <s v="Y"/>
    <s v="N"/>
    <s v="AF"/>
    <s v="342"/>
    <s v="231116"/>
    <s v="ECC"/>
    <s v="UCB"/>
    <s v="ULD"/>
    <s v="EAP"/>
    <m/>
    <s v="BOM"/>
    <s v="YYZ"/>
    <s v="YUL"/>
    <s v="N"/>
    <s v="B2C-6029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875"/>
    <s v="BA"/>
    <s v="05748710966001"/>
    <m/>
    <s v="24.0"/>
    <s v="1"/>
    <s v=".35"/>
    <s v="Y"/>
    <s v="N"/>
    <s v="AF"/>
    <s v="072"/>
    <s v="231115"/>
    <m/>
    <m/>
    <m/>
    <m/>
    <m/>
    <s v="CAI"/>
    <s v="LAX"/>
    <s v="LAX"/>
    <s v="N"/>
    <s v="55010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876"/>
    <s v="BA"/>
    <s v="05748710992001"/>
    <m/>
    <s v="150.0"/>
    <s v="1"/>
    <s v=".27"/>
    <s v="Y"/>
    <s v="N"/>
    <s v="AF"/>
    <s v="6944"/>
    <s v="231115"/>
    <s v="PRC"/>
    <s v="HEA"/>
    <s v="EAP"/>
    <m/>
    <m/>
    <s v="CAI"/>
    <s v="RTM"/>
    <s v="AMS"/>
    <s v="N"/>
    <s v="AMS00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877"/>
    <s v="BA"/>
    <s v="05748711003001"/>
    <m/>
    <s v="88.0"/>
    <s v="4"/>
    <s v=".50"/>
    <s v="Y"/>
    <s v="N"/>
    <s v="AF"/>
    <s v="062"/>
    <s v="231116"/>
    <s v="EAP"/>
    <m/>
    <m/>
    <m/>
    <m/>
    <s v="CAI"/>
    <s v="EWR"/>
    <s v="EWR"/>
    <s v="N"/>
    <s v="NFL00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878"/>
    <s v="BA"/>
    <s v="05748720965001"/>
    <m/>
    <s v="171.0"/>
    <s v="1"/>
    <s v="2.08"/>
    <s v="Y"/>
    <s v="N"/>
    <s v="DL"/>
    <s v="221"/>
    <s v="231115"/>
    <s v="ECC"/>
    <s v="HEA"/>
    <s v="EAW"/>
    <m/>
    <m/>
    <s v="DUS"/>
    <s v="SLC"/>
    <s v="SLC"/>
    <s v="N"/>
    <s v="XLC20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79"/>
    <s v="BA"/>
    <s v="05748742595001"/>
    <m/>
    <s v="278.0"/>
    <s v="1"/>
    <s v=".77"/>
    <s v="Y"/>
    <s v="N"/>
    <s v="DL"/>
    <s v="153"/>
    <s v="231115"/>
    <s v="ECC"/>
    <s v="HEA"/>
    <s v="EAP"/>
    <m/>
    <m/>
    <s v="STR"/>
    <s v="JFK"/>
    <s v="MSP"/>
    <s v="N"/>
    <s v="N6302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80"/>
    <s v="BA"/>
    <s v="05748744765001"/>
    <m/>
    <s v="810.0"/>
    <s v="1"/>
    <s v="1.72"/>
    <s v="Y"/>
    <s v="N"/>
    <s v="AF"/>
    <s v="694"/>
    <s v="231115"/>
    <s v="HEA"/>
    <m/>
    <m/>
    <m/>
    <m/>
    <s v="STR"/>
    <s v="IAH"/>
    <s v="IAH"/>
    <s v="N"/>
    <s v="EC400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81"/>
    <s v="BA"/>
    <s v="05748750262001"/>
    <m/>
    <s v="219.7"/>
    <s v="1"/>
    <s v=".58"/>
    <s v="Y"/>
    <s v="N"/>
    <s v="AF"/>
    <s v="990"/>
    <s v="231116"/>
    <s v="HEA"/>
    <s v="EAW"/>
    <m/>
    <m/>
    <m/>
    <s v="DWC"/>
    <s v="JNB"/>
    <s v="JNB"/>
    <s v="N"/>
    <s v="LLC00"/>
    <m/>
    <m/>
    <s v="Failed"/>
    <m/>
    <x v="6"/>
    <m/>
    <m/>
    <m/>
    <m/>
    <m/>
    <m/>
    <m/>
    <m/>
    <s v="3.2"/>
    <n v="0.5"/>
    <b v="0"/>
    <b v="0"/>
    <b v="0"/>
    <b v="0"/>
    <b v="0"/>
    <s v="No"/>
    <s v="No"/>
  </r>
  <r>
    <d v="2023-11-14T00:00:00"/>
    <x v="881"/>
    <s v="DA"/>
    <s v="05748750262002"/>
    <m/>
    <s v="219.7"/>
    <s v="1"/>
    <s v=".58"/>
    <s v="Y"/>
    <s v="N"/>
    <s v="AF"/>
    <s v="990"/>
    <s v="231116"/>
    <s v="HEA"/>
    <s v="EAW"/>
    <m/>
    <m/>
    <m/>
    <s v="DWC"/>
    <s v="JNB"/>
    <s v="JNB"/>
    <s v="N"/>
    <s v="R6304"/>
    <m/>
    <m/>
    <s v="Failed"/>
    <m/>
    <x v="6"/>
    <m/>
    <m/>
    <m/>
    <m/>
    <m/>
    <m/>
    <m/>
    <m/>
    <s v="3.2"/>
    <n v="0.5"/>
    <b v="0"/>
    <b v="0"/>
    <b v="0"/>
    <b v="0"/>
    <b v="0"/>
    <s v="No"/>
    <s v="No"/>
  </r>
  <r>
    <d v="2023-11-14T00:00:00"/>
    <x v="882"/>
    <s v="BA"/>
    <s v="05748754650001"/>
    <s v="PMC98853DL"/>
    <s v="105.7"/>
    <s v="1"/>
    <s v="1.26"/>
    <s v="Y"/>
    <s v="N"/>
    <s v="DL"/>
    <s v="9888"/>
    <s v="231115"/>
    <m/>
    <m/>
    <m/>
    <m/>
    <m/>
    <s v="FRA"/>
    <s v="JFK"/>
    <s v="JFK"/>
    <s v="N"/>
    <s v="B2A-5026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82"/>
    <s v="DA"/>
    <s v="05748754650002"/>
    <s v="PAG30961NW"/>
    <s v="105.7"/>
    <s v="1"/>
    <s v="1.26"/>
    <s v="Y"/>
    <s v="N"/>
    <s v="DL"/>
    <s v="9888"/>
    <s v="231115"/>
    <m/>
    <m/>
    <m/>
    <m/>
    <m/>
    <s v="FRA"/>
    <s v="JFK"/>
    <s v="JFK"/>
    <s v="N"/>
    <s v="B2B-4127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82"/>
    <s v="FA"/>
    <s v="05748754650003"/>
    <s v="PAG30961NW"/>
    <s v="105.7"/>
    <s v="1"/>
    <s v="1.26"/>
    <s v="Y"/>
    <s v="N"/>
    <s v="DL"/>
    <s v="9888"/>
    <s v="231115"/>
    <m/>
    <m/>
    <m/>
    <m/>
    <m/>
    <s v="FRA"/>
    <s v="JFK"/>
    <s v="JFK"/>
    <s v="N"/>
    <s v="B2B-4127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83"/>
    <s v="BA"/>
    <s v="05748760423001"/>
    <m/>
    <s v="1030.0"/>
    <s v="1"/>
    <s v="2.31"/>
    <s v="Y"/>
    <s v="N"/>
    <s v="AF"/>
    <s v="650"/>
    <s v="231117"/>
    <s v="HEA"/>
    <s v="EAW"/>
    <m/>
    <m/>
    <m/>
    <s v="DEL"/>
    <s v="MEX"/>
    <s v="CUN"/>
    <s v="N"/>
    <s v="69001"/>
    <m/>
    <m/>
    <s v="Failed"/>
    <m/>
    <x v="3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884"/>
    <s v="BA"/>
    <s v="05748763050001"/>
    <s v="AKE11890AF"/>
    <s v="701.0"/>
    <s v="121"/>
    <s v="3.63"/>
    <s v="Y"/>
    <s v="N"/>
    <s v="AF"/>
    <s v="062"/>
    <s v="231115"/>
    <s v="ECC"/>
    <s v="EAP"/>
    <m/>
    <m/>
    <m/>
    <s v="BLR"/>
    <s v="EWR"/>
    <s v="EWR"/>
    <s v="N"/>
    <s v="SOR-0000"/>
    <m/>
    <m/>
    <s v="Passed"/>
    <m/>
    <x v="5"/>
    <m/>
    <m/>
    <m/>
    <m/>
    <m/>
    <m/>
    <m/>
    <m/>
    <s v="3.2"/>
    <n v="0.5"/>
    <b v="0"/>
    <b v="0"/>
    <b v="0"/>
    <b v="0"/>
    <b v="0"/>
    <s v="No"/>
    <s v="No"/>
  </r>
  <r>
    <d v="2023-11-14T00:00:00"/>
    <x v="884"/>
    <s v="DA"/>
    <s v="05748763050002"/>
    <s v="AKE13272AF"/>
    <s v="750.0"/>
    <s v="121"/>
    <s v="3.63"/>
    <s v="Y"/>
    <s v="N"/>
    <s v="AF"/>
    <s v="062"/>
    <s v="231115"/>
    <s v="ECC"/>
    <s v="EAP"/>
    <m/>
    <m/>
    <m/>
    <s v="BLR"/>
    <s v="EWR"/>
    <s v="EWR"/>
    <s v="N"/>
    <s v="SOR-0000"/>
    <m/>
    <m/>
    <s v="Passed"/>
    <m/>
    <x v="5"/>
    <m/>
    <m/>
    <m/>
    <m/>
    <m/>
    <m/>
    <m/>
    <m/>
    <s v="3.2"/>
    <n v="0.5"/>
    <b v="0"/>
    <b v="0"/>
    <b v="0"/>
    <b v="0"/>
    <b v="0"/>
    <s v="No"/>
    <s v="No"/>
  </r>
  <r>
    <d v="2023-11-14T00:00:00"/>
    <x v="885"/>
    <s v="BA"/>
    <s v="05748784713001"/>
    <s v="PMC98853DL"/>
    <s v="770.0"/>
    <s v="1"/>
    <s v="1.31"/>
    <s v="Y"/>
    <s v="N"/>
    <s v="DL"/>
    <s v="9888"/>
    <s v="231115"/>
    <s v="ECC"/>
    <s v="HEA"/>
    <s v="EAP"/>
    <m/>
    <m/>
    <s v="JNB"/>
    <s v="JFK"/>
    <s v="JFK"/>
    <s v="N"/>
    <s v="B2A-5026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85"/>
    <s v="DA"/>
    <s v="05748784713002"/>
    <s v="PMC98853DL"/>
    <s v="770.0"/>
    <s v="1"/>
    <s v="1.32"/>
    <s v="Y"/>
    <s v="N"/>
    <s v="DL"/>
    <s v="9888"/>
    <s v="231115"/>
    <s v="ECC"/>
    <s v="HEA"/>
    <s v="EAP"/>
    <m/>
    <m/>
    <s v="JNB"/>
    <s v="JFK"/>
    <s v="JFK"/>
    <s v="N"/>
    <s v="B2A-5026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86"/>
    <s v="BA"/>
    <s v="05748801944001"/>
    <m/>
    <s v="170.0"/>
    <s v="1"/>
    <s v="1.30"/>
    <s v="Y"/>
    <s v="N"/>
    <s v="AF"/>
    <s v="718"/>
    <s v="231116"/>
    <s v="ELI"/>
    <s v="ECC"/>
    <s v="HEA"/>
    <s v="EAP"/>
    <m/>
    <s v="STR"/>
    <s v="DSS"/>
    <s v="DSS"/>
    <s v="N"/>
    <s v="52101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87"/>
    <s v="BA"/>
    <s v="05748807824001"/>
    <m/>
    <s v="65.8"/>
    <s v="1"/>
    <s v=".52"/>
    <s v="Y"/>
    <s v="N"/>
    <s v="AF"/>
    <s v="484"/>
    <s v="231115"/>
    <s v="VIC"/>
    <s v="ECP"/>
    <s v="EAP"/>
    <m/>
    <m/>
    <s v="SIN"/>
    <s v="GIG"/>
    <s v="GIG"/>
    <s v="N"/>
    <s v="Q5003"/>
    <m/>
    <m/>
    <s v="Failed"/>
    <m/>
    <x v="0"/>
    <m/>
    <m/>
    <m/>
    <m/>
    <m/>
    <m/>
    <m/>
    <m/>
    <s v="3.2"/>
    <n v="0.25"/>
    <b v="0"/>
    <b v="0"/>
    <b v="0"/>
    <b v="0"/>
    <b v="0"/>
    <s v="No"/>
    <s v="No"/>
  </r>
  <r>
    <d v="2023-11-14T00:00:00"/>
    <x v="887"/>
    <s v="DA"/>
    <s v="05748807824002"/>
    <m/>
    <s v="407.3"/>
    <s v="4"/>
    <s v="2.08"/>
    <s v="Y"/>
    <s v="N"/>
    <s v="AF"/>
    <s v="484"/>
    <s v="231115"/>
    <s v="VIC"/>
    <s v="ECP"/>
    <s v="EAP"/>
    <m/>
    <m/>
    <s v="SIN"/>
    <s v="GIG"/>
    <s v="GIG"/>
    <s v="N"/>
    <s v="RFK26"/>
    <m/>
    <m/>
    <s v="Failed"/>
    <m/>
    <x v="0"/>
    <m/>
    <m/>
    <m/>
    <m/>
    <m/>
    <m/>
    <m/>
    <m/>
    <s v="3.2"/>
    <n v="0.25"/>
    <b v="0"/>
    <b v="0"/>
    <b v="0"/>
    <b v="0"/>
    <b v="0"/>
    <s v="No"/>
    <s v="No"/>
  </r>
  <r>
    <d v="2023-11-14T00:00:00"/>
    <x v="887"/>
    <s v="FA"/>
    <s v="05748807824003"/>
    <m/>
    <s v="203.6"/>
    <s v="2"/>
    <s v="1.04"/>
    <s v="Y"/>
    <s v="N"/>
    <s v="AF"/>
    <s v="484"/>
    <s v="231115"/>
    <s v="VIC"/>
    <s v="ECP"/>
    <s v="EAP"/>
    <m/>
    <m/>
    <s v="SIN"/>
    <s v="GIG"/>
    <s v="GIG"/>
    <s v="N"/>
    <s v="RFK26"/>
    <m/>
    <m/>
    <s v="Failed"/>
    <m/>
    <x v="0"/>
    <m/>
    <m/>
    <m/>
    <m/>
    <m/>
    <m/>
    <m/>
    <m/>
    <s v="3.2"/>
    <n v="0.25"/>
    <b v="0"/>
    <b v="0"/>
    <b v="0"/>
    <b v="0"/>
    <b v="0"/>
    <s v="No"/>
    <s v="No"/>
  </r>
  <r>
    <d v="2023-11-14T00:00:00"/>
    <x v="887"/>
    <s v="HA"/>
    <s v="05748807824004"/>
    <m/>
    <s v="305.5"/>
    <s v="3"/>
    <s v="1.56"/>
    <s v="Y"/>
    <s v="N"/>
    <s v="AF"/>
    <s v="484"/>
    <s v="231115"/>
    <s v="VIC"/>
    <s v="ECP"/>
    <s v="EAP"/>
    <m/>
    <m/>
    <s v="SIN"/>
    <s v="GIG"/>
    <s v="GIG"/>
    <s v="N"/>
    <s v="RFK26"/>
    <m/>
    <m/>
    <s v="Failed"/>
    <m/>
    <x v="0"/>
    <m/>
    <m/>
    <m/>
    <m/>
    <m/>
    <m/>
    <m/>
    <m/>
    <s v="3.2"/>
    <n v="0.25"/>
    <b v="0"/>
    <b v="0"/>
    <b v="0"/>
    <b v="0"/>
    <b v="0"/>
    <s v="No"/>
    <s v="No"/>
  </r>
  <r>
    <d v="2023-11-14T00:00:00"/>
    <x v="888"/>
    <s v="BA"/>
    <s v="05748807964001"/>
    <m/>
    <s v="74.0"/>
    <s v="1"/>
    <s v=".89"/>
    <s v="Y"/>
    <s v="N"/>
    <s v="AF"/>
    <s v="390M"/>
    <s v="231115"/>
    <s v="ECC"/>
    <s v="EAW"/>
    <m/>
    <m/>
    <m/>
    <s v="SIN"/>
    <s v="BRU"/>
    <s v="BRU"/>
    <s v="N"/>
    <s v="BRU00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89"/>
    <s v="BA"/>
    <s v="05748810646001"/>
    <m/>
    <s v="148.0"/>
    <s v="1"/>
    <s v=".71"/>
    <s v="Y"/>
    <s v="N"/>
    <s v="AF"/>
    <s v="084"/>
    <s v="231118"/>
    <s v="ECC"/>
    <s v="EAP"/>
    <m/>
    <m/>
    <m/>
    <s v="STR"/>
    <s v="SFO"/>
    <s v="SFO"/>
    <s v="N"/>
    <s v="EC400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89"/>
    <s v="DA"/>
    <s v="05748810646002"/>
    <m/>
    <s v="296.0"/>
    <s v="2"/>
    <s v="1.43"/>
    <s v="Y"/>
    <s v="N"/>
    <s v="AF"/>
    <s v="084"/>
    <s v="231118"/>
    <s v="ECC"/>
    <s v="EAP"/>
    <m/>
    <m/>
    <m/>
    <s v="STR"/>
    <s v="SFO"/>
    <s v="SFO"/>
    <s v="N"/>
    <s v="EC400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90"/>
    <s v="BA"/>
    <s v="05748810694001"/>
    <m/>
    <s v="45.0"/>
    <s v="1"/>
    <s v=".33"/>
    <s v="Y"/>
    <s v="N"/>
    <s v="DL"/>
    <s v="153"/>
    <s v="231115"/>
    <s v="ECC"/>
    <s v="EAP"/>
    <m/>
    <m/>
    <m/>
    <s v="STR"/>
    <s v="MSP"/>
    <s v="MSP"/>
    <s v="N"/>
    <s v="M7403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891"/>
    <s v="BA"/>
    <s v="05748810952001"/>
    <m/>
    <s v="77.0"/>
    <s v="1"/>
    <s v=".35"/>
    <s v="Y"/>
    <s v="N"/>
    <s v="AF"/>
    <s v="990"/>
    <s v="231116"/>
    <m/>
    <m/>
    <m/>
    <m/>
    <m/>
    <s v="FRA"/>
    <s v="JNB"/>
    <s v="JNB"/>
    <s v="N"/>
    <s v="LGI00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91"/>
    <s v="DA"/>
    <s v="05748810952002"/>
    <m/>
    <s v="153.9"/>
    <s v="2"/>
    <s v=".70"/>
    <s v="Y"/>
    <s v="N"/>
    <s v="AF"/>
    <s v="990"/>
    <s v="231116"/>
    <m/>
    <m/>
    <m/>
    <m/>
    <m/>
    <s v="FRA"/>
    <s v="JNB"/>
    <s v="JNB"/>
    <s v="N"/>
    <s v="LGI00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92"/>
    <s v="BA"/>
    <s v="05748812105001"/>
    <m/>
    <s v="110.5"/>
    <s v="1"/>
    <s v=".74"/>
    <s v="N"/>
    <s v="N"/>
    <s v="AF"/>
    <s v="952"/>
    <s v="231117"/>
    <s v="ECP"/>
    <s v="SPX"/>
    <m/>
    <m/>
    <m/>
    <s v="CDG"/>
    <s v="CAY"/>
    <s v="CAY"/>
    <s v="N"/>
    <s v="73203"/>
    <m/>
    <m/>
    <s v="Failed"/>
    <m/>
    <x v="30"/>
    <m/>
    <m/>
    <m/>
    <m/>
    <m/>
    <m/>
    <m/>
    <m/>
    <s v="3.2"/>
    <n v="0.5"/>
    <b v="0"/>
    <b v="0"/>
    <b v="0"/>
    <b v="0"/>
    <b v="0"/>
    <s v="No"/>
    <s v="No"/>
  </r>
  <r>
    <d v="2023-11-14T00:00:00"/>
    <x v="892"/>
    <s v="DA"/>
    <s v="05748812105002"/>
    <m/>
    <s v="110.5"/>
    <s v="1"/>
    <s v=".74"/>
    <s v="N"/>
    <s v="N"/>
    <s v="AF"/>
    <s v="952"/>
    <s v="231117"/>
    <s v="ECP"/>
    <s v="SPX"/>
    <m/>
    <m/>
    <m/>
    <s v="CDG"/>
    <s v="CAY"/>
    <s v="CAY"/>
    <s v="N"/>
    <s v="73202"/>
    <m/>
    <m/>
    <s v="Failed"/>
    <m/>
    <x v="30"/>
    <m/>
    <m/>
    <m/>
    <m/>
    <m/>
    <m/>
    <m/>
    <m/>
    <s v="3.2"/>
    <n v="0.5"/>
    <b v="0"/>
    <b v="0"/>
    <b v="0"/>
    <b v="0"/>
    <b v="0"/>
    <s v="No"/>
    <s v="No"/>
  </r>
  <r>
    <d v="2023-11-14T00:00:00"/>
    <x v="893"/>
    <s v="BA"/>
    <s v="05748812153001"/>
    <m/>
    <s v="157.5"/>
    <s v="1"/>
    <s v="1.50"/>
    <s v="N"/>
    <s v="N"/>
    <s v="AF"/>
    <s v="652"/>
    <s v="231115"/>
    <s v="HEA"/>
    <m/>
    <m/>
    <m/>
    <m/>
    <s v="CDG"/>
    <s v="RUN"/>
    <s v="RUN"/>
    <s v="N"/>
    <s v="50402"/>
    <m/>
    <m/>
    <s v="Failed"/>
    <m/>
    <x v="30"/>
    <m/>
    <m/>
    <m/>
    <m/>
    <m/>
    <m/>
    <m/>
    <m/>
    <s v="3.2"/>
    <n v="0.5"/>
    <b v="0"/>
    <b v="0"/>
    <b v="0"/>
    <b v="0"/>
    <b v="0"/>
    <s v="No"/>
    <s v="No"/>
  </r>
  <r>
    <d v="2023-11-14T00:00:00"/>
    <x v="893"/>
    <s v="DA"/>
    <s v="05748812153002"/>
    <m/>
    <s v="157.5"/>
    <s v="1"/>
    <s v="1.50"/>
    <s v="N"/>
    <s v="N"/>
    <s v="AF"/>
    <s v="652"/>
    <s v="231115"/>
    <s v="RMD"/>
    <s v="HEA"/>
    <m/>
    <m/>
    <m/>
    <s v="CDG"/>
    <s v="RUN"/>
    <s v="RUN"/>
    <s v="N"/>
    <s v="72001"/>
    <m/>
    <m/>
    <s v="Failed"/>
    <m/>
    <x v="30"/>
    <m/>
    <m/>
    <m/>
    <m/>
    <m/>
    <m/>
    <m/>
    <m/>
    <s v="3.2"/>
    <n v="0.5"/>
    <b v="0"/>
    <b v="0"/>
    <b v="0"/>
    <b v="0"/>
    <b v="0"/>
    <s v="No"/>
    <s v="No"/>
  </r>
  <r>
    <d v="2023-11-14T00:00:00"/>
    <x v="894"/>
    <s v="BA"/>
    <s v="05748831893001"/>
    <s v="PMC20586KL"/>
    <s v="309.6"/>
    <s v="1"/>
    <s v="1.56"/>
    <s v="Y"/>
    <s v="N"/>
    <s v="AF"/>
    <s v="990"/>
    <s v="231117"/>
    <s v="ECC"/>
    <s v="HEA"/>
    <s v="EAP"/>
    <m/>
    <m/>
    <s v="DUS"/>
    <s v="DUR"/>
    <s v="JNB"/>
    <s v="N"/>
    <s v="B2A-5129"/>
    <m/>
    <m/>
    <s v="Failed"/>
    <m/>
    <x v="30"/>
    <m/>
    <m/>
    <m/>
    <m/>
    <m/>
    <m/>
    <m/>
    <m/>
    <s v="3.2"/>
    <n v="0.2"/>
    <b v="0"/>
    <b v="0"/>
    <b v="0"/>
    <b v="0"/>
    <b v="0"/>
    <s v="No"/>
    <s v="No"/>
  </r>
  <r>
    <d v="2023-11-14T00:00:00"/>
    <x v="894"/>
    <s v="DA"/>
    <s v="05748831893002"/>
    <s v="PMC20586KL"/>
    <s v="309.6"/>
    <s v="1"/>
    <s v="1.56"/>
    <s v="Y"/>
    <s v="N"/>
    <s v="AF"/>
    <s v="990"/>
    <s v="231117"/>
    <s v="ECC"/>
    <s v="HEA"/>
    <s v="EAP"/>
    <m/>
    <m/>
    <s v="DUS"/>
    <s v="DUR"/>
    <s v="JNB"/>
    <s v="N"/>
    <s v="B2A-5129"/>
    <m/>
    <m/>
    <s v="Failed"/>
    <m/>
    <x v="30"/>
    <m/>
    <m/>
    <m/>
    <m/>
    <m/>
    <m/>
    <m/>
    <m/>
    <s v="3.2"/>
    <n v="0.2"/>
    <b v="0"/>
    <b v="0"/>
    <b v="0"/>
    <b v="0"/>
    <b v="0"/>
    <s v="No"/>
    <s v="No"/>
  </r>
  <r>
    <d v="2023-11-14T00:00:00"/>
    <x v="894"/>
    <s v="FA"/>
    <s v="05748831893003"/>
    <s v="PMC20586KL"/>
    <s v="309.6"/>
    <s v="1"/>
    <s v="1.56"/>
    <s v="Y"/>
    <s v="N"/>
    <s v="AF"/>
    <s v="990"/>
    <s v="231117"/>
    <s v="ECC"/>
    <s v="HEA"/>
    <s v="EAP"/>
    <m/>
    <m/>
    <s v="DUS"/>
    <s v="DUR"/>
    <s v="JNB"/>
    <s v="N"/>
    <s v="B2A-5129"/>
    <m/>
    <m/>
    <s v="Failed"/>
    <m/>
    <x v="30"/>
    <m/>
    <m/>
    <m/>
    <m/>
    <m/>
    <m/>
    <m/>
    <m/>
    <s v="3.2"/>
    <n v="0.2"/>
    <b v="0"/>
    <b v="0"/>
    <b v="0"/>
    <b v="0"/>
    <b v="0"/>
    <s v="No"/>
    <s v="No"/>
  </r>
  <r>
    <d v="2023-11-14T00:00:00"/>
    <x v="894"/>
    <s v="HA"/>
    <s v="05748831893004"/>
    <s v="PMC20586KL"/>
    <s v="309.6"/>
    <s v="1"/>
    <s v="1.56"/>
    <s v="Y"/>
    <s v="N"/>
    <s v="AF"/>
    <s v="990"/>
    <s v="231117"/>
    <s v="ECC"/>
    <s v="HEA"/>
    <s v="EAP"/>
    <m/>
    <m/>
    <s v="DUS"/>
    <s v="DUR"/>
    <s v="JNB"/>
    <s v="N"/>
    <s v="B2A-5129"/>
    <m/>
    <m/>
    <s v="Failed"/>
    <m/>
    <x v="30"/>
    <m/>
    <m/>
    <m/>
    <m/>
    <m/>
    <m/>
    <m/>
    <m/>
    <s v="3.2"/>
    <n v="0.2"/>
    <b v="0"/>
    <b v="0"/>
    <b v="0"/>
    <b v="0"/>
    <b v="0"/>
    <s v="No"/>
    <s v="No"/>
  </r>
  <r>
    <d v="2023-11-14T00:00:00"/>
    <x v="894"/>
    <s v="JA"/>
    <s v="05748831893005"/>
    <s v="PMC63904AF"/>
    <s v="309.6"/>
    <s v="1"/>
    <s v="1.56"/>
    <s v="Y"/>
    <s v="N"/>
    <s v="AF"/>
    <s v="990"/>
    <s v="231117"/>
    <s v="ECC"/>
    <s v="HEA"/>
    <s v="EAP"/>
    <m/>
    <m/>
    <s v="DUS"/>
    <s v="DUR"/>
    <s v="JNB"/>
    <s v="N"/>
    <s v="FA1-PI00"/>
    <m/>
    <m/>
    <s v="Failed"/>
    <m/>
    <x v="30"/>
    <m/>
    <m/>
    <m/>
    <m/>
    <m/>
    <m/>
    <m/>
    <m/>
    <s v="3.2"/>
    <n v="0.2"/>
    <b v="0"/>
    <b v="0"/>
    <b v="0"/>
    <b v="0"/>
    <b v="0"/>
    <s v="No"/>
    <s v="No"/>
  </r>
  <r>
    <d v="2023-11-14T00:00:00"/>
    <x v="895"/>
    <s v="BA"/>
    <s v="05748831915001"/>
    <s v="PMC66082AF"/>
    <s v="440.0"/>
    <s v="1"/>
    <s v="2.59"/>
    <s v="Y"/>
    <s v="N"/>
    <s v="AF"/>
    <s v="694"/>
    <s v="231115"/>
    <s v="RSC"/>
    <s v="ECC"/>
    <s v="HEA"/>
    <s v="EAP"/>
    <m/>
    <s v="DUS"/>
    <s v="LRD"/>
    <s v="IAH"/>
    <s v="N"/>
    <s v="FA3-PI0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96"/>
    <s v="BA"/>
    <s v="05748831930001"/>
    <m/>
    <s v="137.0"/>
    <s v="1"/>
    <s v="1.40"/>
    <s v="Y"/>
    <s v="N"/>
    <s v="AF"/>
    <s v="334"/>
    <s v="231115"/>
    <s v="ECC"/>
    <s v="EAW"/>
    <m/>
    <m/>
    <m/>
    <s v="DUS"/>
    <s v="BOS"/>
    <s v="BOS"/>
    <s v="N"/>
    <s v="N5003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897"/>
    <s v="BA"/>
    <s v="05748928526001"/>
    <m/>
    <s v="374.0"/>
    <s v="5"/>
    <s v="2.40"/>
    <s v="N"/>
    <s v="N"/>
    <s v="AF"/>
    <s v="952"/>
    <s v="231115"/>
    <s v="ECP"/>
    <s v="XPH"/>
    <s v="EAW"/>
    <m/>
    <m/>
    <s v="CDG"/>
    <s v="CAY"/>
    <s v="CAY"/>
    <s v="N"/>
    <s v="LO40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98"/>
    <s v="BA"/>
    <s v="05748928935001"/>
    <m/>
    <s v="28.0"/>
    <s v="1"/>
    <s v=".36"/>
    <s v="N"/>
    <s v="N"/>
    <s v="AF"/>
    <s v="768"/>
    <s v="231115"/>
    <s v="ECP"/>
    <s v="XPS"/>
    <m/>
    <m/>
    <m/>
    <s v="CDG"/>
    <s v="NKC"/>
    <s v="NKC"/>
    <s v="N"/>
    <s v="Q2004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899"/>
    <s v="BA"/>
    <s v="05748933850001"/>
    <s v="PMC86032DL"/>
    <s v="1572.0"/>
    <s v="8"/>
    <s v="5.49"/>
    <s v="Y"/>
    <s v="N"/>
    <s v="DL"/>
    <s v="9888"/>
    <s v="231115"/>
    <s v="ECC"/>
    <s v="HEA"/>
    <m/>
    <m/>
    <m/>
    <s v="PRG"/>
    <s v="JFK"/>
    <s v="JFK"/>
    <s v="N"/>
    <s v="B2A-5029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899"/>
    <s v="DA"/>
    <s v="05748933850002"/>
    <s v="PMC98816DL"/>
    <s v="670.0"/>
    <s v="11"/>
    <s v="7.56"/>
    <s v="Y"/>
    <s v="N"/>
    <s v="DL"/>
    <s v="9888"/>
    <s v="231115"/>
    <s v="ECC"/>
    <m/>
    <m/>
    <m/>
    <m/>
    <s v="PRG"/>
    <s v="JFK"/>
    <s v="JFK"/>
    <s v="N"/>
    <s v="B2A-5121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900"/>
    <s v="BA"/>
    <s v="05748949961001"/>
    <m/>
    <s v="11.8"/>
    <s v="2"/>
    <s v=".07"/>
    <s v="Y"/>
    <s v="N"/>
    <s v="AF"/>
    <s v="116"/>
    <s v="231115"/>
    <s v="RFL"/>
    <s v="ECP"/>
    <m/>
    <m/>
    <m/>
    <s v="DUS"/>
    <s v="PVG"/>
    <s v="PVG"/>
    <s v="N"/>
    <s v="94401"/>
    <m/>
    <m/>
    <s v="Failed"/>
    <m/>
    <x v="0"/>
    <m/>
    <m/>
    <m/>
    <m/>
    <m/>
    <m/>
    <m/>
    <m/>
    <s v="3.2"/>
    <n v="1"/>
    <s v="Yes"/>
    <b v="0"/>
    <b v="0"/>
    <b v="0"/>
    <b v="0"/>
    <s v="Yes"/>
    <s v="No"/>
  </r>
  <r>
    <d v="2023-11-14T00:00:00"/>
    <x v="901"/>
    <s v="BA"/>
    <s v="05748949972001"/>
    <m/>
    <s v="83.9"/>
    <s v="1"/>
    <s v=".37"/>
    <s v="Y"/>
    <s v="N"/>
    <s v="AF"/>
    <s v="990"/>
    <s v="231116"/>
    <s v="RFL"/>
    <s v="ECC"/>
    <s v="EAW"/>
    <m/>
    <m/>
    <s v="DUS"/>
    <s v="JNB"/>
    <s v="JNB"/>
    <s v="N"/>
    <s v="94101"/>
    <m/>
    <m/>
    <s v="Failed"/>
    <m/>
    <x v="0"/>
    <m/>
    <m/>
    <m/>
    <m/>
    <m/>
    <m/>
    <m/>
    <m/>
    <s v="3.2"/>
    <n v="1"/>
    <s v="Yes"/>
    <b v="0"/>
    <b v="0"/>
    <b v="0"/>
    <b v="0"/>
    <s v="Yes"/>
    <s v="No"/>
  </r>
  <r>
    <d v="2023-11-14T00:00:00"/>
    <x v="902"/>
    <s v="BA"/>
    <s v="05748959945001"/>
    <m/>
    <s v="215.6"/>
    <s v="4"/>
    <s v="1.44"/>
    <s v="Y"/>
    <s v="N"/>
    <s v="AF"/>
    <s v="178"/>
    <s v="231115"/>
    <s v="ECC"/>
    <s v="XPH"/>
    <s v="EAP"/>
    <m/>
    <m/>
    <s v="STR"/>
    <s v="MEX"/>
    <s v="MEX"/>
    <s v="N"/>
    <s v="72203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03"/>
    <s v="BA"/>
    <s v="05748959956001"/>
    <m/>
    <s v="115.0"/>
    <s v="1"/>
    <s v=".34"/>
    <s v="Y"/>
    <s v="N"/>
    <s v="AF"/>
    <s v="072"/>
    <s v="231115"/>
    <s v="ECC"/>
    <s v="EAW"/>
    <m/>
    <m/>
    <m/>
    <s v="STR"/>
    <s v="LAX"/>
    <s v="LAX"/>
    <s v="N"/>
    <s v="M7404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04"/>
    <s v="FA"/>
    <s v="05748967041003"/>
    <s v="PMC20489MP"/>
    <s v="875.4"/>
    <s v="69"/>
    <s v="8.82"/>
    <s v="Y"/>
    <s v="N"/>
    <s v="DL"/>
    <s v="225"/>
    <s v="231115"/>
    <s v="ECC"/>
    <s v="EAW"/>
    <m/>
    <m/>
    <m/>
    <s v="DWC"/>
    <s v="JFK"/>
    <s v="BOS"/>
    <s v="N"/>
    <s v="B2B-4341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04"/>
    <s v="HA"/>
    <s v="05748967041004"/>
    <s v="PMC24115KL"/>
    <s v="1076.5"/>
    <s v="86"/>
    <s v="10.99"/>
    <s v="Y"/>
    <s v="N"/>
    <s v="DL"/>
    <s v="225"/>
    <s v="231115"/>
    <s v="ECC"/>
    <s v="EAW"/>
    <m/>
    <m/>
    <m/>
    <s v="DWC"/>
    <s v="JFK"/>
    <s v="BOS"/>
    <s v="N"/>
    <s v="B1B-2737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04"/>
    <s v="JA"/>
    <s v="05748967041005"/>
    <s v="PMC31949KL"/>
    <s v="1090.0"/>
    <s v="83"/>
    <s v="10.61"/>
    <s v="Y"/>
    <s v="N"/>
    <s v="DL"/>
    <s v="225"/>
    <s v="231115"/>
    <s v="ECC"/>
    <s v="EAW"/>
    <m/>
    <m/>
    <m/>
    <s v="DWC"/>
    <s v="JFK"/>
    <s v="BOS"/>
    <s v="N"/>
    <s v="B1B-2944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05"/>
    <s v="BA"/>
    <s v="05748968872001"/>
    <m/>
    <s v="150.7"/>
    <s v="1"/>
    <s v=".90"/>
    <s v="Y"/>
    <s v="N"/>
    <s v="AF"/>
    <s v="474"/>
    <s v="231116"/>
    <s v="ECP"/>
    <s v="HEA"/>
    <s v="EAP"/>
    <m/>
    <m/>
    <s v="STR"/>
    <s v="PTY"/>
    <s v="PTY"/>
    <s v="N"/>
    <s v="50105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05"/>
    <s v="DA"/>
    <s v="05748968872002"/>
    <m/>
    <s v="150.7"/>
    <s v="1"/>
    <s v=".90"/>
    <s v="Y"/>
    <s v="N"/>
    <s v="AF"/>
    <s v="474"/>
    <s v="231116"/>
    <s v="ECP"/>
    <s v="HEA"/>
    <s v="EAP"/>
    <m/>
    <m/>
    <s v="STR"/>
    <s v="PTY"/>
    <s v="PTY"/>
    <s v="N"/>
    <s v="52305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05"/>
    <s v="FA"/>
    <s v="05748968872003"/>
    <m/>
    <s v="150.7"/>
    <s v="1"/>
    <s v=".90"/>
    <s v="Y"/>
    <s v="N"/>
    <s v="AF"/>
    <s v="474"/>
    <s v="231116"/>
    <s v="ECP"/>
    <s v="HEA"/>
    <s v="EAP"/>
    <m/>
    <m/>
    <s v="STR"/>
    <s v="PTY"/>
    <s v="PTY"/>
    <s v="N"/>
    <s v="52102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06"/>
    <s v="BA"/>
    <s v="05748973260001"/>
    <m/>
    <s v="237.1"/>
    <s v="9"/>
    <s v=".40"/>
    <s v="Y"/>
    <s v="N"/>
    <s v="AF"/>
    <s v="566"/>
    <s v="231115"/>
    <s v="ECP"/>
    <s v="EAP"/>
    <m/>
    <m/>
    <m/>
    <s v="MUC"/>
    <s v="BEY"/>
    <s v="BEY"/>
    <s v="N"/>
    <s v="62009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907"/>
    <s v="BA"/>
    <s v="05748982603001"/>
    <s v="PMC95922DL"/>
    <s v="73.5"/>
    <s v="1"/>
    <s v=".54"/>
    <s v="Y"/>
    <s v="N"/>
    <s v="DL"/>
    <s v="9888"/>
    <s v="231115"/>
    <s v="ECC"/>
    <m/>
    <m/>
    <m/>
    <m/>
    <s v="PRG"/>
    <s v="JFK"/>
    <s v="JFK"/>
    <s v="N"/>
    <s v="B1C-2429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907"/>
    <s v="DA"/>
    <s v="05748982603002"/>
    <s v="PMC95922DL"/>
    <s v="73.5"/>
    <s v="1"/>
    <s v=".54"/>
    <s v="Y"/>
    <s v="N"/>
    <s v="DL"/>
    <s v="9888"/>
    <s v="231115"/>
    <s v="ECC"/>
    <m/>
    <m/>
    <m/>
    <m/>
    <s v="PRG"/>
    <s v="JFK"/>
    <s v="JFK"/>
    <s v="N"/>
    <s v="B1C-2429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908"/>
    <s v="BA"/>
    <s v="05748983550001"/>
    <m/>
    <s v="36.0"/>
    <s v="6"/>
    <s v=".77"/>
    <s v="Y"/>
    <s v="N"/>
    <s v="AF"/>
    <s v="566"/>
    <s v="231115"/>
    <s v="ELI"/>
    <m/>
    <m/>
    <m/>
    <m/>
    <s v="BRU"/>
    <s v="BEY"/>
    <s v="BEY"/>
    <s v="N"/>
    <s v="52103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909"/>
    <s v="BA"/>
    <s v="05749010290001"/>
    <m/>
    <s v="28.0"/>
    <s v="1"/>
    <s v=".72"/>
    <s v="N"/>
    <s v="N"/>
    <s v="AF"/>
    <s v="356"/>
    <s v="231115"/>
    <s v="EAT"/>
    <s v="ERT"/>
    <m/>
    <m/>
    <m/>
    <s v="CDG"/>
    <s v="YYZ"/>
    <s v="YYZ"/>
    <s v="N"/>
    <s v="P3403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10"/>
    <s v="BA"/>
    <s v="05749016575001"/>
    <s v="PMC20325KL"/>
    <s v="1787.0"/>
    <s v="97"/>
    <s v="10.00"/>
    <s v="Y"/>
    <s v="N"/>
    <s v="AF"/>
    <s v="026"/>
    <s v="231115"/>
    <s v="ECC"/>
    <s v="FSA"/>
    <s v="EAP"/>
    <m/>
    <m/>
    <s v="MAA"/>
    <s v="IAD"/>
    <s v="IAD"/>
    <s v="N"/>
    <s v="B1C-2142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911"/>
    <s v="BA"/>
    <s v="05749021151001"/>
    <m/>
    <s v="90.0"/>
    <s v="1"/>
    <s v=".96"/>
    <s v="Y"/>
    <s v="N"/>
    <s v="AF"/>
    <s v="152"/>
    <s v="231115"/>
    <s v="ECC"/>
    <m/>
    <m/>
    <m/>
    <m/>
    <s v="CGN"/>
    <s v="BKK"/>
    <s v="BKK"/>
    <s v="N"/>
    <s v="R2301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12"/>
    <s v="BA"/>
    <s v="05749021184001"/>
    <m/>
    <s v="124.0"/>
    <s v="1"/>
    <s v=".55"/>
    <s v="Y"/>
    <s v="N"/>
    <s v="DL"/>
    <s v="097"/>
    <s v="231115"/>
    <s v="ECC"/>
    <m/>
    <m/>
    <m/>
    <m/>
    <s v="CGN"/>
    <s v="ORD"/>
    <s v="DTW"/>
    <s v="N"/>
    <s v="M3104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263"/>
    <s v="HA"/>
    <s v="05749043525004"/>
    <m/>
    <s v="1229.1"/>
    <s v="1"/>
    <s v="1.21"/>
    <s v="Y"/>
    <s v="N"/>
    <s v="AF"/>
    <s v="092"/>
    <s v="231116"/>
    <s v="HEA"/>
    <s v="EAW"/>
    <m/>
    <m/>
    <m/>
    <s v="SWK"/>
    <s v="MIA"/>
    <s v="MIA"/>
    <s v="N"/>
    <s v="HLC075"/>
    <m/>
    <m/>
    <s v="Failed"/>
    <m/>
    <x v="42"/>
    <m/>
    <m/>
    <m/>
    <m/>
    <m/>
    <m/>
    <m/>
    <m/>
    <s v="3.2"/>
    <n v="0.25"/>
    <b v="0"/>
    <b v="0"/>
    <b v="0"/>
    <b v="0"/>
    <b v="0"/>
    <s v="No"/>
    <s v="No"/>
  </r>
  <r>
    <d v="2023-11-14T00:00:00"/>
    <x v="263"/>
    <s v="JA"/>
    <s v="05749043525005"/>
    <m/>
    <s v="1120.3"/>
    <s v="1"/>
    <s v="1.19"/>
    <s v="Y"/>
    <s v="N"/>
    <s v="AF"/>
    <s v="092"/>
    <s v="231116"/>
    <s v="HEA"/>
    <s v="EAW"/>
    <m/>
    <m/>
    <m/>
    <s v="SWK"/>
    <s v="MIA"/>
    <s v="MIA"/>
    <s v="N"/>
    <s v="XLC00"/>
    <m/>
    <m/>
    <s v="Failed"/>
    <m/>
    <x v="42"/>
    <m/>
    <m/>
    <m/>
    <m/>
    <m/>
    <m/>
    <m/>
    <m/>
    <s v="3.2"/>
    <n v="0.25"/>
    <b v="0"/>
    <b v="0"/>
    <b v="0"/>
    <b v="0"/>
    <b v="0"/>
    <s v="No"/>
    <s v="No"/>
  </r>
  <r>
    <d v="2023-11-14T00:00:00"/>
    <x v="913"/>
    <s v="BA"/>
    <s v="05749051133001"/>
    <m/>
    <s v="137.5"/>
    <s v="1"/>
    <s v=".65"/>
    <s v="Y"/>
    <s v="N"/>
    <s v="AF"/>
    <s v="006"/>
    <s v="231115"/>
    <m/>
    <m/>
    <m/>
    <m/>
    <m/>
    <s v="STR"/>
    <s v="JFK"/>
    <s v="JFK"/>
    <s v="N"/>
    <s v="EC400"/>
    <m/>
    <m/>
    <s v="Passed"/>
    <m/>
    <x v="5"/>
    <m/>
    <m/>
    <m/>
    <m/>
    <m/>
    <m/>
    <m/>
    <m/>
    <s v="3.2"/>
    <n v="0.5"/>
    <b v="0"/>
    <b v="0"/>
    <b v="0"/>
    <b v="0"/>
    <b v="0"/>
    <s v="No"/>
    <s v="No"/>
  </r>
  <r>
    <d v="2023-11-14T00:00:00"/>
    <x v="913"/>
    <s v="DA"/>
    <s v="05749051133002"/>
    <m/>
    <s v="137.5"/>
    <s v="1"/>
    <s v=".66"/>
    <s v="Y"/>
    <s v="N"/>
    <s v="AF"/>
    <s v="006"/>
    <s v="231115"/>
    <m/>
    <m/>
    <m/>
    <m/>
    <m/>
    <s v="STR"/>
    <s v="JFK"/>
    <s v="JFK"/>
    <s v="N"/>
    <s v="EC400"/>
    <m/>
    <m/>
    <s v="Passed"/>
    <m/>
    <x v="5"/>
    <m/>
    <m/>
    <m/>
    <m/>
    <m/>
    <m/>
    <m/>
    <m/>
    <s v="3.2"/>
    <n v="0.5"/>
    <b v="0"/>
    <b v="0"/>
    <b v="0"/>
    <b v="0"/>
    <b v="0"/>
    <s v="No"/>
    <s v="No"/>
  </r>
  <r>
    <d v="2023-11-14T00:00:00"/>
    <x v="914"/>
    <s v="BA"/>
    <s v="05749056803001"/>
    <m/>
    <s v="90.0"/>
    <s v="1"/>
    <s v=".65"/>
    <s v="Y"/>
    <s v="N"/>
    <s v="AF"/>
    <s v="026"/>
    <s v="231117"/>
    <m/>
    <m/>
    <m/>
    <m/>
    <m/>
    <s v="IST"/>
    <s v="CLT"/>
    <s v="IAD"/>
    <s v="N"/>
    <s v="HLC002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15"/>
    <s v="BA"/>
    <s v="05749056836001"/>
    <m/>
    <s v="150.0"/>
    <s v="1"/>
    <s v="1.17"/>
    <s v="Y"/>
    <s v="N"/>
    <s v="AF"/>
    <s v="132"/>
    <s v="231118"/>
    <s v="HEA"/>
    <m/>
    <m/>
    <m/>
    <m/>
    <s v="IST"/>
    <s v="DFW"/>
    <s v="DFW"/>
    <s v="N"/>
    <s v="HLC013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16"/>
    <s v="BA"/>
    <s v="05749056873001"/>
    <m/>
    <s v="73.0"/>
    <s v="1"/>
    <s v=".35"/>
    <s v="Y"/>
    <s v="N"/>
    <s v="AF"/>
    <s v="694"/>
    <s v="231115"/>
    <m/>
    <m/>
    <m/>
    <m/>
    <m/>
    <s v="IST"/>
    <s v="IAH"/>
    <s v="IAH"/>
    <s v="N"/>
    <s v="M4402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17"/>
    <s v="BA"/>
    <s v="05749067955001"/>
    <m/>
    <s v="165.5"/>
    <s v="1"/>
    <s v=".62"/>
    <s v="Y"/>
    <s v="N"/>
    <s v="AF"/>
    <s v="108"/>
    <s v="231115"/>
    <s v="ECP"/>
    <s v="HEA"/>
    <m/>
    <m/>
    <m/>
    <s v="BOD"/>
    <s v="MAA"/>
    <s v="MAA"/>
    <s v="N"/>
    <s v="51010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917"/>
    <s v="DA"/>
    <s v="05749067955002"/>
    <m/>
    <s v="165.5"/>
    <s v="1"/>
    <s v=".62"/>
    <s v="Y"/>
    <s v="N"/>
    <s v="AF"/>
    <s v="108"/>
    <s v="231115"/>
    <s v="ECP"/>
    <s v="HEA"/>
    <m/>
    <m/>
    <m/>
    <s v="BOD"/>
    <s v="MAA"/>
    <s v="MAA"/>
    <s v="N"/>
    <s v="51111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918"/>
    <s v="BA"/>
    <s v="05749069425001"/>
    <m/>
    <s v="237.0"/>
    <s v="1"/>
    <s v=".33"/>
    <s v="Y"/>
    <s v="N"/>
    <s v="AF"/>
    <s v="400M"/>
    <s v="231116"/>
    <s v="ELI"/>
    <s v="ECC"/>
    <s v="HEA"/>
    <s v="EAW"/>
    <m/>
    <s v="HKG"/>
    <s v="VIE"/>
    <s v="VIE"/>
    <s v="N"/>
    <s v="RSD00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18"/>
    <s v="DA"/>
    <s v="05749069425002"/>
    <m/>
    <s v="237.0"/>
    <s v="1"/>
    <s v=".33"/>
    <s v="Y"/>
    <s v="N"/>
    <s v="AF"/>
    <s v="400M"/>
    <s v="231116"/>
    <s v="ELI"/>
    <s v="ECC"/>
    <s v="HEA"/>
    <s v="EAW"/>
    <m/>
    <s v="HKG"/>
    <s v="VIE"/>
    <s v="VIE"/>
    <s v="N"/>
    <s v="16101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18"/>
    <s v="FA"/>
    <s v="05749069425003"/>
    <m/>
    <s v="237.0"/>
    <s v="1"/>
    <s v=".34"/>
    <s v="Y"/>
    <s v="N"/>
    <s v="AF"/>
    <s v="400M"/>
    <s v="231116"/>
    <s v="ELI"/>
    <s v="ECC"/>
    <s v="HEA"/>
    <s v="EAW"/>
    <m/>
    <s v="HKG"/>
    <s v="VIE"/>
    <s v="VIE"/>
    <s v="N"/>
    <s v="RSD00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19"/>
    <s v="BA"/>
    <s v="05749077674001"/>
    <m/>
    <s v="213.3"/>
    <s v="1"/>
    <s v=".70"/>
    <s v="Y"/>
    <s v="N"/>
    <s v="AF"/>
    <s v="084"/>
    <s v="231115"/>
    <s v="ECC"/>
    <s v="HEA"/>
    <s v="EAP"/>
    <m/>
    <m/>
    <s v="IST"/>
    <s v="SFO"/>
    <s v="SFO"/>
    <s v="N"/>
    <s v="N3101"/>
    <m/>
    <m/>
    <s v="Failed"/>
    <m/>
    <x v="3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19"/>
    <s v="DA"/>
    <s v="05749077674002"/>
    <m/>
    <s v="213.3"/>
    <s v="1"/>
    <s v=".70"/>
    <s v="Y"/>
    <s v="N"/>
    <s v="AF"/>
    <s v="084"/>
    <s v="231115"/>
    <s v="ECC"/>
    <s v="HEA"/>
    <s v="EAP"/>
    <m/>
    <m/>
    <s v="IST"/>
    <s v="SFO"/>
    <s v="SFO"/>
    <s v="N"/>
    <s v="M4104"/>
    <m/>
    <m/>
    <s v="Failed"/>
    <m/>
    <x v="3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19"/>
    <s v="FA"/>
    <s v="05749077674003"/>
    <m/>
    <s v="213.3"/>
    <s v="1"/>
    <s v=".70"/>
    <s v="Y"/>
    <s v="N"/>
    <s v="AF"/>
    <s v="084"/>
    <s v="231115"/>
    <s v="ECC"/>
    <s v="HEA"/>
    <s v="EAP"/>
    <m/>
    <m/>
    <s v="IST"/>
    <s v="SFO"/>
    <s v="SFO"/>
    <s v="N"/>
    <s v="M7303"/>
    <m/>
    <m/>
    <s v="Failed"/>
    <m/>
    <x v="3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20"/>
    <s v="BA"/>
    <s v="05749077696001"/>
    <m/>
    <s v="139.7"/>
    <s v="1"/>
    <s v="1.19"/>
    <s v="Y"/>
    <s v="N"/>
    <s v="AF"/>
    <s v="722"/>
    <s v="231116"/>
    <m/>
    <m/>
    <m/>
    <m/>
    <m/>
    <s v="IST"/>
    <s v="BZV"/>
    <s v="BZV"/>
    <s v="N"/>
    <s v="RFK28"/>
    <m/>
    <m/>
    <s v="Passed"/>
    <m/>
    <x v="5"/>
    <m/>
    <m/>
    <m/>
    <m/>
    <m/>
    <m/>
    <m/>
    <m/>
    <s v="3.2"/>
    <n v="0.25"/>
    <b v="0"/>
    <b v="0"/>
    <b v="0"/>
    <b v="0"/>
    <b v="0"/>
    <s v="No"/>
    <s v="No"/>
  </r>
  <r>
    <d v="2023-11-14T00:00:00"/>
    <x v="920"/>
    <s v="DA"/>
    <s v="05749077696002"/>
    <m/>
    <s v="139.8"/>
    <s v="1"/>
    <s v="1.20"/>
    <s v="Y"/>
    <s v="N"/>
    <s v="AF"/>
    <s v="722"/>
    <s v="231116"/>
    <m/>
    <m/>
    <m/>
    <m/>
    <m/>
    <s v="IST"/>
    <s v="BZV"/>
    <s v="BZV"/>
    <s v="N"/>
    <s v="RFK28"/>
    <m/>
    <m/>
    <s v="Passed"/>
    <m/>
    <x v="5"/>
    <m/>
    <m/>
    <m/>
    <m/>
    <m/>
    <m/>
    <m/>
    <m/>
    <s v="3.2"/>
    <n v="0.25"/>
    <b v="0"/>
    <b v="0"/>
    <b v="0"/>
    <b v="0"/>
    <b v="0"/>
    <s v="No"/>
    <s v="No"/>
  </r>
  <r>
    <d v="2023-11-14T00:00:00"/>
    <x v="920"/>
    <s v="FA"/>
    <s v="05749077696003"/>
    <m/>
    <s v="139.7"/>
    <s v="1"/>
    <s v="1.19"/>
    <s v="Y"/>
    <s v="N"/>
    <s v="AF"/>
    <s v="722"/>
    <s v="231116"/>
    <m/>
    <m/>
    <m/>
    <m/>
    <m/>
    <s v="IST"/>
    <s v="BZV"/>
    <s v="BZV"/>
    <s v="N"/>
    <s v="RFK28"/>
    <m/>
    <m/>
    <s v="Passed"/>
    <m/>
    <x v="5"/>
    <m/>
    <m/>
    <m/>
    <m/>
    <m/>
    <m/>
    <m/>
    <m/>
    <s v="3.2"/>
    <n v="0.25"/>
    <b v="0"/>
    <b v="0"/>
    <b v="0"/>
    <b v="0"/>
    <b v="0"/>
    <s v="No"/>
    <s v="No"/>
  </r>
  <r>
    <d v="2023-11-14T00:00:00"/>
    <x v="920"/>
    <s v="HA"/>
    <s v="05749077696004"/>
    <m/>
    <s v="139.8"/>
    <s v="1"/>
    <s v="1.20"/>
    <s v="Y"/>
    <s v="N"/>
    <s v="AF"/>
    <s v="722"/>
    <s v="231116"/>
    <m/>
    <m/>
    <m/>
    <m/>
    <m/>
    <s v="IST"/>
    <s v="BZV"/>
    <s v="BZV"/>
    <s v="N"/>
    <s v="RFK28"/>
    <m/>
    <m/>
    <s v="Passed"/>
    <m/>
    <x v="5"/>
    <m/>
    <m/>
    <m/>
    <m/>
    <m/>
    <m/>
    <m/>
    <m/>
    <s v="3.2"/>
    <n v="0.25"/>
    <b v="0"/>
    <b v="0"/>
    <b v="0"/>
    <b v="0"/>
    <b v="0"/>
    <s v="No"/>
    <s v="No"/>
  </r>
  <r>
    <d v="2023-11-14T00:00:00"/>
    <x v="921"/>
    <s v="BA"/>
    <s v="05749079914001"/>
    <s v="PMC95922DL"/>
    <s v="126.0"/>
    <s v="1"/>
    <s v=".48"/>
    <s v="Y"/>
    <s v="N"/>
    <s v="DL"/>
    <s v="9888"/>
    <s v="231115"/>
    <s v="ECC"/>
    <m/>
    <m/>
    <m/>
    <m/>
    <s v="LNZ"/>
    <s v="JFK"/>
    <s v="JFK"/>
    <s v="N"/>
    <s v="B1C-2429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922"/>
    <s v="BA"/>
    <s v="05749091512001"/>
    <m/>
    <s v="5.0"/>
    <s v="1"/>
    <s v=".10"/>
    <s v="N"/>
    <s v="N"/>
    <s v="AF"/>
    <s v="484"/>
    <s v="231115"/>
    <s v="RCM"/>
    <s v="RMD"/>
    <s v="VUN"/>
    <s v="EAP"/>
    <m/>
    <s v="CDG"/>
    <s v="GIG"/>
    <s v="GIG"/>
    <s v="N"/>
    <s v="93000"/>
    <m/>
    <m/>
    <s v="Failed"/>
    <m/>
    <x v="0"/>
    <m/>
    <m/>
    <m/>
    <m/>
    <m/>
    <m/>
    <m/>
    <m/>
    <s v="3.2"/>
    <n v="1"/>
    <s v="Yes"/>
    <b v="0"/>
    <b v="0"/>
    <b v="0"/>
    <b v="0"/>
    <s v="Yes"/>
    <s v="No"/>
  </r>
  <r>
    <d v="2023-11-14T00:00:00"/>
    <x v="923"/>
    <s v="BA"/>
    <s v="05749109992001"/>
    <m/>
    <s v="1.4"/>
    <s v="1"/>
    <s v=".01"/>
    <s v="N"/>
    <s v="N"/>
    <s v="AF"/>
    <s v="816"/>
    <s v="231115"/>
    <s v="COL"/>
    <s v="PIL"/>
    <s v="ECP"/>
    <s v="EAP"/>
    <m/>
    <s v="CDG"/>
    <s v="HAV"/>
    <s v="HAV"/>
    <s v="N"/>
    <s v="FR000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924"/>
    <s v="BA"/>
    <s v="05749130653001"/>
    <m/>
    <s v="215.0"/>
    <s v="4"/>
    <s v="1.57"/>
    <s v="N"/>
    <s v="N"/>
    <s v="AF"/>
    <s v="822"/>
    <s v="231115"/>
    <s v="ECP"/>
    <s v="XPH"/>
    <m/>
    <m/>
    <m/>
    <s v="CDG"/>
    <s v="DLA"/>
    <s v="DLA"/>
    <s v="N"/>
    <s v="RFK04"/>
    <m/>
    <m/>
    <s v="Failed"/>
    <m/>
    <x v="43"/>
    <m/>
    <m/>
    <m/>
    <m/>
    <m/>
    <m/>
    <m/>
    <m/>
    <s v="3.2"/>
    <n v="1"/>
    <b v="0"/>
    <b v="0"/>
    <b v="0"/>
    <b v="0"/>
    <b v="0"/>
    <s v="No"/>
    <s v="No"/>
  </r>
  <r>
    <d v="2023-11-14T00:00:00"/>
    <x v="925"/>
    <s v="BA"/>
    <s v="05749130664001"/>
    <m/>
    <s v="26.0"/>
    <s v="1"/>
    <s v=".05"/>
    <s v="N"/>
    <s v="N"/>
    <s v="AF"/>
    <s v="804"/>
    <s v="231115"/>
    <s v="ELI"/>
    <s v="XPH"/>
    <m/>
    <m/>
    <m/>
    <s v="CDG"/>
    <s v="COO"/>
    <s v="COO"/>
    <s v="N"/>
    <s v="S1403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26"/>
    <s v="BA"/>
    <s v="05749130675001"/>
    <m/>
    <s v="34.0"/>
    <s v="3"/>
    <s v=".19"/>
    <s v="N"/>
    <s v="N"/>
    <s v="AF"/>
    <s v="718"/>
    <s v="231115"/>
    <s v="ELI"/>
    <s v="XPH"/>
    <m/>
    <m/>
    <m/>
    <s v="CDG"/>
    <s v="DSS"/>
    <s v="DSS"/>
    <s v="N"/>
    <s v="49103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27"/>
    <s v="BA"/>
    <s v="05749130701001"/>
    <m/>
    <s v="29.0"/>
    <s v="4"/>
    <s v=".16"/>
    <s v="N"/>
    <s v="N"/>
    <s v="AF"/>
    <s v="860"/>
    <s v="231115"/>
    <s v="ELI"/>
    <s v="XPH"/>
    <m/>
    <m/>
    <m/>
    <s v="CDG"/>
    <s v="LFW"/>
    <s v="LFW"/>
    <s v="N"/>
    <s v="S3002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28"/>
    <s v="DA"/>
    <s v="05749153333002"/>
    <s v="AKE03562AF"/>
    <s v="866.0"/>
    <s v="43"/>
    <s v="3.21"/>
    <s v="Y"/>
    <s v="N"/>
    <s v="AF"/>
    <s v="006"/>
    <s v="231115"/>
    <s v="XPH"/>
    <s v="UCB"/>
    <s v="EAP"/>
    <m/>
    <m/>
    <s v="BLR"/>
    <s v="JFK"/>
    <s v="JFK"/>
    <s v="N"/>
    <s v="HUBEXPRESS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29"/>
    <s v="BA"/>
    <s v="05766769485001"/>
    <m/>
    <s v="660.0"/>
    <s v="2"/>
    <s v="2.71"/>
    <s v="Y"/>
    <s v="N"/>
    <s v="AF"/>
    <s v="084"/>
    <s v="231115"/>
    <s v="HEA"/>
    <m/>
    <m/>
    <m/>
    <m/>
    <s v="IST"/>
    <s v="SFO"/>
    <s v="SFO"/>
    <s v="N"/>
    <s v="RFK25"/>
    <m/>
    <m/>
    <s v="Failed"/>
    <m/>
    <x v="3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29"/>
    <s v="DA"/>
    <s v="05766769485002"/>
    <m/>
    <s v="330.0"/>
    <s v="1"/>
    <s v="1.36"/>
    <s v="Y"/>
    <s v="N"/>
    <s v="AF"/>
    <s v="084"/>
    <s v="231115"/>
    <s v="HEA"/>
    <m/>
    <m/>
    <m/>
    <m/>
    <s v="IST"/>
    <s v="SFO"/>
    <s v="SFO"/>
    <s v="N"/>
    <s v="RFK25"/>
    <m/>
    <m/>
    <s v="Failed"/>
    <m/>
    <x v="3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29"/>
    <s v="FA"/>
    <s v="05766769485003"/>
    <m/>
    <s v="330.0"/>
    <s v="1"/>
    <s v="1.36"/>
    <s v="Y"/>
    <s v="N"/>
    <s v="AF"/>
    <s v="084"/>
    <s v="231115"/>
    <s v="HEA"/>
    <m/>
    <m/>
    <m/>
    <m/>
    <s v="IST"/>
    <s v="SFO"/>
    <s v="SFO"/>
    <s v="N"/>
    <s v="RFK25"/>
    <m/>
    <m/>
    <s v="Failed"/>
    <m/>
    <x v="3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30"/>
    <s v="BA"/>
    <s v="05770805722001"/>
    <s v="AKE04561AF"/>
    <s v="26.0"/>
    <s v="1"/>
    <s v=".16"/>
    <s v="Y"/>
    <s v="N"/>
    <s v="AF"/>
    <s v="926"/>
    <s v="231116"/>
    <s v="COL"/>
    <s v="PIL"/>
    <s v="EAP"/>
    <m/>
    <m/>
    <s v="IAD"/>
    <s v="LBV"/>
    <s v="LBV"/>
    <s v="N"/>
    <s v="GFR-FR002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31"/>
    <s v="BA"/>
    <s v="05771252996001"/>
    <m/>
    <s v="96.7"/>
    <s v="1"/>
    <s v=".47"/>
    <s v="Y"/>
    <s v="N"/>
    <s v="AF"/>
    <s v="990"/>
    <s v="231115"/>
    <s v="ECC"/>
    <s v="OHG"/>
    <s v="EAW"/>
    <m/>
    <m/>
    <s v="ORD"/>
    <s v="JNB"/>
    <s v="JNB"/>
    <s v="N"/>
    <s v="LLC11"/>
    <m/>
    <m/>
    <s v="Failed"/>
    <m/>
    <x v="0"/>
    <m/>
    <m/>
    <m/>
    <m/>
    <m/>
    <m/>
    <m/>
    <m/>
    <s v="3.2"/>
    <n v="1"/>
    <b v="0"/>
    <b v="0"/>
    <b v="0"/>
    <b v="0"/>
    <b v="0"/>
    <s v="No"/>
    <s v="Yes"/>
  </r>
  <r>
    <d v="2023-11-14T00:00:00"/>
    <x v="932"/>
    <s v="BA"/>
    <s v="05771253335001"/>
    <m/>
    <s v="220.9"/>
    <s v="3"/>
    <s v="1.45"/>
    <s v="Y"/>
    <s v="N"/>
    <s v="AF"/>
    <s v="990"/>
    <s v="231115"/>
    <s v="HEA"/>
    <s v="EAW"/>
    <m/>
    <m/>
    <m/>
    <s v="ATL"/>
    <s v="JNB"/>
    <s v="JNB"/>
    <s v="N"/>
    <s v="R7001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932"/>
    <s v="DA"/>
    <s v="05771253335002"/>
    <m/>
    <s v="147.2"/>
    <s v="2"/>
    <s v=".97"/>
    <s v="Y"/>
    <s v="N"/>
    <s v="AF"/>
    <s v="990"/>
    <s v="231115"/>
    <s v="HEA"/>
    <s v="EAW"/>
    <m/>
    <m/>
    <m/>
    <s v="ATL"/>
    <s v="JNB"/>
    <s v="JNB"/>
    <s v="N"/>
    <s v="HLC082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933"/>
    <s v="BA"/>
    <s v="05771288394001"/>
    <m/>
    <s v="265.0"/>
    <s v="1"/>
    <s v=".92"/>
    <s v="Y"/>
    <s v="N"/>
    <s v="AF"/>
    <s v="990"/>
    <s v="231115"/>
    <s v="ECC"/>
    <s v="HEA"/>
    <s v="EAP"/>
    <m/>
    <m/>
    <s v="SWK"/>
    <s v="JNB"/>
    <s v="JNB"/>
    <s v="N"/>
    <s v="53012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934"/>
    <s v="BA"/>
    <s v="05771302453001"/>
    <m/>
    <s v="314.0"/>
    <s v="1"/>
    <s v=".52"/>
    <s v="Y"/>
    <s v="N"/>
    <s v="AF"/>
    <s v="990"/>
    <s v="231116"/>
    <s v="ECC"/>
    <s v="HEA"/>
    <s v="EAW"/>
    <m/>
    <m/>
    <s v="SWK"/>
    <s v="JNB"/>
    <s v="JNB"/>
    <s v="N"/>
    <s v="59108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35"/>
    <s v="BA"/>
    <s v="05771324746001"/>
    <m/>
    <s v="217.0"/>
    <s v="1"/>
    <s v=".66"/>
    <s v="Y"/>
    <s v="N"/>
    <s v="AF"/>
    <s v="990"/>
    <s v="231116"/>
    <s v="HEA"/>
    <s v="OHG"/>
    <m/>
    <m/>
    <m/>
    <s v="MXP"/>
    <s v="JNB"/>
    <s v="JNB"/>
    <s v="N"/>
    <s v="LLC00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935"/>
    <s v="DA"/>
    <s v="05771324746002"/>
    <m/>
    <s v="217.0"/>
    <s v="1"/>
    <s v=".66"/>
    <s v="Y"/>
    <s v="N"/>
    <s v="AF"/>
    <s v="990"/>
    <s v="231116"/>
    <s v="HEA"/>
    <s v="OHG"/>
    <m/>
    <m/>
    <m/>
    <s v="MXP"/>
    <s v="JNB"/>
    <s v="JNB"/>
    <s v="N"/>
    <s v="61106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653"/>
    <s v="YD"/>
    <s v="05771333290052"/>
    <s v="PMC24235KL"/>
    <s v="373.9"/>
    <s v="1"/>
    <s v=".87"/>
    <s v="N"/>
    <s v="N"/>
    <s v="AF"/>
    <s v="148"/>
    <s v="231115"/>
    <s v="ECP"/>
    <s v="HEA"/>
    <s v="FSA"/>
    <s v="EAW"/>
    <s v="SPX"/>
    <s v="CDG"/>
    <s v="LOS"/>
    <s v="LOS"/>
    <s v="N"/>
    <s v="B2A-5138"/>
    <m/>
    <m/>
    <s v="Failed"/>
    <m/>
    <x v="3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36"/>
    <s v="BA"/>
    <s v="05771521446001"/>
    <s v="AKE04561AF"/>
    <s v="26.0"/>
    <s v="1"/>
    <s v=".16"/>
    <s v="Y"/>
    <s v="N"/>
    <s v="AF"/>
    <s v="926"/>
    <s v="231116"/>
    <s v="COL"/>
    <s v="PIL"/>
    <s v="VIC"/>
    <s v="EAP"/>
    <m/>
    <s v="IAD"/>
    <s v="LBV"/>
    <s v="LBV"/>
    <s v="N"/>
    <s v="GFR-FR002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937"/>
    <s v="BA"/>
    <s v="05771761933001"/>
    <s v="PMC66082AF"/>
    <s v="303.0"/>
    <s v="2"/>
    <s v="1.11"/>
    <s v="Y"/>
    <s v="N"/>
    <s v="AF"/>
    <s v="694"/>
    <s v="231115"/>
    <s v="VIC"/>
    <s v="HEA"/>
    <m/>
    <m/>
    <m/>
    <s v="SWK"/>
    <s v="IAH"/>
    <s v="IAH"/>
    <s v="N"/>
    <s v="FA3-PI00"/>
    <m/>
    <m/>
    <s v="Passed"/>
    <m/>
    <x v="5"/>
    <m/>
    <m/>
    <m/>
    <m/>
    <m/>
    <m/>
    <m/>
    <m/>
    <s v="3.2"/>
    <n v="1"/>
    <b v="0"/>
    <b v="0"/>
    <b v="0"/>
    <b v="0"/>
    <b v="0"/>
    <s v="No"/>
    <s v="No"/>
  </r>
  <r>
    <d v="2023-11-14T00:00:00"/>
    <x v="938"/>
    <s v="BA"/>
    <s v="05771772396001"/>
    <m/>
    <s v="92.0"/>
    <s v="1"/>
    <s v=".44"/>
    <s v="Y"/>
    <s v="N"/>
    <s v="AF"/>
    <s v="566"/>
    <s v="231115"/>
    <m/>
    <m/>
    <m/>
    <m/>
    <m/>
    <s v="SWK"/>
    <s v="BEY"/>
    <s v="BEY"/>
    <s v="N"/>
    <s v="HLC161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683"/>
    <s v="DA"/>
    <s v="05771886662002"/>
    <s v="PAG14450KL"/>
    <s v="843.7"/>
    <s v="2"/>
    <s v="3.44"/>
    <s v="Y"/>
    <s v="N"/>
    <s v="AF"/>
    <s v="718"/>
    <s v="231115"/>
    <s v="ECC"/>
    <s v="HEA"/>
    <m/>
    <m/>
    <m/>
    <s v="ORD"/>
    <s v="DSS"/>
    <s v="DSS"/>
    <s v="N"/>
    <s v="B2A-4927"/>
    <m/>
    <m/>
    <s v="Passed"/>
    <m/>
    <x v="5"/>
    <m/>
    <m/>
    <m/>
    <m/>
    <m/>
    <m/>
    <m/>
    <m/>
    <s v="3.2"/>
    <n v="0.5"/>
    <b v="0"/>
    <b v="0"/>
    <b v="0"/>
    <b v="0"/>
    <b v="0"/>
    <s v="No"/>
    <s v="Yes"/>
  </r>
  <r>
    <d v="2023-11-14T00:00:00"/>
    <x v="939"/>
    <s v="BA"/>
    <s v="05787402571001"/>
    <m/>
    <s v="108.0"/>
    <s v="1"/>
    <s v="1.00"/>
    <s v="Y"/>
    <s v="N"/>
    <s v="AF"/>
    <s v="694"/>
    <s v="231118"/>
    <s v="EAP"/>
    <m/>
    <m/>
    <m/>
    <m/>
    <s v="IST"/>
    <s v="IAH"/>
    <s v="IAH"/>
    <s v="N"/>
    <s v="LO100"/>
    <m/>
    <m/>
    <s v="Failed"/>
    <m/>
    <x v="0"/>
    <m/>
    <m/>
    <m/>
    <m/>
    <m/>
    <m/>
    <m/>
    <m/>
    <s v="3.2"/>
    <n v="0.2"/>
    <b v="0"/>
    <b v="0"/>
    <b v="0"/>
    <b v="0"/>
    <b v="0"/>
    <s v="No"/>
    <s v="No"/>
  </r>
  <r>
    <d v="2023-11-14T00:00:00"/>
    <x v="939"/>
    <s v="DA"/>
    <s v="05787402571002"/>
    <m/>
    <s v="108.0"/>
    <s v="1"/>
    <s v="1.00"/>
    <s v="Y"/>
    <s v="N"/>
    <s v="AF"/>
    <s v="694"/>
    <s v="231118"/>
    <s v="EAP"/>
    <m/>
    <m/>
    <m/>
    <m/>
    <s v="IST"/>
    <s v="IAH"/>
    <s v="IAH"/>
    <s v="N"/>
    <s v="LO100"/>
    <m/>
    <m/>
    <s v="Failed"/>
    <m/>
    <x v="0"/>
    <m/>
    <m/>
    <m/>
    <m/>
    <m/>
    <m/>
    <m/>
    <m/>
    <s v="3.2"/>
    <n v="0.2"/>
    <b v="0"/>
    <b v="0"/>
    <b v="0"/>
    <b v="0"/>
    <b v="0"/>
    <s v="No"/>
    <s v="No"/>
  </r>
  <r>
    <d v="2023-11-14T00:00:00"/>
    <x v="939"/>
    <s v="FA"/>
    <s v="05787402571003"/>
    <m/>
    <s v="108.0"/>
    <s v="1"/>
    <s v="1.00"/>
    <s v="Y"/>
    <s v="N"/>
    <s v="AF"/>
    <s v="694"/>
    <s v="231118"/>
    <s v="EAP"/>
    <m/>
    <m/>
    <m/>
    <m/>
    <s v="IST"/>
    <s v="IAH"/>
    <s v="IAH"/>
    <s v="N"/>
    <s v="LO100"/>
    <m/>
    <m/>
    <s v="Failed"/>
    <m/>
    <x v="0"/>
    <m/>
    <m/>
    <m/>
    <m/>
    <m/>
    <m/>
    <m/>
    <m/>
    <s v="3.2"/>
    <n v="0.2"/>
    <b v="0"/>
    <b v="0"/>
    <b v="0"/>
    <b v="0"/>
    <b v="0"/>
    <s v="No"/>
    <s v="No"/>
  </r>
  <r>
    <d v="2023-11-14T00:00:00"/>
    <x v="939"/>
    <s v="HA"/>
    <s v="05787402571004"/>
    <m/>
    <s v="108.0"/>
    <s v="1"/>
    <s v="1.00"/>
    <s v="Y"/>
    <s v="N"/>
    <s v="AF"/>
    <s v="694"/>
    <s v="231118"/>
    <s v="EAP"/>
    <m/>
    <m/>
    <m/>
    <m/>
    <s v="IST"/>
    <s v="IAH"/>
    <s v="IAH"/>
    <s v="N"/>
    <s v="LO100"/>
    <m/>
    <m/>
    <s v="Failed"/>
    <m/>
    <x v="0"/>
    <m/>
    <m/>
    <m/>
    <m/>
    <m/>
    <m/>
    <m/>
    <m/>
    <s v="3.2"/>
    <n v="0.2"/>
    <b v="0"/>
    <b v="0"/>
    <b v="0"/>
    <b v="0"/>
    <b v="0"/>
    <s v="No"/>
    <s v="No"/>
  </r>
  <r>
    <d v="2023-11-14T00:00:00"/>
    <x v="939"/>
    <s v="JA"/>
    <s v="05787402571005"/>
    <m/>
    <s v="108.0"/>
    <s v="1"/>
    <s v="1.00"/>
    <s v="Y"/>
    <s v="N"/>
    <s v="AF"/>
    <s v="694"/>
    <s v="231118"/>
    <s v="EAP"/>
    <m/>
    <m/>
    <m/>
    <m/>
    <s v="IST"/>
    <s v="IAH"/>
    <s v="IAH"/>
    <s v="N"/>
    <s v="LO100"/>
    <m/>
    <m/>
    <s v="Failed"/>
    <m/>
    <x v="0"/>
    <m/>
    <m/>
    <m/>
    <m/>
    <m/>
    <m/>
    <m/>
    <m/>
    <s v="3.2"/>
    <n v="0.2"/>
    <b v="0"/>
    <b v="0"/>
    <b v="0"/>
    <b v="0"/>
    <b v="0"/>
    <s v="No"/>
    <s v="No"/>
  </r>
  <r>
    <d v="2023-11-14T00:00:00"/>
    <x v="940"/>
    <s v="BA"/>
    <s v="05790415345001"/>
    <m/>
    <s v="30.0"/>
    <s v="1"/>
    <s v="1.15"/>
    <s v="Y"/>
    <s v="N"/>
    <s v="AF"/>
    <s v="412"/>
    <s v="231115"/>
    <m/>
    <m/>
    <m/>
    <m/>
    <m/>
    <s v="AMS"/>
    <s v="EZE"/>
    <s v="EZE"/>
    <s v="N"/>
    <s v="EC300"/>
    <m/>
    <m/>
    <s v="Passed"/>
    <m/>
    <x v="44"/>
    <m/>
    <m/>
    <m/>
    <m/>
    <m/>
    <m/>
    <m/>
    <m/>
    <s v="3.2"/>
    <n v="1"/>
    <b v="0"/>
    <b v="0"/>
    <b v="0"/>
    <b v="0"/>
    <b v="0"/>
    <s v="No"/>
    <s v="No"/>
  </r>
  <r>
    <d v="2023-11-14T00:00:00"/>
    <x v="941"/>
    <s v="BA"/>
    <s v="05791539906001"/>
    <m/>
    <s v="110.5"/>
    <s v="1"/>
    <s v=".28"/>
    <s v="Y"/>
    <s v="N"/>
    <s v="AF"/>
    <s v="932"/>
    <s v="231115"/>
    <s v="NCC"/>
    <m/>
    <m/>
    <m/>
    <m/>
    <s v="POA"/>
    <s v="ACC"/>
    <s v="ACC"/>
    <s v="N"/>
    <s v="49105"/>
    <m/>
    <m/>
    <s v="Failed"/>
    <m/>
    <x v="6"/>
    <m/>
    <m/>
    <m/>
    <m/>
    <m/>
    <m/>
    <m/>
    <m/>
    <s v="3.2"/>
    <n v="0.5"/>
    <b v="0"/>
    <b v="0"/>
    <b v="0"/>
    <b v="0"/>
    <b v="0"/>
    <s v="No"/>
    <s v="No"/>
  </r>
  <r>
    <d v="2023-11-14T00:00:00"/>
    <x v="941"/>
    <s v="DA"/>
    <s v="05791539906002"/>
    <m/>
    <s v="110.6"/>
    <s v="1"/>
    <s v=".28"/>
    <s v="Y"/>
    <s v="N"/>
    <s v="AF"/>
    <s v="932"/>
    <s v="231115"/>
    <s v="NCC"/>
    <m/>
    <m/>
    <m/>
    <m/>
    <s v="POA"/>
    <s v="ACC"/>
    <s v="ACC"/>
    <s v="N"/>
    <s v="S6103"/>
    <m/>
    <m/>
    <s v="Failed"/>
    <m/>
    <x v="6"/>
    <m/>
    <m/>
    <m/>
    <m/>
    <m/>
    <m/>
    <m/>
    <m/>
    <s v="3.2"/>
    <n v="0.5"/>
    <b v="0"/>
    <b v="0"/>
    <b v="0"/>
    <b v="0"/>
    <b v="0"/>
    <s v="No"/>
    <s v="No"/>
  </r>
  <r>
    <d v="2023-11-14T00:00:00"/>
    <x v="942"/>
    <s v="BA"/>
    <s v="05797570314001"/>
    <m/>
    <s v="20.0"/>
    <s v="1"/>
    <s v=".01"/>
    <s v="N"/>
    <s v="N"/>
    <s v="AF"/>
    <s v="934"/>
    <s v="231116"/>
    <s v="XPS"/>
    <m/>
    <m/>
    <m/>
    <m/>
    <s v="CDG"/>
    <s v="TNR"/>
    <s v="TNR"/>
    <s v="N"/>
    <s v="XT00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43"/>
    <s v="BA"/>
    <s v="05797570325001"/>
    <m/>
    <s v="12.4"/>
    <s v="2"/>
    <s v=".02"/>
    <s v="N"/>
    <s v="N"/>
    <s v="AF"/>
    <s v="804"/>
    <s v="231115"/>
    <s v="XPS"/>
    <m/>
    <m/>
    <m/>
    <m/>
    <s v="CDG"/>
    <s v="COO"/>
    <s v="COO"/>
    <s v="N"/>
    <s v="XT00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44"/>
    <s v="BA"/>
    <s v="05797570336001"/>
    <m/>
    <s v="152.5"/>
    <s v="1"/>
    <s v=".01"/>
    <s v="N"/>
    <s v="N"/>
    <s v="AF"/>
    <s v="712"/>
    <s v="231115"/>
    <s v="XPH"/>
    <s v="HEA"/>
    <m/>
    <m/>
    <m/>
    <s v="CDG"/>
    <s v="ABJ"/>
    <s v="ABJ"/>
    <s v="N"/>
    <s v="R2403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45"/>
    <s v="BA"/>
    <s v="07400498212001"/>
    <m/>
    <s v="135.3"/>
    <s v="1"/>
    <s v=".20"/>
    <s v="Y"/>
    <s v="N"/>
    <s v="AF"/>
    <s v="990"/>
    <s v="231117"/>
    <s v="NCC"/>
    <s v="ECC"/>
    <s v="EAP"/>
    <m/>
    <m/>
    <s v="STR"/>
    <s v="DUR"/>
    <s v="JNB"/>
    <s v="N"/>
    <s v="EC40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46"/>
    <s v="BA"/>
    <s v="07400891844001"/>
    <m/>
    <s v="200.0"/>
    <s v="1"/>
    <s v=".70"/>
    <s v="Y"/>
    <s v="N"/>
    <s v="DL"/>
    <s v="263"/>
    <s v="231115"/>
    <s v="HEA"/>
    <m/>
    <m/>
    <m/>
    <m/>
    <s v="AMS"/>
    <s v="JFK"/>
    <s v="JFK"/>
    <s v="N"/>
    <s v="EC300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947"/>
    <s v="BA"/>
    <s v="07446547476001"/>
    <m/>
    <s v="26.8"/>
    <s v="2"/>
    <s v=".13"/>
    <s v="Y"/>
    <s v="N"/>
    <s v="AF"/>
    <s v="484"/>
    <s v="231115"/>
    <s v="ECP"/>
    <s v="XPH"/>
    <s v="EAW"/>
    <m/>
    <m/>
    <s v="DUS"/>
    <s v="GIG"/>
    <s v="GIG"/>
    <s v="N"/>
    <s v="P3103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948"/>
    <s v="BA"/>
    <s v="07461643330001"/>
    <m/>
    <s v="14.0"/>
    <s v="1"/>
    <s v=".14"/>
    <s v="Y"/>
    <s v="N"/>
    <s v="AF"/>
    <s v="188"/>
    <s v="231115"/>
    <s v="XPS"/>
    <s v="EAP"/>
    <m/>
    <m/>
    <m/>
    <s v="DAR"/>
    <s v="HKG"/>
    <s v="HKG"/>
    <s v="N"/>
    <s v="50401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49"/>
    <s v="BA"/>
    <s v="07461643352001"/>
    <m/>
    <s v="846.0"/>
    <s v="1"/>
    <s v="2.73"/>
    <s v="Y"/>
    <s v="N"/>
    <s v="AF"/>
    <s v="342"/>
    <s v="231115"/>
    <s v="RFL"/>
    <s v="NCC"/>
    <s v="HEA"/>
    <s v="EAP"/>
    <m/>
    <s v="DAR"/>
    <s v="YUL"/>
    <s v="YUL"/>
    <s v="N"/>
    <s v="95012"/>
    <m/>
    <m/>
    <s v="Failed"/>
    <m/>
    <x v="30"/>
    <m/>
    <m/>
    <m/>
    <m/>
    <m/>
    <m/>
    <m/>
    <m/>
    <s v="3.2"/>
    <n v="0.5"/>
    <s v="Yes"/>
    <b v="0"/>
    <b v="0"/>
    <b v="0"/>
    <b v="0"/>
    <s v="Yes"/>
    <s v="No"/>
  </r>
  <r>
    <d v="2023-11-14T00:00:00"/>
    <x v="949"/>
    <s v="DA"/>
    <s v="07461643352002"/>
    <m/>
    <s v="846.0"/>
    <s v="1"/>
    <s v="2.74"/>
    <s v="Y"/>
    <s v="N"/>
    <s v="AF"/>
    <s v="342"/>
    <s v="231115"/>
    <s v="RFL"/>
    <s v="NCC"/>
    <s v="HEA"/>
    <s v="EAP"/>
    <m/>
    <s v="DAR"/>
    <s v="YUL"/>
    <s v="YUL"/>
    <s v="N"/>
    <s v="95014"/>
    <m/>
    <m/>
    <s v="Failed"/>
    <m/>
    <x v="30"/>
    <m/>
    <m/>
    <m/>
    <m/>
    <m/>
    <m/>
    <m/>
    <m/>
    <s v="3.2"/>
    <n v="0.5"/>
    <s v="Yes"/>
    <b v="0"/>
    <b v="0"/>
    <b v="0"/>
    <b v="0"/>
    <s v="Yes"/>
    <s v="No"/>
  </r>
  <r>
    <d v="2023-11-14T00:00:00"/>
    <x v="950"/>
    <s v="BA"/>
    <s v="07461960986001"/>
    <m/>
    <s v="492.0"/>
    <s v="1"/>
    <s v="1.20"/>
    <s v="Y"/>
    <s v="N"/>
    <s v="AF"/>
    <s v="218"/>
    <s v="231115"/>
    <s v="ECP"/>
    <s v="HEA"/>
    <m/>
    <m/>
    <m/>
    <s v="DUS"/>
    <s v="BOM"/>
    <s v="BOM"/>
    <s v="N"/>
    <s v="XLC10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51"/>
    <s v="BA"/>
    <s v="07462107404001"/>
    <m/>
    <s v="421.3"/>
    <s v="1"/>
    <s v="1.67"/>
    <s v="Y"/>
    <s v="N"/>
    <s v="AF"/>
    <s v="474"/>
    <s v="231116"/>
    <s v="ECP"/>
    <s v="HEA"/>
    <s v="EAP"/>
    <m/>
    <m/>
    <s v="BOM"/>
    <s v="PTY"/>
    <s v="PTY"/>
    <s v="N"/>
    <s v="50101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51"/>
    <s v="DA"/>
    <s v="07462107404002"/>
    <m/>
    <s v="421.3"/>
    <s v="1"/>
    <s v="1.67"/>
    <s v="Y"/>
    <s v="N"/>
    <s v="AF"/>
    <s v="474"/>
    <s v="231116"/>
    <s v="ECP"/>
    <s v="HEA"/>
    <s v="EAP"/>
    <m/>
    <m/>
    <s v="BOM"/>
    <s v="PTY"/>
    <s v="PTY"/>
    <s v="N"/>
    <s v="EC300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51"/>
    <s v="FA"/>
    <s v="07462107404003"/>
    <m/>
    <s v="421.3"/>
    <s v="1"/>
    <s v="1.67"/>
    <s v="Y"/>
    <s v="N"/>
    <s v="AF"/>
    <s v="474"/>
    <s v="231116"/>
    <s v="ECP"/>
    <s v="HEA"/>
    <s v="EAP"/>
    <m/>
    <m/>
    <s v="BOM"/>
    <s v="PTY"/>
    <s v="PTY"/>
    <s v="N"/>
    <s v="EC300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52"/>
    <s v="DA"/>
    <s v="07462357315002"/>
    <m/>
    <s v="645.0"/>
    <s v="2"/>
    <s v="1.04"/>
    <s v="Y"/>
    <s v="N"/>
    <s v="AF"/>
    <s v="694"/>
    <s v="231115"/>
    <s v="ECC"/>
    <s v="HEA"/>
    <s v="EAW"/>
    <m/>
    <m/>
    <s v="DXB"/>
    <s v="IAH"/>
    <s v="IAH"/>
    <s v="N"/>
    <s v="LLC40"/>
    <m/>
    <m/>
    <s v="Failed"/>
    <m/>
    <x v="45"/>
    <m/>
    <m/>
    <m/>
    <m/>
    <m/>
    <m/>
    <m/>
    <m/>
    <s v="3.2"/>
    <n v="1"/>
    <b v="0"/>
    <b v="0"/>
    <b v="0"/>
    <b v="0"/>
    <b v="0"/>
    <s v="No"/>
    <s v="No"/>
  </r>
  <r>
    <d v="2023-11-14T00:00:00"/>
    <x v="953"/>
    <s v="BA"/>
    <s v="07462360653001"/>
    <m/>
    <s v="53.0"/>
    <s v="1"/>
    <s v=".71"/>
    <s v="Y"/>
    <s v="N"/>
    <s v="AF"/>
    <s v="470M"/>
    <s v="231115"/>
    <s v="EAP"/>
    <m/>
    <m/>
    <m/>
    <m/>
    <s v="DXB"/>
    <s v="GOT"/>
    <s v="MMX"/>
    <s v="N"/>
    <s v="MMX01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54"/>
    <s v="BA"/>
    <s v="07462635790001"/>
    <m/>
    <s v="116.0"/>
    <s v="1"/>
    <s v=".84"/>
    <s v="Y"/>
    <s v="N"/>
    <s v="AF"/>
    <s v="692"/>
    <s v="231117"/>
    <s v="ECC"/>
    <s v="EAP"/>
    <m/>
    <m/>
    <m/>
    <s v="DEL"/>
    <s v="RDU"/>
    <s v="RDU"/>
    <s v="N"/>
    <s v="55011"/>
    <m/>
    <m/>
    <s v="Failed"/>
    <m/>
    <x v="30"/>
    <m/>
    <m/>
    <m/>
    <m/>
    <m/>
    <m/>
    <m/>
    <m/>
    <s v="3.2"/>
    <n v="0.16666666666666666"/>
    <b v="0"/>
    <b v="0"/>
    <b v="0"/>
    <b v="0"/>
    <b v="0"/>
    <s v="No"/>
    <s v="No"/>
  </r>
  <r>
    <d v="2023-11-14T00:00:00"/>
    <x v="954"/>
    <s v="HA"/>
    <s v="07462635790004"/>
    <m/>
    <s v="116.0"/>
    <s v="1"/>
    <s v=".85"/>
    <s v="Y"/>
    <s v="N"/>
    <s v="AF"/>
    <s v="692"/>
    <s v="231117"/>
    <s v="ECC"/>
    <s v="EAP"/>
    <m/>
    <m/>
    <m/>
    <s v="DEL"/>
    <s v="RDU"/>
    <s v="RDU"/>
    <s v="N"/>
    <s v="55107"/>
    <m/>
    <m/>
    <s v="Failed"/>
    <m/>
    <x v="30"/>
    <m/>
    <m/>
    <m/>
    <m/>
    <m/>
    <m/>
    <m/>
    <m/>
    <s v="3.2"/>
    <n v="0.16666666666666666"/>
    <b v="0"/>
    <b v="0"/>
    <b v="0"/>
    <b v="0"/>
    <b v="0"/>
    <s v="No"/>
    <s v="No"/>
  </r>
  <r>
    <d v="2023-11-14T00:00:00"/>
    <x v="955"/>
    <s v="BA"/>
    <s v="07462659822001"/>
    <m/>
    <s v="84.5"/>
    <s v="1"/>
    <s v=".85"/>
    <s v="Y"/>
    <s v="N"/>
    <s v="AF"/>
    <s v="008"/>
    <s v="231116"/>
    <s v="ECC"/>
    <s v="EAP"/>
    <m/>
    <m/>
    <m/>
    <s v="PEN"/>
    <s v="JFK"/>
    <s v="JFK"/>
    <s v="N"/>
    <s v="M3301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956"/>
    <s v="BA"/>
    <s v="07462915543001"/>
    <m/>
    <s v="158.0"/>
    <s v="1"/>
    <s v=".98"/>
    <s v="Y"/>
    <s v="N"/>
    <s v="AF"/>
    <s v="108M"/>
    <s v="231116"/>
    <s v="NCC"/>
    <s v="ECC"/>
    <s v="HEA"/>
    <m/>
    <m/>
    <s v="KUL"/>
    <s v="BOD"/>
    <s v="BOD"/>
    <s v="N"/>
    <s v="BOD01"/>
    <m/>
    <m/>
    <s v="Failed"/>
    <m/>
    <x v="0"/>
    <m/>
    <m/>
    <m/>
    <m/>
    <m/>
    <m/>
    <m/>
    <m/>
    <s v="3.2"/>
    <n v="1"/>
    <b v="0"/>
    <b v="0"/>
    <b v="0"/>
    <b v="0"/>
    <b v="0"/>
    <s v="No"/>
    <s v="No"/>
  </r>
  <r>
    <d v="2023-11-14T00:00:00"/>
    <x v="957"/>
    <s v="BA"/>
    <s v="07462918693001"/>
    <s v="PMC95922DL"/>
    <s v="82.1"/>
    <s v="6"/>
    <s v=".62"/>
    <s v="Y"/>
    <s v="N"/>
    <s v="DL"/>
    <s v="9888"/>
    <s v="231115"/>
    <s v="EAP"/>
    <m/>
    <m/>
    <m/>
    <m/>
    <s v="LHE"/>
    <s v="JFK"/>
    <s v="JFK"/>
    <s v="N"/>
    <s v="B1C-2429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57"/>
    <s v="DA"/>
    <s v="07462918693002"/>
    <s v="PMC04299DL"/>
    <s v="68.4"/>
    <s v="5"/>
    <s v=".52"/>
    <s v="Y"/>
    <s v="N"/>
    <s v="DL"/>
    <s v="9888"/>
    <s v="231115"/>
    <s v="EAP"/>
    <m/>
    <m/>
    <m/>
    <m/>
    <s v="LHE"/>
    <s v="JFK"/>
    <s v="JFK"/>
    <s v="N"/>
    <s v="B1C-2228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57"/>
    <s v="FA"/>
    <s v="07462918693003"/>
    <s v="PMC95922DL"/>
    <s v="109.4"/>
    <s v="8"/>
    <s v=".83"/>
    <s v="Y"/>
    <s v="N"/>
    <s v="DL"/>
    <s v="9888"/>
    <s v="231115"/>
    <s v="EAP"/>
    <m/>
    <m/>
    <m/>
    <m/>
    <s v="LHE"/>
    <s v="JFK"/>
    <s v="JFK"/>
    <s v="N"/>
    <s v="B1C-2429"/>
    <m/>
    <m/>
    <s v="Failed"/>
    <m/>
    <x v="0"/>
    <m/>
    <m/>
    <m/>
    <m/>
    <m/>
    <m/>
    <m/>
    <m/>
    <s v="3.2"/>
    <n v="0.33333333333333331"/>
    <b v="0"/>
    <b v="0"/>
    <b v="0"/>
    <b v="0"/>
    <b v="0"/>
    <s v="No"/>
    <s v="No"/>
  </r>
  <r>
    <d v="2023-11-14T00:00:00"/>
    <x v="958"/>
    <s v="BA"/>
    <s v="07462918995001"/>
    <m/>
    <s v="180.0"/>
    <s v="14"/>
    <s v="1.74"/>
    <s v="Y"/>
    <s v="N"/>
    <s v="AF"/>
    <s v="004"/>
    <s v="231115"/>
    <m/>
    <m/>
    <m/>
    <m/>
    <m/>
    <s v="LHE"/>
    <s v="JFK"/>
    <s v="JFK"/>
    <s v="N"/>
    <s v="72002"/>
    <m/>
    <m/>
    <s v="Failed"/>
    <m/>
    <x v="30"/>
    <m/>
    <m/>
    <m/>
    <m/>
    <m/>
    <m/>
    <m/>
    <m/>
    <s v="3.2"/>
    <n v="1"/>
    <b v="0"/>
    <b v="0"/>
    <b v="0"/>
    <b v="0"/>
    <b v="0"/>
    <s v="No"/>
    <s v="No"/>
  </r>
  <r>
    <d v="2023-11-14T00:00:00"/>
    <x v="959"/>
    <s v="BA"/>
    <s v="07463066043001"/>
    <m/>
    <s v="475.0"/>
    <s v="1"/>
    <s v="1.00"/>
    <s v="Y"/>
    <s v="N"/>
    <s v="AF"/>
    <s v="008"/>
    <s v="231116"/>
    <s v="RMD"/>
    <s v="ECC"/>
    <s v="HEA"/>
    <s v="EAW"/>
    <m/>
    <s v="DUS"/>
    <s v="JFK"/>
    <s v="JFK"/>
    <s v="N"/>
    <s v="N6104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959"/>
    <s v="DA"/>
    <s v="07463066043002"/>
    <m/>
    <s v="475.0"/>
    <s v="1"/>
    <s v="1.01"/>
    <s v="Y"/>
    <s v="N"/>
    <s v="AF"/>
    <s v="008"/>
    <s v="231116"/>
    <s v="RMD"/>
    <s v="ECC"/>
    <s v="HEA"/>
    <s v="EAW"/>
    <m/>
    <s v="DUS"/>
    <s v="JFK"/>
    <s v="JFK"/>
    <s v="N"/>
    <s v="N6103"/>
    <m/>
    <m/>
    <s v="Failed"/>
    <m/>
    <x v="0"/>
    <m/>
    <m/>
    <m/>
    <m/>
    <m/>
    <m/>
    <m/>
    <m/>
    <s v="3.2"/>
    <n v="0.5"/>
    <b v="0"/>
    <b v="0"/>
    <b v="0"/>
    <b v="0"/>
    <b v="0"/>
    <s v="No"/>
    <s v="No"/>
  </r>
  <r>
    <d v="2023-11-14T00:00:00"/>
    <x v="960"/>
    <s v="BA"/>
    <s v="00655206981001"/>
    <m/>
    <s v="148.0"/>
    <s v="2"/>
    <s v=".54"/>
    <s v="N"/>
    <s v="N"/>
    <s v="DL"/>
    <s v="083"/>
    <s v="231115"/>
    <m/>
    <m/>
    <m/>
    <m/>
    <m/>
    <s v="CDG"/>
    <s v="ATL"/>
    <s v="ATL"/>
    <s v="N"/>
    <s v="HLC016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61"/>
    <s v="BA"/>
    <s v="00655207003001"/>
    <m/>
    <s v="3.0"/>
    <s v="1"/>
    <s v=".06"/>
    <s v="N"/>
    <s v="N"/>
    <s v="DL"/>
    <s v="083"/>
    <s v="231115"/>
    <m/>
    <m/>
    <m/>
    <m/>
    <m/>
    <s v="CDG"/>
    <s v="ATL"/>
    <s v="ATL"/>
    <s v="N"/>
    <s v="E92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62"/>
    <s v="BA"/>
    <s v="05703062323001"/>
    <m/>
    <s v="270.0"/>
    <s v="1"/>
    <s v=".45"/>
    <s v="N"/>
    <s v="N"/>
    <s v="AF"/>
    <s v="756"/>
    <s v="231115"/>
    <s v="ECP"/>
    <s v="HEA"/>
    <s v="EAP"/>
    <s v="SPX"/>
    <m/>
    <s v="CDG"/>
    <s v="BZV"/>
    <s v="BZV"/>
    <s v="N"/>
    <s v="RSD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63"/>
    <s v="BA"/>
    <s v="05704792546001"/>
    <m/>
    <s v="65.0"/>
    <s v="1"/>
    <s v=".45"/>
    <s v="Y"/>
    <s v="N"/>
    <s v="AF"/>
    <s v="822"/>
    <s v="231117"/>
    <s v="ELI"/>
    <s v="XPH"/>
    <m/>
    <m/>
    <m/>
    <s v="YUL"/>
    <s v="SSG"/>
    <s v="SSG"/>
    <s v="N"/>
    <s v="M2402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64"/>
    <s v="BA"/>
    <s v="05705184734001"/>
    <m/>
    <s v="104.5"/>
    <s v="1"/>
    <s v="1.24"/>
    <s v="Y"/>
    <s v="N"/>
    <s v="DL"/>
    <s v="153"/>
    <s v="231115"/>
    <s v="EAP"/>
    <m/>
    <m/>
    <m/>
    <m/>
    <s v="WAW"/>
    <s v="ORD"/>
    <s v="MSP"/>
    <s v="N"/>
    <s v="RFK00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964"/>
    <s v="DA"/>
    <s v="05705184734002"/>
    <m/>
    <s v="104.5"/>
    <s v="1"/>
    <s v="1.24"/>
    <s v="Y"/>
    <s v="N"/>
    <s v="DL"/>
    <s v="153"/>
    <s v="231115"/>
    <s v="EAP"/>
    <m/>
    <m/>
    <m/>
    <m/>
    <s v="WAW"/>
    <s v="ORD"/>
    <s v="MSP"/>
    <s v="N"/>
    <s v="RFK20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964"/>
    <s v="FA"/>
    <s v="05705184734003"/>
    <m/>
    <s v="104.5"/>
    <s v="1"/>
    <s v="1.24"/>
    <s v="Y"/>
    <s v="N"/>
    <s v="DL"/>
    <s v="153"/>
    <s v="231115"/>
    <s v="EAP"/>
    <m/>
    <m/>
    <m/>
    <m/>
    <s v="WAW"/>
    <s v="ORD"/>
    <s v="MSP"/>
    <s v="N"/>
    <s v="RFK20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964"/>
    <s v="HA"/>
    <s v="05705184734004"/>
    <m/>
    <s v="104.5"/>
    <s v="1"/>
    <s v="1.24"/>
    <s v="Y"/>
    <s v="N"/>
    <s v="DL"/>
    <s v="153"/>
    <s v="231115"/>
    <s v="EAP"/>
    <m/>
    <m/>
    <m/>
    <m/>
    <s v="WAW"/>
    <s v="ORD"/>
    <s v="MSP"/>
    <s v="N"/>
    <s v="RFK00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965"/>
    <s v="BA"/>
    <s v="05705186005001"/>
    <s v="PAG10537AF"/>
    <s v="520.0"/>
    <s v="1"/>
    <s v="1.44"/>
    <s v="Y"/>
    <s v="N"/>
    <s v="AF"/>
    <s v="374"/>
    <s v="231115"/>
    <s v="ECC"/>
    <s v="HEA"/>
    <m/>
    <m/>
    <m/>
    <s v="MAD"/>
    <s v="YVR"/>
    <s v="YVR"/>
    <s v="N"/>
    <s v="B1B-3012"/>
    <s v="A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66"/>
    <s v="BA"/>
    <s v="05705189472001"/>
    <s v="PMC73373AF"/>
    <s v="1169.0"/>
    <s v="78"/>
    <s v="3.81"/>
    <s v="Y"/>
    <s v="N"/>
    <s v="DL"/>
    <s v="9926"/>
    <s v="231115"/>
    <s v="ECC"/>
    <s v="EAP"/>
    <m/>
    <m/>
    <m/>
    <s v="DEL"/>
    <s v="JFK"/>
    <s v="JFK"/>
    <s v="N"/>
    <s v="B2A-5123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67"/>
    <s v="BA"/>
    <s v="05705191351001"/>
    <m/>
    <s v="98.6"/>
    <s v="7"/>
    <s v="2.64"/>
    <s v="Y"/>
    <s v="N"/>
    <s v="DL"/>
    <s v="097"/>
    <s v="231115"/>
    <s v="ECC"/>
    <s v="EAP"/>
    <m/>
    <m/>
    <m/>
    <s v="OTP"/>
    <s v="DTW"/>
    <s v="DTW"/>
    <s v="N"/>
    <s v="52106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967"/>
    <s v="DA"/>
    <s v="05705191351002"/>
    <m/>
    <s v="14.1"/>
    <s v="1"/>
    <s v=".38"/>
    <s v="Y"/>
    <s v="N"/>
    <s v="DL"/>
    <s v="097"/>
    <s v="231115"/>
    <s v="ECC"/>
    <s v="EAP"/>
    <m/>
    <m/>
    <m/>
    <s v="OTP"/>
    <s v="DTW"/>
    <s v="DTW"/>
    <s v="N"/>
    <s v="49308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967"/>
    <s v="FA"/>
    <s v="05705191351003"/>
    <m/>
    <s v="14.1"/>
    <s v="1"/>
    <s v=".38"/>
    <s v="Y"/>
    <s v="N"/>
    <s v="DL"/>
    <s v="097"/>
    <s v="231115"/>
    <s v="ECC"/>
    <s v="EAP"/>
    <m/>
    <m/>
    <m/>
    <s v="OTP"/>
    <s v="DTW"/>
    <s v="DTW"/>
    <s v="N"/>
    <s v="M6101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967"/>
    <s v="HA"/>
    <s v="05705191351004"/>
    <m/>
    <s v="14.1"/>
    <s v="1"/>
    <s v=".38"/>
    <s v="Y"/>
    <s v="N"/>
    <s v="DL"/>
    <s v="097"/>
    <s v="231115"/>
    <s v="ECC"/>
    <s v="EAP"/>
    <m/>
    <m/>
    <m/>
    <s v="OTP"/>
    <s v="DTW"/>
    <s v="DTW"/>
    <s v="N"/>
    <s v="49003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968"/>
    <s v="BA"/>
    <s v="05705191395001"/>
    <s v="PMC93362DL"/>
    <s v="192.0"/>
    <s v="3"/>
    <s v="1.28"/>
    <s v="Y"/>
    <s v="N"/>
    <s v="AF"/>
    <s v="054"/>
    <s v="231115"/>
    <s v="EAP"/>
    <m/>
    <m/>
    <m/>
    <m/>
    <s v="FRA"/>
    <s v="RIC"/>
    <s v="IAD"/>
    <s v="N"/>
    <s v="B2C-5741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69"/>
    <s v="BA"/>
    <s v="05705192611001"/>
    <m/>
    <s v="12.1"/>
    <s v="1"/>
    <s v=".38"/>
    <s v="N"/>
    <s v="N"/>
    <s v="AF"/>
    <s v="108"/>
    <s v="231115"/>
    <s v="ECP"/>
    <s v="XPH"/>
    <m/>
    <m/>
    <m/>
    <s v="CDG"/>
    <s v="MAA"/>
    <s v="MAA"/>
    <s v="N"/>
    <s v="XR0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70"/>
    <s v="BA"/>
    <s v="05705197511001"/>
    <s v="PAG10537AF"/>
    <s v="113.0"/>
    <s v="1"/>
    <s v="1.04"/>
    <s v="Y"/>
    <s v="N"/>
    <s v="AF"/>
    <s v="374"/>
    <s v="231115"/>
    <m/>
    <m/>
    <m/>
    <m/>
    <m/>
    <s v="NUE"/>
    <s v="YVR"/>
    <s v="YVR"/>
    <s v="N"/>
    <s v="B1B-3012"/>
    <s v="AL"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970"/>
    <s v="DA"/>
    <s v="05705197511002"/>
    <s v="PAG10537AF"/>
    <s v="113.0"/>
    <s v="1"/>
    <s v="1.04"/>
    <s v="Y"/>
    <s v="N"/>
    <s v="AF"/>
    <s v="374"/>
    <s v="231115"/>
    <m/>
    <m/>
    <m/>
    <m/>
    <m/>
    <s v="NUE"/>
    <s v="YVR"/>
    <s v="YVR"/>
    <s v="N"/>
    <s v="B1B-3012"/>
    <s v="AL"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971"/>
    <s v="BA"/>
    <s v="05705201556001"/>
    <s v="PMC06038AF"/>
    <s v="831.0"/>
    <s v="3"/>
    <s v="3.13"/>
    <s v="Y"/>
    <s v="N"/>
    <s v="AF"/>
    <s v="422"/>
    <s v="231115"/>
    <s v="CRT"/>
    <s v="PIL"/>
    <s v="HEA"/>
    <s v="EAP"/>
    <m/>
    <s v="SWK"/>
    <s v="BOG"/>
    <s v="BOG"/>
    <s v="N"/>
    <s v="BRT-2333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72"/>
    <s v="DA"/>
    <s v="05705211091002"/>
    <s v="PMC75531AF"/>
    <s v="3928.0"/>
    <s v="8"/>
    <s v="8.64"/>
    <s v="Y"/>
    <s v="N"/>
    <s v="AF"/>
    <s v="6732"/>
    <s v="231115"/>
    <s v="HEA"/>
    <m/>
    <m/>
    <m/>
    <m/>
    <s v="FRA"/>
    <s v="ORD"/>
    <s v="ORD"/>
    <s v="N"/>
    <s v="B2A-5133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73"/>
    <s v="BA"/>
    <s v="05705218150001"/>
    <m/>
    <s v="197.2"/>
    <s v="1"/>
    <s v="1.54"/>
    <s v="Y"/>
    <s v="N"/>
    <s v="DL"/>
    <s v="097"/>
    <s v="231115"/>
    <s v="HEA"/>
    <m/>
    <m/>
    <m/>
    <m/>
    <s v="MXP"/>
    <s v="DTW"/>
    <s v="DTW"/>
    <s v="N"/>
    <s v="58311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74"/>
    <s v="BA"/>
    <s v="05705219830001"/>
    <m/>
    <s v="141.3"/>
    <s v="1"/>
    <s v="1.54"/>
    <s v="N"/>
    <s v="N"/>
    <s v="AF"/>
    <s v="264"/>
    <s v="231115"/>
    <s v="HEA"/>
    <s v="EAP"/>
    <m/>
    <m/>
    <m/>
    <s v="CDG"/>
    <s v="ICN"/>
    <s v="ICN"/>
    <s v="N"/>
    <s v="E8200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974"/>
    <s v="DA"/>
    <s v="05705219830002"/>
    <m/>
    <s v="141.3"/>
    <s v="1"/>
    <s v="1.54"/>
    <s v="N"/>
    <s v="N"/>
    <s v="AF"/>
    <s v="264"/>
    <s v="231115"/>
    <s v="HEA"/>
    <s v="EAP"/>
    <m/>
    <m/>
    <m/>
    <s v="CDG"/>
    <s v="ICN"/>
    <s v="ICN"/>
    <s v="N"/>
    <s v="E8200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974"/>
    <s v="FA"/>
    <s v="05705219830003"/>
    <m/>
    <s v="141.4"/>
    <s v="1"/>
    <s v="1.54"/>
    <s v="N"/>
    <s v="N"/>
    <s v="AF"/>
    <s v="264"/>
    <s v="231115"/>
    <s v="HEA"/>
    <s v="EAP"/>
    <m/>
    <m/>
    <m/>
    <s v="CDG"/>
    <s v="ICN"/>
    <s v="ICN"/>
    <s v="N"/>
    <s v="E8200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975"/>
    <s v="BA"/>
    <s v="05705220471001"/>
    <m/>
    <s v="157.3"/>
    <s v="1"/>
    <s v="1.44"/>
    <s v="N"/>
    <s v="N"/>
    <s v="AF"/>
    <s v="662"/>
    <s v="231115"/>
    <s v="CRT"/>
    <s v="PIL"/>
    <s v="ECC"/>
    <s v="HEA"/>
    <s v="EAP"/>
    <s v="CDG"/>
    <s v="DXB"/>
    <s v="DXB"/>
    <s v="N"/>
    <s v="C1011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975"/>
    <s v="DA"/>
    <s v="05705220471002"/>
    <m/>
    <s v="157.3"/>
    <s v="1"/>
    <s v="1.44"/>
    <s v="N"/>
    <s v="N"/>
    <s v="AF"/>
    <s v="662"/>
    <s v="231115"/>
    <s v="CRT"/>
    <s v="PIL"/>
    <s v="ECC"/>
    <s v="HEA"/>
    <s v="EAP"/>
    <s v="CDG"/>
    <s v="DXB"/>
    <s v="DXB"/>
    <s v="N"/>
    <s v="C1404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975"/>
    <s v="FA"/>
    <s v="05705220471003"/>
    <m/>
    <s v="157.4"/>
    <s v="1"/>
    <s v="1.44"/>
    <s v="N"/>
    <s v="N"/>
    <s v="AF"/>
    <s v="662"/>
    <s v="231115"/>
    <s v="CRT"/>
    <s v="PIL"/>
    <s v="ECC"/>
    <s v="HEA"/>
    <s v="EAP"/>
    <s v="CDG"/>
    <s v="DXB"/>
    <s v="DXB"/>
    <s v="N"/>
    <s v="C1302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976"/>
    <s v="BA"/>
    <s v="05705225172001"/>
    <s v="PAG01316DL"/>
    <s v="507.5"/>
    <s v="1"/>
    <s v=".25"/>
    <s v="Y"/>
    <s v="N"/>
    <s v="DL"/>
    <s v="221"/>
    <s v="231115"/>
    <s v="HEA"/>
    <m/>
    <m/>
    <m/>
    <m/>
    <s v="MXP"/>
    <s v="SLC"/>
    <s v="SLC"/>
    <s v="N"/>
    <s v="B2A-5325"/>
    <s v="AL"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976"/>
    <s v="DA"/>
    <s v="05705225172002"/>
    <s v="PAG01316DL"/>
    <s v="507.5"/>
    <s v="1"/>
    <s v=".25"/>
    <s v="Y"/>
    <s v="N"/>
    <s v="DL"/>
    <s v="221"/>
    <s v="231115"/>
    <s v="HEA"/>
    <m/>
    <m/>
    <m/>
    <m/>
    <s v="MXP"/>
    <s v="SLC"/>
    <s v="SLC"/>
    <s v="N"/>
    <s v="B2A-5325"/>
    <s v="AL"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976"/>
    <s v="FA"/>
    <s v="05705225172003"/>
    <s v="PAG01316DL"/>
    <s v="507.5"/>
    <s v="1"/>
    <s v=".25"/>
    <s v="Y"/>
    <s v="N"/>
    <s v="DL"/>
    <s v="221"/>
    <s v="231115"/>
    <s v="HEA"/>
    <m/>
    <m/>
    <m/>
    <m/>
    <s v="MXP"/>
    <s v="SLC"/>
    <s v="SLC"/>
    <s v="N"/>
    <s v="B2A-5325"/>
    <s v="AL"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976"/>
    <s v="HA"/>
    <s v="05705225172004"/>
    <s v="PAG01316DL"/>
    <s v="507.5"/>
    <s v="1"/>
    <s v=".25"/>
    <s v="Y"/>
    <s v="N"/>
    <s v="DL"/>
    <s v="221"/>
    <s v="231115"/>
    <s v="HEA"/>
    <m/>
    <m/>
    <m/>
    <m/>
    <s v="MXP"/>
    <s v="SLC"/>
    <s v="SLC"/>
    <s v="N"/>
    <s v="B2A-5325"/>
    <s v="AL"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977"/>
    <s v="BA"/>
    <s v="05705240314001"/>
    <m/>
    <s v="434.0"/>
    <s v="1"/>
    <s v=".34"/>
    <s v="Y"/>
    <s v="N"/>
    <s v="DL"/>
    <s v="097"/>
    <s v="231115"/>
    <s v="ECC"/>
    <s v="HEA"/>
    <m/>
    <m/>
    <m/>
    <s v="BCN"/>
    <s v="DTW"/>
    <s v="DTW"/>
    <s v="N"/>
    <s v="HLC046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765"/>
    <s v="DA"/>
    <s v="05705242801002"/>
    <m/>
    <s v="270.5"/>
    <s v="1"/>
    <s v="1.56"/>
    <s v="N"/>
    <s v="N"/>
    <s v="AF"/>
    <s v="566"/>
    <s v="231117"/>
    <s v="NSC"/>
    <s v="ECP"/>
    <s v="HEA"/>
    <s v="EAP"/>
    <m/>
    <s v="CDG"/>
    <s v="BEY"/>
    <s v="BEY"/>
    <s v="N"/>
    <s v="OD2OUI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765"/>
    <s v="FA"/>
    <s v="05705242801003"/>
    <m/>
    <s v="270.5"/>
    <s v="1"/>
    <s v="1.56"/>
    <s v="N"/>
    <s v="N"/>
    <s v="AF"/>
    <s v="566"/>
    <s v="231117"/>
    <s v="NSC"/>
    <s v="ECP"/>
    <s v="HEA"/>
    <s v="EAP"/>
    <m/>
    <s v="CDG"/>
    <s v="BEY"/>
    <s v="BEY"/>
    <s v="N"/>
    <s v="OD2OUI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765"/>
    <s v="HA"/>
    <s v="05705242801004"/>
    <m/>
    <s v="270.5"/>
    <s v="1"/>
    <s v="1.56"/>
    <s v="N"/>
    <s v="N"/>
    <s v="AF"/>
    <s v="566"/>
    <s v="231117"/>
    <s v="NSC"/>
    <s v="ECP"/>
    <s v="HEA"/>
    <s v="EAP"/>
    <m/>
    <s v="CDG"/>
    <s v="BEY"/>
    <s v="BEY"/>
    <s v="N"/>
    <s v="OD2OUI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978"/>
    <s v="BA"/>
    <s v="05705243162001"/>
    <m/>
    <s v="105.0"/>
    <s v="1"/>
    <s v=".35"/>
    <s v="N"/>
    <s v="N"/>
    <s v="AF"/>
    <s v="148"/>
    <s v="231116"/>
    <m/>
    <m/>
    <m/>
    <m/>
    <m/>
    <s v="CDG"/>
    <s v="LOS"/>
    <s v="LOS"/>
    <s v="N"/>
    <s v="R3303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79"/>
    <s v="BA"/>
    <s v="05705248106001"/>
    <m/>
    <s v="220.7"/>
    <s v="1"/>
    <s v=".81"/>
    <s v="Y"/>
    <s v="N"/>
    <s v="AF"/>
    <s v="990"/>
    <s v="231117"/>
    <s v="HEA"/>
    <m/>
    <m/>
    <m/>
    <m/>
    <s v="LYS"/>
    <s v="DUR"/>
    <s v="JNB"/>
    <s v="N"/>
    <s v="EC300"/>
    <m/>
    <m/>
    <m/>
    <m/>
    <x v="5"/>
    <m/>
    <m/>
    <m/>
    <m/>
    <m/>
    <m/>
    <m/>
    <m/>
    <s v="3.3"/>
    <n v="0.33333333333333331"/>
    <b v="0"/>
    <b v="0"/>
    <b v="0"/>
    <b v="0"/>
    <b v="0"/>
    <s v="No"/>
    <s v="Yes"/>
  </r>
  <r>
    <d v="2023-11-14T00:00:00"/>
    <x v="979"/>
    <s v="DA"/>
    <s v="05705248106002"/>
    <m/>
    <s v="662.2"/>
    <s v="3"/>
    <s v="2.42"/>
    <s v="Y"/>
    <s v="N"/>
    <s v="AF"/>
    <s v="990"/>
    <s v="231117"/>
    <s v="HEA"/>
    <m/>
    <m/>
    <m/>
    <m/>
    <s v="LYS"/>
    <s v="DUR"/>
    <s v="JNB"/>
    <s v="N"/>
    <s v="EC300"/>
    <m/>
    <m/>
    <m/>
    <m/>
    <x v="5"/>
    <m/>
    <m/>
    <m/>
    <m/>
    <m/>
    <m/>
    <m/>
    <m/>
    <s v="3.3"/>
    <n v="0.33333333333333331"/>
    <b v="0"/>
    <b v="0"/>
    <b v="0"/>
    <b v="0"/>
    <b v="0"/>
    <s v="No"/>
    <s v="Yes"/>
  </r>
  <r>
    <d v="2023-11-14T00:00:00"/>
    <x v="979"/>
    <s v="FA"/>
    <s v="05705248106003"/>
    <m/>
    <s v="220.7"/>
    <s v="1"/>
    <s v=".81"/>
    <s v="Y"/>
    <s v="N"/>
    <s v="AF"/>
    <s v="990"/>
    <s v="231117"/>
    <s v="HEA"/>
    <m/>
    <m/>
    <m/>
    <m/>
    <s v="LYS"/>
    <s v="DUR"/>
    <s v="JNB"/>
    <s v="N"/>
    <s v="EC300"/>
    <m/>
    <m/>
    <m/>
    <m/>
    <x v="5"/>
    <m/>
    <m/>
    <m/>
    <m/>
    <m/>
    <m/>
    <m/>
    <m/>
    <s v="3.3"/>
    <n v="0.33333333333333331"/>
    <b v="0"/>
    <b v="0"/>
    <b v="0"/>
    <b v="0"/>
    <b v="0"/>
    <s v="No"/>
    <s v="Yes"/>
  </r>
  <r>
    <d v="2023-11-14T00:00:00"/>
    <x v="980"/>
    <s v="DA"/>
    <s v="05705285862002"/>
    <m/>
    <s v="99.0"/>
    <s v="1"/>
    <s v=".21"/>
    <s v="Y"/>
    <s v="N"/>
    <s v="DL"/>
    <s v="097"/>
    <s v="231115"/>
    <s v="ECC"/>
    <s v="XPH"/>
    <m/>
    <m/>
    <m/>
    <s v="STR"/>
    <s v="DTW"/>
    <s v="DTW"/>
    <s v="N"/>
    <s v="52009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81"/>
    <s v="BA"/>
    <s v="05705285906001"/>
    <m/>
    <s v="264.0"/>
    <s v="1"/>
    <s v="1.84"/>
    <s v="N"/>
    <s v="N"/>
    <s v="DL"/>
    <s v="221"/>
    <s v="231115"/>
    <s v="ECC"/>
    <s v="HEA"/>
    <s v="EAP"/>
    <m/>
    <m/>
    <s v="CDG"/>
    <s v="SLC"/>
    <s v="SLC"/>
    <s v="N"/>
    <s v="Y6013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82"/>
    <s v="BA"/>
    <s v="05705289900001"/>
    <m/>
    <s v="124.0"/>
    <s v="1"/>
    <s v="2.78"/>
    <s v="Y"/>
    <s v="N"/>
    <s v="DL"/>
    <s v="153"/>
    <s v="231115"/>
    <s v="ECC"/>
    <s v="EAW"/>
    <m/>
    <m/>
    <m/>
    <s v="BCN"/>
    <s v="ORD"/>
    <s v="MSP"/>
    <s v="N"/>
    <s v="XLC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83"/>
    <s v="BA"/>
    <s v="05705290250001"/>
    <m/>
    <s v="135.0"/>
    <s v="1"/>
    <s v="1.20"/>
    <s v="N"/>
    <s v="N"/>
    <s v="AF"/>
    <s v="264"/>
    <s v="231115"/>
    <s v="COL"/>
    <s v="PIL"/>
    <s v="EAP"/>
    <m/>
    <m/>
    <s v="CDG"/>
    <s v="ICN"/>
    <s v="ICN"/>
    <s v="N"/>
    <s v="RSD00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983"/>
    <s v="DA"/>
    <s v="05705290250002"/>
    <m/>
    <s v="135.0"/>
    <s v="1"/>
    <s v="1.20"/>
    <s v="N"/>
    <s v="N"/>
    <s v="AF"/>
    <s v="264"/>
    <s v="231115"/>
    <s v="COL"/>
    <s v="PIL"/>
    <s v="EAP"/>
    <m/>
    <m/>
    <s v="CDG"/>
    <s v="ICN"/>
    <s v="ICN"/>
    <s v="N"/>
    <s v="RSD00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984"/>
    <s v="BA"/>
    <s v="05705290294001"/>
    <m/>
    <s v="183.5"/>
    <s v="1"/>
    <s v=".36"/>
    <s v="N"/>
    <s v="N"/>
    <s v="AF"/>
    <s v="378"/>
    <s v="231117"/>
    <s v="HEA"/>
    <m/>
    <m/>
    <m/>
    <m/>
    <s v="CDG"/>
    <s v="DTW"/>
    <s v="DTW"/>
    <s v="N"/>
    <s v="OD2OUI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984"/>
    <s v="DA"/>
    <s v="05705290294002"/>
    <m/>
    <s v="183.5"/>
    <s v="1"/>
    <s v=".36"/>
    <s v="N"/>
    <s v="N"/>
    <s v="AF"/>
    <s v="378"/>
    <s v="231117"/>
    <s v="HEA"/>
    <m/>
    <m/>
    <m/>
    <m/>
    <s v="CDG"/>
    <s v="DTW"/>
    <s v="DTW"/>
    <s v="N"/>
    <s v="OD2OUI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985"/>
    <s v="BA"/>
    <s v="05705293245001"/>
    <m/>
    <s v="34.7"/>
    <s v="1"/>
    <s v=".20"/>
    <s v="Y"/>
    <s v="N"/>
    <s v="DL"/>
    <s v="081"/>
    <s v="231116"/>
    <s v="ECC"/>
    <s v="OHG"/>
    <m/>
    <m/>
    <m/>
    <s v="MMX"/>
    <s v="SEA"/>
    <s v="SEA"/>
    <s v="N"/>
    <s v="LLC40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985"/>
    <s v="DA"/>
    <s v="05705293245002"/>
    <m/>
    <s v="104.3"/>
    <s v="3"/>
    <s v=".59"/>
    <s v="Y"/>
    <s v="N"/>
    <s v="DL"/>
    <s v="081"/>
    <s v="231116"/>
    <s v="ECC"/>
    <s v="OHG"/>
    <m/>
    <m/>
    <m/>
    <s v="MMX"/>
    <s v="SEA"/>
    <s v="SEA"/>
    <s v="N"/>
    <s v="49401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986"/>
    <s v="BA"/>
    <s v="05705306836001"/>
    <m/>
    <s v="254.0"/>
    <s v="1"/>
    <s v=".58"/>
    <s v="N"/>
    <s v="N"/>
    <s v="DL"/>
    <s v="153"/>
    <s v="231115"/>
    <s v="NCC"/>
    <s v="ECC"/>
    <s v="HEA"/>
    <m/>
    <m/>
    <s v="CDG"/>
    <s v="ORD"/>
    <s v="MSP"/>
    <s v="N"/>
    <s v="M3403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87"/>
    <s v="BA"/>
    <s v="05705307396001"/>
    <m/>
    <s v="670.0"/>
    <s v="1"/>
    <s v="3.36"/>
    <s v="Y"/>
    <s v="N"/>
    <s v="DL"/>
    <s v="221"/>
    <s v="231115"/>
    <s v="HEA"/>
    <s v="EAW"/>
    <m/>
    <m/>
    <m/>
    <s v="BRE"/>
    <s v="SLC"/>
    <s v="SLC"/>
    <s v="N"/>
    <s v="XLC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88"/>
    <s v="BA"/>
    <s v="05705323581001"/>
    <m/>
    <s v="779.3"/>
    <s v="1"/>
    <s v="1.09"/>
    <s v="N"/>
    <s v="N"/>
    <s v="AF"/>
    <s v="718"/>
    <s v="231115"/>
    <s v="VIC"/>
    <s v="HEA"/>
    <s v="EAP"/>
    <m/>
    <m/>
    <s v="CDG"/>
    <s v="DSS"/>
    <s v="DSS"/>
    <s v="N"/>
    <s v="53011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988"/>
    <s v="DA"/>
    <s v="05705323581002"/>
    <m/>
    <s v="779.3"/>
    <s v="1"/>
    <s v="1.09"/>
    <s v="N"/>
    <s v="N"/>
    <s v="AF"/>
    <s v="718"/>
    <s v="231115"/>
    <s v="VIC"/>
    <s v="HEA"/>
    <s v="EAP"/>
    <m/>
    <m/>
    <s v="CDG"/>
    <s v="DSS"/>
    <s v="DSS"/>
    <s v="N"/>
    <s v="54011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988"/>
    <s v="FA"/>
    <s v="05705323581003"/>
    <m/>
    <s v="779.4"/>
    <s v="1"/>
    <s v="1.09"/>
    <s v="N"/>
    <s v="N"/>
    <s v="AF"/>
    <s v="718"/>
    <s v="231115"/>
    <s v="VIC"/>
    <s v="HEA"/>
    <s v="EAP"/>
    <m/>
    <m/>
    <s v="CDG"/>
    <s v="DSS"/>
    <s v="DSS"/>
    <s v="N"/>
    <s v="52011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989"/>
    <s v="BA"/>
    <s v="05705325040001"/>
    <m/>
    <s v="553.0"/>
    <s v="1"/>
    <s v="10.00"/>
    <s v="N"/>
    <s v="N"/>
    <s v="AF"/>
    <s v="756"/>
    <s v="231115"/>
    <s v="NSC"/>
    <s v="ECP"/>
    <s v="HEA"/>
    <s v="EAP"/>
    <m/>
    <s v="CDG"/>
    <s v="BZV"/>
    <s v="BZV"/>
    <s v="N"/>
    <s v="OD2OUI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989"/>
    <s v="DA"/>
    <s v="05705325040002"/>
    <m/>
    <s v="553.0"/>
    <s v="1"/>
    <s v="10.00"/>
    <s v="N"/>
    <s v="N"/>
    <s v="AF"/>
    <s v="756"/>
    <s v="231115"/>
    <s v="NSC"/>
    <s v="ECP"/>
    <s v="HEA"/>
    <s v="EAP"/>
    <m/>
    <s v="CDG"/>
    <s v="BZV"/>
    <s v="BZV"/>
    <s v="N"/>
    <s v="OD2OUI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989"/>
    <s v="FA"/>
    <s v="05705325040003"/>
    <m/>
    <s v="553.0"/>
    <s v="1"/>
    <s v="10.00"/>
    <s v="N"/>
    <s v="N"/>
    <s v="AF"/>
    <s v="756"/>
    <s v="231115"/>
    <s v="NSC"/>
    <s v="ECP"/>
    <s v="HEA"/>
    <s v="EAP"/>
    <m/>
    <s v="CDG"/>
    <s v="BZV"/>
    <s v="BZV"/>
    <s v="N"/>
    <s v="OD2OUI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990"/>
    <s v="BA"/>
    <s v="05705329063001"/>
    <m/>
    <s v="456.0"/>
    <s v="1"/>
    <s v=".57"/>
    <s v="Y"/>
    <s v="N"/>
    <s v="DL"/>
    <s v="097"/>
    <s v="231115"/>
    <s v="ECC"/>
    <s v="XPH"/>
    <s v="HEA"/>
    <s v="EAW"/>
    <m/>
    <s v="STR"/>
    <s v="DTW"/>
    <s v="DTW"/>
    <s v="N"/>
    <s v="M7102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91"/>
    <s v="BA"/>
    <s v="05705340753001"/>
    <m/>
    <s v="46.0"/>
    <s v="2"/>
    <s v=".04"/>
    <s v="Y"/>
    <s v="N"/>
    <s v="AF"/>
    <s v="990"/>
    <s v="231116"/>
    <s v="VIC"/>
    <s v="ECC"/>
    <s v="EAP"/>
    <m/>
    <m/>
    <s v="LAX"/>
    <s v="JNB"/>
    <s v="JNB"/>
    <s v="N"/>
    <s v="R4403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92"/>
    <s v="BA"/>
    <s v="05705344382001"/>
    <m/>
    <s v="2.0"/>
    <s v="1"/>
    <s v=".01"/>
    <s v="N"/>
    <s v="N"/>
    <s v="AF"/>
    <s v="356"/>
    <s v="231115"/>
    <s v="ECC"/>
    <s v="XPS"/>
    <m/>
    <m/>
    <m/>
    <s v="CDG"/>
    <s v="YYZ"/>
    <s v="YYZ"/>
    <s v="N"/>
    <s v="XE9999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93"/>
    <s v="BA"/>
    <s v="05705352454001"/>
    <m/>
    <s v="96.0"/>
    <s v="7"/>
    <s v=".27"/>
    <s v="N"/>
    <s v="N"/>
    <s v="AF"/>
    <s v="182"/>
    <s v="231115"/>
    <s v="RFL"/>
    <s v="EAP"/>
    <m/>
    <m/>
    <m/>
    <s v="CDG"/>
    <s v="NOU"/>
    <s v="NOU"/>
    <s v="N"/>
    <s v="RSD00"/>
    <m/>
    <m/>
    <m/>
    <m/>
    <x v="5"/>
    <m/>
    <m/>
    <m/>
    <m/>
    <m/>
    <m/>
    <m/>
    <m/>
    <s v="3.3"/>
    <n v="1"/>
    <s v="Yes"/>
    <b v="0"/>
    <b v="0"/>
    <b v="0"/>
    <b v="0"/>
    <s v="Yes"/>
    <s v="No"/>
  </r>
  <r>
    <d v="2023-11-14T00:00:00"/>
    <x v="994"/>
    <s v="BA"/>
    <s v="05705354112001"/>
    <m/>
    <s v="12.0"/>
    <s v="1"/>
    <s v=".10"/>
    <s v="N"/>
    <s v="N"/>
    <s v="AF"/>
    <s v="952"/>
    <s v="231115"/>
    <s v="RMD"/>
    <s v="ECP"/>
    <s v="XPH"/>
    <s v="EAP"/>
    <m/>
    <s v="CDG"/>
    <s v="CAY"/>
    <s v="CAY"/>
    <s v="N"/>
    <s v="64101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95"/>
    <s v="BA"/>
    <s v="05705372150001"/>
    <m/>
    <s v="40.0"/>
    <s v="1"/>
    <s v=".13"/>
    <s v="N"/>
    <s v="N"/>
    <s v="AF"/>
    <s v="718"/>
    <s v="231115"/>
    <s v="NCC"/>
    <s v="ECC"/>
    <s v="XPH"/>
    <s v="EAP"/>
    <m/>
    <s v="CDG"/>
    <s v="DSS"/>
    <s v="DSS"/>
    <s v="N"/>
    <s v="49303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96"/>
    <s v="BA"/>
    <s v="05705372194001"/>
    <m/>
    <s v="3.0"/>
    <s v="1"/>
    <s v=".06"/>
    <s v="N"/>
    <s v="N"/>
    <s v="AF"/>
    <s v="152"/>
    <s v="231115"/>
    <s v="NCC"/>
    <s v="ECC"/>
    <s v="XPS"/>
    <s v="EAP"/>
    <m/>
    <s v="CDG"/>
    <s v="BKK"/>
    <s v="BKK"/>
    <s v="N"/>
    <s v="S70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97"/>
    <s v="BA"/>
    <s v="05705372253001"/>
    <m/>
    <s v="19.0"/>
    <s v="3"/>
    <s v=".09"/>
    <s v="N"/>
    <s v="N"/>
    <s v="AF"/>
    <s v="412"/>
    <s v="231115"/>
    <s v="NCC"/>
    <s v="ECP"/>
    <s v="XPS"/>
    <s v="EAP"/>
    <m/>
    <s v="CDG"/>
    <s v="EZE"/>
    <s v="EZE"/>
    <s v="N"/>
    <s v="P5403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98"/>
    <s v="BA"/>
    <s v="05705372264001"/>
    <m/>
    <s v="79.0"/>
    <s v="1"/>
    <s v=".43"/>
    <s v="N"/>
    <s v="N"/>
    <s v="AF"/>
    <s v="744"/>
    <s v="231116"/>
    <s v="NCC"/>
    <s v="ECC"/>
    <s v="XPH"/>
    <s v="EAP"/>
    <m/>
    <s v="CDG"/>
    <s v="PTP"/>
    <s v="PTP"/>
    <s v="N"/>
    <s v="5011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99"/>
    <s v="BA"/>
    <s v="05705372275001"/>
    <m/>
    <s v="1.0"/>
    <s v="1"/>
    <s v=".02"/>
    <s v="N"/>
    <s v="N"/>
    <s v="AF"/>
    <s v="952"/>
    <s v="231115"/>
    <s v="RFG"/>
    <s v="NCC"/>
    <s v="ECP"/>
    <s v="XPS"/>
    <s v="EAP"/>
    <s v="CDG"/>
    <s v="CAY"/>
    <s v="CAY"/>
    <s v="N"/>
    <s v="94000"/>
    <m/>
    <m/>
    <m/>
    <m/>
    <x v="5"/>
    <m/>
    <m/>
    <m/>
    <m/>
    <m/>
    <m/>
    <m/>
    <m/>
    <s v="3.3"/>
    <n v="1"/>
    <s v="Yes"/>
    <b v="0"/>
    <b v="0"/>
    <b v="0"/>
    <b v="0"/>
    <s v="Yes"/>
    <s v="No"/>
  </r>
  <r>
    <d v="2023-11-14T00:00:00"/>
    <x v="1000"/>
    <s v="BA"/>
    <s v="05705372301001"/>
    <m/>
    <s v="15.0"/>
    <s v="1"/>
    <s v=".07"/>
    <s v="N"/>
    <s v="N"/>
    <s v="AF"/>
    <s v="342"/>
    <s v="231115"/>
    <s v="RMD"/>
    <s v="ECC"/>
    <s v="XPS"/>
    <s v="EAP"/>
    <m/>
    <s v="CDG"/>
    <s v="YUL"/>
    <s v="YUL"/>
    <s v="N"/>
    <s v="XR0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01"/>
    <s v="BA"/>
    <s v="05705393356001"/>
    <m/>
    <s v="27.0"/>
    <s v="7"/>
    <s v=".53"/>
    <s v="N"/>
    <s v="N"/>
    <s v="AF"/>
    <s v="638"/>
    <s v="231115"/>
    <s v="ECP"/>
    <s v="XPS"/>
    <s v="EAP"/>
    <m/>
    <m/>
    <s v="CDG"/>
    <s v="AUH"/>
    <s v="AUH"/>
    <s v="N"/>
    <s v="64001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02"/>
    <s v="BA"/>
    <s v="05705395246001"/>
    <s v="XKH05027AF"/>
    <s v="48.0"/>
    <s v="1"/>
    <s v=".27"/>
    <s v="N"/>
    <s v="N"/>
    <s v="AF"/>
    <s v="7302"/>
    <s v="231115"/>
    <s v="ECC"/>
    <s v="XPH"/>
    <s v="EAW"/>
    <m/>
    <m/>
    <s v="CDG"/>
    <s v="NCE"/>
    <s v="NCE"/>
    <s v="N"/>
    <s v="HUBEXPRESS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03"/>
    <s v="BA"/>
    <s v="05708331304001"/>
    <s v="PAG01316DL"/>
    <s v="380.0"/>
    <s v="1"/>
    <s v=".45"/>
    <s v="Y"/>
    <s v="N"/>
    <s v="DL"/>
    <s v="221"/>
    <s v="231115"/>
    <s v="ECC"/>
    <s v="HEA"/>
    <m/>
    <m/>
    <m/>
    <s v="FLR"/>
    <s v="SLC"/>
    <s v="SLC"/>
    <s v="N"/>
    <s v="B2A-5325"/>
    <s v="A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04"/>
    <s v="BA"/>
    <s v="05709490390001"/>
    <s v="PMC73236AF"/>
    <s v="746.6"/>
    <s v="6"/>
    <s v=".59"/>
    <s v="Y"/>
    <s v="N"/>
    <s v="DL"/>
    <s v="221"/>
    <s v="231115"/>
    <s v="ECC"/>
    <s v="EAP"/>
    <m/>
    <m/>
    <m/>
    <s v="LYS"/>
    <s v="SLC"/>
    <s v="SLC"/>
    <s v="N"/>
    <s v="B2A-5243"/>
    <s v="ML"/>
    <m/>
    <m/>
    <m/>
    <x v="5"/>
    <m/>
    <m/>
    <m/>
    <m/>
    <m/>
    <m/>
    <m/>
    <m/>
    <s v="3.3"/>
    <n v="0.5"/>
    <b v="0"/>
    <b v="0"/>
    <b v="0"/>
    <b v="0"/>
    <b v="0"/>
    <s v="No"/>
    <s v="Yes"/>
  </r>
  <r>
    <d v="2023-11-14T00:00:00"/>
    <x v="1004"/>
    <s v="DA"/>
    <s v="05709490390002"/>
    <m/>
    <s v="124.4"/>
    <s v="1"/>
    <s v=".10"/>
    <s v="Y"/>
    <s v="N"/>
    <s v="DL"/>
    <s v="221"/>
    <s v="231115"/>
    <s v="ECC"/>
    <s v="EAP"/>
    <m/>
    <m/>
    <m/>
    <s v="LYS"/>
    <s v="SLC"/>
    <s v="SLC"/>
    <s v="N"/>
    <s v="EC300"/>
    <m/>
    <m/>
    <m/>
    <m/>
    <x v="5"/>
    <m/>
    <m/>
    <m/>
    <m/>
    <m/>
    <m/>
    <m/>
    <m/>
    <s v="3.3"/>
    <n v="0.5"/>
    <b v="0"/>
    <b v="0"/>
    <b v="0"/>
    <b v="0"/>
    <b v="0"/>
    <s v="No"/>
    <s v="Yes"/>
  </r>
  <r>
    <d v="2023-11-14T00:00:00"/>
    <x v="1005"/>
    <s v="BA"/>
    <s v="05710426522001"/>
    <m/>
    <s v="29.9"/>
    <s v="1"/>
    <s v=".78"/>
    <s v="Y"/>
    <s v="N"/>
    <s v="AF"/>
    <s v="340M"/>
    <s v="231116"/>
    <s v="EAP"/>
    <s v="EAW"/>
    <m/>
    <m/>
    <m/>
    <s v="LAX"/>
    <s v="PRG"/>
    <s v="PRG"/>
    <s v="N"/>
    <s v="17006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06"/>
    <s v="BA"/>
    <s v="05711468925001"/>
    <s v="PMC94847DL"/>
    <s v="1659.5"/>
    <s v="8"/>
    <s v="4.00"/>
    <s v="Y"/>
    <s v="N"/>
    <s v="DL"/>
    <s v="9926"/>
    <s v="231115"/>
    <s v="HEA"/>
    <m/>
    <m/>
    <m/>
    <m/>
    <s v="FRA"/>
    <s v="JFK"/>
    <s v="JFK"/>
    <s v="N"/>
    <s v="B2C-5827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07"/>
    <s v="FA"/>
    <s v="05712964136003"/>
    <m/>
    <s v="93.2"/>
    <s v="1"/>
    <s v="1.63"/>
    <s v="Y"/>
    <s v="N"/>
    <s v="DL"/>
    <s v="153"/>
    <s v="231115"/>
    <s v="ECC"/>
    <s v="EAW"/>
    <m/>
    <m/>
    <m/>
    <s v="FLR"/>
    <s v="MSP"/>
    <s v="MSP"/>
    <s v="N"/>
    <s v="XLC00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07"/>
    <s v="HA"/>
    <s v="05712964136004"/>
    <m/>
    <s v="93.4"/>
    <s v="1"/>
    <s v="1.63"/>
    <s v="Y"/>
    <s v="N"/>
    <s v="DL"/>
    <s v="153"/>
    <s v="231115"/>
    <s v="ECC"/>
    <s v="EAW"/>
    <m/>
    <m/>
    <m/>
    <s v="FLR"/>
    <s v="MSP"/>
    <s v="MSP"/>
    <s v="N"/>
    <s v="XLC00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07"/>
    <s v="JA"/>
    <s v="05712964136005"/>
    <m/>
    <s v="186.7"/>
    <s v="2"/>
    <s v="3.27"/>
    <s v="Y"/>
    <s v="N"/>
    <s v="DL"/>
    <s v="153"/>
    <s v="231115"/>
    <s v="ECC"/>
    <s v="EAW"/>
    <m/>
    <m/>
    <m/>
    <s v="FLR"/>
    <s v="MSP"/>
    <s v="MSP"/>
    <s v="N"/>
    <s v="XLC30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08"/>
    <s v="BA"/>
    <s v="05713002710001"/>
    <m/>
    <s v="70.0"/>
    <s v="1"/>
    <s v=".69"/>
    <s v="Y"/>
    <s v="N"/>
    <s v="AF"/>
    <s v="072"/>
    <s v="231115"/>
    <s v="AVI"/>
    <s v="VIC"/>
    <s v="ECC"/>
    <m/>
    <m/>
    <s v="PRG"/>
    <s v="LAX"/>
    <s v="LAX"/>
    <s v="N"/>
    <s v="GAV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09"/>
    <s v="BA"/>
    <s v="05713113881001"/>
    <s v="PMC20770KL"/>
    <s v="1373.5"/>
    <s v="122"/>
    <s v="6.91"/>
    <s v="Y"/>
    <s v="N"/>
    <s v="DL"/>
    <s v="8771"/>
    <s v="231115"/>
    <s v="ECC"/>
    <s v="EAP"/>
    <m/>
    <m/>
    <m/>
    <s v="NRT"/>
    <s v="ATL"/>
    <s v="ATL"/>
    <s v="N"/>
    <s v="B2B-4134"/>
    <s v="ML"/>
    <m/>
    <m/>
    <m/>
    <x v="5"/>
    <m/>
    <m/>
    <m/>
    <m/>
    <m/>
    <m/>
    <m/>
    <m/>
    <s v="3.3"/>
    <n v="0.16666666666666666"/>
    <b v="0"/>
    <b v="0"/>
    <b v="0"/>
    <b v="0"/>
    <b v="0"/>
    <s v="No"/>
    <s v="No"/>
  </r>
  <r>
    <d v="2023-11-14T00:00:00"/>
    <x v="1009"/>
    <s v="DA"/>
    <s v="05713113881002"/>
    <m/>
    <s v="23.6"/>
    <s v="1"/>
    <s v=".12"/>
    <s v="Y"/>
    <s v="N"/>
    <s v="DL"/>
    <s v="8771"/>
    <s v="231115"/>
    <s v="ECC"/>
    <s v="EAP"/>
    <m/>
    <m/>
    <m/>
    <s v="NRT"/>
    <s v="ATL"/>
    <s v="ATL"/>
    <s v="N"/>
    <s v="EC300"/>
    <m/>
    <m/>
    <m/>
    <m/>
    <x v="5"/>
    <m/>
    <m/>
    <m/>
    <m/>
    <m/>
    <m/>
    <m/>
    <m/>
    <s v="3.3"/>
    <n v="0.16666666666666666"/>
    <b v="0"/>
    <b v="0"/>
    <b v="0"/>
    <b v="0"/>
    <b v="0"/>
    <s v="No"/>
    <s v="No"/>
  </r>
  <r>
    <d v="2023-11-14T00:00:00"/>
    <x v="1009"/>
    <s v="FA"/>
    <s v="05713113881003"/>
    <m/>
    <s v="67.6"/>
    <s v="6"/>
    <s v=".34"/>
    <s v="Y"/>
    <s v="N"/>
    <s v="DL"/>
    <s v="8771"/>
    <s v="231115"/>
    <s v="ECC"/>
    <s v="EAP"/>
    <m/>
    <m/>
    <m/>
    <s v="NRT"/>
    <s v="ATL"/>
    <s v="ATL"/>
    <s v="N"/>
    <s v="AX300"/>
    <m/>
    <m/>
    <m/>
    <m/>
    <x v="5"/>
    <m/>
    <m/>
    <m/>
    <m/>
    <m/>
    <m/>
    <m/>
    <m/>
    <s v="3.3"/>
    <n v="0.16666666666666666"/>
    <b v="0"/>
    <b v="0"/>
    <b v="0"/>
    <b v="0"/>
    <b v="0"/>
    <s v="No"/>
    <s v="No"/>
  </r>
  <r>
    <d v="2023-11-14T00:00:00"/>
    <x v="1009"/>
    <s v="HA"/>
    <s v="05713113881004"/>
    <m/>
    <s v="471.4"/>
    <s v="20"/>
    <s v="2.38"/>
    <s v="Y"/>
    <s v="N"/>
    <s v="DL"/>
    <s v="8771"/>
    <s v="231115"/>
    <s v="ECC"/>
    <s v="EAP"/>
    <m/>
    <m/>
    <m/>
    <s v="NRT"/>
    <s v="ATL"/>
    <s v="ATL"/>
    <s v="N"/>
    <s v="EC300"/>
    <m/>
    <m/>
    <m/>
    <m/>
    <x v="5"/>
    <m/>
    <m/>
    <m/>
    <m/>
    <m/>
    <m/>
    <m/>
    <m/>
    <s v="3.3"/>
    <n v="0.16666666666666666"/>
    <b v="0"/>
    <b v="0"/>
    <b v="0"/>
    <b v="0"/>
    <b v="0"/>
    <s v="No"/>
    <s v="No"/>
  </r>
  <r>
    <d v="2023-11-14T00:00:00"/>
    <x v="1009"/>
    <s v="JA"/>
    <s v="05713113881005"/>
    <m/>
    <s v="424.3"/>
    <s v="18"/>
    <s v="2.14"/>
    <s v="Y"/>
    <s v="N"/>
    <s v="DL"/>
    <s v="8771"/>
    <s v="231115"/>
    <s v="ECC"/>
    <s v="EAP"/>
    <m/>
    <m/>
    <m/>
    <s v="NRT"/>
    <s v="ATL"/>
    <s v="ATL"/>
    <s v="N"/>
    <s v="EC300"/>
    <m/>
    <m/>
    <m/>
    <m/>
    <x v="5"/>
    <m/>
    <m/>
    <m/>
    <m/>
    <m/>
    <m/>
    <m/>
    <m/>
    <s v="3.3"/>
    <n v="0.16666666666666666"/>
    <b v="0"/>
    <b v="0"/>
    <b v="0"/>
    <b v="0"/>
    <b v="0"/>
    <s v="No"/>
    <s v="No"/>
  </r>
  <r>
    <d v="2023-11-14T00:00:00"/>
    <x v="1009"/>
    <s v="LA"/>
    <s v="05713113881006"/>
    <m/>
    <s v="23.6"/>
    <s v="1"/>
    <s v=".12"/>
    <s v="Y"/>
    <s v="N"/>
    <s v="DL"/>
    <s v="8771"/>
    <s v="231115"/>
    <s v="ECC"/>
    <s v="EAP"/>
    <m/>
    <m/>
    <m/>
    <s v="NRT"/>
    <s v="ATL"/>
    <s v="ATL"/>
    <s v="N"/>
    <s v="EC300"/>
    <m/>
    <m/>
    <m/>
    <m/>
    <x v="5"/>
    <m/>
    <m/>
    <m/>
    <m/>
    <m/>
    <m/>
    <m/>
    <m/>
    <s v="3.3"/>
    <n v="0.16666666666666666"/>
    <b v="0"/>
    <b v="0"/>
    <b v="0"/>
    <b v="0"/>
    <b v="0"/>
    <s v="No"/>
    <s v="No"/>
  </r>
  <r>
    <d v="2023-11-14T00:00:00"/>
    <x v="442"/>
    <s v="BA"/>
    <s v="05745545640001"/>
    <s v="PMC08219KL"/>
    <s v="204.7"/>
    <s v="1"/>
    <s v="3.77"/>
    <s v="Y"/>
    <s v="N"/>
    <s v="AF"/>
    <s v="342"/>
    <s v="231116"/>
    <s v="HEA"/>
    <s v="EAW"/>
    <s v="SPX"/>
    <m/>
    <m/>
    <s v="FRA"/>
    <s v="YUL"/>
    <s v="YUL"/>
    <s v="N"/>
    <s v="B2A-4744"/>
    <s v="ML"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10"/>
    <s v="BA"/>
    <s v="05745732820001"/>
    <m/>
    <s v="354.5"/>
    <s v="1"/>
    <s v="1.68"/>
    <s v="N"/>
    <s v="N"/>
    <s v="AF"/>
    <s v="066"/>
    <s v="231115"/>
    <s v="COL"/>
    <s v="PES"/>
    <s v="HEA"/>
    <s v="EAW"/>
    <m/>
    <s v="CDG"/>
    <s v="LAX"/>
    <s v="LAX"/>
    <s v="N"/>
    <s v="F2006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1010"/>
    <s v="DA"/>
    <s v="05745732820002"/>
    <m/>
    <s v="354.5"/>
    <s v="1"/>
    <s v="1.68"/>
    <s v="N"/>
    <s v="N"/>
    <s v="AF"/>
    <s v="066"/>
    <s v="231115"/>
    <s v="COL"/>
    <s v="PES"/>
    <s v="HEA"/>
    <s v="EAW"/>
    <m/>
    <s v="CDG"/>
    <s v="LAX"/>
    <s v="LAX"/>
    <s v="N"/>
    <s v="F2005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1010"/>
    <s v="FA"/>
    <s v="05745732820003"/>
    <m/>
    <s v="354.5"/>
    <s v="1"/>
    <s v="1.68"/>
    <s v="N"/>
    <s v="N"/>
    <s v="AF"/>
    <s v="066"/>
    <s v="231115"/>
    <s v="COL"/>
    <s v="PES"/>
    <s v="HEA"/>
    <s v="EAW"/>
    <m/>
    <s v="CDG"/>
    <s v="LAX"/>
    <s v="LAX"/>
    <s v="N"/>
    <s v="F2007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1010"/>
    <s v="HA"/>
    <s v="05745732820004"/>
    <m/>
    <s v="354.5"/>
    <s v="1"/>
    <s v="1.68"/>
    <s v="N"/>
    <s v="N"/>
    <s v="AF"/>
    <s v="066"/>
    <s v="231115"/>
    <s v="COL"/>
    <s v="PES"/>
    <s v="HEA"/>
    <s v="EAW"/>
    <m/>
    <s v="CDG"/>
    <s v="LAX"/>
    <s v="LAX"/>
    <s v="N"/>
    <s v="F2004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1011"/>
    <s v="BA"/>
    <s v="05745857464001"/>
    <s v="PAG15876KL"/>
    <s v="199.0"/>
    <s v="2"/>
    <s v=".65"/>
    <s v="Y"/>
    <s v="N"/>
    <s v="AF"/>
    <s v="664M"/>
    <s v="231119"/>
    <s v="ECC"/>
    <s v="EAP"/>
    <m/>
    <m/>
    <m/>
    <s v="MEX"/>
    <s v="BIO"/>
    <s v="BIO"/>
    <s v="N"/>
    <s v="B1C-2129"/>
    <s v="A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12"/>
    <s v="BA"/>
    <s v="05746070603001"/>
    <s v="PAG10537AF"/>
    <s v="200.0"/>
    <s v="1"/>
    <s v="1.12"/>
    <s v="Y"/>
    <s v="N"/>
    <s v="AF"/>
    <s v="374"/>
    <s v="231115"/>
    <s v="ECC"/>
    <s v="HEA"/>
    <s v="EAW"/>
    <m/>
    <m/>
    <s v="GOT"/>
    <s v="YVR"/>
    <s v="YVR"/>
    <s v="N"/>
    <s v="B1B-3012"/>
    <s v="A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13"/>
    <s v="BA"/>
    <s v="05746479716001"/>
    <m/>
    <s v="474.0"/>
    <s v="1"/>
    <s v="2.96"/>
    <s v="Y"/>
    <s v="N"/>
    <s v="AF"/>
    <s v="090"/>
    <s v="231115"/>
    <s v="VIC"/>
    <s v="HEA"/>
    <s v="EAP"/>
    <m/>
    <m/>
    <s v="LYS"/>
    <s v="MIA"/>
    <s v="MIA"/>
    <s v="N"/>
    <m/>
    <m/>
    <m/>
    <m/>
    <m/>
    <x v="5"/>
    <m/>
    <m/>
    <m/>
    <m/>
    <m/>
    <m/>
    <m/>
    <m/>
    <s v="3.3"/>
    <n v="1"/>
    <b v="0"/>
    <b v="0"/>
    <b v="0"/>
    <b v="0"/>
    <b v="0"/>
    <s v="No"/>
    <s v="Yes"/>
  </r>
  <r>
    <d v="2023-11-14T00:00:00"/>
    <x v="1014"/>
    <s v="BA"/>
    <s v="05747044476001"/>
    <m/>
    <s v="1.0"/>
    <s v="1"/>
    <s v=".01"/>
    <s v="N"/>
    <s v="N"/>
    <s v="AF"/>
    <s v="718"/>
    <s v="231115"/>
    <s v="XPS"/>
    <m/>
    <m/>
    <m/>
    <m/>
    <s v="CDG"/>
    <s v="DSS"/>
    <s v="DSS"/>
    <s v="N"/>
    <s v="XR0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48"/>
    <s v="WD"/>
    <s v="05747136213051"/>
    <s v="PAG10862AF"/>
    <s v="103.0"/>
    <s v="2"/>
    <s v="1.84"/>
    <s v="N"/>
    <s v="N"/>
    <s v="AF"/>
    <s v="344"/>
    <s v="231115"/>
    <s v="ECC"/>
    <s v="EAP"/>
    <m/>
    <m/>
    <m/>
    <s v="CDG"/>
    <s v="YUL"/>
    <s v="YUL"/>
    <s v="N"/>
    <s v="F86-PI00"/>
    <s v="AL"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827"/>
    <s v="DA"/>
    <s v="05747206493002"/>
    <m/>
    <s v="161.2"/>
    <s v="1"/>
    <s v=".98"/>
    <s v="Y"/>
    <s v="N"/>
    <s v="AF"/>
    <s v="054"/>
    <s v="231118"/>
    <s v="ECC"/>
    <s v="HEA"/>
    <s v="EAW"/>
    <m/>
    <m/>
    <s v="STR"/>
    <s v="IAD"/>
    <s v="IAD"/>
    <s v="N"/>
    <s v="M7302"/>
    <m/>
    <m/>
    <m/>
    <m/>
    <x v="5"/>
    <m/>
    <m/>
    <m/>
    <m/>
    <m/>
    <m/>
    <m/>
    <m/>
    <s v="3.3"/>
    <n v="0.2"/>
    <b v="0"/>
    <b v="0"/>
    <b v="0"/>
    <b v="0"/>
    <b v="0"/>
    <s v="No"/>
    <s v="No"/>
  </r>
  <r>
    <d v="2023-11-14T00:00:00"/>
    <x v="827"/>
    <s v="JA"/>
    <s v="05747206493005"/>
    <m/>
    <s v="161.2"/>
    <s v="1"/>
    <s v=".98"/>
    <s v="Y"/>
    <s v="N"/>
    <s v="AF"/>
    <s v="054"/>
    <s v="231118"/>
    <s v="ECC"/>
    <s v="HEA"/>
    <s v="EAW"/>
    <m/>
    <m/>
    <s v="STR"/>
    <s v="IAD"/>
    <s v="IAD"/>
    <s v="N"/>
    <s v="M6103"/>
    <m/>
    <m/>
    <m/>
    <m/>
    <x v="5"/>
    <m/>
    <m/>
    <m/>
    <m/>
    <m/>
    <m/>
    <m/>
    <m/>
    <s v="3.3"/>
    <n v="0.2"/>
    <b v="0"/>
    <b v="0"/>
    <b v="0"/>
    <b v="0"/>
    <b v="0"/>
    <s v="No"/>
    <s v="No"/>
  </r>
  <r>
    <d v="2023-11-14T00:00:00"/>
    <x v="1015"/>
    <s v="BA"/>
    <s v="05747249823001"/>
    <m/>
    <s v="161.3"/>
    <s v="2"/>
    <s v=".63"/>
    <s v="Y"/>
    <s v="N"/>
    <s v="AF"/>
    <s v="084"/>
    <s v="231116"/>
    <s v="ECC"/>
    <s v="EAP"/>
    <m/>
    <m/>
    <m/>
    <s v="LYS"/>
    <s v="SFO"/>
    <s v="SFO"/>
    <s v="N"/>
    <m/>
    <m/>
    <m/>
    <m/>
    <m/>
    <x v="5"/>
    <m/>
    <m/>
    <m/>
    <m/>
    <m/>
    <m/>
    <m/>
    <m/>
    <s v="3.3"/>
    <n v="0.5"/>
    <b v="0"/>
    <b v="0"/>
    <b v="0"/>
    <b v="0"/>
    <b v="0"/>
    <s v="No"/>
    <s v="Yes"/>
  </r>
  <r>
    <d v="2023-11-14T00:00:00"/>
    <x v="1015"/>
    <s v="DA"/>
    <s v="05747249823002"/>
    <m/>
    <s v="80.7"/>
    <s v="1"/>
    <s v=".31"/>
    <s v="Y"/>
    <s v="N"/>
    <s v="AF"/>
    <s v="084"/>
    <s v="231116"/>
    <s v="ECC"/>
    <s v="EAP"/>
    <m/>
    <m/>
    <m/>
    <s v="LYS"/>
    <s v="SFO"/>
    <s v="SFO"/>
    <s v="N"/>
    <m/>
    <m/>
    <m/>
    <m/>
    <m/>
    <x v="5"/>
    <m/>
    <m/>
    <m/>
    <m/>
    <m/>
    <m/>
    <m/>
    <m/>
    <s v="3.3"/>
    <n v="0.5"/>
    <b v="0"/>
    <b v="0"/>
    <b v="0"/>
    <b v="0"/>
    <b v="0"/>
    <s v="No"/>
    <s v="Yes"/>
  </r>
  <r>
    <d v="2023-11-14T00:00:00"/>
    <x v="1016"/>
    <s v="BA"/>
    <s v="05747323780001"/>
    <s v="DPL52655DL"/>
    <s v="65.0"/>
    <s v="1"/>
    <s v=".73"/>
    <s v="Y"/>
    <s v="N"/>
    <s v="DL"/>
    <s v="9926"/>
    <s v="231115"/>
    <s v="ECC"/>
    <s v="EAP"/>
    <m/>
    <m/>
    <m/>
    <s v="SIN"/>
    <s v="JFK"/>
    <s v="JFK"/>
    <s v="N"/>
    <s v="KOI-KOI00"/>
    <s v="KE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833"/>
    <s v="RA"/>
    <s v="05747652010009"/>
    <m/>
    <s v="107.5"/>
    <s v="1"/>
    <s v=".74"/>
    <s v="Y"/>
    <s v="N"/>
    <s v="AF"/>
    <s v="926"/>
    <s v="231115"/>
    <s v="RMD"/>
    <s v="XPH"/>
    <m/>
    <m/>
    <m/>
    <s v="AMS"/>
    <s v="LBV"/>
    <s v="LBV"/>
    <s v="N"/>
    <s v="S4103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1017"/>
    <s v="BA"/>
    <s v="05747730244001"/>
    <m/>
    <s v="36.0"/>
    <s v="1"/>
    <s v=".18"/>
    <s v="N"/>
    <s v="N"/>
    <s v="AF"/>
    <s v="702"/>
    <s v="231115"/>
    <s v="XPH"/>
    <m/>
    <m/>
    <m/>
    <m/>
    <s v="CDG"/>
    <s v="ABJ"/>
    <s v="ABJ"/>
    <s v="N"/>
    <s v="S2403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18"/>
    <s v="BA"/>
    <s v="05747825492001"/>
    <m/>
    <s v="82.0"/>
    <s v="1"/>
    <s v=".77"/>
    <s v="N"/>
    <s v="N"/>
    <s v="AF"/>
    <s v="460"/>
    <s v="231115"/>
    <s v="EAP"/>
    <m/>
    <m/>
    <m/>
    <m/>
    <s v="CDG"/>
    <s v="GRU"/>
    <s v="GRU"/>
    <s v="N"/>
    <s v="Q3403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18"/>
    <s v="DA"/>
    <s v="05747825492002"/>
    <m/>
    <s v="82.0"/>
    <s v="1"/>
    <s v=".77"/>
    <s v="N"/>
    <s v="N"/>
    <s v="AF"/>
    <s v="460"/>
    <s v="231115"/>
    <s v="EAP"/>
    <m/>
    <m/>
    <m/>
    <m/>
    <s v="CDG"/>
    <s v="GRU"/>
    <s v="GRU"/>
    <s v="N"/>
    <s v="Q2402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19"/>
    <s v="DA"/>
    <s v="05747836121002"/>
    <s v="PMC68677AF"/>
    <s v="2058.5"/>
    <s v="2"/>
    <s v="7.64"/>
    <s v="Y"/>
    <s v="N"/>
    <s v="AF"/>
    <s v="722"/>
    <s v="231116"/>
    <s v="ECP"/>
    <s v="HEA"/>
    <s v="EAP"/>
    <m/>
    <m/>
    <s v="MUC"/>
    <s v="FIH"/>
    <s v="FIH"/>
    <s v="N"/>
    <s v="B2A-5332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20"/>
    <s v="BA"/>
    <s v="05747847870001"/>
    <s v="PMC94847DL"/>
    <s v="452.0"/>
    <s v="2"/>
    <s v="2.71"/>
    <s v="Y"/>
    <s v="N"/>
    <s v="DL"/>
    <s v="9926"/>
    <s v="231115"/>
    <s v="HEA"/>
    <s v="EAP"/>
    <s v="SPX"/>
    <m/>
    <m/>
    <s v="FRA"/>
    <s v="EWR"/>
    <s v="JFK"/>
    <s v="N"/>
    <s v="B2C-5827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21"/>
    <s v="BA"/>
    <s v="05747866733001"/>
    <m/>
    <s v="3.0"/>
    <s v="1"/>
    <s v=".02"/>
    <s v="N"/>
    <s v="N"/>
    <s v="AF"/>
    <s v="066"/>
    <s v="231115"/>
    <s v="XPS"/>
    <s v="EAP"/>
    <m/>
    <m/>
    <m/>
    <s v="CDG"/>
    <s v="LAX"/>
    <s v="LAX"/>
    <s v="N"/>
    <s v="N70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22"/>
    <s v="FA"/>
    <s v="05747904124003"/>
    <m/>
    <s v="204.0"/>
    <s v="1"/>
    <s v=".82"/>
    <s v="Y"/>
    <s v="N"/>
    <s v="AF"/>
    <s v="568"/>
    <s v="231115"/>
    <s v="HEA"/>
    <m/>
    <m/>
    <m/>
    <m/>
    <s v="HAM"/>
    <s v="CAI"/>
    <s v="CAI"/>
    <s v="N"/>
    <s v="OD2OUI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23"/>
    <s v="BA"/>
    <s v="05747907576001"/>
    <m/>
    <s v="57.0"/>
    <s v="1"/>
    <s v=".30"/>
    <s v="N"/>
    <s v="N"/>
    <s v="AF"/>
    <s v="702M"/>
    <s v="231115"/>
    <s v="ECC"/>
    <s v="XPH"/>
    <m/>
    <m/>
    <m/>
    <s v="CDG"/>
    <s v="PTP"/>
    <s v="ORY"/>
    <s v="N"/>
    <s v="ORY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24"/>
    <s v="BA"/>
    <s v="05747912896001"/>
    <s v="PAG01316DL"/>
    <s v="413.0"/>
    <s v="1"/>
    <s v=".45"/>
    <s v="Y"/>
    <s v="N"/>
    <s v="DL"/>
    <s v="221"/>
    <s v="231115"/>
    <s v="ECC"/>
    <s v="HEA"/>
    <s v="EAP"/>
    <m/>
    <m/>
    <s v="JNB"/>
    <s v="SLC"/>
    <s v="SLC"/>
    <s v="N"/>
    <s v="B2A-5325"/>
    <s v="A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25"/>
    <s v="DA"/>
    <s v="05747990316002"/>
    <s v="PMC70106AF"/>
    <s v="2000.0"/>
    <s v="1"/>
    <s v="10.00"/>
    <s v="N"/>
    <s v="Y"/>
    <s v="DL"/>
    <s v="9926"/>
    <s v="231115"/>
    <s v="ECC"/>
    <s v="HEA"/>
    <s v="BUP"/>
    <s v="EAP"/>
    <m/>
    <s v="CDG"/>
    <s v="JFK"/>
    <s v="JFK"/>
    <s v="N"/>
    <s v="B2A-4724"/>
    <s v="ML"/>
    <m/>
    <m/>
    <m/>
    <x v="5"/>
    <m/>
    <m/>
    <m/>
    <m/>
    <m/>
    <m/>
    <m/>
    <m/>
    <s v="3.3"/>
    <n v="0.2"/>
    <b v="0"/>
    <b v="0"/>
    <b v="0"/>
    <b v="0"/>
    <b v="0"/>
    <s v="No"/>
    <s v="No"/>
  </r>
  <r>
    <d v="2023-11-14T00:00:00"/>
    <x v="1025"/>
    <s v="FA"/>
    <s v="05747990316003"/>
    <s v="PMC32164KL"/>
    <s v="2000.0"/>
    <s v="1"/>
    <s v="10.00"/>
    <s v="N"/>
    <s v="Y"/>
    <s v="DL"/>
    <s v="9926"/>
    <s v="231115"/>
    <s v="ECC"/>
    <s v="HEA"/>
    <s v="BUP"/>
    <s v="EAP"/>
    <s v="SPX"/>
    <s v="CDG"/>
    <s v="JFK"/>
    <s v="JFK"/>
    <s v="N"/>
    <s v="B2A-4930"/>
    <s v="ML"/>
    <m/>
    <m/>
    <m/>
    <x v="5"/>
    <m/>
    <m/>
    <m/>
    <m/>
    <m/>
    <m/>
    <m/>
    <m/>
    <s v="3.3"/>
    <n v="0.2"/>
    <b v="0"/>
    <b v="0"/>
    <b v="0"/>
    <b v="0"/>
    <b v="0"/>
    <s v="No"/>
    <s v="No"/>
  </r>
  <r>
    <d v="2023-11-14T00:00:00"/>
    <x v="1025"/>
    <s v="HA"/>
    <s v="05747990316004"/>
    <s v="PMC24334KL"/>
    <s v="3000.0"/>
    <s v="1"/>
    <s v="10.00"/>
    <s v="N"/>
    <s v="Y"/>
    <s v="DL"/>
    <s v="9926"/>
    <s v="231115"/>
    <s v="RMD"/>
    <s v="ECC"/>
    <s v="HEA"/>
    <s v="BUP"/>
    <s v="EAP"/>
    <s v="CDG"/>
    <s v="JFK"/>
    <s v="JFK"/>
    <s v="N"/>
    <s v="B2A-5134"/>
    <s v="ML"/>
    <m/>
    <m/>
    <m/>
    <x v="5"/>
    <m/>
    <m/>
    <m/>
    <m/>
    <m/>
    <m/>
    <m/>
    <m/>
    <s v="3.3"/>
    <n v="0.2"/>
    <b v="0"/>
    <b v="0"/>
    <b v="0"/>
    <b v="0"/>
    <b v="0"/>
    <s v="No"/>
    <s v="No"/>
  </r>
  <r>
    <d v="2023-11-14T00:00:00"/>
    <x v="1025"/>
    <s v="JA"/>
    <s v="05747990316005"/>
    <s v="DQL16117DL"/>
    <s v="205.7"/>
    <s v="2"/>
    <s v="1.23"/>
    <s v="N"/>
    <s v="N"/>
    <s v="DL"/>
    <s v="9926"/>
    <s v="231115"/>
    <s v="ECC"/>
    <s v="HEA"/>
    <s v="EAP"/>
    <m/>
    <m/>
    <s v="CDG"/>
    <s v="JFK"/>
    <s v="JFK"/>
    <s v="N"/>
    <s v="B2A-5318"/>
    <s v="KE"/>
    <m/>
    <m/>
    <m/>
    <x v="5"/>
    <m/>
    <m/>
    <m/>
    <m/>
    <m/>
    <m/>
    <m/>
    <m/>
    <s v="3.3"/>
    <n v="0.2"/>
    <b v="0"/>
    <b v="0"/>
    <b v="0"/>
    <b v="0"/>
    <b v="0"/>
    <s v="No"/>
    <s v="No"/>
  </r>
  <r>
    <d v="2023-11-14T00:00:00"/>
    <x v="1025"/>
    <s v="LA"/>
    <s v="05747990316006"/>
    <s v="DQL15437DL"/>
    <s v="205.7"/>
    <s v="2"/>
    <s v="1.24"/>
    <s v="N"/>
    <s v="N"/>
    <s v="DL"/>
    <s v="9926"/>
    <s v="231115"/>
    <s v="ECC"/>
    <s v="HEA"/>
    <s v="EAP"/>
    <m/>
    <m/>
    <s v="CDG"/>
    <s v="JFK"/>
    <s v="JFK"/>
    <s v="N"/>
    <s v="B1C-2425"/>
    <s v="KE"/>
    <m/>
    <m/>
    <m/>
    <x v="5"/>
    <m/>
    <m/>
    <m/>
    <m/>
    <m/>
    <m/>
    <m/>
    <m/>
    <s v="3.3"/>
    <n v="0.2"/>
    <b v="0"/>
    <b v="0"/>
    <b v="0"/>
    <b v="0"/>
    <b v="0"/>
    <s v="No"/>
    <s v="No"/>
  </r>
  <r>
    <d v="2023-11-14T00:00:00"/>
    <x v="1026"/>
    <s v="BA"/>
    <s v="05747995673001"/>
    <s v="PMC61561AF"/>
    <s v="2522.0"/>
    <s v="336"/>
    <s v="10.11"/>
    <s v="Y"/>
    <s v="N"/>
    <s v="DL"/>
    <s v="8771"/>
    <s v="231115"/>
    <s v="ECC"/>
    <s v="EAP"/>
    <m/>
    <m/>
    <m/>
    <s v="BOM"/>
    <s v="ATL"/>
    <s v="ATL"/>
    <s v="N"/>
    <s v="B2A-5238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27"/>
    <s v="BA"/>
    <s v="05748001004001"/>
    <s v="PMC68944AF"/>
    <s v="4212.0"/>
    <s v="6"/>
    <s v="10.40"/>
    <s v="Y"/>
    <s v="N"/>
    <s v="AF"/>
    <s v="264"/>
    <s v="231115"/>
    <s v="PEV"/>
    <s v="PEP"/>
    <s v="ERT"/>
    <s v="ECC"/>
    <s v="HEA"/>
    <s v="GRU"/>
    <s v="ICN"/>
    <s v="ICN"/>
    <s v="N"/>
    <s v="B2A-4923"/>
    <s v="ML"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27"/>
    <s v="DA"/>
    <s v="05748001004002"/>
    <s v="PMC69099AF"/>
    <s v="4212.0"/>
    <s v="6"/>
    <s v="10.40"/>
    <s v="Y"/>
    <s v="N"/>
    <s v="AF"/>
    <s v="264"/>
    <s v="231115"/>
    <s v="PEV"/>
    <s v="PEP"/>
    <s v="ERT"/>
    <s v="ECC"/>
    <s v="HEA"/>
    <s v="GRU"/>
    <s v="ICN"/>
    <s v="ICN"/>
    <s v="N"/>
    <s v="B2C-6040"/>
    <s v="ML"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28"/>
    <s v="BA"/>
    <s v="05748013416001"/>
    <m/>
    <s v="100.0"/>
    <s v="1"/>
    <s v=".28"/>
    <s v="Y"/>
    <s v="N"/>
    <s v="AF"/>
    <s v="694"/>
    <s v="231115"/>
    <s v="EAP"/>
    <m/>
    <m/>
    <m/>
    <m/>
    <s v="DEL"/>
    <s v="IAH"/>
    <s v="IAH"/>
    <s v="N"/>
    <s v="EC3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29"/>
    <s v="BA"/>
    <s v="05748049422001"/>
    <m/>
    <s v="3.0"/>
    <s v="1"/>
    <s v=".05"/>
    <s v="N"/>
    <s v="N"/>
    <s v="AF"/>
    <s v="182"/>
    <s v="231115"/>
    <s v="RMD"/>
    <m/>
    <m/>
    <m/>
    <m/>
    <s v="CDG"/>
    <s v="NOU"/>
    <s v="NOU"/>
    <s v="N"/>
    <s v="R3002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30"/>
    <s v="BA"/>
    <s v="05748069103001"/>
    <s v="PAG01316DL"/>
    <s v="103.0"/>
    <s v="1"/>
    <s v=".53"/>
    <s v="Y"/>
    <s v="N"/>
    <s v="DL"/>
    <s v="221"/>
    <s v="231115"/>
    <s v="ECC"/>
    <s v="EAP"/>
    <m/>
    <m/>
    <m/>
    <s v="VIE"/>
    <s v="SLC"/>
    <s v="SLC"/>
    <s v="N"/>
    <s v="B2A-5325"/>
    <s v="A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31"/>
    <s v="BA"/>
    <s v="05748104895001"/>
    <m/>
    <s v="105.7"/>
    <s v="13"/>
    <s v=".86"/>
    <s v="Y"/>
    <s v="N"/>
    <s v="AF"/>
    <s v="152"/>
    <s v="231115"/>
    <s v="VIC"/>
    <s v="ECC"/>
    <s v="EAP"/>
    <m/>
    <m/>
    <s v="STR"/>
    <s v="BKK"/>
    <s v="BKK"/>
    <s v="N"/>
    <s v="EC3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32"/>
    <s v="BA"/>
    <s v="05748131694001"/>
    <m/>
    <s v="28.7"/>
    <s v="1"/>
    <s v=".21"/>
    <s v="N"/>
    <s v="N"/>
    <s v="AF"/>
    <s v="498"/>
    <s v="231115"/>
    <m/>
    <m/>
    <m/>
    <m/>
    <m/>
    <s v="CDG"/>
    <s v="SXM"/>
    <s v="SXM"/>
    <s v="N"/>
    <s v="XLC10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32"/>
    <s v="DA"/>
    <s v="05748131694002"/>
    <m/>
    <s v="229.7"/>
    <s v="8"/>
    <s v="1.71"/>
    <s v="N"/>
    <s v="N"/>
    <s v="AF"/>
    <s v="498"/>
    <s v="231115"/>
    <s v="HEA"/>
    <m/>
    <m/>
    <m/>
    <m/>
    <s v="CDG"/>
    <s v="SXM"/>
    <s v="SXM"/>
    <s v="N"/>
    <s v="S7101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32"/>
    <s v="FA"/>
    <s v="05748131694003"/>
    <m/>
    <s v="143.6"/>
    <s v="5"/>
    <s v="1.07"/>
    <s v="N"/>
    <s v="N"/>
    <s v="AF"/>
    <s v="498"/>
    <s v="231115"/>
    <m/>
    <m/>
    <m/>
    <m/>
    <m/>
    <s v="CDG"/>
    <s v="SXM"/>
    <s v="SXM"/>
    <s v="N"/>
    <s v="S5104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33"/>
    <s v="BA"/>
    <s v="05748147120001"/>
    <m/>
    <s v="310.0"/>
    <s v="1"/>
    <s v="2.28"/>
    <s v="Y"/>
    <s v="N"/>
    <s v="AF"/>
    <s v="702"/>
    <s v="231117"/>
    <s v="ECC"/>
    <s v="HEA"/>
    <s v="EAP"/>
    <m/>
    <m/>
    <s v="LYS"/>
    <s v="ABJ"/>
    <s v="ABJ"/>
    <s v="N"/>
    <s v="EC300"/>
    <m/>
    <m/>
    <m/>
    <m/>
    <x v="5"/>
    <m/>
    <m/>
    <m/>
    <m/>
    <m/>
    <m/>
    <m/>
    <m/>
    <s v="3.3"/>
    <n v="1"/>
    <b v="0"/>
    <b v="0"/>
    <b v="0"/>
    <b v="0"/>
    <b v="0"/>
    <s v="No"/>
    <s v="Yes"/>
  </r>
  <r>
    <d v="2023-11-14T00:00:00"/>
    <x v="1034"/>
    <s v="BA"/>
    <s v="05748214773001"/>
    <s v="PMC32230KL"/>
    <s v="996.8"/>
    <s v="6"/>
    <s v="6.91"/>
    <s v="Y"/>
    <s v="N"/>
    <s v="AF"/>
    <s v="026"/>
    <s v="231115"/>
    <s v="ECC"/>
    <s v="HEA"/>
    <s v="EAP"/>
    <m/>
    <m/>
    <s v="VIE"/>
    <s v="IAD"/>
    <s v="IAD"/>
    <s v="N"/>
    <s v="B1C-2231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847"/>
    <s v="DA"/>
    <s v="05748234572002"/>
    <s v="DPL54055DL"/>
    <s v="13.0"/>
    <s v="16"/>
    <s v=".19"/>
    <s v="Y"/>
    <s v="N"/>
    <s v="DL"/>
    <s v="9926"/>
    <s v="231115"/>
    <s v="EAP"/>
    <m/>
    <m/>
    <m/>
    <m/>
    <s v="SGN"/>
    <s v="JFK"/>
    <s v="JFK"/>
    <s v="N"/>
    <s v="KOI-KOI00"/>
    <s v="KE"/>
    <m/>
    <m/>
    <m/>
    <x v="5"/>
    <m/>
    <m/>
    <m/>
    <m/>
    <m/>
    <m/>
    <m/>
    <m/>
    <s v="3.3"/>
    <n v="7.6923076923076927E-2"/>
    <b v="0"/>
    <b v="0"/>
    <b v="0"/>
    <b v="0"/>
    <b v="0"/>
    <s v="No"/>
    <s v="No"/>
  </r>
  <r>
    <d v="2023-11-14T00:00:00"/>
    <x v="847"/>
    <s v="HA"/>
    <s v="05748234572004"/>
    <s v="DQL15437DL"/>
    <s v="57.0"/>
    <s v="70"/>
    <s v=".83"/>
    <s v="Y"/>
    <s v="N"/>
    <s v="DL"/>
    <s v="9926"/>
    <s v="231115"/>
    <s v="EAP"/>
    <m/>
    <m/>
    <m/>
    <m/>
    <s v="SGN"/>
    <s v="JFK"/>
    <s v="JFK"/>
    <s v="N"/>
    <s v="B1C-2425"/>
    <s v="KE"/>
    <m/>
    <m/>
    <m/>
    <x v="5"/>
    <m/>
    <m/>
    <m/>
    <m/>
    <m/>
    <m/>
    <m/>
    <m/>
    <s v="3.3"/>
    <n v="7.6923076923076927E-2"/>
    <b v="0"/>
    <b v="0"/>
    <b v="0"/>
    <b v="0"/>
    <b v="0"/>
    <s v="No"/>
    <s v="No"/>
  </r>
  <r>
    <d v="2023-11-14T00:00:00"/>
    <x v="847"/>
    <s v="JA"/>
    <s v="05748234572005"/>
    <s v="DQL15437DL"/>
    <s v="13.1"/>
    <s v="16"/>
    <s v=".19"/>
    <s v="Y"/>
    <s v="N"/>
    <s v="DL"/>
    <s v="9926"/>
    <s v="231115"/>
    <s v="EAP"/>
    <m/>
    <m/>
    <m/>
    <m/>
    <s v="SGN"/>
    <s v="JFK"/>
    <s v="JFK"/>
    <s v="N"/>
    <s v="B1C-2425"/>
    <s v="KE"/>
    <m/>
    <m/>
    <m/>
    <x v="5"/>
    <m/>
    <m/>
    <m/>
    <m/>
    <m/>
    <m/>
    <m/>
    <m/>
    <s v="3.3"/>
    <n v="7.6923076923076927E-2"/>
    <b v="0"/>
    <b v="0"/>
    <b v="0"/>
    <b v="0"/>
    <b v="0"/>
    <s v="No"/>
    <s v="No"/>
  </r>
  <r>
    <d v="2023-11-14T00:00:00"/>
    <x v="847"/>
    <s v="LA"/>
    <s v="05748234572006"/>
    <s v="DQL15437DL"/>
    <s v="39.1"/>
    <s v="48"/>
    <s v=".57"/>
    <s v="Y"/>
    <s v="N"/>
    <s v="DL"/>
    <s v="9926"/>
    <s v="231115"/>
    <s v="EAP"/>
    <m/>
    <m/>
    <m/>
    <m/>
    <s v="SGN"/>
    <s v="JFK"/>
    <s v="JFK"/>
    <s v="N"/>
    <s v="B1C-2425"/>
    <s v="KE"/>
    <m/>
    <m/>
    <m/>
    <x v="5"/>
    <m/>
    <m/>
    <m/>
    <m/>
    <m/>
    <m/>
    <m/>
    <m/>
    <s v="3.3"/>
    <n v="7.6923076923076927E-2"/>
    <b v="0"/>
    <b v="0"/>
    <b v="0"/>
    <b v="0"/>
    <b v="0"/>
    <s v="No"/>
    <s v="No"/>
  </r>
  <r>
    <d v="2023-11-14T00:00:00"/>
    <x v="847"/>
    <s v="ZA"/>
    <s v="05748234572013"/>
    <s v="DPL54055DL"/>
    <s v="71.7"/>
    <s v="88"/>
    <s v="1.04"/>
    <s v="Y"/>
    <s v="N"/>
    <s v="DL"/>
    <s v="9926"/>
    <s v="231115"/>
    <s v="EAP"/>
    <m/>
    <m/>
    <m/>
    <m/>
    <s v="SGN"/>
    <s v="JFK"/>
    <s v="JFK"/>
    <s v="N"/>
    <s v="KOI-KOI00"/>
    <s v="KE"/>
    <m/>
    <m/>
    <m/>
    <x v="5"/>
    <m/>
    <m/>
    <m/>
    <m/>
    <m/>
    <m/>
    <m/>
    <m/>
    <s v="3.3"/>
    <n v="7.6923076923076927E-2"/>
    <b v="0"/>
    <b v="0"/>
    <b v="0"/>
    <b v="0"/>
    <b v="0"/>
    <s v="No"/>
    <s v="No"/>
  </r>
  <r>
    <d v="2023-11-14T00:00:00"/>
    <x v="1035"/>
    <s v="BA"/>
    <s v="05748277784001"/>
    <m/>
    <s v="538.0"/>
    <s v="20"/>
    <s v="1.31"/>
    <s v="Y"/>
    <s v="N"/>
    <s v="AF"/>
    <s v="428"/>
    <s v="231116"/>
    <s v="ECP"/>
    <s v="EAW"/>
    <m/>
    <m/>
    <m/>
    <s v="PEK"/>
    <s v="SJO"/>
    <s v="SJO"/>
    <s v="N"/>
    <s v="EC300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35"/>
    <s v="DA"/>
    <s v="05748277784002"/>
    <m/>
    <s v="538.0"/>
    <s v="20"/>
    <s v="1.32"/>
    <s v="Y"/>
    <s v="N"/>
    <s v="AF"/>
    <s v="428"/>
    <s v="231116"/>
    <s v="ECP"/>
    <s v="EAW"/>
    <m/>
    <m/>
    <m/>
    <s v="PEK"/>
    <s v="SJO"/>
    <s v="SJO"/>
    <s v="N"/>
    <s v="EC300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36"/>
    <s v="BA"/>
    <s v="05748320613001"/>
    <m/>
    <s v="126.0"/>
    <s v="2"/>
    <s v=".91"/>
    <s v="N"/>
    <s v="N"/>
    <s v="AF"/>
    <s v="670"/>
    <s v="231115"/>
    <s v="EAP"/>
    <m/>
    <m/>
    <m/>
    <m/>
    <s v="CDG"/>
    <s v="JIB"/>
    <s v="JIB"/>
    <s v="N"/>
    <s v="50411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37"/>
    <s v="BA"/>
    <s v="05748321490001"/>
    <m/>
    <s v="305.0"/>
    <s v="1"/>
    <s v=".62"/>
    <s v="Y"/>
    <s v="N"/>
    <s v="AF"/>
    <s v="990"/>
    <s v="231117"/>
    <s v="ECC"/>
    <s v="HEA"/>
    <s v="EAP"/>
    <m/>
    <m/>
    <s v="ZRH"/>
    <s v="JNB"/>
    <s v="JNB"/>
    <s v="N"/>
    <s v="5401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38"/>
    <s v="BA"/>
    <s v="05748405571001"/>
    <m/>
    <s v="380.0"/>
    <s v="2"/>
    <s v="3.70"/>
    <s v="Y"/>
    <s v="N"/>
    <s v="DL"/>
    <s v="229"/>
    <s v="231116"/>
    <s v="HEA"/>
    <m/>
    <m/>
    <m/>
    <m/>
    <s v="ZRH"/>
    <s v="CVG"/>
    <s v="CVG"/>
    <s v="N"/>
    <s v="XLC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39"/>
    <s v="BA"/>
    <s v="05748500804001"/>
    <m/>
    <s v="433.0"/>
    <s v="1"/>
    <s v="1.49"/>
    <s v="N"/>
    <s v="N"/>
    <s v="AF"/>
    <s v="768"/>
    <s v="231115"/>
    <s v="HEA"/>
    <m/>
    <m/>
    <m/>
    <m/>
    <s v="CDG"/>
    <s v="NKC"/>
    <s v="NKC"/>
    <s v="N"/>
    <s v="XLC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40"/>
    <s v="BA"/>
    <s v="05748543633001"/>
    <m/>
    <s v="118.0"/>
    <s v="1"/>
    <s v=".13"/>
    <s v="Y"/>
    <s v="N"/>
    <s v="DL"/>
    <s v="097"/>
    <s v="231115"/>
    <s v="ECC"/>
    <s v="XPH"/>
    <s v="EAP"/>
    <m/>
    <m/>
    <s v="BOM"/>
    <s v="DTW"/>
    <s v="DTW"/>
    <s v="N"/>
    <s v="M7104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41"/>
    <s v="BA"/>
    <s v="05748565215001"/>
    <s v="PMC72556AF"/>
    <s v="834.6"/>
    <s v="10"/>
    <s v="5.01"/>
    <s v="Y"/>
    <s v="N"/>
    <s v="AF"/>
    <s v="374"/>
    <s v="231115"/>
    <s v="EAW"/>
    <m/>
    <m/>
    <m/>
    <m/>
    <s v="FRA"/>
    <s v="YVR"/>
    <s v="YVR"/>
    <s v="N"/>
    <s v="B1B-3043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42"/>
    <s v="BA"/>
    <s v="05748590592001"/>
    <m/>
    <s v="386.7"/>
    <s v="1"/>
    <s v=".55"/>
    <s v="Y"/>
    <s v="N"/>
    <s v="AF"/>
    <s v="264"/>
    <s v="231115"/>
    <s v="ECC"/>
    <s v="HEA"/>
    <s v="EAW"/>
    <m/>
    <m/>
    <s v="STR"/>
    <s v="ICN"/>
    <s v="ICN"/>
    <s v="N"/>
    <s v="E8200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1042"/>
    <s v="DA"/>
    <s v="05748590592002"/>
    <m/>
    <s v="773.4"/>
    <s v="2"/>
    <s v="1.10"/>
    <s v="Y"/>
    <s v="N"/>
    <s v="AF"/>
    <s v="264"/>
    <s v="231115"/>
    <s v="ECC"/>
    <s v="HEA"/>
    <s v="EAW"/>
    <m/>
    <m/>
    <s v="STR"/>
    <s v="ICN"/>
    <s v="ICN"/>
    <s v="N"/>
    <s v="E8200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1042"/>
    <s v="FA"/>
    <s v="05748590592003"/>
    <m/>
    <s v="386.7"/>
    <s v="1"/>
    <s v=".55"/>
    <s v="Y"/>
    <s v="N"/>
    <s v="AF"/>
    <s v="264"/>
    <s v="231115"/>
    <s v="ECC"/>
    <s v="HEA"/>
    <s v="EAW"/>
    <m/>
    <m/>
    <s v="STR"/>
    <s v="ICN"/>
    <s v="ICN"/>
    <s v="N"/>
    <s v="E8200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1042"/>
    <s v="HA"/>
    <s v="05748590592004"/>
    <m/>
    <s v="386.7"/>
    <s v="1"/>
    <s v=".55"/>
    <s v="Y"/>
    <s v="N"/>
    <s v="AF"/>
    <s v="264"/>
    <s v="231115"/>
    <s v="ECC"/>
    <s v="HEA"/>
    <s v="EAW"/>
    <m/>
    <m/>
    <s v="STR"/>
    <s v="ICN"/>
    <s v="ICN"/>
    <s v="N"/>
    <s v="E8200"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1043"/>
    <s v="BA"/>
    <s v="05748602702001"/>
    <m/>
    <s v="350.0"/>
    <s v="1"/>
    <s v=".95"/>
    <s v="Y"/>
    <s v="N"/>
    <s v="AF"/>
    <s v="066"/>
    <s v="231115"/>
    <s v="ECC"/>
    <s v="HEA"/>
    <s v="EAW"/>
    <m/>
    <m/>
    <s v="SIN"/>
    <s v="LAX"/>
    <s v="LAX"/>
    <s v="N"/>
    <s v="HLC145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43"/>
    <s v="DA"/>
    <s v="05748602702002"/>
    <s v="PMC31312KL"/>
    <s v="272.0"/>
    <s v="8"/>
    <s v="7.60"/>
    <s v="Y"/>
    <s v="N"/>
    <s v="AF"/>
    <s v="066"/>
    <s v="231115"/>
    <s v="ECC"/>
    <s v="EAW"/>
    <m/>
    <m/>
    <m/>
    <s v="SIN"/>
    <s v="LAX"/>
    <s v="LAX"/>
    <s v="N"/>
    <s v="B2A-5242"/>
    <s v="ML"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44"/>
    <s v="BA"/>
    <s v="05748603494001"/>
    <s v="PMC93362DL"/>
    <s v="334.0"/>
    <s v="13"/>
    <s v="2.58"/>
    <s v="Y"/>
    <s v="N"/>
    <s v="AF"/>
    <s v="054"/>
    <s v="231115"/>
    <m/>
    <m/>
    <m/>
    <m/>
    <m/>
    <s v="FRA"/>
    <s v="IAD"/>
    <s v="IAD"/>
    <s v="N"/>
    <s v="B2C-5741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45"/>
    <s v="BA"/>
    <s v="05748619233001"/>
    <m/>
    <s v="119.3"/>
    <s v="1"/>
    <s v=".59"/>
    <s v="N"/>
    <s v="N"/>
    <s v="AF"/>
    <s v="652"/>
    <s v="231115"/>
    <s v="RNG"/>
    <s v="HEA"/>
    <s v="EAP"/>
    <m/>
    <m/>
    <s v="CDG"/>
    <s v="RUN"/>
    <s v="RUN"/>
    <s v="N"/>
    <s v="59405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45"/>
    <s v="DA"/>
    <s v="05748619233002"/>
    <m/>
    <s v="119.3"/>
    <s v="1"/>
    <s v=".59"/>
    <s v="N"/>
    <s v="N"/>
    <s v="AF"/>
    <s v="652"/>
    <s v="231115"/>
    <s v="RNG"/>
    <s v="HEA"/>
    <s v="EAP"/>
    <m/>
    <m/>
    <s v="CDG"/>
    <s v="RUN"/>
    <s v="RUN"/>
    <s v="N"/>
    <s v="59404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45"/>
    <s v="FA"/>
    <s v="05748619233003"/>
    <m/>
    <s v="119.4"/>
    <s v="1"/>
    <s v=".59"/>
    <s v="N"/>
    <s v="N"/>
    <s v="AF"/>
    <s v="652"/>
    <s v="231115"/>
    <s v="HEA"/>
    <s v="EAP"/>
    <m/>
    <m/>
    <m/>
    <s v="CDG"/>
    <s v="RUN"/>
    <s v="RUN"/>
    <s v="N"/>
    <s v="50412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46"/>
    <s v="BA"/>
    <s v="05748654292001"/>
    <m/>
    <s v="11.0"/>
    <s v="1"/>
    <s v=".07"/>
    <s v="Y"/>
    <s v="N"/>
    <s v="AF"/>
    <s v="066"/>
    <s v="231115"/>
    <s v="EAP"/>
    <m/>
    <m/>
    <m/>
    <m/>
    <s v="JIB"/>
    <s v="LAX"/>
    <s v="LAX"/>
    <s v="N"/>
    <s v="NFL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47"/>
    <s v="BA"/>
    <s v="05748678921001"/>
    <m/>
    <s v="8.0"/>
    <s v="1"/>
    <s v=".09"/>
    <s v="N"/>
    <s v="N"/>
    <s v="AF"/>
    <s v="814"/>
    <s v="231115"/>
    <s v="COL"/>
    <s v="PEF"/>
    <s v="ECP"/>
    <s v="EAP"/>
    <m/>
    <s v="CDG"/>
    <s v="NBO"/>
    <s v="NBO"/>
    <s v="N"/>
    <s v="F4201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48"/>
    <s v="BA"/>
    <s v="05748700912001"/>
    <s v="AKE11668AF"/>
    <s v="453.0"/>
    <s v="38"/>
    <s v="2.46"/>
    <s v="Y"/>
    <s v="N"/>
    <s v="DL"/>
    <s v="9926"/>
    <s v="231115"/>
    <m/>
    <m/>
    <m/>
    <m/>
    <m/>
    <s v="SGN"/>
    <s v="JFK"/>
    <s v="JFK"/>
    <s v="N"/>
    <s v="KOI-KOI00"/>
    <s v="KE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49"/>
    <s v="BA"/>
    <s v="05748724443001"/>
    <m/>
    <s v="260.0"/>
    <s v="1"/>
    <s v=".26"/>
    <s v="Y"/>
    <s v="N"/>
    <s v="AF"/>
    <s v="374"/>
    <s v="231117"/>
    <s v="ECC"/>
    <s v="HEA"/>
    <s v="EAW"/>
    <m/>
    <m/>
    <s v="STR"/>
    <s v="YVR"/>
    <s v="YVR"/>
    <s v="N"/>
    <s v="N6003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50"/>
    <s v="BA"/>
    <s v="05748729704001"/>
    <m/>
    <s v="27.0"/>
    <s v="1"/>
    <s v=".48"/>
    <s v="Y"/>
    <s v="N"/>
    <s v="AF"/>
    <s v="218"/>
    <s v="231115"/>
    <s v="COL"/>
    <s v="PIL"/>
    <m/>
    <m/>
    <m/>
    <s v="LYS"/>
    <s v="BOM"/>
    <s v="BOM"/>
    <s v="N"/>
    <m/>
    <m/>
    <m/>
    <m/>
    <m/>
    <x v="5"/>
    <m/>
    <m/>
    <m/>
    <m/>
    <m/>
    <m/>
    <m/>
    <m/>
    <s v="3.3"/>
    <n v="1"/>
    <b v="0"/>
    <b v="0"/>
    <b v="0"/>
    <b v="0"/>
    <b v="0"/>
    <s v="No"/>
    <s v="Yes"/>
  </r>
  <r>
    <d v="2023-11-14T00:00:00"/>
    <x v="883"/>
    <s v="DA"/>
    <s v="05748760423002"/>
    <m/>
    <s v="1020.0"/>
    <s v="1"/>
    <s v="2.31"/>
    <s v="Y"/>
    <s v="N"/>
    <s v="AF"/>
    <s v="650"/>
    <s v="231117"/>
    <s v="HEA"/>
    <s v="EAW"/>
    <m/>
    <m/>
    <m/>
    <s v="DEL"/>
    <s v="MEX"/>
    <s v="CUN"/>
    <s v="N"/>
    <s v="EC300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883"/>
    <s v="HA"/>
    <s v="05748760423004"/>
    <m/>
    <s v="1020.0"/>
    <s v="1"/>
    <s v="2.32"/>
    <s v="Y"/>
    <s v="N"/>
    <s v="AF"/>
    <s v="650"/>
    <s v="231117"/>
    <s v="HEA"/>
    <s v="EAW"/>
    <m/>
    <m/>
    <m/>
    <s v="DEL"/>
    <s v="MEX"/>
    <s v="CUN"/>
    <s v="N"/>
    <s v="EC300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51"/>
    <s v="HA"/>
    <s v="05748798573004"/>
    <s v="PMC32485KL"/>
    <s v="2760.0"/>
    <s v="120"/>
    <s v="8.10"/>
    <s v="Y"/>
    <s v="N"/>
    <s v="AF"/>
    <s v="702"/>
    <s v="231115"/>
    <s v="HEG"/>
    <s v="VIC"/>
    <s v="ULD"/>
    <m/>
    <m/>
    <s v="BRU"/>
    <s v="ABJ"/>
    <s v="ABJ"/>
    <s v="N"/>
    <s v="BRT-2334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52"/>
    <s v="BA"/>
    <s v="05748799446001"/>
    <s v="PAG10537AF"/>
    <s v="290.0"/>
    <s v="1"/>
    <s v=".49"/>
    <s v="Y"/>
    <s v="N"/>
    <s v="AF"/>
    <s v="374"/>
    <s v="231115"/>
    <s v="ECC"/>
    <s v="HEA"/>
    <s v="EAP"/>
    <m/>
    <m/>
    <s v="DUS"/>
    <s v="YVR"/>
    <s v="YVR"/>
    <s v="N"/>
    <s v="B1B-3012"/>
    <s v="A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53"/>
    <s v="BA"/>
    <s v="05748810580001"/>
    <s v="RKN60299PC"/>
    <s v="110.7"/>
    <s v="1"/>
    <s v="4.00"/>
    <s v="Y"/>
    <s v="Y"/>
    <s v="DL"/>
    <s v="083"/>
    <s v="231115"/>
    <s v="ACE"/>
    <s v="PIL"/>
    <s v="ECC"/>
    <s v="BUP"/>
    <s v="EAP"/>
    <s v="STR"/>
    <s v="ATL"/>
    <s v="ATL"/>
    <s v="N"/>
    <m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1053"/>
    <s v="DA"/>
    <s v="05748810580002"/>
    <s v="RKN60476PC"/>
    <s v="100.0"/>
    <s v="1"/>
    <s v="4.00"/>
    <s v="Y"/>
    <s v="Y"/>
    <s v="DL"/>
    <s v="083"/>
    <s v="231115"/>
    <s v="ACE"/>
    <s v="PIL"/>
    <s v="ECC"/>
    <s v="BUP"/>
    <s v="EAP"/>
    <s v="STR"/>
    <s v="ATL"/>
    <s v="ATL"/>
    <s v="N"/>
    <m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1053"/>
    <s v="FA"/>
    <s v="05748810580003"/>
    <s v="RKN62217PC"/>
    <s v="100.0"/>
    <s v="1"/>
    <s v="4.00"/>
    <s v="Y"/>
    <s v="Y"/>
    <s v="DL"/>
    <s v="083"/>
    <s v="231115"/>
    <s v="ACE"/>
    <s v="PIL"/>
    <s v="ECC"/>
    <s v="BUP"/>
    <s v="EAP"/>
    <s v="STR"/>
    <s v="ATL"/>
    <s v="ATL"/>
    <s v="N"/>
    <m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1053"/>
    <s v="HA"/>
    <s v="05748810580004"/>
    <s v="RKN62419PC"/>
    <s v="100.0"/>
    <s v="1"/>
    <s v="4.00"/>
    <s v="Y"/>
    <s v="Y"/>
    <s v="DL"/>
    <s v="083"/>
    <s v="231115"/>
    <s v="ACE"/>
    <s v="PIL"/>
    <s v="ECC"/>
    <s v="BUP"/>
    <s v="EAP"/>
    <s v="STR"/>
    <s v="ATL"/>
    <s v="ATL"/>
    <s v="N"/>
    <m/>
    <m/>
    <m/>
    <m/>
    <m/>
    <x v="5"/>
    <m/>
    <m/>
    <m/>
    <m/>
    <m/>
    <m/>
    <m/>
    <m/>
    <s v="3.3"/>
    <n v="0.25"/>
    <b v="0"/>
    <b v="0"/>
    <b v="0"/>
    <b v="0"/>
    <b v="0"/>
    <s v="No"/>
    <s v="No"/>
  </r>
  <r>
    <d v="2023-11-14T00:00:00"/>
    <x v="1054"/>
    <s v="BA"/>
    <s v="05748821054001"/>
    <s v="PMC93362DL"/>
    <s v="93.2"/>
    <s v="2"/>
    <s v="1.64"/>
    <s v="Y"/>
    <s v="N"/>
    <s v="AF"/>
    <s v="054"/>
    <s v="231115"/>
    <s v="RCM"/>
    <s v="RPB"/>
    <s v="EAW"/>
    <m/>
    <m/>
    <s v="FRA"/>
    <s v="IAD"/>
    <s v="IAD"/>
    <s v="N"/>
    <s v="B2C-5741"/>
    <s v="ML"/>
    <m/>
    <m/>
    <m/>
    <x v="5"/>
    <m/>
    <m/>
    <m/>
    <m/>
    <m/>
    <m/>
    <m/>
    <m/>
    <s v="3.3"/>
    <n v="1"/>
    <s v="Yes"/>
    <b v="0"/>
    <b v="0"/>
    <b v="0"/>
    <b v="0"/>
    <s v="Yes"/>
    <s v="No"/>
  </r>
  <r>
    <d v="2023-11-14T00:00:00"/>
    <x v="1055"/>
    <s v="BA"/>
    <s v="05748853560001"/>
    <s v="PMC94847DL"/>
    <s v="634.0"/>
    <s v="59"/>
    <s v="3.42"/>
    <s v="Y"/>
    <s v="N"/>
    <s v="DL"/>
    <s v="9926"/>
    <s v="231115"/>
    <s v="EAP"/>
    <s v="SPX"/>
    <m/>
    <m/>
    <m/>
    <s v="FRA"/>
    <s v="JFK"/>
    <s v="JFK"/>
    <s v="N"/>
    <s v="B2C-5827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56"/>
    <s v="BA"/>
    <s v="05748898964001"/>
    <m/>
    <s v="18.1"/>
    <s v="1"/>
    <s v=".05"/>
    <s v="N"/>
    <s v="N"/>
    <s v="AF"/>
    <s v="422"/>
    <s v="231115"/>
    <s v="RRY"/>
    <s v="VIC"/>
    <s v="EAP"/>
    <m/>
    <m/>
    <s v="CDG"/>
    <s v="BOG"/>
    <s v="BOG"/>
    <s v="N"/>
    <s v="RRY01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56"/>
    <s v="DA"/>
    <s v="05748898964002"/>
    <m/>
    <s v="36.2"/>
    <s v="2"/>
    <s v=".11"/>
    <s v="N"/>
    <s v="N"/>
    <s v="AF"/>
    <s v="422"/>
    <s v="231115"/>
    <s v="RRY"/>
    <s v="VIC"/>
    <s v="EAP"/>
    <m/>
    <m/>
    <s v="CDG"/>
    <s v="BOG"/>
    <s v="BOG"/>
    <s v="N"/>
    <s v="RRY01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57"/>
    <s v="BA"/>
    <s v="05748899480001"/>
    <s v="PAG10063AF"/>
    <s v="153.5"/>
    <s v="1"/>
    <s v=".34"/>
    <s v="Y"/>
    <s v="N"/>
    <s v="AF"/>
    <s v="108"/>
    <s v="231115"/>
    <s v="ECP"/>
    <s v="HEA"/>
    <s v="EAP"/>
    <m/>
    <m/>
    <s v="STR"/>
    <s v="MAA"/>
    <s v="MAA"/>
    <s v="N"/>
    <s v="F98-PI00"/>
    <s v="AL"/>
    <m/>
    <m/>
    <m/>
    <x v="5"/>
    <m/>
    <m/>
    <m/>
    <m/>
    <m/>
    <m/>
    <m/>
    <m/>
    <s v="3.3"/>
    <n v="0.14285714285714285"/>
    <b v="0"/>
    <b v="0"/>
    <b v="0"/>
    <b v="0"/>
    <b v="0"/>
    <s v="No"/>
    <s v="No"/>
  </r>
  <r>
    <d v="2023-11-14T00:00:00"/>
    <x v="1057"/>
    <s v="DA"/>
    <s v="05748899480002"/>
    <s v="PAG10063AF"/>
    <s v="307.1"/>
    <s v="2"/>
    <s v=".68"/>
    <s v="Y"/>
    <s v="N"/>
    <s v="AF"/>
    <s v="108"/>
    <s v="231115"/>
    <s v="ECP"/>
    <s v="HEA"/>
    <s v="EAP"/>
    <m/>
    <m/>
    <s v="STR"/>
    <s v="MAA"/>
    <s v="MAA"/>
    <s v="N"/>
    <s v="F98-PI00"/>
    <s v="AL"/>
    <m/>
    <m/>
    <m/>
    <x v="5"/>
    <m/>
    <m/>
    <m/>
    <m/>
    <m/>
    <m/>
    <m/>
    <m/>
    <s v="3.3"/>
    <n v="0.14285714285714285"/>
    <b v="0"/>
    <b v="0"/>
    <b v="0"/>
    <b v="0"/>
    <b v="0"/>
    <s v="No"/>
    <s v="No"/>
  </r>
  <r>
    <d v="2023-11-14T00:00:00"/>
    <x v="1057"/>
    <s v="FA"/>
    <s v="05748899480003"/>
    <s v="PAG10063AF"/>
    <s v="153.6"/>
    <s v="1"/>
    <s v=".34"/>
    <s v="Y"/>
    <s v="N"/>
    <s v="AF"/>
    <s v="108"/>
    <s v="231115"/>
    <s v="ECP"/>
    <s v="HEA"/>
    <s v="EAP"/>
    <m/>
    <m/>
    <s v="STR"/>
    <s v="MAA"/>
    <s v="MAA"/>
    <s v="N"/>
    <s v="F98-PI00"/>
    <s v="AL"/>
    <m/>
    <m/>
    <m/>
    <x v="5"/>
    <m/>
    <m/>
    <m/>
    <m/>
    <m/>
    <m/>
    <m/>
    <m/>
    <s v="3.3"/>
    <n v="0.14285714285714285"/>
    <b v="0"/>
    <b v="0"/>
    <b v="0"/>
    <b v="0"/>
    <b v="0"/>
    <s v="No"/>
    <s v="No"/>
  </r>
  <r>
    <d v="2023-11-14T00:00:00"/>
    <x v="1057"/>
    <s v="HA"/>
    <s v="05748899480004"/>
    <s v="PAG10063AF"/>
    <s v="153.6"/>
    <s v="1"/>
    <s v=".34"/>
    <s v="Y"/>
    <s v="N"/>
    <s v="AF"/>
    <s v="108"/>
    <s v="231115"/>
    <s v="ECP"/>
    <s v="HEA"/>
    <s v="EAP"/>
    <m/>
    <m/>
    <s v="STR"/>
    <s v="MAA"/>
    <s v="MAA"/>
    <s v="N"/>
    <s v="F98-PI00"/>
    <s v="AL"/>
    <m/>
    <m/>
    <m/>
    <x v="5"/>
    <m/>
    <m/>
    <m/>
    <m/>
    <m/>
    <m/>
    <m/>
    <m/>
    <s v="3.3"/>
    <n v="0.14285714285714285"/>
    <b v="0"/>
    <b v="0"/>
    <b v="0"/>
    <b v="0"/>
    <b v="0"/>
    <s v="No"/>
    <s v="No"/>
  </r>
  <r>
    <d v="2023-11-14T00:00:00"/>
    <x v="1057"/>
    <s v="JA"/>
    <s v="05748899480005"/>
    <s v="PAG10063AF"/>
    <s v="153.6"/>
    <s v="1"/>
    <s v=".34"/>
    <s v="Y"/>
    <s v="N"/>
    <s v="AF"/>
    <s v="108"/>
    <s v="231115"/>
    <s v="ECP"/>
    <s v="HEA"/>
    <s v="EAP"/>
    <m/>
    <m/>
    <s v="STR"/>
    <s v="MAA"/>
    <s v="MAA"/>
    <s v="N"/>
    <s v="F98-PI00"/>
    <s v="AL"/>
    <m/>
    <m/>
    <m/>
    <x v="5"/>
    <m/>
    <m/>
    <m/>
    <m/>
    <m/>
    <m/>
    <m/>
    <m/>
    <s v="3.3"/>
    <n v="0.14285714285714285"/>
    <b v="0"/>
    <b v="0"/>
    <b v="0"/>
    <b v="0"/>
    <b v="0"/>
    <s v="No"/>
    <s v="No"/>
  </r>
  <r>
    <d v="2023-11-14T00:00:00"/>
    <x v="1057"/>
    <s v="LA"/>
    <s v="05748899480006"/>
    <s v="PAG10063AF"/>
    <s v="153.6"/>
    <s v="1"/>
    <s v=".34"/>
    <s v="Y"/>
    <s v="N"/>
    <s v="AF"/>
    <s v="108"/>
    <s v="231115"/>
    <s v="ECP"/>
    <s v="HEA"/>
    <s v="EAP"/>
    <m/>
    <m/>
    <s v="STR"/>
    <s v="MAA"/>
    <s v="MAA"/>
    <s v="N"/>
    <s v="F98-PI00"/>
    <s v="AL"/>
    <m/>
    <m/>
    <m/>
    <x v="5"/>
    <m/>
    <m/>
    <m/>
    <m/>
    <m/>
    <m/>
    <m/>
    <m/>
    <s v="3.3"/>
    <n v="0.14285714285714285"/>
    <b v="0"/>
    <b v="0"/>
    <b v="0"/>
    <b v="0"/>
    <b v="0"/>
    <s v="No"/>
    <s v="No"/>
  </r>
  <r>
    <d v="2023-11-14T00:00:00"/>
    <x v="1057"/>
    <m/>
    <s v="05748899480007"/>
    <s v="PAG10063AF"/>
    <s v="153.5"/>
    <s v="1"/>
    <s v=".34"/>
    <s v="Y"/>
    <s v="N"/>
    <s v="AF"/>
    <s v="108"/>
    <s v="231115"/>
    <s v="ECP"/>
    <s v="HEA"/>
    <s v="EAP"/>
    <m/>
    <m/>
    <s v="STR"/>
    <s v="MAA"/>
    <s v="MAA"/>
    <s v="N"/>
    <s v="F98-PI00"/>
    <s v="AL"/>
    <m/>
    <m/>
    <m/>
    <x v="5"/>
    <m/>
    <m/>
    <m/>
    <m/>
    <m/>
    <m/>
    <m/>
    <m/>
    <s v="3.3"/>
    <n v="0.14285714285714285"/>
    <b v="0"/>
    <b v="0"/>
    <b v="0"/>
    <b v="0"/>
    <b v="0"/>
    <s v="No"/>
    <s v="No"/>
  </r>
  <r>
    <d v="2023-11-14T00:00:00"/>
    <x v="1058"/>
    <s v="BA"/>
    <s v="05748929285001"/>
    <m/>
    <s v="1.0"/>
    <s v="1"/>
    <s v=".03"/>
    <s v="N"/>
    <s v="N"/>
    <s v="AF"/>
    <s v="822"/>
    <s v="231115"/>
    <s v="ELI"/>
    <s v="ECP"/>
    <s v="XPH"/>
    <m/>
    <m/>
    <s v="CDG"/>
    <s v="DLA"/>
    <s v="DLA"/>
    <s v="N"/>
    <s v="N70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59"/>
    <s v="BA"/>
    <s v="05748929613001"/>
    <m/>
    <s v="15.0"/>
    <s v="4"/>
    <s v=".11"/>
    <s v="N"/>
    <s v="N"/>
    <s v="AF"/>
    <s v="702"/>
    <s v="231115"/>
    <s v="ELI"/>
    <s v="ECC"/>
    <s v="XPH"/>
    <m/>
    <m/>
    <s v="CDG"/>
    <s v="ABJ"/>
    <s v="ABJ"/>
    <s v="N"/>
    <s v="R8401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60"/>
    <s v="BA"/>
    <s v="05748934896001"/>
    <s v="PMC67904AF"/>
    <s v="156.7"/>
    <s v="4"/>
    <s v=".55"/>
    <s v="Y"/>
    <s v="N"/>
    <s v="AF"/>
    <s v="390D"/>
    <s v="231115"/>
    <s v="ECC"/>
    <s v="EAP"/>
    <m/>
    <m/>
    <m/>
    <s v="GRU"/>
    <s v="BRU"/>
    <s v="BRU"/>
    <s v="N"/>
    <s v="B2A-5436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61"/>
    <s v="BA"/>
    <s v="05748969056001"/>
    <m/>
    <s v="6.2"/>
    <s v="1"/>
    <s v=".21"/>
    <s v="Y"/>
    <s v="N"/>
    <s v="AF"/>
    <s v="898"/>
    <s v="231115"/>
    <s v="NCC"/>
    <s v="EAW"/>
    <m/>
    <m/>
    <m/>
    <s v="FRA"/>
    <s v="FDF"/>
    <s v="FDF"/>
    <s v="N"/>
    <s v="59301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62"/>
    <s v="JA"/>
    <s v="05748986140005"/>
    <m/>
    <s v="290.0"/>
    <s v="21"/>
    <s v="1.28"/>
    <s v="Y"/>
    <s v="N"/>
    <s v="AF"/>
    <s v="066"/>
    <s v="231115"/>
    <s v="ECC"/>
    <s v="EAP"/>
    <m/>
    <m/>
    <m/>
    <s v="BLR"/>
    <s v="LAX"/>
    <s v="LAX"/>
    <s v="N"/>
    <s v="N4301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63"/>
    <s v="JA"/>
    <s v="05749018966005"/>
    <m/>
    <s v="42.3"/>
    <s v="1"/>
    <s v=".26"/>
    <s v="Y"/>
    <s v="N"/>
    <s v="AF"/>
    <s v="066"/>
    <s v="231115"/>
    <s v="EAW"/>
    <m/>
    <m/>
    <m/>
    <m/>
    <s v="FRA"/>
    <s v="LAX"/>
    <s v="LAX"/>
    <s v="N"/>
    <s v="HLC031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63"/>
    <m/>
    <s v="05749018966007"/>
    <m/>
    <s v="42.3"/>
    <s v="1"/>
    <s v=".26"/>
    <s v="Y"/>
    <s v="N"/>
    <s v="AF"/>
    <s v="066"/>
    <s v="231115"/>
    <s v="EAW"/>
    <m/>
    <m/>
    <m/>
    <m/>
    <s v="FRA"/>
    <s v="LAX"/>
    <s v="LAX"/>
    <s v="N"/>
    <s v="HLC154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63"/>
    <s v="PA"/>
    <s v="05749018966008"/>
    <m/>
    <s v="42.4"/>
    <s v="1"/>
    <s v=".27"/>
    <s v="Y"/>
    <s v="N"/>
    <s v="AF"/>
    <s v="066"/>
    <s v="231115"/>
    <s v="EAW"/>
    <m/>
    <m/>
    <m/>
    <m/>
    <s v="FRA"/>
    <s v="LAX"/>
    <s v="LAX"/>
    <s v="N"/>
    <s v="50302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64"/>
    <s v="BA"/>
    <s v="05749045754001"/>
    <m/>
    <s v="394.0"/>
    <s v="1"/>
    <s v="1.15"/>
    <s v="Y"/>
    <s v="N"/>
    <s v="AF"/>
    <s v="178"/>
    <s v="231116"/>
    <s v="RFL"/>
    <s v="ECC"/>
    <s v="HEA"/>
    <s v="EAP"/>
    <m/>
    <s v="STR"/>
    <s v="MEX"/>
    <s v="MEX"/>
    <s v="N"/>
    <s v="94011"/>
    <m/>
    <m/>
    <m/>
    <m/>
    <x v="5"/>
    <m/>
    <m/>
    <m/>
    <m/>
    <m/>
    <m/>
    <m/>
    <m/>
    <s v="3.3"/>
    <n v="0.33333333333333331"/>
    <s v="Yes"/>
    <b v="0"/>
    <b v="0"/>
    <b v="0"/>
    <b v="0"/>
    <s v="Yes"/>
    <s v="No"/>
  </r>
  <r>
    <d v="2023-11-14T00:00:00"/>
    <x v="1064"/>
    <s v="DA"/>
    <s v="05749045754002"/>
    <m/>
    <s v="394.0"/>
    <s v="1"/>
    <s v="1.15"/>
    <s v="Y"/>
    <s v="N"/>
    <s v="AF"/>
    <s v="178"/>
    <s v="231116"/>
    <s v="RFL"/>
    <s v="ECC"/>
    <s v="HEA"/>
    <s v="EAP"/>
    <m/>
    <s v="STR"/>
    <s v="MEX"/>
    <s v="MEX"/>
    <s v="N"/>
    <s v="94012"/>
    <m/>
    <m/>
    <m/>
    <m/>
    <x v="5"/>
    <m/>
    <m/>
    <m/>
    <m/>
    <m/>
    <m/>
    <m/>
    <m/>
    <s v="3.3"/>
    <n v="0.33333333333333331"/>
    <s v="Yes"/>
    <b v="0"/>
    <b v="0"/>
    <b v="0"/>
    <b v="0"/>
    <s v="Yes"/>
    <s v="No"/>
  </r>
  <r>
    <d v="2023-11-14T00:00:00"/>
    <x v="1064"/>
    <s v="FA"/>
    <s v="05749045754003"/>
    <m/>
    <s v="394.0"/>
    <s v="1"/>
    <s v="1.15"/>
    <s v="Y"/>
    <s v="N"/>
    <s v="AF"/>
    <s v="178"/>
    <s v="231116"/>
    <s v="RFL"/>
    <s v="ECC"/>
    <s v="HEA"/>
    <s v="EAP"/>
    <m/>
    <s v="STR"/>
    <s v="MEX"/>
    <s v="MEX"/>
    <s v="N"/>
    <s v="EC300"/>
    <m/>
    <m/>
    <m/>
    <m/>
    <x v="5"/>
    <m/>
    <m/>
    <m/>
    <m/>
    <m/>
    <m/>
    <m/>
    <m/>
    <s v="3.3"/>
    <n v="0.33333333333333331"/>
    <s v="Yes"/>
    <b v="0"/>
    <b v="0"/>
    <b v="0"/>
    <b v="0"/>
    <s v="Yes"/>
    <s v="No"/>
  </r>
  <r>
    <d v="2023-11-14T00:00:00"/>
    <x v="1065"/>
    <s v="BA"/>
    <s v="05749052732001"/>
    <m/>
    <s v="364.0"/>
    <s v="1"/>
    <s v="1.49"/>
    <s v="N"/>
    <s v="N"/>
    <s v="AF"/>
    <s v="090"/>
    <s v="231115"/>
    <s v="ECC"/>
    <s v="HEA"/>
    <s v="EAP"/>
    <m/>
    <m/>
    <s v="CDG"/>
    <s v="MIA"/>
    <s v="MIA"/>
    <s v="N"/>
    <s v="M7001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66"/>
    <s v="BA"/>
    <s v="05749089876001"/>
    <s v="A6825"/>
    <s v="1.0"/>
    <s v="1"/>
    <s v=".03"/>
    <s v="N"/>
    <s v="N"/>
    <s v="AF"/>
    <s v="682"/>
    <s v="231115"/>
    <s v="XPS"/>
    <m/>
    <m/>
    <m/>
    <m/>
    <s v="CDG"/>
    <s v="ATL"/>
    <s v="ATL"/>
    <s v="N"/>
    <s v="HUBEXPRESS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67"/>
    <s v="BA"/>
    <s v="05749091593001"/>
    <m/>
    <s v="19.0"/>
    <s v="3"/>
    <s v=".24"/>
    <s v="N"/>
    <s v="N"/>
    <s v="AF"/>
    <s v="054"/>
    <s v="231115"/>
    <s v="VUN"/>
    <s v="ECC"/>
    <s v="EAP"/>
    <m/>
    <m/>
    <s v="CDG"/>
    <s v="IAD"/>
    <s v="IAD"/>
    <s v="N"/>
    <s v="VN407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68"/>
    <s v="BA"/>
    <s v="05749109104001"/>
    <m/>
    <s v="382.0"/>
    <s v="30"/>
    <s v="1.52"/>
    <s v="N"/>
    <s v="N"/>
    <s v="AF"/>
    <s v="860"/>
    <s v="231115"/>
    <s v="ECP"/>
    <s v="EAP"/>
    <s v="SPX"/>
    <m/>
    <m/>
    <s v="CDG"/>
    <s v="LFW"/>
    <s v="LFW"/>
    <s v="N"/>
    <s v="S3102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69"/>
    <s v="BA"/>
    <s v="05749110202001"/>
    <m/>
    <s v="104.0"/>
    <s v="1"/>
    <s v="1.01"/>
    <s v="N"/>
    <s v="N"/>
    <s v="AF"/>
    <s v="662"/>
    <s v="231115"/>
    <s v="CRT"/>
    <s v="PIL"/>
    <s v="EAP"/>
    <m/>
    <m/>
    <s v="CDG"/>
    <s v="DXB"/>
    <s v="DXB"/>
    <s v="N"/>
    <s v="C1301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70"/>
    <s v="BA"/>
    <s v="05749114063001"/>
    <m/>
    <s v="54.3"/>
    <s v="2"/>
    <s v=".26"/>
    <s v="N"/>
    <s v="N"/>
    <s v="AF"/>
    <s v="484"/>
    <s v="231115"/>
    <s v="XPH"/>
    <s v="EAP"/>
    <m/>
    <m/>
    <m/>
    <s v="CDG"/>
    <s v="GIG"/>
    <s v="GIG"/>
    <s v="N"/>
    <s v="P5402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71"/>
    <s v="BA"/>
    <s v="05749114085001"/>
    <m/>
    <s v="25.0"/>
    <s v="1"/>
    <s v=".14"/>
    <s v="N"/>
    <s v="N"/>
    <s v="AF"/>
    <s v="484"/>
    <s v="231115"/>
    <s v="XPS"/>
    <s v="EAP"/>
    <m/>
    <m/>
    <m/>
    <s v="CDG"/>
    <s v="GIG"/>
    <s v="GIG"/>
    <s v="N"/>
    <s v="64102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72"/>
    <s v="BA"/>
    <s v="05749114096001"/>
    <m/>
    <s v="345.0"/>
    <s v="2"/>
    <s v="1.30"/>
    <s v="N"/>
    <s v="N"/>
    <s v="AF"/>
    <s v="484"/>
    <s v="231115"/>
    <s v="XPH"/>
    <s v="HEA"/>
    <m/>
    <m/>
    <m/>
    <s v="CDG"/>
    <s v="GIG"/>
    <s v="GIG"/>
    <s v="N"/>
    <s v="XR0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73"/>
    <s v="BA"/>
    <s v="05749145751001"/>
    <m/>
    <s v="208.7"/>
    <s v="1"/>
    <s v=".41"/>
    <s v="N"/>
    <s v="N"/>
    <s v="AF"/>
    <s v="422"/>
    <s v="231116"/>
    <s v="COL"/>
    <s v="PIL"/>
    <s v="HEA"/>
    <m/>
    <m/>
    <s v="CDG"/>
    <s v="BOG"/>
    <s v="BOG"/>
    <s v="N"/>
    <s v="FR303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73"/>
    <s v="DA"/>
    <s v="05749145751002"/>
    <m/>
    <s v="208.7"/>
    <s v="1"/>
    <s v=".41"/>
    <s v="N"/>
    <s v="N"/>
    <s v="AF"/>
    <s v="422"/>
    <s v="231116"/>
    <s v="COL"/>
    <s v="PIL"/>
    <s v="HEA"/>
    <m/>
    <m/>
    <s v="CDG"/>
    <s v="BOG"/>
    <s v="BOG"/>
    <s v="N"/>
    <s v="FR405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73"/>
    <s v="FA"/>
    <s v="05749145751003"/>
    <m/>
    <s v="208.6"/>
    <s v="1"/>
    <s v=".41"/>
    <s v="N"/>
    <s v="N"/>
    <s v="AF"/>
    <s v="422"/>
    <s v="231116"/>
    <s v="COL"/>
    <s v="PIL"/>
    <s v="HEA"/>
    <m/>
    <m/>
    <s v="CDG"/>
    <s v="BOG"/>
    <s v="BOG"/>
    <s v="N"/>
    <s v="FR301"/>
    <m/>
    <m/>
    <m/>
    <m/>
    <x v="5"/>
    <m/>
    <m/>
    <m/>
    <m/>
    <m/>
    <m/>
    <m/>
    <m/>
    <s v="3.3"/>
    <n v="0.33333333333333331"/>
    <b v="0"/>
    <b v="0"/>
    <b v="0"/>
    <b v="0"/>
    <b v="0"/>
    <s v="No"/>
    <s v="No"/>
  </r>
  <r>
    <d v="2023-11-14T00:00:00"/>
    <x v="1074"/>
    <s v="BA"/>
    <s v="05749150566001"/>
    <m/>
    <s v="46.0"/>
    <s v="1"/>
    <s v=".09"/>
    <s v="Y"/>
    <s v="N"/>
    <s v="AF"/>
    <s v="108"/>
    <s v="231115"/>
    <s v="ECP"/>
    <m/>
    <m/>
    <m/>
    <m/>
    <s v="AMS"/>
    <s v="MAA"/>
    <s v="MAA"/>
    <s v="N"/>
    <s v="49405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75"/>
    <s v="DA"/>
    <s v="05762723032002"/>
    <s v="PMC31312KL"/>
    <s v="445.0"/>
    <s v="4"/>
    <s v="7.80"/>
    <s v="Y"/>
    <s v="N"/>
    <s v="AF"/>
    <s v="066"/>
    <s v="231115"/>
    <s v="ECC"/>
    <s v="EAW"/>
    <m/>
    <m/>
    <m/>
    <s v="SIN"/>
    <s v="LAX"/>
    <s v="LAX"/>
    <s v="N"/>
    <s v="B2A-5242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76"/>
    <s v="DA"/>
    <s v="05771290166002"/>
    <s v="PMC62451AF"/>
    <s v="940.0"/>
    <s v="1"/>
    <s v="10.00"/>
    <s v="Y"/>
    <s v="Y"/>
    <s v="AF"/>
    <s v="344"/>
    <s v="231115"/>
    <s v="VUN"/>
    <s v="HEA"/>
    <s v="BUP"/>
    <s v="EAP"/>
    <m/>
    <s v="SWK"/>
    <s v="YUL"/>
    <s v="YUL"/>
    <s v="N"/>
    <s v="B2A-5025"/>
    <s v="ML"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76"/>
    <s v="FA"/>
    <s v="05771290166003"/>
    <s v="PMC72506AF"/>
    <s v="2358.0"/>
    <s v="1"/>
    <s v="10.00"/>
    <s v="Y"/>
    <s v="Y"/>
    <s v="AF"/>
    <s v="344"/>
    <s v="231115"/>
    <s v="VUN"/>
    <s v="HEA"/>
    <s v="BUP"/>
    <s v="EAP"/>
    <m/>
    <s v="SWK"/>
    <s v="YUL"/>
    <s v="YUL"/>
    <s v="N"/>
    <s v="B2A-5021"/>
    <s v="ML"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77"/>
    <s v="BA"/>
    <s v="05771295895001"/>
    <s v="RAP82203PC"/>
    <s v="466.5"/>
    <s v="1"/>
    <s v="10.00"/>
    <s v="Y"/>
    <s v="Y"/>
    <s v="AF"/>
    <s v="682"/>
    <s v="231115"/>
    <s v="ACE"/>
    <s v="PIL"/>
    <s v="ECC"/>
    <s v="HEA"/>
    <s v="BUP"/>
    <s v="SWK"/>
    <s v="ATL"/>
    <s v="ATL"/>
    <s v="N"/>
    <s v="GCD-DD05"/>
    <s v="AL"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77"/>
    <s v="DA"/>
    <s v="05771295895002"/>
    <s v="RAP82353PC"/>
    <s v="462.0"/>
    <s v="1"/>
    <s v="10.00"/>
    <s v="Y"/>
    <s v="Y"/>
    <s v="AF"/>
    <s v="682"/>
    <s v="231115"/>
    <s v="ACE"/>
    <s v="PIL"/>
    <s v="ECC"/>
    <s v="HEA"/>
    <s v="BUP"/>
    <s v="SWK"/>
    <s v="ATL"/>
    <s v="ATL"/>
    <s v="N"/>
    <s v="ACE-2030"/>
    <s v="AL"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78"/>
    <s v="BA"/>
    <s v="05771317680001"/>
    <s v="PAG01316DL"/>
    <s v="54.0"/>
    <s v="1"/>
    <s v=".25"/>
    <s v="Y"/>
    <s v="N"/>
    <s v="DL"/>
    <s v="221"/>
    <s v="231115"/>
    <m/>
    <m/>
    <m/>
    <m/>
    <m/>
    <s v="SWK"/>
    <s v="SLC"/>
    <s v="SLC"/>
    <s v="N"/>
    <s v="B2A-5325"/>
    <s v="A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79"/>
    <s v="BA"/>
    <s v="05771487592001"/>
    <m/>
    <s v="293.0"/>
    <s v="1"/>
    <s v="2.00"/>
    <s v="Y"/>
    <s v="N"/>
    <s v="AF"/>
    <s v="108"/>
    <s v="231115"/>
    <s v="HEA"/>
    <s v="EAW"/>
    <m/>
    <m/>
    <m/>
    <s v="ORD"/>
    <s v="MAA"/>
    <s v="MAA"/>
    <s v="N"/>
    <s v="HLC033"/>
    <m/>
    <m/>
    <m/>
    <m/>
    <x v="5"/>
    <m/>
    <m/>
    <m/>
    <m/>
    <m/>
    <m/>
    <m/>
    <m/>
    <s v="3.3"/>
    <n v="0.5"/>
    <b v="0"/>
    <b v="0"/>
    <b v="0"/>
    <b v="0"/>
    <b v="0"/>
    <s v="No"/>
    <s v="Yes"/>
  </r>
  <r>
    <d v="2023-11-14T00:00:00"/>
    <x v="1079"/>
    <s v="DA"/>
    <s v="05771487592002"/>
    <m/>
    <s v="293.0"/>
    <s v="1"/>
    <s v="2.00"/>
    <s v="Y"/>
    <s v="N"/>
    <s v="AF"/>
    <s v="108"/>
    <s v="231115"/>
    <s v="HEA"/>
    <s v="EAW"/>
    <m/>
    <m/>
    <m/>
    <s v="ORD"/>
    <s v="MAA"/>
    <s v="MAA"/>
    <s v="N"/>
    <s v="HLC001"/>
    <m/>
    <m/>
    <m/>
    <m/>
    <x v="5"/>
    <m/>
    <m/>
    <m/>
    <m/>
    <m/>
    <m/>
    <m/>
    <m/>
    <s v="3.3"/>
    <n v="0.5"/>
    <b v="0"/>
    <b v="0"/>
    <b v="0"/>
    <b v="0"/>
    <b v="0"/>
    <s v="No"/>
    <s v="Yes"/>
  </r>
  <r>
    <d v="2023-11-14T00:00:00"/>
    <x v="1080"/>
    <s v="BA"/>
    <s v="05771535391001"/>
    <m/>
    <s v="587.0"/>
    <s v="1"/>
    <s v=".79"/>
    <s v="Y"/>
    <s v="N"/>
    <s v="AF"/>
    <s v="108"/>
    <s v="231115"/>
    <s v="ECP"/>
    <s v="HEA"/>
    <m/>
    <m/>
    <m/>
    <s v="ORD"/>
    <s v="MAA"/>
    <s v="MAA"/>
    <s v="N"/>
    <s v="50010"/>
    <m/>
    <m/>
    <m/>
    <m/>
    <x v="5"/>
    <m/>
    <m/>
    <m/>
    <m/>
    <m/>
    <m/>
    <m/>
    <m/>
    <s v="3.3"/>
    <n v="0.5"/>
    <b v="0"/>
    <b v="0"/>
    <b v="0"/>
    <b v="0"/>
    <b v="0"/>
    <s v="No"/>
    <s v="Yes"/>
  </r>
  <r>
    <d v="2023-11-14T00:00:00"/>
    <x v="1080"/>
    <s v="DA"/>
    <s v="05771535391002"/>
    <m/>
    <s v="587.0"/>
    <s v="1"/>
    <s v=".79"/>
    <s v="Y"/>
    <s v="N"/>
    <s v="AF"/>
    <s v="108"/>
    <s v="231115"/>
    <s v="ECP"/>
    <s v="HEA"/>
    <m/>
    <m/>
    <m/>
    <s v="ORD"/>
    <s v="MAA"/>
    <s v="MAA"/>
    <s v="N"/>
    <s v="16002"/>
    <m/>
    <m/>
    <m/>
    <m/>
    <x v="5"/>
    <m/>
    <m/>
    <m/>
    <m/>
    <m/>
    <m/>
    <m/>
    <m/>
    <s v="3.3"/>
    <n v="0.5"/>
    <b v="0"/>
    <b v="0"/>
    <b v="0"/>
    <b v="0"/>
    <b v="0"/>
    <s v="No"/>
    <s v="Yes"/>
  </r>
  <r>
    <d v="2023-11-14T00:00:00"/>
    <x v="1081"/>
    <s v="DA"/>
    <s v="05771725964002"/>
    <s v="PMC64095AF"/>
    <s v="1858.0"/>
    <s v="6"/>
    <s v="9.30"/>
    <s v="Y"/>
    <s v="N"/>
    <s v="AF"/>
    <s v="374"/>
    <s v="231115"/>
    <s v="COL"/>
    <s v="EAT"/>
    <s v="ECC"/>
    <s v="HEA"/>
    <s v="ULD"/>
    <s v="SWK"/>
    <s v="YVR"/>
    <s v="YVR"/>
    <s v="N"/>
    <s v="BFR-3514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82"/>
    <s v="BA"/>
    <s v="05771738881001"/>
    <s v="PAG10537AF"/>
    <s v="350.0"/>
    <s v="1"/>
    <s v="1.85"/>
    <s v="Y"/>
    <s v="N"/>
    <s v="AF"/>
    <s v="374"/>
    <s v="231115"/>
    <s v="HEA"/>
    <s v="EAP"/>
    <m/>
    <m/>
    <m/>
    <s v="SWK"/>
    <s v="YVR"/>
    <s v="YVR"/>
    <s v="N"/>
    <s v="B1B-3012"/>
    <s v="A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83"/>
    <s v="BA"/>
    <s v="05771739382001"/>
    <m/>
    <s v="70.8"/>
    <s v="11"/>
    <s v=".42"/>
    <s v="Y"/>
    <s v="N"/>
    <s v="DL"/>
    <s v="097"/>
    <s v="231115"/>
    <s v="EAP"/>
    <m/>
    <m/>
    <m/>
    <m/>
    <s v="SWK"/>
    <s v="DTW"/>
    <s v="DTW"/>
    <s v="N"/>
    <s v="N4102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83"/>
    <s v="DA"/>
    <s v="05771739382002"/>
    <m/>
    <s v="122.2"/>
    <s v="19"/>
    <s v=".73"/>
    <s v="Y"/>
    <s v="N"/>
    <s v="DL"/>
    <s v="097"/>
    <s v="231115"/>
    <s v="EAP"/>
    <m/>
    <m/>
    <m/>
    <m/>
    <s v="SWK"/>
    <s v="DTW"/>
    <s v="DTW"/>
    <s v="N"/>
    <s v="N2001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84"/>
    <s v="BA"/>
    <s v="05771743335001"/>
    <m/>
    <s v="198.0"/>
    <s v="1"/>
    <s v=".77"/>
    <s v="Y"/>
    <s v="N"/>
    <s v="DL"/>
    <s v="097"/>
    <s v="231115"/>
    <s v="ECC"/>
    <s v="HEA"/>
    <s v="EAW"/>
    <m/>
    <m/>
    <s v="MXP"/>
    <s v="DTW"/>
    <s v="DTW"/>
    <s v="N"/>
    <s v="P9101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85"/>
    <s v="BA"/>
    <s v="05771754535001"/>
    <s v="PMC32614KL"/>
    <s v="553.3"/>
    <s v="6"/>
    <s v="8.15"/>
    <s v="Y"/>
    <s v="N"/>
    <s v="AF"/>
    <s v="406"/>
    <s v="231116"/>
    <s v="ECP"/>
    <m/>
    <m/>
    <m/>
    <m/>
    <s v="SWK"/>
    <s v="SCL"/>
    <s v="SCL"/>
    <s v="N"/>
    <s v="B1C-2538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86"/>
    <s v="DA"/>
    <s v="05771754701002"/>
    <s v="PMC75994AF"/>
    <s v="522.0"/>
    <s v="6"/>
    <s v="8.16"/>
    <s v="Y"/>
    <s v="N"/>
    <s v="AF"/>
    <s v="422"/>
    <s v="231115"/>
    <s v="HEA"/>
    <m/>
    <m/>
    <m/>
    <m/>
    <s v="SWK"/>
    <s v="BOG"/>
    <s v="BOG"/>
    <s v="N"/>
    <s v="B1B-3033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87"/>
    <s v="BA"/>
    <s v="05771754712001"/>
    <s v="PMC06038AF"/>
    <s v="400.6"/>
    <s v="4"/>
    <s v="5.03"/>
    <s v="Y"/>
    <s v="N"/>
    <s v="AF"/>
    <s v="422"/>
    <s v="231115"/>
    <s v="EAP"/>
    <m/>
    <m/>
    <m/>
    <m/>
    <s v="SWK"/>
    <s v="BOG"/>
    <s v="BOG"/>
    <s v="N"/>
    <s v="BRT-2333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88"/>
    <s v="BA"/>
    <s v="05771761830001"/>
    <m/>
    <s v="296.0"/>
    <s v="1"/>
    <s v="1.35"/>
    <s v="Y"/>
    <s v="N"/>
    <s v="DL"/>
    <s v="097"/>
    <s v="231115"/>
    <s v="HEA"/>
    <m/>
    <m/>
    <m/>
    <m/>
    <s v="SWK"/>
    <s v="IND"/>
    <s v="DTW"/>
    <s v="N"/>
    <s v="XLC3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89"/>
    <s v="BA"/>
    <s v="05771763941001"/>
    <m/>
    <s v="189.5"/>
    <s v="1"/>
    <s v=".98"/>
    <s v="Y"/>
    <s v="N"/>
    <s v="DL"/>
    <s v="097"/>
    <s v="231115"/>
    <s v="HEA"/>
    <m/>
    <m/>
    <m/>
    <m/>
    <s v="SWK"/>
    <s v="DTW"/>
    <s v="DTW"/>
    <s v="N"/>
    <s v="M4003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89"/>
    <s v="DA"/>
    <s v="05771763941002"/>
    <m/>
    <s v="189.5"/>
    <s v="1"/>
    <s v=".99"/>
    <s v="Y"/>
    <s v="N"/>
    <s v="DL"/>
    <s v="097"/>
    <s v="231115"/>
    <s v="HEA"/>
    <m/>
    <m/>
    <m/>
    <m/>
    <s v="SWK"/>
    <s v="DTW"/>
    <s v="DTW"/>
    <s v="N"/>
    <s v="M3304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90"/>
    <s v="BA"/>
    <s v="05784050551001"/>
    <s v="DPE48626DL"/>
    <s v="58.0"/>
    <s v="1"/>
    <s v=".74"/>
    <s v="Y"/>
    <s v="N"/>
    <s v="DL"/>
    <s v="9926"/>
    <s v="231115"/>
    <m/>
    <m/>
    <m/>
    <m/>
    <m/>
    <s v="JNB"/>
    <s v="JFK"/>
    <s v="JFK"/>
    <s v="N"/>
    <s v="KOI-KOI00"/>
    <s v="KE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91"/>
    <s v="BA"/>
    <s v="05792269284001"/>
    <m/>
    <s v="19.0"/>
    <s v="1"/>
    <s v=".14"/>
    <s v="N"/>
    <s v="N"/>
    <s v="AF"/>
    <s v="090"/>
    <s v="231115"/>
    <s v="COL"/>
    <s v="PIL"/>
    <s v="EAP"/>
    <m/>
    <m/>
    <s v="CDG"/>
    <s v="MIA"/>
    <s v="MIA"/>
    <s v="N"/>
    <s v="FR406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92"/>
    <s v="BA"/>
    <s v="05794302655001"/>
    <m/>
    <s v="70.0"/>
    <s v="1"/>
    <s v=".87"/>
    <s v="Y"/>
    <s v="N"/>
    <s v="AF"/>
    <s v="084"/>
    <s v="231116"/>
    <m/>
    <m/>
    <m/>
    <m/>
    <m/>
    <s v="LYS"/>
    <s v="SFO"/>
    <s v="SFO"/>
    <s v="N"/>
    <s v="EC300"/>
    <m/>
    <m/>
    <m/>
    <m/>
    <x v="5"/>
    <m/>
    <m/>
    <m/>
    <m/>
    <m/>
    <m/>
    <m/>
    <m/>
    <s v="3.3"/>
    <n v="1"/>
    <b v="0"/>
    <b v="0"/>
    <b v="0"/>
    <b v="0"/>
    <b v="0"/>
    <s v="No"/>
    <s v="Yes"/>
  </r>
  <r>
    <d v="2023-11-14T00:00:00"/>
    <x v="1093"/>
    <s v="HA"/>
    <s v="05797569150004"/>
    <s v="PMC04635DL"/>
    <s v="242.0"/>
    <s v="6"/>
    <s v="8.61"/>
    <s v="Y"/>
    <s v="N"/>
    <s v="DL"/>
    <s v="221"/>
    <s v="231115"/>
    <s v="EAW"/>
    <m/>
    <m/>
    <m/>
    <m/>
    <s v="FRA"/>
    <s v="LAX"/>
    <s v="SLC"/>
    <s v="N"/>
    <s v="NCX-4534"/>
    <s v="ML"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715"/>
    <s v="FA"/>
    <s v="07459411041003"/>
    <m/>
    <s v="261.3"/>
    <s v="1"/>
    <s v="1.16"/>
    <s v="Y"/>
    <s v="N"/>
    <s v="DL"/>
    <s v="097"/>
    <s v="231115"/>
    <s v="ECC"/>
    <s v="HEA"/>
    <s v="EAP"/>
    <m/>
    <m/>
    <s v="BKK"/>
    <s v="DTW"/>
    <s v="DTW"/>
    <s v="N"/>
    <s v="N8103"/>
    <m/>
    <m/>
    <m/>
    <m/>
    <x v="5"/>
    <m/>
    <m/>
    <m/>
    <m/>
    <m/>
    <m/>
    <m/>
    <m/>
    <s v="3.3"/>
    <n v="0.5"/>
    <b v="0"/>
    <b v="0"/>
    <b v="0"/>
    <b v="0"/>
    <b v="0"/>
    <s v="No"/>
    <s v="No"/>
  </r>
  <r>
    <d v="2023-11-14T00:00:00"/>
    <x v="1094"/>
    <s v="BA"/>
    <s v="07461594540001"/>
    <m/>
    <s v="231.0"/>
    <s v="1"/>
    <s v=".42"/>
    <s v="Y"/>
    <s v="N"/>
    <s v="DL"/>
    <s v="153"/>
    <s v="231115"/>
    <s v="ECC"/>
    <s v="HEA"/>
    <s v="EAP"/>
    <m/>
    <m/>
    <s v="AMS"/>
    <s v="MSP"/>
    <s v="MSP"/>
    <s v="N"/>
    <s v="LLC1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1095"/>
    <s v="BA"/>
    <s v="07462241616001"/>
    <m/>
    <s v="1106.0"/>
    <s v="1"/>
    <s v="1.22"/>
    <s v="Y"/>
    <s v="N"/>
    <s v="AF"/>
    <s v="6944"/>
    <s v="231115"/>
    <s v="ECP"/>
    <s v="XPH"/>
    <s v="HEA"/>
    <s v="EAP"/>
    <m/>
    <s v="PEK"/>
    <s v="VCP"/>
    <s v="AMS"/>
    <s v="N"/>
    <s v="EC300"/>
    <m/>
    <m/>
    <m/>
    <m/>
    <x v="5"/>
    <m/>
    <m/>
    <m/>
    <m/>
    <m/>
    <m/>
    <m/>
    <m/>
    <s v="3.3"/>
    <n v="1"/>
    <b v="0"/>
    <b v="0"/>
    <b v="0"/>
    <b v="0"/>
    <b v="0"/>
    <s v="No"/>
    <s v="No"/>
  </r>
  <r>
    <d v="2023-11-14T00:00:00"/>
    <x v="954"/>
    <s v="DA"/>
    <s v="07462635790002"/>
    <m/>
    <s v="63.0"/>
    <s v="1"/>
    <s v=".84"/>
    <s v="Y"/>
    <s v="N"/>
    <s v="AF"/>
    <s v="692"/>
    <s v="231117"/>
    <s v="ECC"/>
    <s v="EAP"/>
    <m/>
    <m/>
    <m/>
    <s v="DEL"/>
    <s v="RDU"/>
    <s v="RDU"/>
    <s v="N"/>
    <s v="LO100"/>
    <m/>
    <m/>
    <m/>
    <m/>
    <x v="5"/>
    <m/>
    <m/>
    <m/>
    <m/>
    <m/>
    <m/>
    <m/>
    <m/>
    <s v="3.3"/>
    <n v="0.16666666666666666"/>
    <b v="0"/>
    <b v="0"/>
    <b v="0"/>
    <b v="0"/>
    <b v="0"/>
    <s v="No"/>
    <s v="No"/>
  </r>
  <r>
    <d v="2023-11-14T00:00:00"/>
    <x v="954"/>
    <s v="JA"/>
    <s v="07462635790005"/>
    <m/>
    <s v="63.0"/>
    <s v="1"/>
    <s v=".85"/>
    <s v="Y"/>
    <s v="N"/>
    <s v="AF"/>
    <s v="692"/>
    <s v="231117"/>
    <s v="ECC"/>
    <s v="EAP"/>
    <m/>
    <m/>
    <m/>
    <s v="DEL"/>
    <s v="RDU"/>
    <s v="RDU"/>
    <s v="N"/>
    <s v="LO100"/>
    <m/>
    <m/>
    <m/>
    <m/>
    <x v="5"/>
    <m/>
    <m/>
    <m/>
    <m/>
    <m/>
    <m/>
    <m/>
    <m/>
    <s v="3.3"/>
    <n v="0.16666666666666666"/>
    <b v="0"/>
    <b v="0"/>
    <b v="0"/>
    <b v="0"/>
    <b v="0"/>
    <s v="No"/>
    <s v="No"/>
  </r>
  <r>
    <d v="2023-11-14T00:00:00"/>
    <x v="954"/>
    <s v="LA"/>
    <s v="07462635790006"/>
    <m/>
    <s v="63.0"/>
    <s v="1"/>
    <s v=".85"/>
    <s v="Y"/>
    <s v="N"/>
    <s v="AF"/>
    <s v="692"/>
    <s v="231117"/>
    <s v="ECC"/>
    <s v="EAP"/>
    <m/>
    <m/>
    <m/>
    <s v="DEL"/>
    <s v="RDU"/>
    <s v="RDU"/>
    <s v="N"/>
    <s v="LO100"/>
    <m/>
    <m/>
    <m/>
    <m/>
    <x v="5"/>
    <m/>
    <m/>
    <m/>
    <m/>
    <m/>
    <m/>
    <m/>
    <m/>
    <s v="3.3"/>
    <n v="0.16666666666666666"/>
    <b v="0"/>
    <b v="0"/>
    <b v="0"/>
    <b v="0"/>
    <b v="0"/>
    <s v="No"/>
    <s v="No"/>
  </r>
  <r>
    <d v="2023-11-14T00:00:00"/>
    <x v="954"/>
    <m/>
    <s v="07462635790007"/>
    <m/>
    <s v="63.0"/>
    <s v="1"/>
    <s v=".85"/>
    <s v="Y"/>
    <s v="N"/>
    <s v="AF"/>
    <s v="692"/>
    <s v="231117"/>
    <s v="ECC"/>
    <s v="EAP"/>
    <m/>
    <m/>
    <m/>
    <s v="DEL"/>
    <s v="RDU"/>
    <s v="RDU"/>
    <s v="N"/>
    <s v="LO100"/>
    <m/>
    <m/>
    <m/>
    <m/>
    <x v="5"/>
    <m/>
    <m/>
    <m/>
    <m/>
    <m/>
    <m/>
    <m/>
    <m/>
    <s v="3.3"/>
    <n v="0.16666666666666666"/>
    <b v="0"/>
    <b v="0"/>
    <b v="0"/>
    <b v="0"/>
    <b v="0"/>
    <s v="No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compact="0" compactData="0" multipleFieldFilters="0">
  <location ref="A3:E45" firstHeaderRow="0" firstDataRow="1" firstDataCol="1" rowPageCount="1" colPageCount="1"/>
  <pivotFields count="45">
    <pivotField compact="0" numFmtId="14" outline="0" showAll="0"/>
    <pivotField name="LAT Error Messages" axis="axisPage" compact="0" outline="0" showAll="0">
      <items count="1106">
        <item m="1" x="1099"/>
        <item m="1" x="1102"/>
        <item x="66"/>
        <item x="113"/>
        <item m="1" x="1096"/>
        <item m="1" x="1100"/>
        <item m="1" x="1103"/>
        <item m="1" x="1097"/>
        <item m="1" x="1098"/>
        <item m="1" x="1101"/>
        <item m="1" x="110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1"/>
        <item x="33"/>
        <item x="34"/>
        <item x="35"/>
        <item x="36"/>
        <item x="37"/>
        <item x="38"/>
        <item x="39"/>
        <item x="40"/>
        <item x="42"/>
        <item x="43"/>
        <item x="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4"/>
        <item x="116"/>
        <item x="117"/>
        <item x="118"/>
        <item x="119"/>
        <item x="120"/>
        <item x="121"/>
        <item x="122"/>
        <item x="123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3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4"/>
        <item x="175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5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6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9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10"/>
        <item x="282"/>
        <item x="1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13"/>
        <item x="334"/>
        <item x="0"/>
        <item x="4"/>
        <item x="7"/>
        <item x="11"/>
        <item x="41"/>
        <item x="90"/>
        <item x="115"/>
        <item x="124"/>
        <item x="173"/>
        <item x="176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112"/>
        <item x="796"/>
        <item x="856"/>
        <item x="923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dataField="1" compact="0" outline="0" showAll="0">
      <items count="48">
        <item x="10"/>
        <item h="1" x="1"/>
        <item x="2"/>
        <item x="6"/>
        <item x="7"/>
        <item x="3"/>
        <item x="0"/>
        <item x="4"/>
        <item h="1" x="5"/>
        <item m="1" x="46"/>
        <item x="14"/>
        <item x="15"/>
        <item x="18"/>
        <item x="24"/>
        <item x="22"/>
        <item x="25"/>
        <item x="26"/>
        <item x="12"/>
        <item x="27"/>
        <item x="28"/>
        <item h="1" x="29"/>
        <item x="8"/>
        <item x="9"/>
        <item x="11"/>
        <item x="13"/>
        <item h="1" x="17"/>
        <item x="19"/>
        <item x="20"/>
        <item x="21"/>
        <item x="30"/>
        <item x="31"/>
        <item x="32"/>
        <item x="33"/>
        <item h="1" x="34"/>
        <item x="36"/>
        <item x="23"/>
        <item x="35"/>
        <item x="1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7"/>
  </rowFields>
  <rowItems count="42">
    <i>
      <x/>
    </i>
    <i>
      <x v="2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-1"/>
  </pageFields>
  <dataFields count="4">
    <dataField name="Nombre de Observation" fld="27" subtotal="count" baseField="0" baseItem="0"/>
    <dataField name="Nombre de Observation2" fld="27" subtotal="count" showDataAs="percentOfTotal" baseField="0" baseItem="4294967295" numFmtId="10"/>
    <dataField name="Somme de Nb Repetition" fld="37" baseField="0" baseItem="0" numFmtId="2"/>
    <dataField name="Somme de Nb Repetition2" fld="37" baseField="0" baseItem="0" numFmtId="2"/>
  </dataFields>
  <formats count="17">
    <format dxfId="150">
      <pivotArea type="all" dataOnly="0" outline="0" fieldPosition="0"/>
    </format>
    <format dxfId="149">
      <pivotArea outline="0" collapsedLevelsAreSubtotals="1" fieldPosition="0"/>
    </format>
    <format dxfId="148">
      <pivotArea dataOnly="0" labelOnly="1" outline="0" fieldPosition="0">
        <references count="1">
          <reference field="27" count="0"/>
        </references>
      </pivotArea>
    </format>
    <format dxfId="147">
      <pivotArea dataOnly="0" labelOnly="1" outline="0" axis="axisValues" fieldPosition="0"/>
    </format>
    <format dxfId="146">
      <pivotArea grandRow="1" outline="0" collapsedLevelsAreSubtotals="1" fieldPosition="0"/>
    </format>
    <format dxfId="145">
      <pivotArea dataOnly="0" labelOnly="1" grandRow="1" outline="0" fieldPosition="0"/>
    </format>
    <format dxfId="144">
      <pivotArea field="27" type="button" dataOnly="0" labelOnly="1" outline="0" axis="axisRow" fieldPosition="0"/>
    </format>
    <format dxfId="143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42">
      <pivotArea outline="0" fieldPosition="0">
        <references count="1">
          <reference field="4294967294" count="2" selected="0">
            <x v="2"/>
            <x v="3"/>
          </reference>
        </references>
      </pivotArea>
    </format>
    <format dxfId="141">
      <pivotArea outline="0" fieldPosition="0">
        <references count="2">
          <reference field="4294967294" count="2" selected="0">
            <x v="0"/>
            <x v="1"/>
          </reference>
          <reference field="27" count="3" selected="0">
            <x v="5"/>
            <x v="6"/>
            <x v="7"/>
          </reference>
        </references>
      </pivotArea>
    </format>
    <format dxfId="140">
      <pivotArea dataOnly="0" labelOnly="1" outline="0" fieldPosition="0">
        <references count="1">
          <reference field="27" count="3">
            <x v="5"/>
            <x v="6"/>
            <x v="7"/>
          </reference>
        </references>
      </pivotArea>
    </format>
    <format dxfId="139">
      <pivotArea outline="0" fieldPosition="0">
        <references count="2">
          <reference field="4294967294" count="2" selected="0">
            <x v="0"/>
            <x v="1"/>
          </reference>
          <reference field="27" count="1" selected="0">
            <x v="15"/>
          </reference>
        </references>
      </pivotArea>
    </format>
    <format dxfId="138">
      <pivotArea dataOnly="0" labelOnly="1" outline="0" fieldPosition="0">
        <references count="1">
          <reference field="27" count="1">
            <x v="15"/>
          </reference>
        </references>
      </pivotArea>
    </format>
    <format dxfId="137">
      <pivotArea outline="0" fieldPosition="0">
        <references count="2">
          <reference field="4294967294" count="2" selected="0">
            <x v="0"/>
            <x v="1"/>
          </reference>
          <reference field="27" count="1" selected="0">
            <x v="3"/>
          </reference>
        </references>
      </pivotArea>
    </format>
    <format dxfId="136">
      <pivotArea dataOnly="0" labelOnly="1" outline="0" fieldPosition="0">
        <references count="1">
          <reference field="27" count="1">
            <x v="3"/>
          </reference>
        </references>
      </pivotArea>
    </format>
    <format dxfId="135">
      <pivotArea outline="0" fieldPosition="0">
        <references count="2">
          <reference field="4294967294" count="2" selected="0">
            <x v="0"/>
            <x v="1"/>
          </reference>
          <reference field="27" count="2" selected="0">
            <x v="29"/>
            <x v="30"/>
          </reference>
        </references>
      </pivotArea>
    </format>
    <format dxfId="134">
      <pivotArea dataOnly="0" labelOnly="1" outline="0" fieldPosition="0">
        <references count="1">
          <reference field="27" count="2">
            <x v="29"/>
            <x v="30"/>
          </reference>
        </references>
      </pivotArea>
    </format>
  </formats>
  <pivotTableStyleInfo name="PivotStyleMedium2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au2" displayName="Tableau2" ref="C1:R665" totalsRowShown="0" headerRowDxfId="261" dataDxfId="260">
  <autoFilter ref="C1:R665">
    <filterColumn colId="12">
      <filters blank="1"/>
    </filterColumn>
    <filterColumn colId="13">
      <filters blank="1"/>
    </filterColumn>
  </autoFilter>
  <tableColumns count="16">
    <tableColumn id="1" name="Message Reference" dataDxfId="259"/>
    <tableColumn id="2" name="Message Standard" dataDxfId="258"/>
    <tableColumn id="3" name="Message Type" dataDxfId="257"/>
    <tableColumn id="4" name="Message Version" dataDxfId="256"/>
    <tableColumn id="5" name="Message Direction" dataDxfId="255"/>
    <tableColumn id="6" name="Sender/Recipient" dataDxfId="254"/>
    <tableColumn id="7" name="Message Date" dataDxfId="253"/>
    <tableColumn id="8" name="Message Status" dataDxfId="252"/>
    <tableColumn id="9" name="CDMP Status" dataDxfId="251"/>
    <tableColumn id="10" name="Message Remark" dataDxfId="250"/>
    <tableColumn id="11" name="Message Logs" dataDxfId="249"/>
    <tableColumn id="15" name="AWB" dataDxfId="248">
      <calculatedColumnFormula>LEFT(C2,14)</calculatedColumnFormula>
    </tableColumn>
    <tableColumn id="12" name="Captured by" dataDxfId="247"/>
    <tableColumn id="13" name="Status" dataDxfId="246"/>
    <tableColumn id="17" name="Flight number" dataDxfId="245"/>
    <tableColumn id="16" name="Sécurisé" dataDxfId="244"/>
  </tableColumns>
  <tableStyleInfo name="TableStyleLight9" showFirstColumn="0" showLastColumn="0" showRowStripes="1" showColumnStripes="1"/>
</table>
</file>

<file path=xl/tables/table2.xml><?xml version="1.0" encoding="utf-8"?>
<table xmlns="http://schemas.openxmlformats.org/spreadsheetml/2006/main" id="4" name="Tableau25" displayName="Tableau25" ref="A2:E15" totalsRowShown="0" headerRowDxfId="241" dataDxfId="240">
  <autoFilter ref="A2:E15"/>
  <tableColumns count="5">
    <tableColumn id="3" name="Scenario ID" dataDxfId="239"/>
    <tableColumn id="4" name="Scenario Name" dataDxfId="238"/>
    <tableColumn id="1" name="Use Case ID" dataDxfId="237"/>
    <tableColumn id="5" name="Details" dataDxfId="236"/>
    <tableColumn id="2" name="Merge" dataDxfId="235">
      <calculatedColumnFormula>CONCATENATE(A3,C3,B3,D3)</calculatedColumnFormula>
    </tableColumn>
  </tableColumns>
  <tableStyleInfo name="TableStyleLight9" showFirstColumn="0" showLastColumn="0" showRowStripes="1" showColumnStripes="1"/>
</table>
</file>

<file path=xl/tables/table3.xml><?xml version="1.0" encoding="utf-8"?>
<table xmlns="http://schemas.openxmlformats.org/spreadsheetml/2006/main" id="6" name="Tableau6" displayName="Tableau6" ref="A3:AS1961" totalsRowShown="0" headerRowDxfId="227" dataDxfId="225" headerRowBorderDxfId="226" tableBorderDxfId="224">
  <autoFilter ref="A3:AS1961">
    <filterColumn colId="36">
      <filters>
        <filter val="3.2"/>
      </filters>
    </filterColumn>
  </autoFilter>
  <tableColumns count="45">
    <tableColumn id="31" name="Extraction Date" dataDxfId="223"/>
    <tableColumn id="1" name="LAT" dataDxfId="222"/>
    <tableColumn id="2" name="FNR" dataDxfId="221"/>
    <tableColumn id="3" name="STORAGEUNIT" dataDxfId="220"/>
    <tableColumn id="4" name="ULD" dataDxfId="219"/>
    <tableColumn id="5" name="WGT" dataDxfId="218"/>
    <tableColumn id="6" name="PCS" dataDxfId="217"/>
    <tableColumn id="7" name="VOLUME" dataDxfId="216"/>
    <tableColumn id="8" name="TRANSIT" dataDxfId="215"/>
    <tableColumn id="9" name="IsULD" dataDxfId="214"/>
    <tableColumn id="10" name="AIRLINE" dataDxfId="213"/>
    <tableColumn id="11" name="FLT NUM" dataDxfId="212"/>
    <tableColumn id="12" name="FLT DATE" dataDxfId="211"/>
    <tableColumn id="13" name="SHC1" dataDxfId="210"/>
    <tableColumn id="14" name="SHC2" dataDxfId="209"/>
    <tableColumn id="15" name="SHC3" dataDxfId="208"/>
    <tableColumn id="16" name="SHC4" dataDxfId="207"/>
    <tableColumn id="17" name="SHC5" dataDxfId="206"/>
    <tableColumn id="18" name="ORI" dataDxfId="205"/>
    <tableColumn id="19" name="DEST" dataDxfId="204"/>
    <tableColumn id="20" name="OFLD" dataDxfId="203"/>
    <tableColumn id="21" name="SODEXI" dataDxfId="202"/>
    <tableColumn id="33" name="POSITION" dataDxfId="201"/>
    <tableColumn id="46" name="CONTOUR" dataDxfId="200"/>
    <tableColumn id="23" name="Unnamed: 22" dataDxfId="199"/>
    <tableColumn id="24" name="Status" dataDxfId="198"/>
    <tableColumn id="25" name="Secured" dataDxfId="197"/>
    <tableColumn id="43" name="Observation" dataDxfId="196"/>
    <tableColumn id="44" name="Corrected Manually" dataDxfId="195"/>
    <tableColumn id="26" name="Status2" dataDxfId="194"/>
    <tableColumn id="27" name="Observation3" dataDxfId="193"/>
    <tableColumn id="28" name="SU iCargo" dataDxfId="192"/>
    <tableColumn id="22" name="Ready for Carriage" dataDxfId="191"/>
    <tableColumn id="29" name="Status3" dataDxfId="190"/>
    <tableColumn id="30" name="Observation2" dataDxfId="189"/>
    <tableColumn id="32" name="Printed " dataDxfId="188"/>
    <tableColumn id="39" name="Pelican Extraction n°" dataDxfId="187"/>
    <tableColumn id="41" name="Nb Repetition" dataDxfId="186">
      <calculatedColumnFormula>1/COUNTIF(Tableau6[LAT],B4)</calculatedColumnFormula>
    </tableColumn>
    <tableColumn id="34" name="Is SCH1 = DG" dataDxfId="185">
      <calculatedColumnFormula>IF(N4="ALM","Yes",IF(N4="ALI","Yes",IF(N4="CAO","Yes",IF(N4="ICE","Yes",IF(N4="MAG","Yes",IF(N4="MAG","Yes",IF(N4="RBI","Yes",IF(N4="RBM","Yes",IF(N4="RCL","Yes",IF(N4="RCM","Yes",IF(N4="RCX","Yes",IF(N4="RDS","Yes",IF(N4="REQ","Yes",IF(N4="REX","Yes",IF(N4="RFG","Yes",IF(N4="RFL","Yes",IF(N4="RFS","Yes",IF(N4="RFW","Yes",IF(N4="RGX","Yes",IF(N4="RIS",IF(N4="RLI","Yes",IF(N4="RLM","Yes",IF(N4="RMD","Yes",IF(N4="RNG","Yes",IF(N4="ROP","Yes",IF(N4="ROX","Yes",IF(N4="RPB","Yes",IF(N4="RPG","Yes",IF(N4="RRE","Yes",IF(N4="RRW","Yes",IF(N4="RRY","Yes",IF(N4="RSB","Yes",IF(N4="RSC","Yes",IF(N4="RXB","Yes",IF(N4="RXC","Yes",IF(N4="RXD","Yes",IF(N4="RXE","Yes",IF(N4="RXG","Yes",IF(N4="RXS","Yes",)))))))))))))))))))))))))))))))))))))))</calculatedColumnFormula>
    </tableColumn>
    <tableColumn id="35" name="Is SCH2 = DG" dataDxfId="184">
      <calculatedColumnFormula>IF(O4="ALM","Yes",IF(O4="ALI","Yes",IF(O4="CAO","Yes",IF(O4="ICE","Yes",IF(O4="MAG","Yes",IF(O4="MAG","Yes",IF(O4="RBI","Yes",IF(O4="RBM","Yes",IF(O4="RCL","Yes",IF(O4="RCM","Yes",IF(O4="RCX","Yes",IF(O4="RDS","Yes",IF(O4="REQ","Yes",IF(O4="REX","Yes",IF(O4="RFG","Yes",IF(O4="RFL","Yes",IF(O4="RFS","Yes",IF(O4="RFW","Yes",IF(O4="RGX","Yes",IF(O4="RIS",IF(O4="RLI","Yes",IF(O4="RLM","Yes",IF(O4="RMD","Yes",IF(O4="RNG","Yes",IF(O4="ROP","Yes",IF(O4="ROX","Yes",IF(O4="RPB","Yes",IF(O4="RPG","Yes",IF(O4="RRE","Yes",IF(O4="RRW","Yes",IF(O4="RRY","Yes",IF(O4="RSB","Yes",IF(O4="RSC","Yes",IF(O4="RXB","Yes",IF(O4="RXC","Yes",IF(O4="RXD","Yes",IF(O4="RXE","Yes",IF(O4="RXG","Yes",IF(O4="RXS","Yes",)))))))))))))))))))))))))))))))))))))))</calculatedColumnFormula>
    </tableColumn>
    <tableColumn id="36" name="Is SCH3 = DG" dataDxfId="183">
      <calculatedColumnFormula>IF(P4="ALM","Yes",IF(P4="ALI","Yes",IF(P4="CAO","Yes",IF(P4="ICE","Yes",IF(P4="MAG","Yes",IF(P4="MAG","Yes",IF(P4="RBI","Yes",IF(P4="RBM","Yes",IF(P4="RCL","Yes",IF(P4="RCM","Yes",IF(P4="RCX","Yes",IF(P4="RDS","Yes",IF(P4="REQ","Yes",IF(P4="REX","Yes",IF(P4="RFG","Yes",IF(P4="RFL","Yes",IF(P4="RFS","Yes",IF(P4="RFW","Yes",IF(P4="RGX","Yes",IF(P4="RIS",IF(P4="RLI","Yes",IF(P4="RLM","Yes",IF(P4="RMD","Yes",IF(P4="RNG","Yes",IF(P4="ROP","Yes",IF(P4="ROX","Yes",IF(P4="RPB","Yes",IF(P4="RPG","Yes",IF(P4="RRE","Yes",IF(P4="RRW","Yes",IF(P4="RRY","Yes",IF(P4="RSB","Yes",IF(P4="RSC","Yes",IF(P4="RXB","Yes",IF(P4="RXC","Yes",IF(P4="RXD","Yes",IF(P4="RXE","Yes",IF(P4="RXG","Yes",IF(P4="RXS","Yes",)))))))))))))))))))))))))))))))))))))))</calculatedColumnFormula>
    </tableColumn>
    <tableColumn id="37" name="Is SCH4= DG" dataDxfId="182">
      <calculatedColumnFormula>IF(Q4="ALM","Yes",IF(Q4="ALI","Yes",IF(Q4="CAO","Yes",IF(Q4="ICE","Yes",IF(Q4="MAG","Yes",IF(Q4="MAG","Yes",IF(Q4="RBI","Yes",IF(Q4="RBM","Yes",IF(Q4="RCL","Yes",IF(Q4="RCM","Yes",IF(Q4="RCX","Yes",IF(Q4="RDS","Yes",IF(Q4="REQ","Yes",IF(Q4="REX","Yes",IF(Q4="RFG","Yes",IF(Q4="RFL","Yes",IF(Q4="RFS","Yes",IF(Q4="RFW","Yes",IF(Q4="RGX","Yes",IF(Q4="RIS",IF(Q4="RLI","Yes",IF(Q4="RLM","Yes",IF(Q4="RMD","Yes",IF(Q4="RNG","Yes",IF(Q4="ROP","Yes",IF(Q4="ROX","Yes",IF(Q4="RPB","Yes",IF(Q4="RPG","Yes",IF(Q4="RRE","Yes",IF(Q4="RRW","Yes",IF(Q4="RRY","Yes",IF(Q4="RSB","Yes",IF(Q4="RSC","Yes",IF(Q4="RXB","Yes",IF(Q4="RXC","Yes",IF(Q4="RXD","Yes",IF(Q4="RXE","Yes",IF(Q4="RXG","Yes",IF(Q4="RXS","Yes",)))))))))))))))))))))))))))))))))))))))</calculatedColumnFormula>
    </tableColumn>
    <tableColumn id="38" name="Is SCH5 = DG" dataDxfId="181">
      <calculatedColumnFormula>IF(R4="ALM","Yes",IF(R4="ALI","Yes",IF(R4="CAO","Yes",IF(R4="ICE","Yes",IF(R4="MAG","Yes",IF(R4="MAG","Yes",IF(R4="RBI","Yes",IF(R4="RBM","Yes",IF(R4="RCL","Yes",IF(R4="RCM","Yes",IF(R4="RCX","Yes",IF(R4="RDS","Yes",IF(R4="REQ","Yes",IF(R4="REX","Yes",IF(R4="RFG","Yes",IF(R4="RFL","Yes",IF(R4="RFS","Yes",IF(R4="RFW","Yes",IF(R4="RGX","Yes",IF(R4="RIS",IF(R4="RLI","Yes",IF(R4="RLM","Yes",IF(R4="RMD","Yes",IF(R4="RNG","Yes",IF(R4="ROP","Yes",IF(R4="ROX","Yes",IF(R4="RPB","Yes",IF(R4="RPG","Yes",IF(R4="RRE","Yes",IF(R4="RRW","Yes",IF(R4="RRY","Yes",IF(R4="RSB","Yes",IF(R4="RSC","Yes",IF(R4="RXB","Yes",IF(R4="RXC","Yes",IF(R4="RXD","Yes",IF(R4="RXE","Yes",IF(R4="RXG","Yes",IF(R4="RXS","Yes",)))))))))))))))))))))))))))))))))))))))</calculatedColumnFormula>
    </tableColumn>
    <tableColumn id="40" name="SHC Check" dataDxfId="180">
      <calculatedColumnFormula>IF(AM4="Yes","Yes",IF(AN4="Yes","Yes",IF(AO4="yes","Yes",IF(AP4="Yes","Yes","No"))))</calculatedColumnFormula>
    </tableColumn>
    <tableColumn id="42" name="Is ORI =iCargo" dataDxfId="179">
      <calculatedColumnFormula>IF(S4="QFA","Yes",IF(S4="LCJ","Yes",IF(S4="CAJ","Yes",IF(S4="WRO","Yes",IF(S4="BEY","Yes",IF(S4="TUN","Yes",IF(S4="LFW","Yes",IF(S4="DLA","Yes",IF(S4="NSI","Yes",IF(S4="OUA","Yes",IF(S4="IAH","Yes",IF(S4="LYS","Yes",IF(S4="DSS","Yes",IF(S4="BKO","Yes",IF(S4="BZV","Yes",IF(S4="COO","Yes",IF(S4="EZE","Yes",IF(S4="CKY","Yes",IF(S4="PTP","Yes",IF(S4="ORD","Yes",IF(S4="CFE","Yes",IF(S4="NKC","Yes",IF(S4="FDF","Yes",IF(S4="SDQ","Yes",IF(S4="PNR","Yes",IF(S4="ICAY","Yes",IF(S4="DTW","Yes",IF(S4="TNR","Yes",IF(S4="RUN","Yes",IF(S4="NIM","Yes","No"))))))))))))))))))))))))))))))</calculatedColumnFormula>
    </tableColumn>
  </tableColumns>
  <tableStyleInfo name="TableStyleLight9" showFirstColumn="0" showLastColumn="0" showRowStripes="1" showColumnStripes="1"/>
</table>
</file>

<file path=xl/tables/table4.xml><?xml version="1.0" encoding="utf-8"?>
<table xmlns="http://schemas.openxmlformats.org/spreadsheetml/2006/main" id="1" name="Tableau1" displayName="Tableau1" ref="A3:AA967" totalsRowShown="0" headerRowDxfId="178">
  <autoFilter ref="A3:AA967"/>
  <tableColumns count="27">
    <tableColumn id="26" name="Extraction Date" dataDxfId="177"/>
    <tableColumn id="1" name="ULD" dataDxfId="176"/>
    <tableColumn id="2" name="CONTOUR" dataDxfId="175"/>
    <tableColumn id="3" name="STORAGEUNIT" dataDxfId="174"/>
    <tableColumn id="4" name="WGT" dataDxfId="173"/>
    <tableColumn id="5" name="PCS" dataDxfId="172"/>
    <tableColumn id="6" name="VOLUME" dataDxfId="171"/>
    <tableColumn id="7" name="STRUCTURE" dataDxfId="170"/>
    <tableColumn id="8" name="POSITION" dataDxfId="169"/>
    <tableColumn id="9" name="DEST" dataDxfId="168"/>
    <tableColumn id="10" name="OFLD" dataDxfId="167"/>
    <tableColumn id="11" name="AIRLINE" dataDxfId="166"/>
    <tableColumn id="12" name="FLT NUM" dataDxfId="165"/>
    <tableColumn id="13" name="FLT DATE" dataDxfId="164"/>
    <tableColumn id="14" name="OVH1" dataDxfId="163"/>
    <tableColumn id="15" name="OVH2" dataDxfId="162"/>
    <tableColumn id="16" name="OVH3" dataDxfId="161"/>
    <tableColumn id="17" name="OVH4" dataDxfId="160"/>
    <tableColumn id="18" name="Status" dataDxfId="159"/>
    <tableColumn id="19" name="Executed" dataDxfId="158"/>
    <tableColumn id="20" name="Status2" dataDxfId="157"/>
    <tableColumn id="21" name="Observation" dataDxfId="156"/>
    <tableColumn id="22" name="SU iCargo" dataDxfId="155"/>
    <tableColumn id="23" name="Status3" dataDxfId="154"/>
    <tableColumn id="24" name="Observation2" dataDxfId="153"/>
    <tableColumn id="25" name="Printed" dataDxfId="152"/>
    <tableColumn id="27" name="Pelican Extraction n°" dataDxfId="151"/>
  </tableColumns>
  <tableStyleInfo name="TableStyleLight9" showFirstColumn="0" showLastColumn="0" showRowStripes="1" showColumnStripes="1"/>
</table>
</file>

<file path=xl/tables/table5.xml><?xml version="1.0" encoding="utf-8"?>
<table xmlns="http://schemas.openxmlformats.org/spreadsheetml/2006/main" id="5" name="Tableau5" displayName="Tableau5" ref="A30:I40" totalsRowShown="0" headerRowDxfId="126">
  <autoFilter ref="A30:I40"/>
  <tableColumns count="9">
    <tableColumn id="1" name="Pelican Extraction 1 / Scenarios_x000a_AWBs Level" dataDxfId="125"/>
    <tableColumn id="7" name="Received" dataDxfId="124"/>
    <tableColumn id="2" name="Passed" dataDxfId="123"/>
    <tableColumn id="5" name="Corrected Manually" dataDxfId="122"/>
    <tableColumn id="3" name="Failed" dataDxfId="121"/>
    <tableColumn id="4" name="Total" dataDxfId="120"/>
    <tableColumn id="6" name="Passed Automated Ratio" dataDxfId="119">
      <calculatedColumnFormula>(Tableau5[[#This Row],[Passed]]-Tableau5[[#This Row],[Corrected Manually]])/Tableau5[[#This Row],[Total]]</calculatedColumnFormula>
    </tableColumn>
    <tableColumn id="8" name="Overall Passed Ratio" dataDxfId="118">
      <calculatedColumnFormula>Tableau5[[#This Row],[Passed]]/Tableau5[[#This Row],[Total]]</calculatedColumnFormula>
    </tableColumn>
    <tableColumn id="9" name="Completion Rate" dataDxfId="117">
      <calculatedColumnFormula>(Tableau5[[#This Row],[Passed]]+Tableau5[[#This Row],[Failed]])/Tableau5[[#This Row],[Received]]</calculatedColumnFormula>
    </tableColumn>
  </tableColumns>
  <tableStyleInfo name="TableStyleLight9" showFirstColumn="0" showLastColumn="0" showRowStripes="1" showColumnStripes="1"/>
</table>
</file>

<file path=xl/tables/table6.xml><?xml version="1.0" encoding="utf-8"?>
<table xmlns="http://schemas.openxmlformats.org/spreadsheetml/2006/main" id="7" name="Tableau7" displayName="Tableau7" ref="A17:E24" totalsRowShown="0" headerRowDxfId="116">
  <autoFilter ref="A17:E24"/>
  <tableColumns count="5">
    <tableColumn id="1" name="Pelican Extraction_x000a_Storage Unit Level" dataDxfId="115"/>
    <tableColumn id="2" name="Export Air France" dataDxfId="114"/>
    <tableColumn id="3" name="Transit Air France" dataDxfId="113"/>
    <tableColumn id="5" name="SODEXI" dataDxfId="112"/>
    <tableColumn id="4" name="Total" dataDxfId="111"/>
  </tableColumns>
  <tableStyleInfo name="TableStyleLight9" showFirstColumn="0" showLastColumn="0" showRowStripes="1" showColumnStripes="1"/>
</table>
</file>

<file path=xl/tables/table7.xml><?xml version="1.0" encoding="utf-8"?>
<table xmlns="http://schemas.openxmlformats.org/spreadsheetml/2006/main" id="8" name="Tableau79" displayName="Tableau79" ref="A6:E13" totalsRowShown="0" headerRowDxfId="110">
  <autoFilter ref="A6:E13"/>
  <tableColumns count="5">
    <tableColumn id="1" name="Pelican Extraction_x000a_AWBs Level" dataDxfId="109"/>
    <tableColumn id="2" name="Export Air France" dataDxfId="108"/>
    <tableColumn id="3" name="Transit Air France" dataDxfId="107"/>
    <tableColumn id="5" name="SODEXI" dataDxfId="106"/>
    <tableColumn id="4" name="Total" dataDxfId="105"/>
  </tableColumns>
  <tableStyleInfo name="TableStyleLight9" showFirstColumn="0" showLastColumn="0" showRowStripes="1" showColumnStripes="1"/>
</table>
</file>

<file path=xl/tables/table8.xml><?xml version="1.0" encoding="utf-8"?>
<table xmlns="http://schemas.openxmlformats.org/spreadsheetml/2006/main" id="9" name="Tableau510" displayName="Tableau510" ref="A42:I52" totalsRowShown="0" headerRowDxfId="104">
  <autoFilter ref="A42:I52"/>
  <tableColumns count="9">
    <tableColumn id="1" name="Pelican Extraction 2 / Scenarios_x000a_AWBs Level" dataDxfId="103"/>
    <tableColumn id="7" name="Received" dataDxfId="102"/>
    <tableColumn id="2" name="Passed" dataDxfId="101"/>
    <tableColumn id="5" name="Corrected Manually" dataDxfId="100"/>
    <tableColumn id="3" name="Failed" dataDxfId="99"/>
    <tableColumn id="4" name="Total" dataDxfId="98"/>
    <tableColumn id="6" name="Passed Automated Ratio" dataDxfId="97">
      <calculatedColumnFormula>(Tableau510[[#This Row],[Passed]]-Tableau510[[#This Row],[Corrected Manually]])/Tableau510[[#This Row],[Total]]</calculatedColumnFormula>
    </tableColumn>
    <tableColumn id="8" name="Overall Passed Ratio" dataDxfId="96">
      <calculatedColumnFormula>Tableau510[[#This Row],[Passed]]/Tableau510[[#This Row],[Total]]</calculatedColumnFormula>
    </tableColumn>
    <tableColumn id="9" name="Completion Rate" dataDxfId="95">
      <calculatedColumnFormula>(Tableau510[[#This Row],[Passed]]+Tableau510[[#This Row],[Failed]])/Tableau510[[#This Row],[Received]]</calculatedColumnFormula>
    </tableColumn>
  </tableColumns>
  <tableStyleInfo name="TableStyleLight9" showFirstColumn="0" showLastColumn="0" showRowStripes="1" showColumnStripes="1"/>
</table>
</file>

<file path=xl/tables/table9.xml><?xml version="1.0" encoding="utf-8"?>
<table xmlns="http://schemas.openxmlformats.org/spreadsheetml/2006/main" id="13" name="Tableau51014" displayName="Tableau51014" ref="A54:I64" totalsRowShown="0" headerRowDxfId="94">
  <autoFilter ref="A54:I64"/>
  <tableColumns count="9">
    <tableColumn id="1" name="Pelican Extraction 3-1 / Scenarios_x000a_AWBs Level" dataDxfId="93"/>
    <tableColumn id="7" name="Received" dataDxfId="92"/>
    <tableColumn id="2" name="Passed" dataDxfId="91"/>
    <tableColumn id="5" name="Corrected Manually" dataDxfId="90"/>
    <tableColumn id="3" name="Failed" dataDxfId="89"/>
    <tableColumn id="4" name="Total" dataDxfId="88"/>
    <tableColumn id="6" name="Passed Automated Ratio" dataDxfId="87">
      <calculatedColumnFormula>(Tableau51014[[#This Row],[Passed]]-Tableau51014[[#This Row],[Corrected Manually]])/Tableau51014[[#This Row],[Total]]</calculatedColumnFormula>
    </tableColumn>
    <tableColumn id="8" name="Overall Passed Ratio" dataDxfId="86">
      <calculatedColumnFormula>Tableau51014[[#This Row],[Passed]]/Tableau51014[[#This Row],[Total]]</calculatedColumnFormula>
    </tableColumn>
    <tableColumn id="9" name="Completion Rate" dataDxfId="85">
      <calculatedColumnFormula>(Tableau51014[[#This Row],[Passed]]+Tableau51014[[#This Row],[Failed]])/Tableau51014[[#This Row],[Received]]</calculatedColumnFormula>
    </tableColumn>
  </tableColumns>
  <tableStyleInfo name="TableStyleLight9" showFirstColumn="0" showLastColumn="0" showRowStripes="1" showColumnStripes="1"/>
</table>
</file>

<file path=xl/tables/table10.xml><?xml version="1.0" encoding="utf-8"?>
<table xmlns="http://schemas.openxmlformats.org/spreadsheetml/2006/main" id="14" name="Tableau5101415" displayName="Tableau5101415" ref="A66:I76" totalsRowShown="0" headerRowDxfId="84">
  <autoFilter ref="A66:I76"/>
  <tableColumns count="9">
    <tableColumn id="1" name="Pelican Extraction 3-2 / Scenarios_x000a_AWBs Level" dataDxfId="83"/>
    <tableColumn id="7" name="Received" dataDxfId="82"/>
    <tableColumn id="2" name="Passed" dataDxfId="81"/>
    <tableColumn id="5" name="Corrected Manually" dataDxfId="80"/>
    <tableColumn id="3" name="Failed" dataDxfId="79"/>
    <tableColumn id="4" name="Total" dataDxfId="78"/>
    <tableColumn id="6" name="Passed Automated Ratio" dataDxfId="77">
      <calculatedColumnFormula>(Tableau5101415[[#This Row],[Passed]]-Tableau5101415[[#This Row],[Corrected Manually]])/Tableau5101415[[#This Row],[Total]]</calculatedColumnFormula>
    </tableColumn>
    <tableColumn id="8" name="Overall Passed Ratio" dataDxfId="76">
      <calculatedColumnFormula>Tableau5101415[[#This Row],[Passed]]/Tableau5101415[[#This Row],[Total]]</calculatedColumnFormula>
    </tableColumn>
    <tableColumn id="9" name="Completion Rate" dataDxfId="75">
      <calculatedColumnFormula>(Tableau5101415[[#This Row],[Passed]]+Tableau5101415[[#This Row],[Failed]])/Tableau5101415[[#This Row],[Received]]</calculatedColumnFormula>
    </tableColumn>
  </tableColumns>
  <tableStyleInfo name="TableStyleLight9" showFirstColumn="0" showLastColumn="0" showRowStripes="1" showColumnStripes="1"/>
</table>
</file>

<file path=xl/tables/table11.xml><?xml version="1.0" encoding="utf-8"?>
<table xmlns="http://schemas.openxmlformats.org/spreadsheetml/2006/main" id="15" name="Tableau510141516" displayName="Tableau510141516" ref="A78:I88" totalsRowShown="0" headerRowDxfId="74">
  <autoFilter ref="A78:I88"/>
  <tableColumns count="9">
    <tableColumn id="1" name="Pelican Extraction 3-3 / Scenarios_x000a_AWBs Level" dataDxfId="73"/>
    <tableColumn id="7" name="Received" dataDxfId="72"/>
    <tableColumn id="2" name="Passed" dataDxfId="71"/>
    <tableColumn id="5" name="Corrected Manually" dataDxfId="70"/>
    <tableColumn id="3" name="Failed" dataDxfId="69"/>
    <tableColumn id="4" name="Total" dataDxfId="68"/>
    <tableColumn id="6" name="Passed Automated Ratio" dataDxfId="67">
      <calculatedColumnFormula>(Tableau510141516[[#This Row],[Passed]]-Tableau510141516[[#This Row],[Corrected Manually]])/Tableau510141516[[#This Row],[Total]]</calculatedColumnFormula>
    </tableColumn>
    <tableColumn id="8" name="Overall Passed Ratio" dataDxfId="66">
      <calculatedColumnFormula>Tableau510141516[[#This Row],[Passed]]/Tableau510141516[[#This Row],[Total]]</calculatedColumnFormula>
    </tableColumn>
    <tableColumn id="9" name="Completion Rate" dataDxfId="65">
      <calculatedColumnFormula>(Tableau510141516[[#This Row],[Passed]]+Tableau510141516[[#This Row],[Failed]])/Tableau510141516[[#This Row],[Received]]</calculatedColumnFormula>
    </tableColumn>
  </tableColumns>
  <tableStyleInfo name="TableStyleLight9" showFirstColumn="0" showLastColumn="0" showRowStripes="1" showColumnStripes="1"/>
</table>
</file>

<file path=xl/tables/table12.xml><?xml version="1.0" encoding="utf-8"?>
<table xmlns="http://schemas.openxmlformats.org/spreadsheetml/2006/main" id="10" name="Tableau51014151611" displayName="Tableau51014151611" ref="A90:I100" totalsRowShown="0" headerRowDxfId="64">
  <autoFilter ref="A90:I100"/>
  <tableColumns count="9">
    <tableColumn id="1" name="Pelican Extraction OVERALL / Scenarios_x000a_AWBs Level" dataDxfId="63"/>
    <tableColumn id="7" name="Received" dataDxfId="62"/>
    <tableColumn id="2" name="Passed" dataDxfId="61"/>
    <tableColumn id="5" name="Corrected Manually" dataDxfId="60"/>
    <tableColumn id="3" name="Failed" dataDxfId="59"/>
    <tableColumn id="4" name="Total" dataDxfId="58"/>
    <tableColumn id="6" name="Passed Automated Ratio" dataDxfId="57">
      <calculatedColumnFormula>(Tableau51014151611[[#This Row],[Passed]]-Tableau51014151611[[#This Row],[Corrected Manually]])/Tableau51014151611[[#This Row],[Total]]</calculatedColumnFormula>
    </tableColumn>
    <tableColumn id="8" name="Overall Passed Ratio" dataDxfId="56">
      <calculatedColumnFormula>Tableau51014151611[[#This Row],[Passed]]/Tableau51014151611[[#This Row],[Total]]</calculatedColumnFormula>
    </tableColumn>
    <tableColumn id="9" name="Completion Rate" dataDxfId="55">
      <calculatedColumnFormula>(Tableau51014151611[[#This Row],[Passed]]+Tableau51014151611[[#This Row],[Failed]])/Tableau51014151611[[#This Row],[Received]]</calculatedColumnFormula>
    </tableColumn>
  </tableColumns>
  <tableStyleInfo name="TableStyleLight9" showFirstColumn="0" showLastColumn="0" showRowStripes="1" showColumnStripes="1"/>
</table>
</file>

<file path=xl/tables/table13.xml><?xml version="1.0" encoding="utf-8"?>
<table xmlns="http://schemas.openxmlformats.org/spreadsheetml/2006/main" id="11" name="Tableau11" displayName="Tableau11" ref="A10:E18" totalsRowShown="0" headerRowDxfId="54" dataDxfId="53">
  <autoFilter ref="A10:E18"/>
  <tableColumns count="5">
    <tableColumn id="1" name="n°" dataDxfId="52"/>
    <tableColumn id="2" name="Use case" dataDxfId="51"/>
    <tableColumn id="3" name="ABWs" dataDxfId="50"/>
    <tableColumn id="4" name="Status" dataDxfId="49"/>
    <tableColumn id="5" name="Defect" dataDxfId="48"/>
  </tableColumns>
  <tableStyleInfo name="TableStyleLight9" showFirstColumn="0" showLastColumn="0" showRowStripes="1" showColumnStripes="1"/>
</table>
</file>

<file path=xl/tables/table14.xml><?xml version="1.0" encoding="utf-8"?>
<table xmlns="http://schemas.openxmlformats.org/spreadsheetml/2006/main" id="12" name="Tableau12" displayName="Tableau12" ref="A1:R13" totalsRowShown="0" headerRowDxfId="47" dataDxfId="46">
  <autoFilter ref="A1:R13"/>
  <tableColumns count="18">
    <tableColumn id="1" name="LTA " dataDxfId="45"/>
    <tableColumn id="2" name="CIE" dataDxfId="44"/>
    <tableColumn id="3" name="FLT" dataDxfId="43"/>
    <tableColumn id="4" name="Departure Date" dataDxfId="42"/>
    <tableColumn id="5" name="Dest" dataDxfId="41"/>
    <tableColumn id="6" name="SCH1" dataDxfId="40"/>
    <tableColumn id="7" name="SCH2" dataDxfId="39"/>
    <tableColumn id="8" name="SCH3" dataDxfId="38"/>
    <tableColumn id="9" name="SCH4" dataDxfId="37"/>
    <tableColumn id="10" name="SCH5" dataDxfId="36"/>
    <tableColumn id="11" name="ORI" dataDxfId="35"/>
    <tableColumn id="16" name="WGT" dataDxfId="34"/>
    <tableColumn id="15" name="PCS" dataDxfId="33"/>
    <tableColumn id="14" name="Volume" dataDxfId="32"/>
    <tableColumn id="17" name="SU ID" dataDxfId="31"/>
    <tableColumn id="18" name="Location" dataDxfId="30"/>
    <tableColumn id="12" name="Status" dataDxfId="29"/>
    <tableColumn id="13" name="Remarks" dataDxfId="28"/>
  </tableColumns>
  <tableStyleInfo name="TableStyleLight9" showFirstColumn="0" showLastColumn="0" showRowStripes="1" showColumnStripes="1"/>
</table>
</file>

<file path=xl/tables/table15.xml><?xml version="1.0" encoding="utf-8"?>
<table xmlns="http://schemas.openxmlformats.org/spreadsheetml/2006/main" id="3" name="Tableau14" displayName="Tableau14" ref="A1:X1189" totalsRowShown="0" headerRowDxfId="25" dataDxfId="24">
  <autoFilter ref="A1:X1189"/>
  <sortState ref="A2:X1189">
    <sortCondition ref="B1:B1189"/>
  </sortState>
  <tableColumns count="24">
    <tableColumn id="1" name="ISHC_PARAM_ID" dataDxfId="23"/>
    <tableColumn id="2" name="SCODE" dataDxfId="22"/>
    <tableColumn id="3" name="IDANGEROUS" dataDxfId="21"/>
    <tableColumn id="4" name="SDESCRIPTION" dataDxfId="20"/>
    <tableColumn id="5" name="INOTOC" dataDxfId="19"/>
    <tableColumn id="6" name="IPRIORITY" dataDxfId="18"/>
    <tableColumn id="7" name="IAWB" dataDxfId="17"/>
    <tableColumn id="8" name="IPCS" dataDxfId="16"/>
    <tableColumn id="9" name="IWEIGHT" dataDxfId="15"/>
    <tableColumn id="10" name="IDESCRIPTION" dataDxfId="14"/>
    <tableColumn id="11" name="IDIMENSIONS" dataDxfId="13"/>
    <tableColumn id="12" name="IDIMENSIONS_D" dataDxfId="12"/>
    <tableColumn id="13" name="ITEMPERATURE" dataDxfId="11"/>
    <tableColumn id="14" name="IVENTILATION" dataDxfId="10"/>
    <tableColumn id="15" name="IFAMILY" dataDxfId="9"/>
    <tableColumn id="16" name="IDECEASED" dataDxfId="8"/>
    <tableColumn id="17" name="IDECEASED_D" dataDxfId="7"/>
    <tableColumn id="18" name="IBIG_REF" dataDxfId="6"/>
    <tableColumn id="19" name="IBIG_REF_D" dataDxfId="5"/>
    <tableColumn id="20" name="IWEIGHT_HIDDEN" dataDxfId="4"/>
    <tableColumn id="21" name="IPEL_AUTO_CREATE_SL" dataDxfId="3"/>
    <tableColumn id="22" name="IAIRLINE_ID" dataDxfId="2"/>
    <tableColumn id="23" name="SAIRLINE_CODE" dataDxfId="1"/>
    <tableColumn id="24" name="IREFERENTIAL" dataDxfId="0"/>
  </tableColumns>
  <tableStyleInfo name="TableStyleLight9" showFirstColumn="0" showLastColumn="0" showRowStripes="1" showColumnStripes="1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3" dT="2023-10-12T13:44:29.04" personId="{BD58CB76-9399-453F-A0AA-94148AE3CD03}" id="{FD68CE6C-9A44-4739-9871-CF173E49AC82}">
    <text>IF isULD = Y then ULD acceptance, otherwise all acceptance in loose</text>
  </threadedComment>
</ThreadedComments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icargo-rc4-rct.afklcargo.com/icargo/msgbroker.message.checkselected.do?openPopUpFlg=VIEW&amp;selectedId=14044850," TargetMode="External"/><Relationship Id="rId170" Type="http://schemas.openxmlformats.org/officeDocument/2006/relationships/hyperlink" Target="https://icargo-rc4-rct.afklcargo.com/icargo/showScreen.do" TargetMode="External"/><Relationship Id="rId268" Type="http://schemas.openxmlformats.org/officeDocument/2006/relationships/hyperlink" Target="https://icargo-rc4-rct.afklcargo.com/icargo/showScreen.do" TargetMode="External"/><Relationship Id="rId475" Type="http://schemas.openxmlformats.org/officeDocument/2006/relationships/hyperlink" Target="https://icargo-rct.afklcargo.com/icargo/showScreen.do" TargetMode="External"/><Relationship Id="rId682" Type="http://schemas.openxmlformats.org/officeDocument/2006/relationships/control" Target="../activeX/activeX14.xml"/><Relationship Id="rId128" Type="http://schemas.openxmlformats.org/officeDocument/2006/relationships/hyperlink" Target="https://icargo-rc4-rct.afklcargo.com/icargo/showScreen.do" TargetMode="External"/><Relationship Id="rId335" Type="http://schemas.openxmlformats.org/officeDocument/2006/relationships/hyperlink" Target="https://icargo-rct.afklcargo.com/icargo/showScreen.do" TargetMode="External"/><Relationship Id="rId542" Type="http://schemas.openxmlformats.org/officeDocument/2006/relationships/hyperlink" Target="https://icargo-rct.afklcargo.com/icargo/showScreen.do" TargetMode="External"/><Relationship Id="rId987" Type="http://schemas.openxmlformats.org/officeDocument/2006/relationships/control" Target="../activeX/activeX319.xml"/><Relationship Id="rId1172" Type="http://schemas.openxmlformats.org/officeDocument/2006/relationships/control" Target="../activeX/activeX504.xml"/><Relationship Id="rId402" Type="http://schemas.openxmlformats.org/officeDocument/2006/relationships/hyperlink" Target="https://icargo-rct.afklcargo.com/icargo/showScreen.do" TargetMode="External"/><Relationship Id="rId847" Type="http://schemas.openxmlformats.org/officeDocument/2006/relationships/control" Target="../activeX/activeX179.xml"/><Relationship Id="rId1032" Type="http://schemas.openxmlformats.org/officeDocument/2006/relationships/control" Target="../activeX/activeX364.xml"/><Relationship Id="rId707" Type="http://schemas.openxmlformats.org/officeDocument/2006/relationships/control" Target="../activeX/activeX39.xml"/><Relationship Id="rId914" Type="http://schemas.openxmlformats.org/officeDocument/2006/relationships/control" Target="../activeX/activeX246.xml"/><Relationship Id="rId43" Type="http://schemas.openxmlformats.org/officeDocument/2006/relationships/hyperlink" Target="https://icargo-rc4-rct.afklcargo.com/icargo/msgbroker.message.checkselected.do?openPopUpFlg=VIEW&amp;selectedId=14044850," TargetMode="External"/><Relationship Id="rId192" Type="http://schemas.openxmlformats.org/officeDocument/2006/relationships/hyperlink" Target="https://icargo-rc4-rct.afklcargo.com/icargo/showScreen.do" TargetMode="External"/><Relationship Id="rId497" Type="http://schemas.openxmlformats.org/officeDocument/2006/relationships/hyperlink" Target="https://icargo-rct.afklcargo.com/icargo/showScreen.do" TargetMode="External"/><Relationship Id="rId357" Type="http://schemas.openxmlformats.org/officeDocument/2006/relationships/hyperlink" Target="https://icargo-rct.afklcargo.com/icargo/showScreen.do" TargetMode="External"/><Relationship Id="rId1194" Type="http://schemas.openxmlformats.org/officeDocument/2006/relationships/control" Target="../activeX/activeX525.xml"/><Relationship Id="rId217" Type="http://schemas.openxmlformats.org/officeDocument/2006/relationships/hyperlink" Target="https://icargo-rc4-rct.afklcargo.com/icargo/showScreen.do" TargetMode="External"/><Relationship Id="rId564" Type="http://schemas.openxmlformats.org/officeDocument/2006/relationships/hyperlink" Target="https://icargo-rct.afklcargo.com/icargo/showScreen.do" TargetMode="External"/><Relationship Id="rId771" Type="http://schemas.openxmlformats.org/officeDocument/2006/relationships/control" Target="../activeX/activeX103.xml"/><Relationship Id="rId869" Type="http://schemas.openxmlformats.org/officeDocument/2006/relationships/control" Target="../activeX/activeX201.xml"/><Relationship Id="rId424" Type="http://schemas.openxmlformats.org/officeDocument/2006/relationships/hyperlink" Target="https://icargo-rct.afklcargo.com/icargo/showScreen.do" TargetMode="External"/><Relationship Id="rId631" Type="http://schemas.openxmlformats.org/officeDocument/2006/relationships/hyperlink" Target="https://icargo-rct.afklcargo.com/icargo/showScreen.do" TargetMode="External"/><Relationship Id="rId729" Type="http://schemas.openxmlformats.org/officeDocument/2006/relationships/control" Target="../activeX/activeX61.xml"/><Relationship Id="rId1054" Type="http://schemas.openxmlformats.org/officeDocument/2006/relationships/control" Target="../activeX/activeX386.xml"/><Relationship Id="rId1261" Type="http://schemas.openxmlformats.org/officeDocument/2006/relationships/control" Target="../activeX/activeX592.xml"/><Relationship Id="rId936" Type="http://schemas.openxmlformats.org/officeDocument/2006/relationships/control" Target="../activeX/activeX268.xml"/><Relationship Id="rId1121" Type="http://schemas.openxmlformats.org/officeDocument/2006/relationships/control" Target="../activeX/activeX453.xml"/><Relationship Id="rId1219" Type="http://schemas.openxmlformats.org/officeDocument/2006/relationships/control" Target="../activeX/activeX550.xml"/><Relationship Id="rId65" Type="http://schemas.openxmlformats.org/officeDocument/2006/relationships/hyperlink" Target="https://icargo-rc4-rct.afklcargo.com/icargo/msgbroker.message.checkselected.do?openPopUpFlg=VIEW&amp;selectedId=14044850," TargetMode="External"/><Relationship Id="rId281" Type="http://schemas.openxmlformats.org/officeDocument/2006/relationships/hyperlink" Target="https://icargo-rc4-rct.afklcargo.com/icargo/showScreen.do" TargetMode="External"/><Relationship Id="rId141" Type="http://schemas.openxmlformats.org/officeDocument/2006/relationships/hyperlink" Target="https://icargo-rc4-rct.afklcargo.com/icargo/showScreen.do" TargetMode="External"/><Relationship Id="rId379" Type="http://schemas.openxmlformats.org/officeDocument/2006/relationships/hyperlink" Target="https://icargo-rct.afklcargo.com/icargo/showScreen.do" TargetMode="External"/><Relationship Id="rId586" Type="http://schemas.openxmlformats.org/officeDocument/2006/relationships/hyperlink" Target="https://icargo-rct.afklcargo.com/icargo/showScreen.do" TargetMode="External"/><Relationship Id="rId793" Type="http://schemas.openxmlformats.org/officeDocument/2006/relationships/control" Target="../activeX/activeX125.xml"/><Relationship Id="rId7" Type="http://schemas.openxmlformats.org/officeDocument/2006/relationships/hyperlink" Target="https://icargo-rc4-rct.afklcargo.com/icargo/msgbroker.message.checkselected.do?openPopUpFlg=VIEW&amp;selectedId=14044850," TargetMode="External"/><Relationship Id="rId239" Type="http://schemas.openxmlformats.org/officeDocument/2006/relationships/hyperlink" Target="https://icargo-rc4-rct.afklcargo.com/icargo/showScreen.do" TargetMode="External"/><Relationship Id="rId446" Type="http://schemas.openxmlformats.org/officeDocument/2006/relationships/hyperlink" Target="https://icargo-rct.afklcargo.com/icargo/showScreen.do" TargetMode="External"/><Relationship Id="rId653" Type="http://schemas.openxmlformats.org/officeDocument/2006/relationships/hyperlink" Target="https://icargo-rct.afklcargo.com/icargo/showScreen.do" TargetMode="External"/><Relationship Id="rId1076" Type="http://schemas.openxmlformats.org/officeDocument/2006/relationships/control" Target="../activeX/activeX408.xml"/><Relationship Id="rId1283" Type="http://schemas.openxmlformats.org/officeDocument/2006/relationships/control" Target="../activeX/activeX614.xml"/><Relationship Id="rId306" Type="http://schemas.openxmlformats.org/officeDocument/2006/relationships/hyperlink" Target="https://icargo-rct.afklcargo.com/icargo/showScreen.do" TargetMode="External"/><Relationship Id="rId860" Type="http://schemas.openxmlformats.org/officeDocument/2006/relationships/control" Target="../activeX/activeX192.xml"/><Relationship Id="rId958" Type="http://schemas.openxmlformats.org/officeDocument/2006/relationships/control" Target="../activeX/activeX290.xml"/><Relationship Id="rId1143" Type="http://schemas.openxmlformats.org/officeDocument/2006/relationships/control" Target="../activeX/activeX475.xml"/><Relationship Id="rId87" Type="http://schemas.openxmlformats.org/officeDocument/2006/relationships/hyperlink" Target="https://icargo-rc4-rct.afklcargo.com/icargo/msgbroker.message.checkselected.do?openPopUpFlg=VIEW&amp;selectedId=14044850," TargetMode="External"/><Relationship Id="rId513" Type="http://schemas.openxmlformats.org/officeDocument/2006/relationships/hyperlink" Target="https://icargo-rct.afklcargo.com/icargo/showScreen.do" TargetMode="External"/><Relationship Id="rId720" Type="http://schemas.openxmlformats.org/officeDocument/2006/relationships/control" Target="../activeX/activeX52.xml"/><Relationship Id="rId818" Type="http://schemas.openxmlformats.org/officeDocument/2006/relationships/control" Target="../activeX/activeX150.xml"/><Relationship Id="rId1003" Type="http://schemas.openxmlformats.org/officeDocument/2006/relationships/control" Target="../activeX/activeX335.xml"/><Relationship Id="rId1210" Type="http://schemas.openxmlformats.org/officeDocument/2006/relationships/control" Target="../activeX/activeX541.xml"/><Relationship Id="rId14" Type="http://schemas.openxmlformats.org/officeDocument/2006/relationships/hyperlink" Target="https://icargo-rc4-rct.afklcargo.com/icargo/msgbroker.message.checkselected.do?openPopUpFlg=VIEW&amp;selectedId=14044850," TargetMode="External"/><Relationship Id="rId163" Type="http://schemas.openxmlformats.org/officeDocument/2006/relationships/hyperlink" Target="https://icargo-rc4-rct.afklcargo.com/icargo/showScreen.do" TargetMode="External"/><Relationship Id="rId370" Type="http://schemas.openxmlformats.org/officeDocument/2006/relationships/hyperlink" Target="https://icargo-rct.afklcargo.com/icargo/showScreen.do" TargetMode="External"/><Relationship Id="rId230" Type="http://schemas.openxmlformats.org/officeDocument/2006/relationships/hyperlink" Target="https://icargo-rc4-rct.afklcargo.com/icargo/showScreen.do" TargetMode="External"/><Relationship Id="rId468" Type="http://schemas.openxmlformats.org/officeDocument/2006/relationships/hyperlink" Target="https://icargo-rct.afklcargo.com/icargo/showScreen.do" TargetMode="External"/><Relationship Id="rId675" Type="http://schemas.openxmlformats.org/officeDocument/2006/relationships/control" Target="../activeX/activeX7.xml"/><Relationship Id="rId882" Type="http://schemas.openxmlformats.org/officeDocument/2006/relationships/control" Target="../activeX/activeX214.xml"/><Relationship Id="rId1098" Type="http://schemas.openxmlformats.org/officeDocument/2006/relationships/control" Target="../activeX/activeX430.xml"/><Relationship Id="rId328" Type="http://schemas.openxmlformats.org/officeDocument/2006/relationships/hyperlink" Target="https://icargo-rct.afklcargo.com/icargo/showScreen.do" TargetMode="External"/><Relationship Id="rId535" Type="http://schemas.openxmlformats.org/officeDocument/2006/relationships/hyperlink" Target="https://icargo-rct.afklcargo.com/icargo/showScreen.do" TargetMode="External"/><Relationship Id="rId742" Type="http://schemas.openxmlformats.org/officeDocument/2006/relationships/control" Target="../activeX/activeX74.xml"/><Relationship Id="rId1165" Type="http://schemas.openxmlformats.org/officeDocument/2006/relationships/control" Target="../activeX/activeX497.xml"/><Relationship Id="rId602" Type="http://schemas.openxmlformats.org/officeDocument/2006/relationships/hyperlink" Target="https://icargo-rct.afklcargo.com/icargo/showScreen.do" TargetMode="External"/><Relationship Id="rId1025" Type="http://schemas.openxmlformats.org/officeDocument/2006/relationships/control" Target="../activeX/activeX357.xml"/><Relationship Id="rId1232" Type="http://schemas.openxmlformats.org/officeDocument/2006/relationships/control" Target="../activeX/activeX563.xml"/><Relationship Id="rId907" Type="http://schemas.openxmlformats.org/officeDocument/2006/relationships/control" Target="../activeX/activeX239.xml"/><Relationship Id="rId36" Type="http://schemas.openxmlformats.org/officeDocument/2006/relationships/hyperlink" Target="https://icargo-rc4-rct.afklcargo.com/icargo/msgbroker.message.checkselected.do?openPopUpFlg=VIEW&amp;selectedId=14044850," TargetMode="External"/><Relationship Id="rId185" Type="http://schemas.openxmlformats.org/officeDocument/2006/relationships/hyperlink" Target="https://icargo-rc4-rct.afklcargo.com/icargo/showScreen.do" TargetMode="External"/><Relationship Id="rId392" Type="http://schemas.openxmlformats.org/officeDocument/2006/relationships/hyperlink" Target="https://icargo-rct.afklcargo.com/icargo/showScreen.do" TargetMode="External"/><Relationship Id="rId697" Type="http://schemas.openxmlformats.org/officeDocument/2006/relationships/control" Target="../activeX/activeX29.xml"/><Relationship Id="rId252" Type="http://schemas.openxmlformats.org/officeDocument/2006/relationships/hyperlink" Target="https://icargo-rc4-rct.afklcargo.com/icargo/showScreen.do" TargetMode="External"/><Relationship Id="rId1187" Type="http://schemas.openxmlformats.org/officeDocument/2006/relationships/control" Target="../activeX/activeX518.xml"/><Relationship Id="rId112" Type="http://schemas.openxmlformats.org/officeDocument/2006/relationships/hyperlink" Target="https://icargo-rc4-rct.afklcargo.com/icargo/showScreen.do" TargetMode="External"/><Relationship Id="rId557" Type="http://schemas.openxmlformats.org/officeDocument/2006/relationships/hyperlink" Target="https://icargo-rct.afklcargo.com/icargo/showScreen.do" TargetMode="External"/><Relationship Id="rId764" Type="http://schemas.openxmlformats.org/officeDocument/2006/relationships/control" Target="../activeX/activeX96.xml"/><Relationship Id="rId971" Type="http://schemas.openxmlformats.org/officeDocument/2006/relationships/control" Target="../activeX/activeX303.xml"/><Relationship Id="rId417" Type="http://schemas.openxmlformats.org/officeDocument/2006/relationships/hyperlink" Target="https://icargo-rct.afklcargo.com/icargo/showScreen.do" TargetMode="External"/><Relationship Id="rId624" Type="http://schemas.openxmlformats.org/officeDocument/2006/relationships/hyperlink" Target="https://icargo-rct.afklcargo.com/icargo/showScreen.do" TargetMode="External"/><Relationship Id="rId831" Type="http://schemas.openxmlformats.org/officeDocument/2006/relationships/control" Target="../activeX/activeX163.xml"/><Relationship Id="rId1047" Type="http://schemas.openxmlformats.org/officeDocument/2006/relationships/control" Target="../activeX/activeX379.xml"/><Relationship Id="rId1254" Type="http://schemas.openxmlformats.org/officeDocument/2006/relationships/control" Target="../activeX/activeX585.xml"/><Relationship Id="rId929" Type="http://schemas.openxmlformats.org/officeDocument/2006/relationships/control" Target="../activeX/activeX261.xml"/><Relationship Id="rId1114" Type="http://schemas.openxmlformats.org/officeDocument/2006/relationships/control" Target="../activeX/activeX446.xml"/><Relationship Id="rId58" Type="http://schemas.openxmlformats.org/officeDocument/2006/relationships/hyperlink" Target="https://icargo-rc4-rct.afklcargo.com/icargo/msgbroker.message.checkselected.do?openPopUpFlg=VIEW&amp;selectedId=14044850," TargetMode="External"/><Relationship Id="rId274" Type="http://schemas.openxmlformats.org/officeDocument/2006/relationships/hyperlink" Target="https://icargo-rc4-rct.afklcargo.com/icargo/showScreen.do" TargetMode="External"/><Relationship Id="rId481" Type="http://schemas.openxmlformats.org/officeDocument/2006/relationships/hyperlink" Target="https://icargo-rct.afklcargo.com/icargo/showScreen.do" TargetMode="External"/><Relationship Id="rId134" Type="http://schemas.openxmlformats.org/officeDocument/2006/relationships/hyperlink" Target="https://icargo-rc4-rct.afklcargo.com/icargo/showScreen.do" TargetMode="External"/><Relationship Id="rId579" Type="http://schemas.openxmlformats.org/officeDocument/2006/relationships/hyperlink" Target="https://icargo-rct.afklcargo.com/icargo/showScreen.do" TargetMode="External"/><Relationship Id="rId786" Type="http://schemas.openxmlformats.org/officeDocument/2006/relationships/control" Target="../activeX/activeX118.xml"/><Relationship Id="rId993" Type="http://schemas.openxmlformats.org/officeDocument/2006/relationships/control" Target="../activeX/activeX325.xml"/><Relationship Id="rId341" Type="http://schemas.openxmlformats.org/officeDocument/2006/relationships/hyperlink" Target="https://icargo-rct.afklcargo.com/icargo/showScreen.do" TargetMode="External"/><Relationship Id="rId439" Type="http://schemas.openxmlformats.org/officeDocument/2006/relationships/hyperlink" Target="https://icargo-rct.afklcargo.com/icargo/showScreen.do" TargetMode="External"/><Relationship Id="rId646" Type="http://schemas.openxmlformats.org/officeDocument/2006/relationships/hyperlink" Target="https://icargo-rct.afklcargo.com/icargo/showScreen.do" TargetMode="External"/><Relationship Id="rId1069" Type="http://schemas.openxmlformats.org/officeDocument/2006/relationships/control" Target="../activeX/activeX401.xml"/><Relationship Id="rId1276" Type="http://schemas.openxmlformats.org/officeDocument/2006/relationships/control" Target="../activeX/activeX607.xml"/><Relationship Id="rId201" Type="http://schemas.openxmlformats.org/officeDocument/2006/relationships/hyperlink" Target="https://icargo-rc4-rct.afklcargo.com/icargo/showScreen.do" TargetMode="External"/><Relationship Id="rId506" Type="http://schemas.openxmlformats.org/officeDocument/2006/relationships/hyperlink" Target="https://icargo-rct.afklcargo.com/icargo/showScreen.do" TargetMode="External"/><Relationship Id="rId853" Type="http://schemas.openxmlformats.org/officeDocument/2006/relationships/control" Target="../activeX/activeX185.xml"/><Relationship Id="rId1136" Type="http://schemas.openxmlformats.org/officeDocument/2006/relationships/control" Target="../activeX/activeX468.xml"/><Relationship Id="rId713" Type="http://schemas.openxmlformats.org/officeDocument/2006/relationships/control" Target="../activeX/activeX45.xml"/><Relationship Id="rId920" Type="http://schemas.openxmlformats.org/officeDocument/2006/relationships/control" Target="../activeX/activeX252.xml"/><Relationship Id="rId1203" Type="http://schemas.openxmlformats.org/officeDocument/2006/relationships/control" Target="../activeX/activeX534.xml"/><Relationship Id="rId296" Type="http://schemas.openxmlformats.org/officeDocument/2006/relationships/hyperlink" Target="https://icargo-rct.afklcargo.com/icargo/showScreen.do" TargetMode="External"/><Relationship Id="rId156" Type="http://schemas.openxmlformats.org/officeDocument/2006/relationships/hyperlink" Target="https://icargo-rc4-rct.afklcargo.com/icargo/showScreen.do" TargetMode="External"/><Relationship Id="rId363" Type="http://schemas.openxmlformats.org/officeDocument/2006/relationships/hyperlink" Target="https://icargo-rct.afklcargo.com/icargo/showScreen.do" TargetMode="External"/><Relationship Id="rId570" Type="http://schemas.openxmlformats.org/officeDocument/2006/relationships/hyperlink" Target="https://icargo-rct.afklcargo.com/icargo/showScreen.do" TargetMode="External"/><Relationship Id="rId223" Type="http://schemas.openxmlformats.org/officeDocument/2006/relationships/hyperlink" Target="https://icargo-rc4-rct.afklcargo.com/icargo/showScreen.do" TargetMode="External"/><Relationship Id="rId430" Type="http://schemas.openxmlformats.org/officeDocument/2006/relationships/hyperlink" Target="https://icargo-rct.afklcargo.com/icargo/showScreen.do" TargetMode="External"/><Relationship Id="rId668" Type="http://schemas.openxmlformats.org/officeDocument/2006/relationships/control" Target="../activeX/activeX1.xml"/><Relationship Id="rId875" Type="http://schemas.openxmlformats.org/officeDocument/2006/relationships/control" Target="../activeX/activeX207.xml"/><Relationship Id="rId1060" Type="http://schemas.openxmlformats.org/officeDocument/2006/relationships/control" Target="../activeX/activeX392.xml"/><Relationship Id="rId1298" Type="http://schemas.openxmlformats.org/officeDocument/2006/relationships/control" Target="../activeX/activeX629.xml"/><Relationship Id="rId528" Type="http://schemas.openxmlformats.org/officeDocument/2006/relationships/hyperlink" Target="https://icargo-rct.afklcargo.com/icargo/showScreen.do" TargetMode="External"/><Relationship Id="rId735" Type="http://schemas.openxmlformats.org/officeDocument/2006/relationships/control" Target="../activeX/activeX67.xml"/><Relationship Id="rId942" Type="http://schemas.openxmlformats.org/officeDocument/2006/relationships/control" Target="../activeX/activeX274.xml"/><Relationship Id="rId1158" Type="http://schemas.openxmlformats.org/officeDocument/2006/relationships/control" Target="../activeX/activeX490.xml"/><Relationship Id="rId1018" Type="http://schemas.openxmlformats.org/officeDocument/2006/relationships/control" Target="../activeX/activeX350.xml"/><Relationship Id="rId1225" Type="http://schemas.openxmlformats.org/officeDocument/2006/relationships/control" Target="../activeX/activeX556.xml"/><Relationship Id="rId71" Type="http://schemas.openxmlformats.org/officeDocument/2006/relationships/hyperlink" Target="https://icargo-rc4-rct.afklcargo.com/icargo/msgbroker.message.checkselected.do?openPopUpFlg=VIEW&amp;selectedId=14044850," TargetMode="External"/><Relationship Id="rId802" Type="http://schemas.openxmlformats.org/officeDocument/2006/relationships/control" Target="../activeX/activeX134.xml"/><Relationship Id="rId29" Type="http://schemas.openxmlformats.org/officeDocument/2006/relationships/hyperlink" Target="https://icargo-rc4-rct.afklcargo.com/icargo/msgbroker.message.checkselected.do?openPopUpFlg=VIEW&amp;selectedId=14044850," TargetMode="External"/><Relationship Id="rId178" Type="http://schemas.openxmlformats.org/officeDocument/2006/relationships/hyperlink" Target="https://icargo-rc4-rct.afklcargo.com/icargo/showScreen.do" TargetMode="External"/><Relationship Id="rId385" Type="http://schemas.openxmlformats.org/officeDocument/2006/relationships/hyperlink" Target="https://icargo-rct.afklcargo.com/icargo/showScreen.do" TargetMode="External"/><Relationship Id="rId592" Type="http://schemas.openxmlformats.org/officeDocument/2006/relationships/hyperlink" Target="https://icargo-rct.afklcargo.com/icargo/showScreen.do" TargetMode="External"/><Relationship Id="rId245" Type="http://schemas.openxmlformats.org/officeDocument/2006/relationships/hyperlink" Target="https://icargo-rc4-rct.afklcargo.com/icargo/showScreen.do" TargetMode="External"/><Relationship Id="rId452" Type="http://schemas.openxmlformats.org/officeDocument/2006/relationships/hyperlink" Target="https://icargo-rct.afklcargo.com/icargo/showScreen.do" TargetMode="External"/><Relationship Id="rId897" Type="http://schemas.openxmlformats.org/officeDocument/2006/relationships/control" Target="../activeX/activeX229.xml"/><Relationship Id="rId1082" Type="http://schemas.openxmlformats.org/officeDocument/2006/relationships/control" Target="../activeX/activeX414.xml"/><Relationship Id="rId105" Type="http://schemas.openxmlformats.org/officeDocument/2006/relationships/hyperlink" Target="https://icargo-rc4-rct.afklcargo.com/icargo/showScreen.do" TargetMode="External"/><Relationship Id="rId312" Type="http://schemas.openxmlformats.org/officeDocument/2006/relationships/hyperlink" Target="https://icargo-rct.afklcargo.com/icargo/showScreen.do" TargetMode="External"/><Relationship Id="rId757" Type="http://schemas.openxmlformats.org/officeDocument/2006/relationships/control" Target="../activeX/activeX89.xml"/><Relationship Id="rId964" Type="http://schemas.openxmlformats.org/officeDocument/2006/relationships/control" Target="../activeX/activeX296.xml"/><Relationship Id="rId93" Type="http://schemas.openxmlformats.org/officeDocument/2006/relationships/hyperlink" Target="https://icargo-rc4-rct.afklcargo.com/icargo/msgbroker.message.checkselected.do?openPopUpFlg=VIEW&amp;selectedId=14044850," TargetMode="External"/><Relationship Id="rId617" Type="http://schemas.openxmlformats.org/officeDocument/2006/relationships/hyperlink" Target="https://icargo-rct.afklcargo.com/icargo/showScreen.do" TargetMode="External"/><Relationship Id="rId824" Type="http://schemas.openxmlformats.org/officeDocument/2006/relationships/control" Target="../activeX/activeX156.xml"/><Relationship Id="rId1247" Type="http://schemas.openxmlformats.org/officeDocument/2006/relationships/control" Target="../activeX/activeX578.xml"/><Relationship Id="rId1107" Type="http://schemas.openxmlformats.org/officeDocument/2006/relationships/control" Target="../activeX/activeX439.xml"/><Relationship Id="rId20" Type="http://schemas.openxmlformats.org/officeDocument/2006/relationships/hyperlink" Target="https://icargo-rc4-rct.afklcargo.com/icargo/msgbroker.message.checkselected.do?openPopUpFlg=VIEW&amp;selectedId=14044850," TargetMode="External"/><Relationship Id="rId267" Type="http://schemas.openxmlformats.org/officeDocument/2006/relationships/hyperlink" Target="https://icargo-rc4-rct.afklcargo.com/icargo/showScreen.do" TargetMode="External"/><Relationship Id="rId474" Type="http://schemas.openxmlformats.org/officeDocument/2006/relationships/hyperlink" Target="https://icargo-rct.afklcargo.com/icargo/showScreen.do" TargetMode="External"/><Relationship Id="rId127" Type="http://schemas.openxmlformats.org/officeDocument/2006/relationships/hyperlink" Target="https://icargo-rc4-rct.afklcargo.com/icargo/showScreen.do" TargetMode="External"/><Relationship Id="rId681" Type="http://schemas.openxmlformats.org/officeDocument/2006/relationships/control" Target="../activeX/activeX13.xml"/><Relationship Id="rId779" Type="http://schemas.openxmlformats.org/officeDocument/2006/relationships/control" Target="../activeX/activeX111.xml"/><Relationship Id="rId986" Type="http://schemas.openxmlformats.org/officeDocument/2006/relationships/control" Target="../activeX/activeX318.xml"/><Relationship Id="rId334" Type="http://schemas.openxmlformats.org/officeDocument/2006/relationships/hyperlink" Target="https://icargo-rct.afklcargo.com/icargo/showScreen.do" TargetMode="External"/><Relationship Id="rId541" Type="http://schemas.openxmlformats.org/officeDocument/2006/relationships/hyperlink" Target="https://icargo-rct.afklcargo.com/icargo/showScreen.do" TargetMode="External"/><Relationship Id="rId639" Type="http://schemas.openxmlformats.org/officeDocument/2006/relationships/hyperlink" Target="https://icargo-rct.afklcargo.com/icargo/showScreen.do" TargetMode="External"/><Relationship Id="rId1171" Type="http://schemas.openxmlformats.org/officeDocument/2006/relationships/control" Target="../activeX/activeX503.xml"/><Relationship Id="rId1269" Type="http://schemas.openxmlformats.org/officeDocument/2006/relationships/control" Target="../activeX/activeX600.xml"/><Relationship Id="rId401" Type="http://schemas.openxmlformats.org/officeDocument/2006/relationships/hyperlink" Target="https://icargo-rct.afklcargo.com/icargo/showScreen.do" TargetMode="External"/><Relationship Id="rId846" Type="http://schemas.openxmlformats.org/officeDocument/2006/relationships/control" Target="../activeX/activeX178.xml"/><Relationship Id="rId1031" Type="http://schemas.openxmlformats.org/officeDocument/2006/relationships/control" Target="../activeX/activeX363.xml"/><Relationship Id="rId1129" Type="http://schemas.openxmlformats.org/officeDocument/2006/relationships/control" Target="../activeX/activeX461.xml"/><Relationship Id="rId706" Type="http://schemas.openxmlformats.org/officeDocument/2006/relationships/control" Target="../activeX/activeX38.xml"/><Relationship Id="rId913" Type="http://schemas.openxmlformats.org/officeDocument/2006/relationships/control" Target="../activeX/activeX245.xml"/><Relationship Id="rId42" Type="http://schemas.openxmlformats.org/officeDocument/2006/relationships/hyperlink" Target="https://icargo-rc4-rct.afklcargo.com/icargo/msgbroker.message.checkselected.do?openPopUpFlg=VIEW&amp;selectedId=14044850," TargetMode="External"/><Relationship Id="rId191" Type="http://schemas.openxmlformats.org/officeDocument/2006/relationships/hyperlink" Target="https://icargo-rc4-rct.afklcargo.com/icargo/showScreen.do" TargetMode="External"/><Relationship Id="rId289" Type="http://schemas.openxmlformats.org/officeDocument/2006/relationships/hyperlink" Target="https://icargo-rct.afklcargo.com/icargo/showScreen.do" TargetMode="External"/><Relationship Id="rId496" Type="http://schemas.openxmlformats.org/officeDocument/2006/relationships/hyperlink" Target="https://icargo-rct.afklcargo.com/icargo/showScreen.do" TargetMode="External"/><Relationship Id="rId149" Type="http://schemas.openxmlformats.org/officeDocument/2006/relationships/hyperlink" Target="https://icargo-rc4-rct.afklcargo.com/icargo/showScreen.do" TargetMode="External"/><Relationship Id="rId356" Type="http://schemas.openxmlformats.org/officeDocument/2006/relationships/hyperlink" Target="https://icargo-rct.afklcargo.com/icargo/showScreen.do" TargetMode="External"/><Relationship Id="rId563" Type="http://schemas.openxmlformats.org/officeDocument/2006/relationships/hyperlink" Target="https://icargo-rct.afklcargo.com/icargo/showScreen.do" TargetMode="External"/><Relationship Id="rId770" Type="http://schemas.openxmlformats.org/officeDocument/2006/relationships/control" Target="../activeX/activeX102.xml"/><Relationship Id="rId1193" Type="http://schemas.openxmlformats.org/officeDocument/2006/relationships/control" Target="../activeX/activeX524.xml"/><Relationship Id="rId216" Type="http://schemas.openxmlformats.org/officeDocument/2006/relationships/hyperlink" Target="https://icargo-rc4-rct.afklcargo.com/icargo/showScreen.do" TargetMode="External"/><Relationship Id="rId423" Type="http://schemas.openxmlformats.org/officeDocument/2006/relationships/hyperlink" Target="https://icargo-rct.afklcargo.com/icargo/showScreen.do" TargetMode="External"/><Relationship Id="rId868" Type="http://schemas.openxmlformats.org/officeDocument/2006/relationships/control" Target="../activeX/activeX200.xml"/><Relationship Id="rId1053" Type="http://schemas.openxmlformats.org/officeDocument/2006/relationships/control" Target="../activeX/activeX385.xml"/><Relationship Id="rId1260" Type="http://schemas.openxmlformats.org/officeDocument/2006/relationships/control" Target="../activeX/activeX591.xml"/><Relationship Id="rId630" Type="http://schemas.openxmlformats.org/officeDocument/2006/relationships/hyperlink" Target="https://icargo-rct.afklcargo.com/icargo/showScreen.do" TargetMode="External"/><Relationship Id="rId728" Type="http://schemas.openxmlformats.org/officeDocument/2006/relationships/control" Target="../activeX/activeX60.xml"/><Relationship Id="rId935" Type="http://schemas.openxmlformats.org/officeDocument/2006/relationships/control" Target="../activeX/activeX267.xml"/><Relationship Id="rId64" Type="http://schemas.openxmlformats.org/officeDocument/2006/relationships/hyperlink" Target="https://icargo-rc4-rct.afklcargo.com/icargo/msgbroker.message.checkselected.do?openPopUpFlg=VIEW&amp;selectedId=14044850," TargetMode="External"/><Relationship Id="rId367" Type="http://schemas.openxmlformats.org/officeDocument/2006/relationships/hyperlink" Target="https://icargo-rct.afklcargo.com/icargo/showScreen.do" TargetMode="External"/><Relationship Id="rId574" Type="http://schemas.openxmlformats.org/officeDocument/2006/relationships/hyperlink" Target="https://icargo-rct.afklcargo.com/icargo/showScreen.do" TargetMode="External"/><Relationship Id="rId1120" Type="http://schemas.openxmlformats.org/officeDocument/2006/relationships/control" Target="../activeX/activeX452.xml"/><Relationship Id="rId1218" Type="http://schemas.openxmlformats.org/officeDocument/2006/relationships/control" Target="../activeX/activeX549.xml"/><Relationship Id="rId227" Type="http://schemas.openxmlformats.org/officeDocument/2006/relationships/hyperlink" Target="https://icargo-rc4-rct.afklcargo.com/icargo/showScreen.do" TargetMode="External"/><Relationship Id="rId781" Type="http://schemas.openxmlformats.org/officeDocument/2006/relationships/control" Target="../activeX/activeX113.xml"/><Relationship Id="rId879" Type="http://schemas.openxmlformats.org/officeDocument/2006/relationships/control" Target="../activeX/activeX211.xml"/><Relationship Id="rId434" Type="http://schemas.openxmlformats.org/officeDocument/2006/relationships/hyperlink" Target="https://icargo-rct.afklcargo.com/icargo/showScreen.do" TargetMode="External"/><Relationship Id="rId641" Type="http://schemas.openxmlformats.org/officeDocument/2006/relationships/hyperlink" Target="https://icargo-rct.afklcargo.com/icargo/showScreen.do" TargetMode="External"/><Relationship Id="rId739" Type="http://schemas.openxmlformats.org/officeDocument/2006/relationships/control" Target="../activeX/activeX71.xml"/><Relationship Id="rId1064" Type="http://schemas.openxmlformats.org/officeDocument/2006/relationships/control" Target="../activeX/activeX396.xml"/><Relationship Id="rId1271" Type="http://schemas.openxmlformats.org/officeDocument/2006/relationships/control" Target="../activeX/activeX602.xml"/><Relationship Id="rId280" Type="http://schemas.openxmlformats.org/officeDocument/2006/relationships/hyperlink" Target="https://icargo-rc4-rct.afklcargo.com/icargo/showScreen.do" TargetMode="External"/><Relationship Id="rId501" Type="http://schemas.openxmlformats.org/officeDocument/2006/relationships/hyperlink" Target="https://icargo-rct.afklcargo.com/icargo/showScreen.do" TargetMode="External"/><Relationship Id="rId946" Type="http://schemas.openxmlformats.org/officeDocument/2006/relationships/control" Target="../activeX/activeX278.xml"/><Relationship Id="rId1131" Type="http://schemas.openxmlformats.org/officeDocument/2006/relationships/control" Target="../activeX/activeX463.xml"/><Relationship Id="rId1229" Type="http://schemas.openxmlformats.org/officeDocument/2006/relationships/control" Target="../activeX/activeX560.xml"/><Relationship Id="rId75" Type="http://schemas.openxmlformats.org/officeDocument/2006/relationships/hyperlink" Target="https://icargo-rc4-rct.afklcargo.com/icargo/msgbroker.message.checkselected.do?openPopUpFlg=VIEW&amp;selectedId=14044850," TargetMode="External"/><Relationship Id="rId140" Type="http://schemas.openxmlformats.org/officeDocument/2006/relationships/hyperlink" Target="https://icargo-rc4-rct.afklcargo.com/icargo/showScreen.do" TargetMode="External"/><Relationship Id="rId378" Type="http://schemas.openxmlformats.org/officeDocument/2006/relationships/hyperlink" Target="https://icargo-rct.afklcargo.com/icargo/showScreen.do" TargetMode="External"/><Relationship Id="rId585" Type="http://schemas.openxmlformats.org/officeDocument/2006/relationships/hyperlink" Target="https://icargo-rct.afklcargo.com/icargo/showScreen.do" TargetMode="External"/><Relationship Id="rId792" Type="http://schemas.openxmlformats.org/officeDocument/2006/relationships/control" Target="../activeX/activeX124.xml"/><Relationship Id="rId806" Type="http://schemas.openxmlformats.org/officeDocument/2006/relationships/control" Target="../activeX/activeX138.xml"/><Relationship Id="rId6" Type="http://schemas.openxmlformats.org/officeDocument/2006/relationships/hyperlink" Target="https://icargo-rc4-rct.afklcargo.com/icargo/msgbroker.message.checkselected.do?openPopUpFlg=VIEW&amp;selectedId=14044850," TargetMode="External"/><Relationship Id="rId238" Type="http://schemas.openxmlformats.org/officeDocument/2006/relationships/hyperlink" Target="https://icargo-rc4-rct.afklcargo.com/icargo/showScreen.do" TargetMode="External"/><Relationship Id="rId445" Type="http://schemas.openxmlformats.org/officeDocument/2006/relationships/hyperlink" Target="https://icargo-rct.afklcargo.com/icargo/showScreen.do" TargetMode="External"/><Relationship Id="rId652" Type="http://schemas.openxmlformats.org/officeDocument/2006/relationships/hyperlink" Target="https://icargo-rct.afklcargo.com/icargo/showScreen.do" TargetMode="External"/><Relationship Id="rId1075" Type="http://schemas.openxmlformats.org/officeDocument/2006/relationships/control" Target="../activeX/activeX407.xml"/><Relationship Id="rId1282" Type="http://schemas.openxmlformats.org/officeDocument/2006/relationships/control" Target="../activeX/activeX613.xml"/><Relationship Id="rId291" Type="http://schemas.openxmlformats.org/officeDocument/2006/relationships/hyperlink" Target="https://icargo-rct.afklcargo.com/icargo/showScreen.do" TargetMode="External"/><Relationship Id="rId305" Type="http://schemas.openxmlformats.org/officeDocument/2006/relationships/hyperlink" Target="https://icargo-rct.afklcargo.com/icargo/showScreen.do" TargetMode="External"/><Relationship Id="rId512" Type="http://schemas.openxmlformats.org/officeDocument/2006/relationships/hyperlink" Target="https://icargo-rct.afklcargo.com/icargo/showScreen.do" TargetMode="External"/><Relationship Id="rId957" Type="http://schemas.openxmlformats.org/officeDocument/2006/relationships/control" Target="../activeX/activeX289.xml"/><Relationship Id="rId1142" Type="http://schemas.openxmlformats.org/officeDocument/2006/relationships/control" Target="../activeX/activeX474.xml"/><Relationship Id="rId86" Type="http://schemas.openxmlformats.org/officeDocument/2006/relationships/hyperlink" Target="https://icargo-rc4-rct.afklcargo.com/icargo/msgbroker.message.checkselected.do?openPopUpFlg=VIEW&amp;selectedId=14044850," TargetMode="External"/><Relationship Id="rId151" Type="http://schemas.openxmlformats.org/officeDocument/2006/relationships/hyperlink" Target="https://icargo-rc4-rct.afklcargo.com/icargo/showScreen.do" TargetMode="External"/><Relationship Id="rId389" Type="http://schemas.openxmlformats.org/officeDocument/2006/relationships/hyperlink" Target="https://icargo-rct.afklcargo.com/icargo/showScreen.do" TargetMode="External"/><Relationship Id="rId596" Type="http://schemas.openxmlformats.org/officeDocument/2006/relationships/hyperlink" Target="https://icargo-rct.afklcargo.com/icargo/showScreen.do" TargetMode="External"/><Relationship Id="rId817" Type="http://schemas.openxmlformats.org/officeDocument/2006/relationships/control" Target="../activeX/activeX149.xml"/><Relationship Id="rId1002" Type="http://schemas.openxmlformats.org/officeDocument/2006/relationships/control" Target="../activeX/activeX334.xml"/><Relationship Id="rId249" Type="http://schemas.openxmlformats.org/officeDocument/2006/relationships/hyperlink" Target="https://icargo-rc4-rct.afklcargo.com/icargo/showScreen.do" TargetMode="External"/><Relationship Id="rId456" Type="http://schemas.openxmlformats.org/officeDocument/2006/relationships/hyperlink" Target="https://icargo-rct.afklcargo.com/icargo/showScreen.do" TargetMode="External"/><Relationship Id="rId663" Type="http://schemas.openxmlformats.org/officeDocument/2006/relationships/hyperlink" Target="https://icargo-rct.afklcargo.com/icargo/showScreen.do" TargetMode="External"/><Relationship Id="rId870" Type="http://schemas.openxmlformats.org/officeDocument/2006/relationships/control" Target="../activeX/activeX202.xml"/><Relationship Id="rId1086" Type="http://schemas.openxmlformats.org/officeDocument/2006/relationships/control" Target="../activeX/activeX418.xml"/><Relationship Id="rId1293" Type="http://schemas.openxmlformats.org/officeDocument/2006/relationships/control" Target="../activeX/activeX624.xml"/><Relationship Id="rId13" Type="http://schemas.openxmlformats.org/officeDocument/2006/relationships/hyperlink" Target="https://icargo-rc4-rct.afklcargo.com/icargo/msgbroker.message.checkselected.do?openPopUpFlg=VIEW&amp;selectedId=14044850," TargetMode="External"/><Relationship Id="rId109" Type="http://schemas.openxmlformats.org/officeDocument/2006/relationships/hyperlink" Target="https://icargo-rc4-rct.afklcargo.com/icargo/showScreen.do" TargetMode="External"/><Relationship Id="rId316" Type="http://schemas.openxmlformats.org/officeDocument/2006/relationships/hyperlink" Target="https://icargo-rct.afklcargo.com/icargo/showScreen.do" TargetMode="External"/><Relationship Id="rId523" Type="http://schemas.openxmlformats.org/officeDocument/2006/relationships/hyperlink" Target="https://icargo-rct.afklcargo.com/icargo/showScreen.do" TargetMode="External"/><Relationship Id="rId968" Type="http://schemas.openxmlformats.org/officeDocument/2006/relationships/control" Target="../activeX/activeX300.xml"/><Relationship Id="rId1153" Type="http://schemas.openxmlformats.org/officeDocument/2006/relationships/control" Target="../activeX/activeX485.xml"/><Relationship Id="rId97" Type="http://schemas.openxmlformats.org/officeDocument/2006/relationships/hyperlink" Target="https://icargo-rc4-rct.afklcargo.com/icargo/msgbroker.message.checkselected.do?openPopUpFlg=VIEW&amp;selectedId=14044850," TargetMode="External"/><Relationship Id="rId730" Type="http://schemas.openxmlformats.org/officeDocument/2006/relationships/control" Target="../activeX/activeX62.xml"/><Relationship Id="rId828" Type="http://schemas.openxmlformats.org/officeDocument/2006/relationships/control" Target="../activeX/activeX160.xml"/><Relationship Id="rId1013" Type="http://schemas.openxmlformats.org/officeDocument/2006/relationships/control" Target="../activeX/activeX345.xml"/><Relationship Id="rId162" Type="http://schemas.openxmlformats.org/officeDocument/2006/relationships/hyperlink" Target="https://icargo-rc4-rct.afklcargo.com/icargo/showScreen.do" TargetMode="External"/><Relationship Id="rId467" Type="http://schemas.openxmlformats.org/officeDocument/2006/relationships/hyperlink" Target="https://icargo-rct.afklcargo.com/icargo/showScreen.do" TargetMode="External"/><Relationship Id="rId1097" Type="http://schemas.openxmlformats.org/officeDocument/2006/relationships/control" Target="../activeX/activeX429.xml"/><Relationship Id="rId1220" Type="http://schemas.openxmlformats.org/officeDocument/2006/relationships/control" Target="../activeX/activeX551.xml"/><Relationship Id="rId674" Type="http://schemas.openxmlformats.org/officeDocument/2006/relationships/control" Target="../activeX/activeX6.xml"/><Relationship Id="rId881" Type="http://schemas.openxmlformats.org/officeDocument/2006/relationships/control" Target="../activeX/activeX213.xml"/><Relationship Id="rId979" Type="http://schemas.openxmlformats.org/officeDocument/2006/relationships/control" Target="../activeX/activeX311.xml"/><Relationship Id="rId24" Type="http://schemas.openxmlformats.org/officeDocument/2006/relationships/hyperlink" Target="https://icargo-rc4-rct.afklcargo.com/icargo/msgbroker.message.checkselected.do?openPopUpFlg=VIEW&amp;selectedId=14044850," TargetMode="External"/><Relationship Id="rId327" Type="http://schemas.openxmlformats.org/officeDocument/2006/relationships/hyperlink" Target="https://icargo-rct.afklcargo.com/icargo/showScreen.do" TargetMode="External"/><Relationship Id="rId534" Type="http://schemas.openxmlformats.org/officeDocument/2006/relationships/hyperlink" Target="https://icargo-rct.afklcargo.com/icargo/showScreen.do" TargetMode="External"/><Relationship Id="rId741" Type="http://schemas.openxmlformats.org/officeDocument/2006/relationships/control" Target="../activeX/activeX73.xml"/><Relationship Id="rId839" Type="http://schemas.openxmlformats.org/officeDocument/2006/relationships/control" Target="../activeX/activeX171.xml"/><Relationship Id="rId1164" Type="http://schemas.openxmlformats.org/officeDocument/2006/relationships/control" Target="../activeX/activeX496.xml"/><Relationship Id="rId173" Type="http://schemas.openxmlformats.org/officeDocument/2006/relationships/hyperlink" Target="https://icargo-rc4-rct.afklcargo.com/icargo/showScreen.do" TargetMode="External"/><Relationship Id="rId380" Type="http://schemas.openxmlformats.org/officeDocument/2006/relationships/hyperlink" Target="https://icargo-rct.afklcargo.com/icargo/showScreen.do" TargetMode="External"/><Relationship Id="rId601" Type="http://schemas.openxmlformats.org/officeDocument/2006/relationships/hyperlink" Target="https://icargo-rct.afklcargo.com/icargo/showScreen.do" TargetMode="External"/><Relationship Id="rId1024" Type="http://schemas.openxmlformats.org/officeDocument/2006/relationships/control" Target="../activeX/activeX356.xml"/><Relationship Id="rId1231" Type="http://schemas.openxmlformats.org/officeDocument/2006/relationships/control" Target="../activeX/activeX562.xml"/><Relationship Id="rId240" Type="http://schemas.openxmlformats.org/officeDocument/2006/relationships/hyperlink" Target="https://icargo-rc4-rct.afklcargo.com/icargo/showScreen.do" TargetMode="External"/><Relationship Id="rId478" Type="http://schemas.openxmlformats.org/officeDocument/2006/relationships/hyperlink" Target="https://icargo-rct.afklcargo.com/icargo/showScreen.do" TargetMode="External"/><Relationship Id="rId685" Type="http://schemas.openxmlformats.org/officeDocument/2006/relationships/control" Target="../activeX/activeX17.xml"/><Relationship Id="rId892" Type="http://schemas.openxmlformats.org/officeDocument/2006/relationships/control" Target="../activeX/activeX224.xml"/><Relationship Id="rId906" Type="http://schemas.openxmlformats.org/officeDocument/2006/relationships/control" Target="../activeX/activeX238.xml"/><Relationship Id="rId35" Type="http://schemas.openxmlformats.org/officeDocument/2006/relationships/hyperlink" Target="https://icargo-rc4-rct.afklcargo.com/icargo/msgbroker.message.checkselected.do?openPopUpFlg=VIEW&amp;selectedId=14044850," TargetMode="External"/><Relationship Id="rId100" Type="http://schemas.openxmlformats.org/officeDocument/2006/relationships/hyperlink" Target="https://icargo-rc4-rct.afklcargo.com/icargo/msgbroker.message.checkselected.do?openPopUpFlg=VIEW&amp;selectedId=14044850," TargetMode="External"/><Relationship Id="rId338" Type="http://schemas.openxmlformats.org/officeDocument/2006/relationships/hyperlink" Target="https://icargo-rct.afklcargo.com/icargo/showScreen.do" TargetMode="External"/><Relationship Id="rId545" Type="http://schemas.openxmlformats.org/officeDocument/2006/relationships/hyperlink" Target="https://icargo-rct.afklcargo.com/icargo/showScreen.do" TargetMode="External"/><Relationship Id="rId752" Type="http://schemas.openxmlformats.org/officeDocument/2006/relationships/control" Target="../activeX/activeX84.xml"/><Relationship Id="rId1175" Type="http://schemas.openxmlformats.org/officeDocument/2006/relationships/control" Target="../activeX/activeX507.xml"/><Relationship Id="rId184" Type="http://schemas.openxmlformats.org/officeDocument/2006/relationships/hyperlink" Target="https://icargo-rc4-rct.afklcargo.com/icargo/showScreen.do" TargetMode="External"/><Relationship Id="rId391" Type="http://schemas.openxmlformats.org/officeDocument/2006/relationships/hyperlink" Target="https://icargo-rct.afklcargo.com/icargo/showScreen.do" TargetMode="External"/><Relationship Id="rId405" Type="http://schemas.openxmlformats.org/officeDocument/2006/relationships/hyperlink" Target="https://icargo-rct.afklcargo.com/icargo/showScreen.do" TargetMode="External"/><Relationship Id="rId612" Type="http://schemas.openxmlformats.org/officeDocument/2006/relationships/hyperlink" Target="https://icargo-rct.afklcargo.com/icargo/showScreen.do" TargetMode="External"/><Relationship Id="rId1035" Type="http://schemas.openxmlformats.org/officeDocument/2006/relationships/control" Target="../activeX/activeX367.xml"/><Relationship Id="rId1242" Type="http://schemas.openxmlformats.org/officeDocument/2006/relationships/control" Target="../activeX/activeX573.xml"/><Relationship Id="rId251" Type="http://schemas.openxmlformats.org/officeDocument/2006/relationships/hyperlink" Target="https://icargo-rc4-rct.afklcargo.com/icargo/showScreen.do" TargetMode="External"/><Relationship Id="rId489" Type="http://schemas.openxmlformats.org/officeDocument/2006/relationships/hyperlink" Target="https://icargo-rct.afklcargo.com/icargo/showScreen.do" TargetMode="External"/><Relationship Id="rId696" Type="http://schemas.openxmlformats.org/officeDocument/2006/relationships/control" Target="../activeX/activeX28.xml"/><Relationship Id="rId917" Type="http://schemas.openxmlformats.org/officeDocument/2006/relationships/control" Target="../activeX/activeX249.xml"/><Relationship Id="rId1102" Type="http://schemas.openxmlformats.org/officeDocument/2006/relationships/control" Target="../activeX/activeX434.xml"/><Relationship Id="rId46" Type="http://schemas.openxmlformats.org/officeDocument/2006/relationships/hyperlink" Target="https://icargo-rc4-rct.afklcargo.com/icargo/msgbroker.message.checkselected.do?openPopUpFlg=VIEW&amp;selectedId=14044850," TargetMode="External"/><Relationship Id="rId349" Type="http://schemas.openxmlformats.org/officeDocument/2006/relationships/hyperlink" Target="https://icargo-rct.afklcargo.com/icargo/showScreen.do" TargetMode="External"/><Relationship Id="rId556" Type="http://schemas.openxmlformats.org/officeDocument/2006/relationships/hyperlink" Target="https://icargo-rct.afklcargo.com/icargo/showScreen.do" TargetMode="External"/><Relationship Id="rId763" Type="http://schemas.openxmlformats.org/officeDocument/2006/relationships/control" Target="../activeX/activeX95.xml"/><Relationship Id="rId1186" Type="http://schemas.openxmlformats.org/officeDocument/2006/relationships/control" Target="../activeX/activeX517.xml"/><Relationship Id="rId111" Type="http://schemas.openxmlformats.org/officeDocument/2006/relationships/hyperlink" Target="https://icargo-rc4-rct.afklcargo.com/icargo/showScreen.do" TargetMode="External"/><Relationship Id="rId195" Type="http://schemas.openxmlformats.org/officeDocument/2006/relationships/hyperlink" Target="https://icargo-rc4-rct.afklcargo.com/icargo/showScreen.do" TargetMode="External"/><Relationship Id="rId209" Type="http://schemas.openxmlformats.org/officeDocument/2006/relationships/hyperlink" Target="https://icargo-rc4-rct.afklcargo.com/icargo/showScreen.do" TargetMode="External"/><Relationship Id="rId416" Type="http://schemas.openxmlformats.org/officeDocument/2006/relationships/hyperlink" Target="https://icargo-rct.afklcargo.com/icargo/showScreen.do" TargetMode="External"/><Relationship Id="rId970" Type="http://schemas.openxmlformats.org/officeDocument/2006/relationships/control" Target="../activeX/activeX302.xml"/><Relationship Id="rId1046" Type="http://schemas.openxmlformats.org/officeDocument/2006/relationships/control" Target="../activeX/activeX378.xml"/><Relationship Id="rId1253" Type="http://schemas.openxmlformats.org/officeDocument/2006/relationships/control" Target="../activeX/activeX584.xml"/><Relationship Id="rId623" Type="http://schemas.openxmlformats.org/officeDocument/2006/relationships/hyperlink" Target="https://icargo-rct.afklcargo.com/icargo/showScreen.do" TargetMode="External"/><Relationship Id="rId830" Type="http://schemas.openxmlformats.org/officeDocument/2006/relationships/control" Target="../activeX/activeX162.xml"/><Relationship Id="rId928" Type="http://schemas.openxmlformats.org/officeDocument/2006/relationships/control" Target="../activeX/activeX260.xml"/><Relationship Id="rId57" Type="http://schemas.openxmlformats.org/officeDocument/2006/relationships/hyperlink" Target="https://icargo-rc4-rct.afklcargo.com/icargo/msgbroker.message.checkselected.do?openPopUpFlg=VIEW&amp;selectedId=14044850," TargetMode="External"/><Relationship Id="rId262" Type="http://schemas.openxmlformats.org/officeDocument/2006/relationships/hyperlink" Target="https://icargo-rc4-rct.afklcargo.com/icargo/showScreen.do" TargetMode="External"/><Relationship Id="rId567" Type="http://schemas.openxmlformats.org/officeDocument/2006/relationships/hyperlink" Target="https://icargo-rct.afklcargo.com/icargo/showScreen.do" TargetMode="External"/><Relationship Id="rId1113" Type="http://schemas.openxmlformats.org/officeDocument/2006/relationships/control" Target="../activeX/activeX445.xml"/><Relationship Id="rId1197" Type="http://schemas.openxmlformats.org/officeDocument/2006/relationships/control" Target="../activeX/activeX528.xml"/><Relationship Id="rId122" Type="http://schemas.openxmlformats.org/officeDocument/2006/relationships/hyperlink" Target="https://icargo-rc4-rct.afklcargo.com/icargo/showScreen.do" TargetMode="External"/><Relationship Id="rId774" Type="http://schemas.openxmlformats.org/officeDocument/2006/relationships/control" Target="../activeX/activeX106.xml"/><Relationship Id="rId981" Type="http://schemas.openxmlformats.org/officeDocument/2006/relationships/control" Target="../activeX/activeX313.xml"/><Relationship Id="rId1057" Type="http://schemas.openxmlformats.org/officeDocument/2006/relationships/control" Target="../activeX/activeX389.xml"/><Relationship Id="rId427" Type="http://schemas.openxmlformats.org/officeDocument/2006/relationships/hyperlink" Target="https://icargo-rct.afklcargo.com/icargo/showScreen.do" TargetMode="External"/><Relationship Id="rId634" Type="http://schemas.openxmlformats.org/officeDocument/2006/relationships/hyperlink" Target="https://icargo-rct.afklcargo.com/icargo/showScreen.do" TargetMode="External"/><Relationship Id="rId841" Type="http://schemas.openxmlformats.org/officeDocument/2006/relationships/control" Target="../activeX/activeX173.xml"/><Relationship Id="rId1264" Type="http://schemas.openxmlformats.org/officeDocument/2006/relationships/control" Target="../activeX/activeX595.xml"/><Relationship Id="rId273" Type="http://schemas.openxmlformats.org/officeDocument/2006/relationships/hyperlink" Target="https://icargo-rc4-rct.afklcargo.com/icargo/showScreen.do" TargetMode="External"/><Relationship Id="rId480" Type="http://schemas.openxmlformats.org/officeDocument/2006/relationships/hyperlink" Target="https://icargo-rct.afklcargo.com/icargo/showScreen.do" TargetMode="External"/><Relationship Id="rId701" Type="http://schemas.openxmlformats.org/officeDocument/2006/relationships/control" Target="../activeX/activeX33.xml"/><Relationship Id="rId939" Type="http://schemas.openxmlformats.org/officeDocument/2006/relationships/control" Target="../activeX/activeX271.xml"/><Relationship Id="rId1124" Type="http://schemas.openxmlformats.org/officeDocument/2006/relationships/control" Target="../activeX/activeX456.xml"/><Relationship Id="rId68" Type="http://schemas.openxmlformats.org/officeDocument/2006/relationships/hyperlink" Target="https://icargo-rc4-rct.afklcargo.com/icargo/msgbroker.message.checkselected.do?openPopUpFlg=VIEW&amp;selectedId=14044850," TargetMode="External"/><Relationship Id="rId133" Type="http://schemas.openxmlformats.org/officeDocument/2006/relationships/hyperlink" Target="https://icargo-rc4-rct.afklcargo.com/icargo/showScreen.do" TargetMode="External"/><Relationship Id="rId340" Type="http://schemas.openxmlformats.org/officeDocument/2006/relationships/hyperlink" Target="https://icargo-rct.afklcargo.com/icargo/showScreen.do" TargetMode="External"/><Relationship Id="rId578" Type="http://schemas.openxmlformats.org/officeDocument/2006/relationships/hyperlink" Target="https://icargo-rct.afklcargo.com/icargo/showScreen.do" TargetMode="External"/><Relationship Id="rId785" Type="http://schemas.openxmlformats.org/officeDocument/2006/relationships/control" Target="../activeX/activeX117.xml"/><Relationship Id="rId992" Type="http://schemas.openxmlformats.org/officeDocument/2006/relationships/control" Target="../activeX/activeX324.xml"/><Relationship Id="rId200" Type="http://schemas.openxmlformats.org/officeDocument/2006/relationships/hyperlink" Target="https://icargo-rc4-rct.afklcargo.com/icargo/showScreen.do" TargetMode="External"/><Relationship Id="rId438" Type="http://schemas.openxmlformats.org/officeDocument/2006/relationships/hyperlink" Target="https://icargo-rct.afklcargo.com/icargo/showScreen.do" TargetMode="External"/><Relationship Id="rId645" Type="http://schemas.openxmlformats.org/officeDocument/2006/relationships/hyperlink" Target="https://icargo-rct.afklcargo.com/icargo/showScreen.do" TargetMode="External"/><Relationship Id="rId852" Type="http://schemas.openxmlformats.org/officeDocument/2006/relationships/control" Target="../activeX/activeX184.xml"/><Relationship Id="rId1068" Type="http://schemas.openxmlformats.org/officeDocument/2006/relationships/control" Target="../activeX/activeX400.xml"/><Relationship Id="rId1275" Type="http://schemas.openxmlformats.org/officeDocument/2006/relationships/control" Target="../activeX/activeX606.xml"/><Relationship Id="rId284" Type="http://schemas.openxmlformats.org/officeDocument/2006/relationships/hyperlink" Target="https://icargo-rct.afklcargo.com/icargo/showScreen.do" TargetMode="External"/><Relationship Id="rId491" Type="http://schemas.openxmlformats.org/officeDocument/2006/relationships/hyperlink" Target="https://icargo-rct.afklcargo.com/icargo/showScreen.do" TargetMode="External"/><Relationship Id="rId505" Type="http://schemas.openxmlformats.org/officeDocument/2006/relationships/hyperlink" Target="https://icargo-rct.afklcargo.com/icargo/showScreen.do" TargetMode="External"/><Relationship Id="rId712" Type="http://schemas.openxmlformats.org/officeDocument/2006/relationships/control" Target="../activeX/activeX44.xml"/><Relationship Id="rId1135" Type="http://schemas.openxmlformats.org/officeDocument/2006/relationships/control" Target="../activeX/activeX467.xml"/><Relationship Id="rId79" Type="http://schemas.openxmlformats.org/officeDocument/2006/relationships/hyperlink" Target="https://icargo-rc4-rct.afklcargo.com/icargo/msgbroker.message.checkselected.do?openPopUpFlg=VIEW&amp;selectedId=14044850," TargetMode="External"/><Relationship Id="rId144" Type="http://schemas.openxmlformats.org/officeDocument/2006/relationships/hyperlink" Target="https://icargo-rc4-rct.afklcargo.com/icargo/showScreen.do" TargetMode="External"/><Relationship Id="rId589" Type="http://schemas.openxmlformats.org/officeDocument/2006/relationships/hyperlink" Target="https://icargo-rct.afklcargo.com/icargo/showScreen.do" TargetMode="External"/><Relationship Id="rId796" Type="http://schemas.openxmlformats.org/officeDocument/2006/relationships/control" Target="../activeX/activeX128.xml"/><Relationship Id="rId1202" Type="http://schemas.openxmlformats.org/officeDocument/2006/relationships/control" Target="../activeX/activeX533.xml"/><Relationship Id="rId351" Type="http://schemas.openxmlformats.org/officeDocument/2006/relationships/hyperlink" Target="https://icargo-rct.afklcargo.com/icargo/showScreen.do" TargetMode="External"/><Relationship Id="rId449" Type="http://schemas.openxmlformats.org/officeDocument/2006/relationships/hyperlink" Target="https://icargo-rct.afklcargo.com/icargo/showScreen.do" TargetMode="External"/><Relationship Id="rId656" Type="http://schemas.openxmlformats.org/officeDocument/2006/relationships/hyperlink" Target="https://icargo-rct.afklcargo.com/icargo/showScreen.do" TargetMode="External"/><Relationship Id="rId863" Type="http://schemas.openxmlformats.org/officeDocument/2006/relationships/control" Target="../activeX/activeX195.xml"/><Relationship Id="rId1079" Type="http://schemas.openxmlformats.org/officeDocument/2006/relationships/control" Target="../activeX/activeX411.xml"/><Relationship Id="rId1286" Type="http://schemas.openxmlformats.org/officeDocument/2006/relationships/control" Target="../activeX/activeX617.xml"/><Relationship Id="rId211" Type="http://schemas.openxmlformats.org/officeDocument/2006/relationships/hyperlink" Target="https://icargo-rc4-rct.afklcargo.com/icargo/showScreen.do" TargetMode="External"/><Relationship Id="rId295" Type="http://schemas.openxmlformats.org/officeDocument/2006/relationships/hyperlink" Target="https://icargo-rct.afklcargo.com/icargo/showScreen.do" TargetMode="External"/><Relationship Id="rId309" Type="http://schemas.openxmlformats.org/officeDocument/2006/relationships/hyperlink" Target="https://icargo-rct.afklcargo.com/icargo/showScreen.do" TargetMode="External"/><Relationship Id="rId516" Type="http://schemas.openxmlformats.org/officeDocument/2006/relationships/hyperlink" Target="https://icargo-rct.afklcargo.com/icargo/showScreen.do" TargetMode="External"/><Relationship Id="rId1146" Type="http://schemas.openxmlformats.org/officeDocument/2006/relationships/control" Target="../activeX/activeX478.xml"/><Relationship Id="rId723" Type="http://schemas.openxmlformats.org/officeDocument/2006/relationships/control" Target="../activeX/activeX55.xml"/><Relationship Id="rId930" Type="http://schemas.openxmlformats.org/officeDocument/2006/relationships/control" Target="../activeX/activeX262.xml"/><Relationship Id="rId1006" Type="http://schemas.openxmlformats.org/officeDocument/2006/relationships/control" Target="../activeX/activeX338.xml"/><Relationship Id="rId155" Type="http://schemas.openxmlformats.org/officeDocument/2006/relationships/hyperlink" Target="https://icargo-rc4-rct.afklcargo.com/icargo/showScreen.do" TargetMode="External"/><Relationship Id="rId362" Type="http://schemas.openxmlformats.org/officeDocument/2006/relationships/hyperlink" Target="https://icargo-rct.afklcargo.com/icargo/showScreen.do" TargetMode="External"/><Relationship Id="rId1213" Type="http://schemas.openxmlformats.org/officeDocument/2006/relationships/control" Target="../activeX/activeX544.xml"/><Relationship Id="rId1297" Type="http://schemas.openxmlformats.org/officeDocument/2006/relationships/control" Target="../activeX/activeX628.xml"/><Relationship Id="rId222" Type="http://schemas.openxmlformats.org/officeDocument/2006/relationships/hyperlink" Target="https://icargo-rc4-rct.afklcargo.com/icargo/showScreen.do" TargetMode="External"/><Relationship Id="rId667" Type="http://schemas.openxmlformats.org/officeDocument/2006/relationships/vmlDrawing" Target="../drawings/vmlDrawing1.vml"/><Relationship Id="rId874" Type="http://schemas.openxmlformats.org/officeDocument/2006/relationships/control" Target="../activeX/activeX206.xml"/><Relationship Id="rId17" Type="http://schemas.openxmlformats.org/officeDocument/2006/relationships/hyperlink" Target="https://icargo-rc4-rct.afklcargo.com/icargo/msgbroker.message.checkselected.do?openPopUpFlg=VIEW&amp;selectedId=14044850," TargetMode="External"/><Relationship Id="rId527" Type="http://schemas.openxmlformats.org/officeDocument/2006/relationships/hyperlink" Target="https://icargo-rct.afklcargo.com/icargo/showScreen.do" TargetMode="External"/><Relationship Id="rId734" Type="http://schemas.openxmlformats.org/officeDocument/2006/relationships/control" Target="../activeX/activeX66.xml"/><Relationship Id="rId941" Type="http://schemas.openxmlformats.org/officeDocument/2006/relationships/control" Target="../activeX/activeX273.xml"/><Relationship Id="rId1157" Type="http://schemas.openxmlformats.org/officeDocument/2006/relationships/control" Target="../activeX/activeX489.xml"/><Relationship Id="rId70" Type="http://schemas.openxmlformats.org/officeDocument/2006/relationships/hyperlink" Target="https://icargo-rc4-rct.afklcargo.com/icargo/msgbroker.message.checkselected.do?openPopUpFlg=VIEW&amp;selectedId=14044850," TargetMode="External"/><Relationship Id="rId166" Type="http://schemas.openxmlformats.org/officeDocument/2006/relationships/hyperlink" Target="https://icargo-rc4-rct.afklcargo.com/icargo/showScreen.do" TargetMode="External"/><Relationship Id="rId373" Type="http://schemas.openxmlformats.org/officeDocument/2006/relationships/hyperlink" Target="https://icargo-rct.afklcargo.com/icargo/showScreen.do" TargetMode="External"/><Relationship Id="rId580" Type="http://schemas.openxmlformats.org/officeDocument/2006/relationships/hyperlink" Target="https://icargo-rct.afklcargo.com/icargo/showScreen.do" TargetMode="External"/><Relationship Id="rId801" Type="http://schemas.openxmlformats.org/officeDocument/2006/relationships/control" Target="../activeX/activeX133.xml"/><Relationship Id="rId1017" Type="http://schemas.openxmlformats.org/officeDocument/2006/relationships/control" Target="../activeX/activeX349.xml"/><Relationship Id="rId1224" Type="http://schemas.openxmlformats.org/officeDocument/2006/relationships/control" Target="../activeX/activeX555.xml"/><Relationship Id="rId1" Type="http://schemas.openxmlformats.org/officeDocument/2006/relationships/hyperlink" Target="https://icargo-rc4-rct.afklcargo.com/icargo/msgbroker.message.checkselected.do?openPopUpFlg=VIEW&amp;selectedId=14044850," TargetMode="External"/><Relationship Id="rId233" Type="http://schemas.openxmlformats.org/officeDocument/2006/relationships/hyperlink" Target="https://icargo-rc4-rct.afklcargo.com/icargo/showScreen.do" TargetMode="External"/><Relationship Id="rId440" Type="http://schemas.openxmlformats.org/officeDocument/2006/relationships/hyperlink" Target="https://icargo-rct.afklcargo.com/icargo/showScreen.do" TargetMode="External"/><Relationship Id="rId678" Type="http://schemas.openxmlformats.org/officeDocument/2006/relationships/control" Target="../activeX/activeX10.xml"/><Relationship Id="rId885" Type="http://schemas.openxmlformats.org/officeDocument/2006/relationships/control" Target="../activeX/activeX217.xml"/><Relationship Id="rId1070" Type="http://schemas.openxmlformats.org/officeDocument/2006/relationships/control" Target="../activeX/activeX402.xml"/><Relationship Id="rId28" Type="http://schemas.openxmlformats.org/officeDocument/2006/relationships/hyperlink" Target="https://icargo-rc4-rct.afklcargo.com/icargo/msgbroker.message.checkselected.do?openPopUpFlg=VIEW&amp;selectedId=14044850," TargetMode="External"/><Relationship Id="rId300" Type="http://schemas.openxmlformats.org/officeDocument/2006/relationships/hyperlink" Target="https://icargo-rct.afklcargo.com/icargo/showScreen.do" TargetMode="External"/><Relationship Id="rId538" Type="http://schemas.openxmlformats.org/officeDocument/2006/relationships/hyperlink" Target="https://icargo-rct.afklcargo.com/icargo/showScreen.do" TargetMode="External"/><Relationship Id="rId745" Type="http://schemas.openxmlformats.org/officeDocument/2006/relationships/control" Target="../activeX/activeX77.xml"/><Relationship Id="rId952" Type="http://schemas.openxmlformats.org/officeDocument/2006/relationships/control" Target="../activeX/activeX284.xml"/><Relationship Id="rId1168" Type="http://schemas.openxmlformats.org/officeDocument/2006/relationships/control" Target="../activeX/activeX500.xml"/><Relationship Id="rId81" Type="http://schemas.openxmlformats.org/officeDocument/2006/relationships/hyperlink" Target="https://icargo-rc4-rct.afklcargo.com/icargo/msgbroker.message.checkselected.do?openPopUpFlg=VIEW&amp;selectedId=14044850," TargetMode="External"/><Relationship Id="rId177" Type="http://schemas.openxmlformats.org/officeDocument/2006/relationships/hyperlink" Target="https://icargo-rc4-rct.afklcargo.com/icargo/showScreen.do" TargetMode="External"/><Relationship Id="rId384" Type="http://schemas.openxmlformats.org/officeDocument/2006/relationships/hyperlink" Target="https://icargo-rct.afklcargo.com/icargo/showScreen.do" TargetMode="External"/><Relationship Id="rId591" Type="http://schemas.openxmlformats.org/officeDocument/2006/relationships/hyperlink" Target="https://icargo-rct.afklcargo.com/icargo/showScreen.do" TargetMode="External"/><Relationship Id="rId605" Type="http://schemas.openxmlformats.org/officeDocument/2006/relationships/hyperlink" Target="https://icargo-rct.afklcargo.com/icargo/showScreen.do" TargetMode="External"/><Relationship Id="rId812" Type="http://schemas.openxmlformats.org/officeDocument/2006/relationships/control" Target="../activeX/activeX144.xml"/><Relationship Id="rId1028" Type="http://schemas.openxmlformats.org/officeDocument/2006/relationships/control" Target="../activeX/activeX360.xml"/><Relationship Id="rId1235" Type="http://schemas.openxmlformats.org/officeDocument/2006/relationships/control" Target="../activeX/activeX566.xml"/><Relationship Id="rId244" Type="http://schemas.openxmlformats.org/officeDocument/2006/relationships/hyperlink" Target="https://icargo-rc4-rct.afklcargo.com/icargo/showScreen.do" TargetMode="External"/><Relationship Id="rId689" Type="http://schemas.openxmlformats.org/officeDocument/2006/relationships/control" Target="../activeX/activeX21.xml"/><Relationship Id="rId896" Type="http://schemas.openxmlformats.org/officeDocument/2006/relationships/control" Target="../activeX/activeX228.xml"/><Relationship Id="rId1081" Type="http://schemas.openxmlformats.org/officeDocument/2006/relationships/control" Target="../activeX/activeX413.xml"/><Relationship Id="rId1302" Type="http://schemas.openxmlformats.org/officeDocument/2006/relationships/control" Target="../activeX/activeX633.xml"/><Relationship Id="rId39" Type="http://schemas.openxmlformats.org/officeDocument/2006/relationships/hyperlink" Target="https://icargo-rc4-rct.afklcargo.com/icargo/msgbroker.message.checkselected.do?openPopUpFlg=VIEW&amp;selectedId=14044850," TargetMode="External"/><Relationship Id="rId451" Type="http://schemas.openxmlformats.org/officeDocument/2006/relationships/hyperlink" Target="https://icargo-rct.afklcargo.com/icargo/showScreen.do" TargetMode="External"/><Relationship Id="rId549" Type="http://schemas.openxmlformats.org/officeDocument/2006/relationships/hyperlink" Target="https://icargo-rct.afklcargo.com/icargo/showScreen.do" TargetMode="External"/><Relationship Id="rId756" Type="http://schemas.openxmlformats.org/officeDocument/2006/relationships/control" Target="../activeX/activeX88.xml"/><Relationship Id="rId1179" Type="http://schemas.openxmlformats.org/officeDocument/2006/relationships/control" Target="../activeX/activeX511.xml"/><Relationship Id="rId104" Type="http://schemas.openxmlformats.org/officeDocument/2006/relationships/hyperlink" Target="https://icargo-rc4-rct.afklcargo.com/icargo/showScreen.do" TargetMode="External"/><Relationship Id="rId188" Type="http://schemas.openxmlformats.org/officeDocument/2006/relationships/hyperlink" Target="https://icargo-rc4-rct.afklcargo.com/icargo/showScreen.do" TargetMode="External"/><Relationship Id="rId311" Type="http://schemas.openxmlformats.org/officeDocument/2006/relationships/hyperlink" Target="https://icargo-rct.afklcargo.com/icargo/showScreen.do" TargetMode="External"/><Relationship Id="rId395" Type="http://schemas.openxmlformats.org/officeDocument/2006/relationships/hyperlink" Target="https://icargo-rct.afklcargo.com/icargo/showScreen.do" TargetMode="External"/><Relationship Id="rId409" Type="http://schemas.openxmlformats.org/officeDocument/2006/relationships/hyperlink" Target="https://icargo-rct.afklcargo.com/icargo/showScreen.do" TargetMode="External"/><Relationship Id="rId963" Type="http://schemas.openxmlformats.org/officeDocument/2006/relationships/control" Target="../activeX/activeX295.xml"/><Relationship Id="rId1039" Type="http://schemas.openxmlformats.org/officeDocument/2006/relationships/control" Target="../activeX/activeX371.xml"/><Relationship Id="rId1246" Type="http://schemas.openxmlformats.org/officeDocument/2006/relationships/control" Target="../activeX/activeX577.xml"/><Relationship Id="rId92" Type="http://schemas.openxmlformats.org/officeDocument/2006/relationships/hyperlink" Target="https://icargo-rc4-rct.afklcargo.com/icargo/msgbroker.message.checkselected.do?openPopUpFlg=VIEW&amp;selectedId=14044850," TargetMode="External"/><Relationship Id="rId616" Type="http://schemas.openxmlformats.org/officeDocument/2006/relationships/hyperlink" Target="https://icargo-rct.afklcargo.com/icargo/showScreen.do" TargetMode="External"/><Relationship Id="rId823" Type="http://schemas.openxmlformats.org/officeDocument/2006/relationships/control" Target="../activeX/activeX155.xml"/><Relationship Id="rId255" Type="http://schemas.openxmlformats.org/officeDocument/2006/relationships/hyperlink" Target="https://icargo-rc4-rct.afklcargo.com/icargo/showScreen.do" TargetMode="External"/><Relationship Id="rId462" Type="http://schemas.openxmlformats.org/officeDocument/2006/relationships/hyperlink" Target="https://icargo-rct.afklcargo.com/icargo/showScreen.do" TargetMode="External"/><Relationship Id="rId1092" Type="http://schemas.openxmlformats.org/officeDocument/2006/relationships/control" Target="../activeX/activeX424.xml"/><Relationship Id="rId1106" Type="http://schemas.openxmlformats.org/officeDocument/2006/relationships/control" Target="../activeX/activeX438.xml"/><Relationship Id="rId115" Type="http://schemas.openxmlformats.org/officeDocument/2006/relationships/hyperlink" Target="https://icargo-rc4-rct.afklcargo.com/icargo/showScreen.do" TargetMode="External"/><Relationship Id="rId322" Type="http://schemas.openxmlformats.org/officeDocument/2006/relationships/hyperlink" Target="https://icargo-rct.afklcargo.com/icargo/showScreen.do" TargetMode="External"/><Relationship Id="rId767" Type="http://schemas.openxmlformats.org/officeDocument/2006/relationships/control" Target="../activeX/activeX99.xml"/><Relationship Id="rId974" Type="http://schemas.openxmlformats.org/officeDocument/2006/relationships/control" Target="../activeX/activeX306.xml"/><Relationship Id="rId199" Type="http://schemas.openxmlformats.org/officeDocument/2006/relationships/hyperlink" Target="https://icargo-rc4-rct.afklcargo.com/icargo/showScreen.do" TargetMode="External"/><Relationship Id="rId627" Type="http://schemas.openxmlformats.org/officeDocument/2006/relationships/hyperlink" Target="https://icargo-rct.afklcargo.com/icargo/showScreen.do" TargetMode="External"/><Relationship Id="rId834" Type="http://schemas.openxmlformats.org/officeDocument/2006/relationships/control" Target="../activeX/activeX166.xml"/><Relationship Id="rId1257" Type="http://schemas.openxmlformats.org/officeDocument/2006/relationships/control" Target="../activeX/activeX588.xml"/><Relationship Id="rId266" Type="http://schemas.openxmlformats.org/officeDocument/2006/relationships/hyperlink" Target="https://icargo-rc4-rct.afklcargo.com/icargo/showScreen.do" TargetMode="External"/><Relationship Id="rId473" Type="http://schemas.openxmlformats.org/officeDocument/2006/relationships/hyperlink" Target="https://icargo-rct.afklcargo.com/icargo/showScreen.do" TargetMode="External"/><Relationship Id="rId680" Type="http://schemas.openxmlformats.org/officeDocument/2006/relationships/control" Target="../activeX/activeX12.xml"/><Relationship Id="rId901" Type="http://schemas.openxmlformats.org/officeDocument/2006/relationships/control" Target="../activeX/activeX233.xml"/><Relationship Id="rId1117" Type="http://schemas.openxmlformats.org/officeDocument/2006/relationships/control" Target="../activeX/activeX449.xml"/><Relationship Id="rId30" Type="http://schemas.openxmlformats.org/officeDocument/2006/relationships/hyperlink" Target="https://icargo-rc4-rct.afklcargo.com/icargo/msgbroker.message.checkselected.do?openPopUpFlg=VIEW&amp;selectedId=14044850," TargetMode="External"/><Relationship Id="rId126" Type="http://schemas.openxmlformats.org/officeDocument/2006/relationships/hyperlink" Target="https://icargo-rc4-rct.afklcargo.com/icargo/showScreen.do" TargetMode="External"/><Relationship Id="rId333" Type="http://schemas.openxmlformats.org/officeDocument/2006/relationships/hyperlink" Target="https://icargo-rct.afklcargo.com/icargo/showScreen.do" TargetMode="External"/><Relationship Id="rId540" Type="http://schemas.openxmlformats.org/officeDocument/2006/relationships/hyperlink" Target="https://icargo-rct.afklcargo.com/icargo/showScreen.do" TargetMode="External"/><Relationship Id="rId778" Type="http://schemas.openxmlformats.org/officeDocument/2006/relationships/control" Target="../activeX/activeX110.xml"/><Relationship Id="rId985" Type="http://schemas.openxmlformats.org/officeDocument/2006/relationships/control" Target="../activeX/activeX317.xml"/><Relationship Id="rId1170" Type="http://schemas.openxmlformats.org/officeDocument/2006/relationships/control" Target="../activeX/activeX502.xml"/><Relationship Id="rId638" Type="http://schemas.openxmlformats.org/officeDocument/2006/relationships/hyperlink" Target="https://icargo-rct.afklcargo.com/icargo/showScreen.do" TargetMode="External"/><Relationship Id="rId845" Type="http://schemas.openxmlformats.org/officeDocument/2006/relationships/control" Target="../activeX/activeX177.xml"/><Relationship Id="rId1030" Type="http://schemas.openxmlformats.org/officeDocument/2006/relationships/control" Target="../activeX/activeX362.xml"/><Relationship Id="rId1268" Type="http://schemas.openxmlformats.org/officeDocument/2006/relationships/control" Target="../activeX/activeX599.xml"/><Relationship Id="rId277" Type="http://schemas.openxmlformats.org/officeDocument/2006/relationships/hyperlink" Target="https://icargo-rc4-rct.afklcargo.com/icargo/showScreen.do" TargetMode="External"/><Relationship Id="rId400" Type="http://schemas.openxmlformats.org/officeDocument/2006/relationships/hyperlink" Target="https://icargo-rct.afklcargo.com/icargo/showScreen.do" TargetMode="External"/><Relationship Id="rId484" Type="http://schemas.openxmlformats.org/officeDocument/2006/relationships/hyperlink" Target="https://icargo-rct.afklcargo.com/icargo/showScreen.do" TargetMode="External"/><Relationship Id="rId705" Type="http://schemas.openxmlformats.org/officeDocument/2006/relationships/control" Target="../activeX/activeX37.xml"/><Relationship Id="rId1128" Type="http://schemas.openxmlformats.org/officeDocument/2006/relationships/control" Target="../activeX/activeX460.xml"/><Relationship Id="rId137" Type="http://schemas.openxmlformats.org/officeDocument/2006/relationships/hyperlink" Target="https://icargo-rc4-rct.afklcargo.com/icargo/showScreen.do" TargetMode="External"/><Relationship Id="rId344" Type="http://schemas.openxmlformats.org/officeDocument/2006/relationships/hyperlink" Target="https://icargo-rct.afklcargo.com/icargo/showScreen.do" TargetMode="External"/><Relationship Id="rId691" Type="http://schemas.openxmlformats.org/officeDocument/2006/relationships/control" Target="../activeX/activeX23.xml"/><Relationship Id="rId789" Type="http://schemas.openxmlformats.org/officeDocument/2006/relationships/control" Target="../activeX/activeX121.xml"/><Relationship Id="rId912" Type="http://schemas.openxmlformats.org/officeDocument/2006/relationships/control" Target="../activeX/activeX244.xml"/><Relationship Id="rId996" Type="http://schemas.openxmlformats.org/officeDocument/2006/relationships/control" Target="../activeX/activeX328.xml"/><Relationship Id="rId41" Type="http://schemas.openxmlformats.org/officeDocument/2006/relationships/hyperlink" Target="https://icargo-rc4-rct.afklcargo.com/icargo/msgbroker.message.checkselected.do?openPopUpFlg=VIEW&amp;selectedId=14044850," TargetMode="External"/><Relationship Id="rId551" Type="http://schemas.openxmlformats.org/officeDocument/2006/relationships/hyperlink" Target="https://icargo-rct.afklcargo.com/icargo/showScreen.do" TargetMode="External"/><Relationship Id="rId649" Type="http://schemas.openxmlformats.org/officeDocument/2006/relationships/hyperlink" Target="https://icargo-rct.afklcargo.com/icargo/showScreen.do" TargetMode="External"/><Relationship Id="rId856" Type="http://schemas.openxmlformats.org/officeDocument/2006/relationships/control" Target="../activeX/activeX188.xml"/><Relationship Id="rId1181" Type="http://schemas.openxmlformats.org/officeDocument/2006/relationships/control" Target="../activeX/activeX513.xml"/><Relationship Id="rId1279" Type="http://schemas.openxmlformats.org/officeDocument/2006/relationships/control" Target="../activeX/activeX610.xml"/><Relationship Id="rId190" Type="http://schemas.openxmlformats.org/officeDocument/2006/relationships/hyperlink" Target="https://icargo-rc4-rct.afklcargo.com/icargo/showScreen.do" TargetMode="External"/><Relationship Id="rId204" Type="http://schemas.openxmlformats.org/officeDocument/2006/relationships/hyperlink" Target="https://icargo-rc4-rct.afklcargo.com/icargo/showScreen.do" TargetMode="External"/><Relationship Id="rId288" Type="http://schemas.openxmlformats.org/officeDocument/2006/relationships/hyperlink" Target="https://icargo-rct.afklcargo.com/icargo/showScreen.do" TargetMode="External"/><Relationship Id="rId411" Type="http://schemas.openxmlformats.org/officeDocument/2006/relationships/hyperlink" Target="https://icargo-rct.afklcargo.com/icargo/showScreen.do" TargetMode="External"/><Relationship Id="rId509" Type="http://schemas.openxmlformats.org/officeDocument/2006/relationships/hyperlink" Target="https://icargo-rct.afklcargo.com/icargo/showScreen.do" TargetMode="External"/><Relationship Id="rId1041" Type="http://schemas.openxmlformats.org/officeDocument/2006/relationships/control" Target="../activeX/activeX373.xml"/><Relationship Id="rId1139" Type="http://schemas.openxmlformats.org/officeDocument/2006/relationships/control" Target="../activeX/activeX471.xml"/><Relationship Id="rId495" Type="http://schemas.openxmlformats.org/officeDocument/2006/relationships/hyperlink" Target="https://icargo-rct.afklcargo.com/icargo/showScreen.do" TargetMode="External"/><Relationship Id="rId716" Type="http://schemas.openxmlformats.org/officeDocument/2006/relationships/control" Target="../activeX/activeX48.xml"/><Relationship Id="rId923" Type="http://schemas.openxmlformats.org/officeDocument/2006/relationships/control" Target="../activeX/activeX255.xml"/><Relationship Id="rId52" Type="http://schemas.openxmlformats.org/officeDocument/2006/relationships/hyperlink" Target="https://icargo-rc4-rct.afklcargo.com/icargo/msgbroker.message.checkselected.do?openPopUpFlg=VIEW&amp;selectedId=14044850," TargetMode="External"/><Relationship Id="rId148" Type="http://schemas.openxmlformats.org/officeDocument/2006/relationships/hyperlink" Target="https://icargo-rc4-rct.afklcargo.com/icargo/showScreen.do" TargetMode="External"/><Relationship Id="rId355" Type="http://schemas.openxmlformats.org/officeDocument/2006/relationships/hyperlink" Target="https://icargo-rct.afklcargo.com/icargo/showScreen.do" TargetMode="External"/><Relationship Id="rId562" Type="http://schemas.openxmlformats.org/officeDocument/2006/relationships/hyperlink" Target="https://icargo-rct.afklcargo.com/icargo/showScreen.do" TargetMode="External"/><Relationship Id="rId1192" Type="http://schemas.openxmlformats.org/officeDocument/2006/relationships/control" Target="../activeX/activeX523.xml"/><Relationship Id="rId1206" Type="http://schemas.openxmlformats.org/officeDocument/2006/relationships/control" Target="../activeX/activeX537.xml"/><Relationship Id="rId215" Type="http://schemas.openxmlformats.org/officeDocument/2006/relationships/hyperlink" Target="https://icargo-rc4-rct.afklcargo.com/icargo/showScreen.do" TargetMode="External"/><Relationship Id="rId422" Type="http://schemas.openxmlformats.org/officeDocument/2006/relationships/hyperlink" Target="https://icargo-rct.afklcargo.com/icargo/showScreen.do" TargetMode="External"/><Relationship Id="rId867" Type="http://schemas.openxmlformats.org/officeDocument/2006/relationships/control" Target="../activeX/activeX199.xml"/><Relationship Id="rId1052" Type="http://schemas.openxmlformats.org/officeDocument/2006/relationships/control" Target="../activeX/activeX384.xml"/><Relationship Id="rId299" Type="http://schemas.openxmlformats.org/officeDocument/2006/relationships/hyperlink" Target="https://icargo-rct.afklcargo.com/icargo/showScreen.do" TargetMode="External"/><Relationship Id="rId727" Type="http://schemas.openxmlformats.org/officeDocument/2006/relationships/control" Target="../activeX/activeX59.xml"/><Relationship Id="rId934" Type="http://schemas.openxmlformats.org/officeDocument/2006/relationships/control" Target="../activeX/activeX266.xml"/><Relationship Id="rId63" Type="http://schemas.openxmlformats.org/officeDocument/2006/relationships/hyperlink" Target="https://icargo-rc4-rct.afklcargo.com/icargo/msgbroker.message.checkselected.do?openPopUpFlg=VIEW&amp;selectedId=14044850," TargetMode="External"/><Relationship Id="rId159" Type="http://schemas.openxmlformats.org/officeDocument/2006/relationships/hyperlink" Target="https://icargo-rc4-rct.afklcargo.com/icargo/showScreen.do" TargetMode="External"/><Relationship Id="rId366" Type="http://schemas.openxmlformats.org/officeDocument/2006/relationships/hyperlink" Target="https://icargo-rct.afklcargo.com/icargo/showScreen.do" TargetMode="External"/><Relationship Id="rId573" Type="http://schemas.openxmlformats.org/officeDocument/2006/relationships/hyperlink" Target="https://icargo-rct.afklcargo.com/icargo/showScreen.do" TargetMode="External"/><Relationship Id="rId780" Type="http://schemas.openxmlformats.org/officeDocument/2006/relationships/control" Target="../activeX/activeX112.xml"/><Relationship Id="rId1217" Type="http://schemas.openxmlformats.org/officeDocument/2006/relationships/control" Target="../activeX/activeX548.xml"/><Relationship Id="rId226" Type="http://schemas.openxmlformats.org/officeDocument/2006/relationships/hyperlink" Target="https://icargo-rc4-rct.afklcargo.com/icargo/showScreen.do" TargetMode="External"/><Relationship Id="rId433" Type="http://schemas.openxmlformats.org/officeDocument/2006/relationships/hyperlink" Target="https://icargo-rct.afklcargo.com/icargo/showScreen.do" TargetMode="External"/><Relationship Id="rId878" Type="http://schemas.openxmlformats.org/officeDocument/2006/relationships/control" Target="../activeX/activeX210.xml"/><Relationship Id="rId1063" Type="http://schemas.openxmlformats.org/officeDocument/2006/relationships/control" Target="../activeX/activeX395.xml"/><Relationship Id="rId1270" Type="http://schemas.openxmlformats.org/officeDocument/2006/relationships/control" Target="../activeX/activeX601.xml"/><Relationship Id="rId640" Type="http://schemas.openxmlformats.org/officeDocument/2006/relationships/hyperlink" Target="https://icargo-rct.afklcargo.com/icargo/showScreen.do" TargetMode="External"/><Relationship Id="rId738" Type="http://schemas.openxmlformats.org/officeDocument/2006/relationships/control" Target="../activeX/activeX70.xml"/><Relationship Id="rId945" Type="http://schemas.openxmlformats.org/officeDocument/2006/relationships/control" Target="../activeX/activeX277.xml"/><Relationship Id="rId74" Type="http://schemas.openxmlformats.org/officeDocument/2006/relationships/hyperlink" Target="https://icargo-rc4-rct.afklcargo.com/icargo/msgbroker.message.checkselected.do?openPopUpFlg=VIEW&amp;selectedId=14044850," TargetMode="External"/><Relationship Id="rId377" Type="http://schemas.openxmlformats.org/officeDocument/2006/relationships/hyperlink" Target="https://icargo-rct.afklcargo.com/icargo/showScreen.do" TargetMode="External"/><Relationship Id="rId500" Type="http://schemas.openxmlformats.org/officeDocument/2006/relationships/hyperlink" Target="https://icargo-rct.afklcargo.com/icargo/showScreen.do" TargetMode="External"/><Relationship Id="rId584" Type="http://schemas.openxmlformats.org/officeDocument/2006/relationships/hyperlink" Target="https://icargo-rct.afklcargo.com/icargo/showScreen.do" TargetMode="External"/><Relationship Id="rId805" Type="http://schemas.openxmlformats.org/officeDocument/2006/relationships/control" Target="../activeX/activeX137.xml"/><Relationship Id="rId1130" Type="http://schemas.openxmlformats.org/officeDocument/2006/relationships/control" Target="../activeX/activeX462.xml"/><Relationship Id="rId1228" Type="http://schemas.openxmlformats.org/officeDocument/2006/relationships/control" Target="../activeX/activeX559.xml"/><Relationship Id="rId5" Type="http://schemas.openxmlformats.org/officeDocument/2006/relationships/hyperlink" Target="https://icargo-rc4-rct.afklcargo.com/icargo/msgbroker.message.checkselected.do?openPopUpFlg=VIEW&amp;selectedId=14044850," TargetMode="External"/><Relationship Id="rId237" Type="http://schemas.openxmlformats.org/officeDocument/2006/relationships/hyperlink" Target="https://icargo-rc4-rct.afklcargo.com/icargo/showScreen.do" TargetMode="External"/><Relationship Id="rId791" Type="http://schemas.openxmlformats.org/officeDocument/2006/relationships/control" Target="../activeX/activeX123.xml"/><Relationship Id="rId889" Type="http://schemas.openxmlformats.org/officeDocument/2006/relationships/control" Target="../activeX/activeX221.xml"/><Relationship Id="rId1074" Type="http://schemas.openxmlformats.org/officeDocument/2006/relationships/control" Target="../activeX/activeX406.xml"/><Relationship Id="rId444" Type="http://schemas.openxmlformats.org/officeDocument/2006/relationships/hyperlink" Target="https://icargo-rct.afklcargo.com/icargo/showScreen.do" TargetMode="External"/><Relationship Id="rId651" Type="http://schemas.openxmlformats.org/officeDocument/2006/relationships/hyperlink" Target="https://icargo-rct.afklcargo.com/icargo/showScreen.do" TargetMode="External"/><Relationship Id="rId749" Type="http://schemas.openxmlformats.org/officeDocument/2006/relationships/control" Target="../activeX/activeX81.xml"/><Relationship Id="rId1281" Type="http://schemas.openxmlformats.org/officeDocument/2006/relationships/control" Target="../activeX/activeX612.xml"/><Relationship Id="rId290" Type="http://schemas.openxmlformats.org/officeDocument/2006/relationships/hyperlink" Target="https://icargo-rct.afklcargo.com/icargo/showScreen.do" TargetMode="External"/><Relationship Id="rId304" Type="http://schemas.openxmlformats.org/officeDocument/2006/relationships/hyperlink" Target="https://icargo-rct.afklcargo.com/icargo/showScreen.do" TargetMode="External"/><Relationship Id="rId388" Type="http://schemas.openxmlformats.org/officeDocument/2006/relationships/hyperlink" Target="https://icargo-rct.afklcargo.com/icargo/showScreen.do" TargetMode="External"/><Relationship Id="rId511" Type="http://schemas.openxmlformats.org/officeDocument/2006/relationships/hyperlink" Target="https://icargo-rct.afklcargo.com/icargo/showScreen.do" TargetMode="External"/><Relationship Id="rId609" Type="http://schemas.openxmlformats.org/officeDocument/2006/relationships/hyperlink" Target="https://icargo-rct.afklcargo.com/icargo/showScreen.do" TargetMode="External"/><Relationship Id="rId956" Type="http://schemas.openxmlformats.org/officeDocument/2006/relationships/control" Target="../activeX/activeX288.xml"/><Relationship Id="rId1141" Type="http://schemas.openxmlformats.org/officeDocument/2006/relationships/control" Target="../activeX/activeX473.xml"/><Relationship Id="rId1239" Type="http://schemas.openxmlformats.org/officeDocument/2006/relationships/control" Target="../activeX/activeX570.xml"/><Relationship Id="rId85" Type="http://schemas.openxmlformats.org/officeDocument/2006/relationships/hyperlink" Target="https://icargo-rc4-rct.afklcargo.com/icargo/msgbroker.message.checkselected.do?openPopUpFlg=VIEW&amp;selectedId=14044850," TargetMode="External"/><Relationship Id="rId150" Type="http://schemas.openxmlformats.org/officeDocument/2006/relationships/hyperlink" Target="https://icargo-rc4-rct.afklcargo.com/icargo/showScreen.do" TargetMode="External"/><Relationship Id="rId595" Type="http://schemas.openxmlformats.org/officeDocument/2006/relationships/hyperlink" Target="https://icargo-rct.afklcargo.com/icargo/showScreen.do" TargetMode="External"/><Relationship Id="rId816" Type="http://schemas.openxmlformats.org/officeDocument/2006/relationships/control" Target="../activeX/activeX148.xml"/><Relationship Id="rId1001" Type="http://schemas.openxmlformats.org/officeDocument/2006/relationships/control" Target="../activeX/activeX333.xml"/><Relationship Id="rId248" Type="http://schemas.openxmlformats.org/officeDocument/2006/relationships/hyperlink" Target="https://icargo-rc4-rct.afklcargo.com/icargo/showScreen.do" TargetMode="External"/><Relationship Id="rId455" Type="http://schemas.openxmlformats.org/officeDocument/2006/relationships/hyperlink" Target="https://icargo-rct.afklcargo.com/icargo/showScreen.do" TargetMode="External"/><Relationship Id="rId662" Type="http://schemas.openxmlformats.org/officeDocument/2006/relationships/hyperlink" Target="https://icargo-rct.afklcargo.com/icargo/showScreen.do" TargetMode="External"/><Relationship Id="rId1085" Type="http://schemas.openxmlformats.org/officeDocument/2006/relationships/control" Target="../activeX/activeX417.xml"/><Relationship Id="rId1292" Type="http://schemas.openxmlformats.org/officeDocument/2006/relationships/control" Target="../activeX/activeX623.xml"/><Relationship Id="rId1306" Type="http://schemas.openxmlformats.org/officeDocument/2006/relationships/table" Target="../tables/table1.xml"/><Relationship Id="rId12" Type="http://schemas.openxmlformats.org/officeDocument/2006/relationships/hyperlink" Target="https://icargo-rc4-rct.afklcargo.com/icargo/msgbroker.message.checkselected.do?openPopUpFlg=VIEW&amp;selectedId=14044850," TargetMode="External"/><Relationship Id="rId108" Type="http://schemas.openxmlformats.org/officeDocument/2006/relationships/hyperlink" Target="https://icargo-rc4-rct.afklcargo.com/icargo/showScreen.do" TargetMode="External"/><Relationship Id="rId315" Type="http://schemas.openxmlformats.org/officeDocument/2006/relationships/hyperlink" Target="https://icargo-rct.afklcargo.com/icargo/showScreen.do" TargetMode="External"/><Relationship Id="rId522" Type="http://schemas.openxmlformats.org/officeDocument/2006/relationships/hyperlink" Target="https://icargo-rct.afklcargo.com/icargo/showScreen.do" TargetMode="External"/><Relationship Id="rId967" Type="http://schemas.openxmlformats.org/officeDocument/2006/relationships/control" Target="../activeX/activeX299.xml"/><Relationship Id="rId1152" Type="http://schemas.openxmlformats.org/officeDocument/2006/relationships/control" Target="../activeX/activeX484.xml"/><Relationship Id="rId96" Type="http://schemas.openxmlformats.org/officeDocument/2006/relationships/hyperlink" Target="https://icargo-rc4-rct.afklcargo.com/icargo/msgbroker.message.checkselected.do?openPopUpFlg=VIEW&amp;selectedId=14044850," TargetMode="External"/><Relationship Id="rId161" Type="http://schemas.openxmlformats.org/officeDocument/2006/relationships/hyperlink" Target="https://icargo-rc4-rct.afklcargo.com/icargo/showScreen.do" TargetMode="External"/><Relationship Id="rId399" Type="http://schemas.openxmlformats.org/officeDocument/2006/relationships/hyperlink" Target="https://icargo-rct.afklcargo.com/icargo/showScreen.do" TargetMode="External"/><Relationship Id="rId827" Type="http://schemas.openxmlformats.org/officeDocument/2006/relationships/control" Target="../activeX/activeX159.xml"/><Relationship Id="rId1012" Type="http://schemas.openxmlformats.org/officeDocument/2006/relationships/control" Target="../activeX/activeX344.xml"/><Relationship Id="rId259" Type="http://schemas.openxmlformats.org/officeDocument/2006/relationships/hyperlink" Target="https://icargo-rc4-rct.afklcargo.com/icargo/showScreen.do" TargetMode="External"/><Relationship Id="rId466" Type="http://schemas.openxmlformats.org/officeDocument/2006/relationships/hyperlink" Target="https://icargo-rct.afklcargo.com/icargo/showScreen.do" TargetMode="External"/><Relationship Id="rId673" Type="http://schemas.openxmlformats.org/officeDocument/2006/relationships/control" Target="../activeX/activeX5.xml"/><Relationship Id="rId880" Type="http://schemas.openxmlformats.org/officeDocument/2006/relationships/control" Target="../activeX/activeX212.xml"/><Relationship Id="rId1096" Type="http://schemas.openxmlformats.org/officeDocument/2006/relationships/control" Target="../activeX/activeX428.xml"/><Relationship Id="rId23" Type="http://schemas.openxmlformats.org/officeDocument/2006/relationships/hyperlink" Target="https://icargo-rc4-rct.afklcargo.com/icargo/msgbroker.message.checkselected.do?openPopUpFlg=VIEW&amp;selectedId=14044850," TargetMode="External"/><Relationship Id="rId119" Type="http://schemas.openxmlformats.org/officeDocument/2006/relationships/hyperlink" Target="https://icargo-rc4-rct.afklcargo.com/icargo/showScreen.do" TargetMode="External"/><Relationship Id="rId326" Type="http://schemas.openxmlformats.org/officeDocument/2006/relationships/hyperlink" Target="https://icargo-rct.afklcargo.com/icargo/showScreen.do" TargetMode="External"/><Relationship Id="rId533" Type="http://schemas.openxmlformats.org/officeDocument/2006/relationships/hyperlink" Target="https://icargo-rct.afklcargo.com/icargo/showScreen.do" TargetMode="External"/><Relationship Id="rId978" Type="http://schemas.openxmlformats.org/officeDocument/2006/relationships/control" Target="../activeX/activeX310.xml"/><Relationship Id="rId1163" Type="http://schemas.openxmlformats.org/officeDocument/2006/relationships/control" Target="../activeX/activeX495.xml"/><Relationship Id="rId740" Type="http://schemas.openxmlformats.org/officeDocument/2006/relationships/control" Target="../activeX/activeX72.xml"/><Relationship Id="rId838" Type="http://schemas.openxmlformats.org/officeDocument/2006/relationships/control" Target="../activeX/activeX170.xml"/><Relationship Id="rId1023" Type="http://schemas.openxmlformats.org/officeDocument/2006/relationships/control" Target="../activeX/activeX355.xml"/><Relationship Id="rId172" Type="http://schemas.openxmlformats.org/officeDocument/2006/relationships/hyperlink" Target="https://icargo-rc4-rct.afklcargo.com/icargo/showScreen.do" TargetMode="External"/><Relationship Id="rId477" Type="http://schemas.openxmlformats.org/officeDocument/2006/relationships/hyperlink" Target="https://icargo-rct.afklcargo.com/icargo/showScreen.do" TargetMode="External"/><Relationship Id="rId600" Type="http://schemas.openxmlformats.org/officeDocument/2006/relationships/hyperlink" Target="https://icargo-rct.afklcargo.com/icargo/showScreen.do" TargetMode="External"/><Relationship Id="rId684" Type="http://schemas.openxmlformats.org/officeDocument/2006/relationships/control" Target="../activeX/activeX16.xml"/><Relationship Id="rId1230" Type="http://schemas.openxmlformats.org/officeDocument/2006/relationships/control" Target="../activeX/activeX561.xml"/><Relationship Id="rId337" Type="http://schemas.openxmlformats.org/officeDocument/2006/relationships/hyperlink" Target="https://icargo-rct.afklcargo.com/icargo/showScreen.do" TargetMode="External"/><Relationship Id="rId891" Type="http://schemas.openxmlformats.org/officeDocument/2006/relationships/control" Target="../activeX/activeX223.xml"/><Relationship Id="rId905" Type="http://schemas.openxmlformats.org/officeDocument/2006/relationships/control" Target="../activeX/activeX237.xml"/><Relationship Id="rId989" Type="http://schemas.openxmlformats.org/officeDocument/2006/relationships/control" Target="../activeX/activeX321.xml"/><Relationship Id="rId34" Type="http://schemas.openxmlformats.org/officeDocument/2006/relationships/hyperlink" Target="https://icargo-rc4-rct.afklcargo.com/icargo/msgbroker.message.checkselected.do?openPopUpFlg=VIEW&amp;selectedId=14044850," TargetMode="External"/><Relationship Id="rId544" Type="http://schemas.openxmlformats.org/officeDocument/2006/relationships/hyperlink" Target="https://icargo-rct.afklcargo.com/icargo/showScreen.do" TargetMode="External"/><Relationship Id="rId751" Type="http://schemas.openxmlformats.org/officeDocument/2006/relationships/control" Target="../activeX/activeX83.xml"/><Relationship Id="rId849" Type="http://schemas.openxmlformats.org/officeDocument/2006/relationships/control" Target="../activeX/activeX181.xml"/><Relationship Id="rId1174" Type="http://schemas.openxmlformats.org/officeDocument/2006/relationships/control" Target="../activeX/activeX506.xml"/><Relationship Id="rId183" Type="http://schemas.openxmlformats.org/officeDocument/2006/relationships/hyperlink" Target="https://icargo-rc4-rct.afklcargo.com/icargo/showScreen.do" TargetMode="External"/><Relationship Id="rId390" Type="http://schemas.openxmlformats.org/officeDocument/2006/relationships/hyperlink" Target="https://icargo-rct.afklcargo.com/icargo/showScreen.do" TargetMode="External"/><Relationship Id="rId404" Type="http://schemas.openxmlformats.org/officeDocument/2006/relationships/hyperlink" Target="https://icargo-rct.afklcargo.com/icargo/showScreen.do" TargetMode="External"/><Relationship Id="rId611" Type="http://schemas.openxmlformats.org/officeDocument/2006/relationships/hyperlink" Target="https://icargo-rct.afklcargo.com/icargo/showScreen.do" TargetMode="External"/><Relationship Id="rId1034" Type="http://schemas.openxmlformats.org/officeDocument/2006/relationships/control" Target="../activeX/activeX366.xml"/><Relationship Id="rId1241" Type="http://schemas.openxmlformats.org/officeDocument/2006/relationships/control" Target="../activeX/activeX572.xml"/><Relationship Id="rId250" Type="http://schemas.openxmlformats.org/officeDocument/2006/relationships/hyperlink" Target="https://icargo-rc4-rct.afklcargo.com/icargo/showScreen.do" TargetMode="External"/><Relationship Id="rId488" Type="http://schemas.openxmlformats.org/officeDocument/2006/relationships/hyperlink" Target="https://icargo-rct.afklcargo.com/icargo/showScreen.do" TargetMode="External"/><Relationship Id="rId695" Type="http://schemas.openxmlformats.org/officeDocument/2006/relationships/control" Target="../activeX/activeX27.xml"/><Relationship Id="rId709" Type="http://schemas.openxmlformats.org/officeDocument/2006/relationships/control" Target="../activeX/activeX41.xml"/><Relationship Id="rId916" Type="http://schemas.openxmlformats.org/officeDocument/2006/relationships/control" Target="../activeX/activeX248.xml"/><Relationship Id="rId1101" Type="http://schemas.openxmlformats.org/officeDocument/2006/relationships/control" Target="../activeX/activeX433.xml"/><Relationship Id="rId45" Type="http://schemas.openxmlformats.org/officeDocument/2006/relationships/hyperlink" Target="https://icargo-rc4-rct.afklcargo.com/icargo/msgbroker.message.checkselected.do?openPopUpFlg=VIEW&amp;selectedId=14044850," TargetMode="External"/><Relationship Id="rId110" Type="http://schemas.openxmlformats.org/officeDocument/2006/relationships/hyperlink" Target="https://icargo-rc4-rct.afklcargo.com/icargo/showScreen.do" TargetMode="External"/><Relationship Id="rId348" Type="http://schemas.openxmlformats.org/officeDocument/2006/relationships/hyperlink" Target="https://icargo-rct.afklcargo.com/icargo/showScreen.do" TargetMode="External"/><Relationship Id="rId555" Type="http://schemas.openxmlformats.org/officeDocument/2006/relationships/hyperlink" Target="https://icargo-rct.afklcargo.com/icargo/showScreen.do" TargetMode="External"/><Relationship Id="rId762" Type="http://schemas.openxmlformats.org/officeDocument/2006/relationships/control" Target="../activeX/activeX94.xml"/><Relationship Id="rId1185" Type="http://schemas.openxmlformats.org/officeDocument/2006/relationships/control" Target="../activeX/activeX516.xml"/><Relationship Id="rId194" Type="http://schemas.openxmlformats.org/officeDocument/2006/relationships/hyperlink" Target="https://icargo-rc4-rct.afklcargo.com/icargo/showScreen.do" TargetMode="External"/><Relationship Id="rId208" Type="http://schemas.openxmlformats.org/officeDocument/2006/relationships/hyperlink" Target="https://icargo-rc4-rct.afklcargo.com/icargo/showScreen.do" TargetMode="External"/><Relationship Id="rId415" Type="http://schemas.openxmlformats.org/officeDocument/2006/relationships/hyperlink" Target="https://icargo-rct.afklcargo.com/icargo/showScreen.do" TargetMode="External"/><Relationship Id="rId622" Type="http://schemas.openxmlformats.org/officeDocument/2006/relationships/hyperlink" Target="https://icargo-rct.afklcargo.com/icargo/showScreen.do" TargetMode="External"/><Relationship Id="rId1045" Type="http://schemas.openxmlformats.org/officeDocument/2006/relationships/control" Target="../activeX/activeX377.xml"/><Relationship Id="rId1252" Type="http://schemas.openxmlformats.org/officeDocument/2006/relationships/control" Target="../activeX/activeX583.xml"/><Relationship Id="rId261" Type="http://schemas.openxmlformats.org/officeDocument/2006/relationships/hyperlink" Target="https://icargo-rc4-rct.afklcargo.com/icargo/showScreen.do" TargetMode="External"/><Relationship Id="rId499" Type="http://schemas.openxmlformats.org/officeDocument/2006/relationships/hyperlink" Target="https://icargo-rct.afklcargo.com/icargo/showScreen.do" TargetMode="External"/><Relationship Id="rId927" Type="http://schemas.openxmlformats.org/officeDocument/2006/relationships/control" Target="../activeX/activeX259.xml"/><Relationship Id="rId1112" Type="http://schemas.openxmlformats.org/officeDocument/2006/relationships/control" Target="../activeX/activeX444.xml"/><Relationship Id="rId56" Type="http://schemas.openxmlformats.org/officeDocument/2006/relationships/hyperlink" Target="https://icargo-rc4-rct.afklcargo.com/icargo/msgbroker.message.checkselected.do?openPopUpFlg=VIEW&amp;selectedId=14044850," TargetMode="External"/><Relationship Id="rId359" Type="http://schemas.openxmlformats.org/officeDocument/2006/relationships/hyperlink" Target="https://icargo-rct.afklcargo.com/icargo/showScreen.do" TargetMode="External"/><Relationship Id="rId566" Type="http://schemas.openxmlformats.org/officeDocument/2006/relationships/hyperlink" Target="https://icargo-rct.afklcargo.com/icargo/showScreen.do" TargetMode="External"/><Relationship Id="rId773" Type="http://schemas.openxmlformats.org/officeDocument/2006/relationships/control" Target="../activeX/activeX105.xml"/><Relationship Id="rId1196" Type="http://schemas.openxmlformats.org/officeDocument/2006/relationships/control" Target="../activeX/activeX527.xml"/><Relationship Id="rId121" Type="http://schemas.openxmlformats.org/officeDocument/2006/relationships/hyperlink" Target="https://icargo-rc4-rct.afklcargo.com/icargo/showScreen.do" TargetMode="External"/><Relationship Id="rId219" Type="http://schemas.openxmlformats.org/officeDocument/2006/relationships/hyperlink" Target="https://icargo-rc4-rct.afklcargo.com/icargo/showScreen.do" TargetMode="External"/><Relationship Id="rId426" Type="http://schemas.openxmlformats.org/officeDocument/2006/relationships/hyperlink" Target="https://icargo-rct.afklcargo.com/icargo/showScreen.do" TargetMode="External"/><Relationship Id="rId633" Type="http://schemas.openxmlformats.org/officeDocument/2006/relationships/hyperlink" Target="https://icargo-rct.afklcargo.com/icargo/showScreen.do" TargetMode="External"/><Relationship Id="rId980" Type="http://schemas.openxmlformats.org/officeDocument/2006/relationships/control" Target="../activeX/activeX312.xml"/><Relationship Id="rId1056" Type="http://schemas.openxmlformats.org/officeDocument/2006/relationships/control" Target="../activeX/activeX388.xml"/><Relationship Id="rId1263" Type="http://schemas.openxmlformats.org/officeDocument/2006/relationships/control" Target="../activeX/activeX594.xml"/><Relationship Id="rId840" Type="http://schemas.openxmlformats.org/officeDocument/2006/relationships/control" Target="../activeX/activeX172.xml"/><Relationship Id="rId938" Type="http://schemas.openxmlformats.org/officeDocument/2006/relationships/control" Target="../activeX/activeX270.xml"/><Relationship Id="rId67" Type="http://schemas.openxmlformats.org/officeDocument/2006/relationships/hyperlink" Target="https://icargo-rc4-rct.afklcargo.com/icargo/msgbroker.message.checkselected.do?openPopUpFlg=VIEW&amp;selectedId=14044850," TargetMode="External"/><Relationship Id="rId272" Type="http://schemas.openxmlformats.org/officeDocument/2006/relationships/hyperlink" Target="https://icargo-rc4-rct.afklcargo.com/icargo/showScreen.do" TargetMode="External"/><Relationship Id="rId577" Type="http://schemas.openxmlformats.org/officeDocument/2006/relationships/hyperlink" Target="https://icargo-rct.afklcargo.com/icargo/showScreen.do" TargetMode="External"/><Relationship Id="rId700" Type="http://schemas.openxmlformats.org/officeDocument/2006/relationships/control" Target="../activeX/activeX32.xml"/><Relationship Id="rId1123" Type="http://schemas.openxmlformats.org/officeDocument/2006/relationships/control" Target="../activeX/activeX455.xml"/><Relationship Id="rId132" Type="http://schemas.openxmlformats.org/officeDocument/2006/relationships/hyperlink" Target="https://icargo-rc4-rct.afklcargo.com/icargo/showScreen.do" TargetMode="External"/><Relationship Id="rId784" Type="http://schemas.openxmlformats.org/officeDocument/2006/relationships/control" Target="../activeX/activeX116.xml"/><Relationship Id="rId991" Type="http://schemas.openxmlformats.org/officeDocument/2006/relationships/control" Target="../activeX/activeX323.xml"/><Relationship Id="rId1067" Type="http://schemas.openxmlformats.org/officeDocument/2006/relationships/control" Target="../activeX/activeX399.xml"/><Relationship Id="rId437" Type="http://schemas.openxmlformats.org/officeDocument/2006/relationships/hyperlink" Target="https://icargo-rct.afklcargo.com/icargo/showScreen.do" TargetMode="External"/><Relationship Id="rId644" Type="http://schemas.openxmlformats.org/officeDocument/2006/relationships/hyperlink" Target="https://icargo-rct.afklcargo.com/icargo/showScreen.do" TargetMode="External"/><Relationship Id="rId851" Type="http://schemas.openxmlformats.org/officeDocument/2006/relationships/control" Target="../activeX/activeX183.xml"/><Relationship Id="rId1274" Type="http://schemas.openxmlformats.org/officeDocument/2006/relationships/control" Target="../activeX/activeX605.xml"/><Relationship Id="rId283" Type="http://schemas.openxmlformats.org/officeDocument/2006/relationships/hyperlink" Target="https://icargo-rct.afklcargo.com/icargo/showScreen.do" TargetMode="External"/><Relationship Id="rId490" Type="http://schemas.openxmlformats.org/officeDocument/2006/relationships/hyperlink" Target="https://icargo-rct.afklcargo.com/icargo/showScreen.do" TargetMode="External"/><Relationship Id="rId504" Type="http://schemas.openxmlformats.org/officeDocument/2006/relationships/hyperlink" Target="https://icargo-rct.afklcargo.com/icargo/showScreen.do" TargetMode="External"/><Relationship Id="rId711" Type="http://schemas.openxmlformats.org/officeDocument/2006/relationships/control" Target="../activeX/activeX43.xml"/><Relationship Id="rId949" Type="http://schemas.openxmlformats.org/officeDocument/2006/relationships/control" Target="../activeX/activeX281.xml"/><Relationship Id="rId1134" Type="http://schemas.openxmlformats.org/officeDocument/2006/relationships/control" Target="../activeX/activeX466.xml"/><Relationship Id="rId78" Type="http://schemas.openxmlformats.org/officeDocument/2006/relationships/hyperlink" Target="https://icargo-rc4-rct.afklcargo.com/icargo/msgbroker.message.checkselected.do?openPopUpFlg=VIEW&amp;selectedId=14044850," TargetMode="External"/><Relationship Id="rId143" Type="http://schemas.openxmlformats.org/officeDocument/2006/relationships/hyperlink" Target="https://icargo-rc4-rct.afklcargo.com/icargo/showScreen.do" TargetMode="External"/><Relationship Id="rId350" Type="http://schemas.openxmlformats.org/officeDocument/2006/relationships/hyperlink" Target="https://icargo-rct.afklcargo.com/icargo/showScreen.do" TargetMode="External"/><Relationship Id="rId588" Type="http://schemas.openxmlformats.org/officeDocument/2006/relationships/hyperlink" Target="https://icargo-rct.afklcargo.com/icargo/showScreen.do" TargetMode="External"/><Relationship Id="rId795" Type="http://schemas.openxmlformats.org/officeDocument/2006/relationships/control" Target="../activeX/activeX127.xml"/><Relationship Id="rId809" Type="http://schemas.openxmlformats.org/officeDocument/2006/relationships/control" Target="../activeX/activeX141.xml"/><Relationship Id="rId1201" Type="http://schemas.openxmlformats.org/officeDocument/2006/relationships/control" Target="../activeX/activeX532.xml"/><Relationship Id="rId9" Type="http://schemas.openxmlformats.org/officeDocument/2006/relationships/hyperlink" Target="https://icargo-rc4-rct.afklcargo.com/icargo/msgbroker.message.checkselected.do?openPopUpFlg=VIEW&amp;selectedId=14044850," TargetMode="External"/><Relationship Id="rId210" Type="http://schemas.openxmlformats.org/officeDocument/2006/relationships/hyperlink" Target="https://icargo-rc4-rct.afklcargo.com/icargo/showScreen.do" TargetMode="External"/><Relationship Id="rId448" Type="http://schemas.openxmlformats.org/officeDocument/2006/relationships/hyperlink" Target="https://icargo-rct.afklcargo.com/icargo/showScreen.do" TargetMode="External"/><Relationship Id="rId655" Type="http://schemas.openxmlformats.org/officeDocument/2006/relationships/hyperlink" Target="https://icargo-rct.afklcargo.com/icargo/showScreen.do" TargetMode="External"/><Relationship Id="rId862" Type="http://schemas.openxmlformats.org/officeDocument/2006/relationships/control" Target="../activeX/activeX194.xml"/><Relationship Id="rId1078" Type="http://schemas.openxmlformats.org/officeDocument/2006/relationships/control" Target="../activeX/activeX410.xml"/><Relationship Id="rId1285" Type="http://schemas.openxmlformats.org/officeDocument/2006/relationships/control" Target="../activeX/activeX616.xml"/><Relationship Id="rId294" Type="http://schemas.openxmlformats.org/officeDocument/2006/relationships/hyperlink" Target="https://icargo-rct.afklcargo.com/icargo/showScreen.do" TargetMode="External"/><Relationship Id="rId308" Type="http://schemas.openxmlformats.org/officeDocument/2006/relationships/hyperlink" Target="https://icargo-rct.afklcargo.com/icargo/showScreen.do" TargetMode="External"/><Relationship Id="rId515" Type="http://schemas.openxmlformats.org/officeDocument/2006/relationships/hyperlink" Target="https://icargo-rct.afklcargo.com/icargo/showScreen.do" TargetMode="External"/><Relationship Id="rId722" Type="http://schemas.openxmlformats.org/officeDocument/2006/relationships/control" Target="../activeX/activeX54.xml"/><Relationship Id="rId1145" Type="http://schemas.openxmlformats.org/officeDocument/2006/relationships/control" Target="../activeX/activeX477.xml"/><Relationship Id="rId89" Type="http://schemas.openxmlformats.org/officeDocument/2006/relationships/hyperlink" Target="https://icargo-rc4-rct.afklcargo.com/icargo/msgbroker.message.checkselected.do?openPopUpFlg=VIEW&amp;selectedId=14044850," TargetMode="External"/><Relationship Id="rId154" Type="http://schemas.openxmlformats.org/officeDocument/2006/relationships/hyperlink" Target="https://icargo-rc4-rct.afklcargo.com/icargo/showScreen.do" TargetMode="External"/><Relationship Id="rId361" Type="http://schemas.openxmlformats.org/officeDocument/2006/relationships/hyperlink" Target="https://icargo-rct.afklcargo.com/icargo/showScreen.do" TargetMode="External"/><Relationship Id="rId599" Type="http://schemas.openxmlformats.org/officeDocument/2006/relationships/hyperlink" Target="https://icargo-rct.afklcargo.com/icargo/showScreen.do" TargetMode="External"/><Relationship Id="rId1005" Type="http://schemas.openxmlformats.org/officeDocument/2006/relationships/control" Target="../activeX/activeX337.xml"/><Relationship Id="rId1212" Type="http://schemas.openxmlformats.org/officeDocument/2006/relationships/control" Target="../activeX/activeX543.xml"/><Relationship Id="rId459" Type="http://schemas.openxmlformats.org/officeDocument/2006/relationships/hyperlink" Target="https://icargo-rct.afklcargo.com/icargo/showScreen.do" TargetMode="External"/><Relationship Id="rId666" Type="http://schemas.openxmlformats.org/officeDocument/2006/relationships/drawing" Target="../drawings/drawing1.xml"/><Relationship Id="rId873" Type="http://schemas.openxmlformats.org/officeDocument/2006/relationships/control" Target="../activeX/activeX205.xml"/><Relationship Id="rId1089" Type="http://schemas.openxmlformats.org/officeDocument/2006/relationships/control" Target="../activeX/activeX421.xml"/><Relationship Id="rId1296" Type="http://schemas.openxmlformats.org/officeDocument/2006/relationships/control" Target="../activeX/activeX627.xml"/><Relationship Id="rId16" Type="http://schemas.openxmlformats.org/officeDocument/2006/relationships/hyperlink" Target="https://icargo-rc4-rct.afklcargo.com/icargo/msgbroker.message.checkselected.do?openPopUpFlg=VIEW&amp;selectedId=14044850," TargetMode="External"/><Relationship Id="rId221" Type="http://schemas.openxmlformats.org/officeDocument/2006/relationships/hyperlink" Target="https://icargo-rc4-rct.afklcargo.com/icargo/showScreen.do" TargetMode="External"/><Relationship Id="rId319" Type="http://schemas.openxmlformats.org/officeDocument/2006/relationships/hyperlink" Target="https://icargo-rct.afklcargo.com/icargo/showScreen.do" TargetMode="External"/><Relationship Id="rId526" Type="http://schemas.openxmlformats.org/officeDocument/2006/relationships/hyperlink" Target="https://icargo-rct.afklcargo.com/icargo/showScreen.do" TargetMode="External"/><Relationship Id="rId1156" Type="http://schemas.openxmlformats.org/officeDocument/2006/relationships/control" Target="../activeX/activeX488.xml"/><Relationship Id="rId733" Type="http://schemas.openxmlformats.org/officeDocument/2006/relationships/control" Target="../activeX/activeX65.xml"/><Relationship Id="rId940" Type="http://schemas.openxmlformats.org/officeDocument/2006/relationships/control" Target="../activeX/activeX272.xml"/><Relationship Id="rId1016" Type="http://schemas.openxmlformats.org/officeDocument/2006/relationships/control" Target="../activeX/activeX348.xml"/><Relationship Id="rId165" Type="http://schemas.openxmlformats.org/officeDocument/2006/relationships/hyperlink" Target="https://icargo-rc4-rct.afklcargo.com/icargo/showScreen.do" TargetMode="External"/><Relationship Id="rId372" Type="http://schemas.openxmlformats.org/officeDocument/2006/relationships/hyperlink" Target="https://icargo-rct.afklcargo.com/icargo/showScreen.do" TargetMode="External"/><Relationship Id="rId677" Type="http://schemas.openxmlformats.org/officeDocument/2006/relationships/control" Target="../activeX/activeX9.xml"/><Relationship Id="rId800" Type="http://schemas.openxmlformats.org/officeDocument/2006/relationships/control" Target="../activeX/activeX132.xml"/><Relationship Id="rId1223" Type="http://schemas.openxmlformats.org/officeDocument/2006/relationships/control" Target="../activeX/activeX554.xml"/><Relationship Id="rId232" Type="http://schemas.openxmlformats.org/officeDocument/2006/relationships/hyperlink" Target="https://icargo-rc4-rct.afklcargo.com/icargo/showScreen.do" TargetMode="External"/><Relationship Id="rId884" Type="http://schemas.openxmlformats.org/officeDocument/2006/relationships/control" Target="../activeX/activeX216.xml"/><Relationship Id="rId27" Type="http://schemas.openxmlformats.org/officeDocument/2006/relationships/hyperlink" Target="https://icargo-rc4-rct.afklcargo.com/icargo/msgbroker.message.checkselected.do?openPopUpFlg=VIEW&amp;selectedId=14044850," TargetMode="External"/><Relationship Id="rId537" Type="http://schemas.openxmlformats.org/officeDocument/2006/relationships/hyperlink" Target="https://icargo-rct.afklcargo.com/icargo/showScreen.do" TargetMode="External"/><Relationship Id="rId744" Type="http://schemas.openxmlformats.org/officeDocument/2006/relationships/control" Target="../activeX/activeX76.xml"/><Relationship Id="rId951" Type="http://schemas.openxmlformats.org/officeDocument/2006/relationships/control" Target="../activeX/activeX283.xml"/><Relationship Id="rId1167" Type="http://schemas.openxmlformats.org/officeDocument/2006/relationships/control" Target="../activeX/activeX499.xml"/><Relationship Id="rId80" Type="http://schemas.openxmlformats.org/officeDocument/2006/relationships/hyperlink" Target="https://icargo-rc4-rct.afklcargo.com/icargo/msgbroker.message.checkselected.do?openPopUpFlg=VIEW&amp;selectedId=14044850," TargetMode="External"/><Relationship Id="rId176" Type="http://schemas.openxmlformats.org/officeDocument/2006/relationships/hyperlink" Target="https://icargo-rc4-rct.afklcargo.com/icargo/showScreen.do" TargetMode="External"/><Relationship Id="rId383" Type="http://schemas.openxmlformats.org/officeDocument/2006/relationships/hyperlink" Target="https://icargo-rct.afklcargo.com/icargo/showScreen.do" TargetMode="External"/><Relationship Id="rId590" Type="http://schemas.openxmlformats.org/officeDocument/2006/relationships/hyperlink" Target="https://icargo-rct.afklcargo.com/icargo/showScreen.do" TargetMode="External"/><Relationship Id="rId604" Type="http://schemas.openxmlformats.org/officeDocument/2006/relationships/hyperlink" Target="https://icargo-rct.afklcargo.com/icargo/showScreen.do" TargetMode="External"/><Relationship Id="rId811" Type="http://schemas.openxmlformats.org/officeDocument/2006/relationships/control" Target="../activeX/activeX143.xml"/><Relationship Id="rId1027" Type="http://schemas.openxmlformats.org/officeDocument/2006/relationships/control" Target="../activeX/activeX359.xml"/><Relationship Id="rId1234" Type="http://schemas.openxmlformats.org/officeDocument/2006/relationships/control" Target="../activeX/activeX565.xml"/><Relationship Id="rId243" Type="http://schemas.openxmlformats.org/officeDocument/2006/relationships/hyperlink" Target="https://icargo-rc4-rct.afklcargo.com/icargo/showScreen.do" TargetMode="External"/><Relationship Id="rId450" Type="http://schemas.openxmlformats.org/officeDocument/2006/relationships/hyperlink" Target="https://icargo-rct.afklcargo.com/icargo/showScreen.do" TargetMode="External"/><Relationship Id="rId688" Type="http://schemas.openxmlformats.org/officeDocument/2006/relationships/control" Target="../activeX/activeX20.xml"/><Relationship Id="rId895" Type="http://schemas.openxmlformats.org/officeDocument/2006/relationships/control" Target="../activeX/activeX227.xml"/><Relationship Id="rId909" Type="http://schemas.openxmlformats.org/officeDocument/2006/relationships/control" Target="../activeX/activeX241.xml"/><Relationship Id="rId1080" Type="http://schemas.openxmlformats.org/officeDocument/2006/relationships/control" Target="../activeX/activeX412.xml"/><Relationship Id="rId1301" Type="http://schemas.openxmlformats.org/officeDocument/2006/relationships/control" Target="../activeX/activeX632.xml"/><Relationship Id="rId38" Type="http://schemas.openxmlformats.org/officeDocument/2006/relationships/hyperlink" Target="https://icargo-rc4-rct.afklcargo.com/icargo/msgbroker.message.checkselected.do?openPopUpFlg=VIEW&amp;selectedId=14044850," TargetMode="External"/><Relationship Id="rId103" Type="http://schemas.openxmlformats.org/officeDocument/2006/relationships/hyperlink" Target="https://icargo-rc4-rct.afklcargo.com/icargo/showScreen.do" TargetMode="External"/><Relationship Id="rId310" Type="http://schemas.openxmlformats.org/officeDocument/2006/relationships/hyperlink" Target="https://icargo-rct.afklcargo.com/icargo/showScreen.do" TargetMode="External"/><Relationship Id="rId548" Type="http://schemas.openxmlformats.org/officeDocument/2006/relationships/hyperlink" Target="https://icargo-rct.afklcargo.com/icargo/showScreen.do" TargetMode="External"/><Relationship Id="rId755" Type="http://schemas.openxmlformats.org/officeDocument/2006/relationships/control" Target="../activeX/activeX87.xml"/><Relationship Id="rId962" Type="http://schemas.openxmlformats.org/officeDocument/2006/relationships/control" Target="../activeX/activeX294.xml"/><Relationship Id="rId1178" Type="http://schemas.openxmlformats.org/officeDocument/2006/relationships/control" Target="../activeX/activeX510.xml"/><Relationship Id="rId91" Type="http://schemas.openxmlformats.org/officeDocument/2006/relationships/hyperlink" Target="https://icargo-rc4-rct.afklcargo.com/icargo/msgbroker.message.checkselected.do?openPopUpFlg=VIEW&amp;selectedId=14044850," TargetMode="External"/><Relationship Id="rId187" Type="http://schemas.openxmlformats.org/officeDocument/2006/relationships/hyperlink" Target="https://icargo-rc4-rct.afklcargo.com/icargo/showScreen.do" TargetMode="External"/><Relationship Id="rId394" Type="http://schemas.openxmlformats.org/officeDocument/2006/relationships/hyperlink" Target="https://icargo-rct.afklcargo.com/icargo/showScreen.do" TargetMode="External"/><Relationship Id="rId408" Type="http://schemas.openxmlformats.org/officeDocument/2006/relationships/hyperlink" Target="https://icargo-rct.afklcargo.com/icargo/showScreen.do" TargetMode="External"/><Relationship Id="rId615" Type="http://schemas.openxmlformats.org/officeDocument/2006/relationships/hyperlink" Target="https://icargo-rct.afklcargo.com/icargo/showScreen.do" TargetMode="External"/><Relationship Id="rId822" Type="http://schemas.openxmlformats.org/officeDocument/2006/relationships/control" Target="../activeX/activeX154.xml"/><Relationship Id="rId1038" Type="http://schemas.openxmlformats.org/officeDocument/2006/relationships/control" Target="../activeX/activeX370.xml"/><Relationship Id="rId1245" Type="http://schemas.openxmlformats.org/officeDocument/2006/relationships/control" Target="../activeX/activeX576.xml"/><Relationship Id="rId254" Type="http://schemas.openxmlformats.org/officeDocument/2006/relationships/hyperlink" Target="https://icargo-rc4-rct.afklcargo.com/icargo/showScreen.do" TargetMode="External"/><Relationship Id="rId699" Type="http://schemas.openxmlformats.org/officeDocument/2006/relationships/control" Target="../activeX/activeX31.xml"/><Relationship Id="rId1091" Type="http://schemas.openxmlformats.org/officeDocument/2006/relationships/control" Target="../activeX/activeX423.xml"/><Relationship Id="rId1105" Type="http://schemas.openxmlformats.org/officeDocument/2006/relationships/control" Target="../activeX/activeX437.xml"/><Relationship Id="rId49" Type="http://schemas.openxmlformats.org/officeDocument/2006/relationships/hyperlink" Target="https://icargo-rc4-rct.afklcargo.com/icargo/msgbroker.message.checkselected.do?openPopUpFlg=VIEW&amp;selectedId=14044850," TargetMode="External"/><Relationship Id="rId114" Type="http://schemas.openxmlformats.org/officeDocument/2006/relationships/hyperlink" Target="https://icargo-rc4-rct.afklcargo.com/icargo/showScreen.do" TargetMode="External"/><Relationship Id="rId461" Type="http://schemas.openxmlformats.org/officeDocument/2006/relationships/hyperlink" Target="https://icargo-rct.afklcargo.com/icargo/showScreen.do" TargetMode="External"/><Relationship Id="rId559" Type="http://schemas.openxmlformats.org/officeDocument/2006/relationships/hyperlink" Target="https://icargo-rct.afklcargo.com/icargo/showScreen.do" TargetMode="External"/><Relationship Id="rId766" Type="http://schemas.openxmlformats.org/officeDocument/2006/relationships/control" Target="../activeX/activeX98.xml"/><Relationship Id="rId1189" Type="http://schemas.openxmlformats.org/officeDocument/2006/relationships/control" Target="../activeX/activeX520.xml"/><Relationship Id="rId198" Type="http://schemas.openxmlformats.org/officeDocument/2006/relationships/hyperlink" Target="https://icargo-rc4-rct.afklcargo.com/icargo/showScreen.do" TargetMode="External"/><Relationship Id="rId321" Type="http://schemas.openxmlformats.org/officeDocument/2006/relationships/hyperlink" Target="https://icargo-rct.afklcargo.com/icargo/showScreen.do" TargetMode="External"/><Relationship Id="rId419" Type="http://schemas.openxmlformats.org/officeDocument/2006/relationships/hyperlink" Target="https://icargo-rct.afklcargo.com/icargo/showScreen.do" TargetMode="External"/><Relationship Id="rId626" Type="http://schemas.openxmlformats.org/officeDocument/2006/relationships/hyperlink" Target="https://icargo-rct.afklcargo.com/icargo/showScreen.do" TargetMode="External"/><Relationship Id="rId973" Type="http://schemas.openxmlformats.org/officeDocument/2006/relationships/control" Target="../activeX/activeX305.xml"/><Relationship Id="rId1049" Type="http://schemas.openxmlformats.org/officeDocument/2006/relationships/control" Target="../activeX/activeX381.xml"/><Relationship Id="rId1256" Type="http://schemas.openxmlformats.org/officeDocument/2006/relationships/control" Target="../activeX/activeX587.xml"/><Relationship Id="rId833" Type="http://schemas.openxmlformats.org/officeDocument/2006/relationships/control" Target="../activeX/activeX165.xml"/><Relationship Id="rId1116" Type="http://schemas.openxmlformats.org/officeDocument/2006/relationships/control" Target="../activeX/activeX448.xml"/><Relationship Id="rId265" Type="http://schemas.openxmlformats.org/officeDocument/2006/relationships/hyperlink" Target="https://icargo-rc4-rct.afklcargo.com/icargo/showScreen.do" TargetMode="External"/><Relationship Id="rId472" Type="http://schemas.openxmlformats.org/officeDocument/2006/relationships/hyperlink" Target="https://icargo-rct.afklcargo.com/icargo/showScreen.do" TargetMode="External"/><Relationship Id="rId900" Type="http://schemas.openxmlformats.org/officeDocument/2006/relationships/control" Target="../activeX/activeX232.xml"/><Relationship Id="rId125" Type="http://schemas.openxmlformats.org/officeDocument/2006/relationships/hyperlink" Target="https://icargo-rc4-rct.afklcargo.com/icargo/showScreen.do" TargetMode="External"/><Relationship Id="rId332" Type="http://schemas.openxmlformats.org/officeDocument/2006/relationships/hyperlink" Target="https://icargo-rct.afklcargo.com/icargo/showScreen.do" TargetMode="External"/><Relationship Id="rId777" Type="http://schemas.openxmlformats.org/officeDocument/2006/relationships/control" Target="../activeX/activeX109.xml"/><Relationship Id="rId984" Type="http://schemas.openxmlformats.org/officeDocument/2006/relationships/control" Target="../activeX/activeX316.xml"/><Relationship Id="rId637" Type="http://schemas.openxmlformats.org/officeDocument/2006/relationships/hyperlink" Target="https://icargo-rct.afklcargo.com/icargo/showScreen.do" TargetMode="External"/><Relationship Id="rId844" Type="http://schemas.openxmlformats.org/officeDocument/2006/relationships/control" Target="../activeX/activeX176.xml"/><Relationship Id="rId1267" Type="http://schemas.openxmlformats.org/officeDocument/2006/relationships/control" Target="../activeX/activeX598.xml"/><Relationship Id="rId276" Type="http://schemas.openxmlformats.org/officeDocument/2006/relationships/hyperlink" Target="https://icargo-rc4-rct.afklcargo.com/icargo/showScreen.do" TargetMode="External"/><Relationship Id="rId483" Type="http://schemas.openxmlformats.org/officeDocument/2006/relationships/hyperlink" Target="https://icargo-rct.afklcargo.com/icargo/showScreen.do" TargetMode="External"/><Relationship Id="rId690" Type="http://schemas.openxmlformats.org/officeDocument/2006/relationships/control" Target="../activeX/activeX22.xml"/><Relationship Id="rId704" Type="http://schemas.openxmlformats.org/officeDocument/2006/relationships/control" Target="../activeX/activeX36.xml"/><Relationship Id="rId911" Type="http://schemas.openxmlformats.org/officeDocument/2006/relationships/control" Target="../activeX/activeX243.xml"/><Relationship Id="rId1127" Type="http://schemas.openxmlformats.org/officeDocument/2006/relationships/control" Target="../activeX/activeX459.xml"/><Relationship Id="rId40" Type="http://schemas.openxmlformats.org/officeDocument/2006/relationships/hyperlink" Target="https://icargo-rc4-rct.afklcargo.com/icargo/msgbroker.message.checkselected.do?openPopUpFlg=VIEW&amp;selectedId=14044850," TargetMode="External"/><Relationship Id="rId136" Type="http://schemas.openxmlformats.org/officeDocument/2006/relationships/hyperlink" Target="https://icargo-rc4-rct.afklcargo.com/icargo/showScreen.do" TargetMode="External"/><Relationship Id="rId343" Type="http://schemas.openxmlformats.org/officeDocument/2006/relationships/hyperlink" Target="https://icargo-rct.afklcargo.com/icargo/showScreen.do" TargetMode="External"/><Relationship Id="rId550" Type="http://schemas.openxmlformats.org/officeDocument/2006/relationships/hyperlink" Target="https://icargo-rct.afklcargo.com/icargo/showScreen.do" TargetMode="External"/><Relationship Id="rId788" Type="http://schemas.openxmlformats.org/officeDocument/2006/relationships/control" Target="../activeX/activeX120.xml"/><Relationship Id="rId995" Type="http://schemas.openxmlformats.org/officeDocument/2006/relationships/control" Target="../activeX/activeX327.xml"/><Relationship Id="rId1180" Type="http://schemas.openxmlformats.org/officeDocument/2006/relationships/control" Target="../activeX/activeX512.xml"/><Relationship Id="rId203" Type="http://schemas.openxmlformats.org/officeDocument/2006/relationships/hyperlink" Target="https://icargo-rc4-rct.afklcargo.com/icargo/showScreen.do" TargetMode="External"/><Relationship Id="rId648" Type="http://schemas.openxmlformats.org/officeDocument/2006/relationships/hyperlink" Target="https://icargo-rct.afklcargo.com/icargo/showScreen.do" TargetMode="External"/><Relationship Id="rId855" Type="http://schemas.openxmlformats.org/officeDocument/2006/relationships/control" Target="../activeX/activeX187.xml"/><Relationship Id="rId1040" Type="http://schemas.openxmlformats.org/officeDocument/2006/relationships/control" Target="../activeX/activeX372.xml"/><Relationship Id="rId1278" Type="http://schemas.openxmlformats.org/officeDocument/2006/relationships/control" Target="../activeX/activeX609.xml"/><Relationship Id="rId287" Type="http://schemas.openxmlformats.org/officeDocument/2006/relationships/hyperlink" Target="https://icargo-rct.afklcargo.com/icargo/showScreen.do" TargetMode="External"/><Relationship Id="rId410" Type="http://schemas.openxmlformats.org/officeDocument/2006/relationships/hyperlink" Target="https://icargo-rct.afklcargo.com/icargo/showScreen.do" TargetMode="External"/><Relationship Id="rId494" Type="http://schemas.openxmlformats.org/officeDocument/2006/relationships/hyperlink" Target="https://icargo-rct.afklcargo.com/icargo/showScreen.do" TargetMode="External"/><Relationship Id="rId508" Type="http://schemas.openxmlformats.org/officeDocument/2006/relationships/hyperlink" Target="https://icargo-rct.afklcargo.com/icargo/showScreen.do" TargetMode="External"/><Relationship Id="rId715" Type="http://schemas.openxmlformats.org/officeDocument/2006/relationships/control" Target="../activeX/activeX47.xml"/><Relationship Id="rId922" Type="http://schemas.openxmlformats.org/officeDocument/2006/relationships/control" Target="../activeX/activeX254.xml"/><Relationship Id="rId1138" Type="http://schemas.openxmlformats.org/officeDocument/2006/relationships/control" Target="../activeX/activeX470.xml"/><Relationship Id="rId147" Type="http://schemas.openxmlformats.org/officeDocument/2006/relationships/hyperlink" Target="https://icargo-rc4-rct.afklcargo.com/icargo/showScreen.do" TargetMode="External"/><Relationship Id="rId354" Type="http://schemas.openxmlformats.org/officeDocument/2006/relationships/hyperlink" Target="https://icargo-rct.afklcargo.com/icargo/showScreen.do" TargetMode="External"/><Relationship Id="rId799" Type="http://schemas.openxmlformats.org/officeDocument/2006/relationships/control" Target="../activeX/activeX131.xml"/><Relationship Id="rId1191" Type="http://schemas.openxmlformats.org/officeDocument/2006/relationships/control" Target="../activeX/activeX522.xml"/><Relationship Id="rId1205" Type="http://schemas.openxmlformats.org/officeDocument/2006/relationships/control" Target="../activeX/activeX536.xml"/><Relationship Id="rId51" Type="http://schemas.openxmlformats.org/officeDocument/2006/relationships/hyperlink" Target="https://icargo-rc4-rct.afklcargo.com/icargo/msgbroker.message.checkselected.do?openPopUpFlg=VIEW&amp;selectedId=14044850," TargetMode="External"/><Relationship Id="rId561" Type="http://schemas.openxmlformats.org/officeDocument/2006/relationships/hyperlink" Target="https://icargo-rct.afklcargo.com/icargo/showScreen.do" TargetMode="External"/><Relationship Id="rId659" Type="http://schemas.openxmlformats.org/officeDocument/2006/relationships/hyperlink" Target="https://icargo-rct.afklcargo.com/icargo/showScreen.do" TargetMode="External"/><Relationship Id="rId866" Type="http://schemas.openxmlformats.org/officeDocument/2006/relationships/control" Target="../activeX/activeX198.xml"/><Relationship Id="rId1289" Type="http://schemas.openxmlformats.org/officeDocument/2006/relationships/control" Target="../activeX/activeX620.xml"/><Relationship Id="rId214" Type="http://schemas.openxmlformats.org/officeDocument/2006/relationships/hyperlink" Target="https://icargo-rc4-rct.afklcargo.com/icargo/showScreen.do" TargetMode="External"/><Relationship Id="rId298" Type="http://schemas.openxmlformats.org/officeDocument/2006/relationships/hyperlink" Target="https://icargo-rct.afklcargo.com/icargo/showScreen.do" TargetMode="External"/><Relationship Id="rId421" Type="http://schemas.openxmlformats.org/officeDocument/2006/relationships/hyperlink" Target="https://icargo-rct.afklcargo.com/icargo/showScreen.do" TargetMode="External"/><Relationship Id="rId519" Type="http://schemas.openxmlformats.org/officeDocument/2006/relationships/hyperlink" Target="https://icargo-rct.afklcargo.com/icargo/showScreen.do" TargetMode="External"/><Relationship Id="rId1051" Type="http://schemas.openxmlformats.org/officeDocument/2006/relationships/control" Target="../activeX/activeX383.xml"/><Relationship Id="rId1149" Type="http://schemas.openxmlformats.org/officeDocument/2006/relationships/control" Target="../activeX/activeX481.xml"/><Relationship Id="rId158" Type="http://schemas.openxmlformats.org/officeDocument/2006/relationships/hyperlink" Target="https://icargo-rc4-rct.afklcargo.com/icargo/showScreen.do" TargetMode="External"/><Relationship Id="rId726" Type="http://schemas.openxmlformats.org/officeDocument/2006/relationships/control" Target="../activeX/activeX58.xml"/><Relationship Id="rId933" Type="http://schemas.openxmlformats.org/officeDocument/2006/relationships/control" Target="../activeX/activeX265.xml"/><Relationship Id="rId1009" Type="http://schemas.openxmlformats.org/officeDocument/2006/relationships/control" Target="../activeX/activeX341.xml"/><Relationship Id="rId62" Type="http://schemas.openxmlformats.org/officeDocument/2006/relationships/hyperlink" Target="https://icargo-rc4-rct.afklcargo.com/icargo/msgbroker.message.checkselected.do?openPopUpFlg=VIEW&amp;selectedId=14044850," TargetMode="External"/><Relationship Id="rId365" Type="http://schemas.openxmlformats.org/officeDocument/2006/relationships/hyperlink" Target="https://icargo-rct.afklcargo.com/icargo/showScreen.do" TargetMode="External"/><Relationship Id="rId572" Type="http://schemas.openxmlformats.org/officeDocument/2006/relationships/hyperlink" Target="https://icargo-rct.afklcargo.com/icargo/showScreen.do" TargetMode="External"/><Relationship Id="rId1216" Type="http://schemas.openxmlformats.org/officeDocument/2006/relationships/control" Target="../activeX/activeX547.xml"/><Relationship Id="rId225" Type="http://schemas.openxmlformats.org/officeDocument/2006/relationships/hyperlink" Target="https://icargo-rc4-rct.afklcargo.com/icargo/showScreen.do" TargetMode="External"/><Relationship Id="rId432" Type="http://schemas.openxmlformats.org/officeDocument/2006/relationships/hyperlink" Target="https://icargo-rct.afklcargo.com/icargo/showScreen.do" TargetMode="External"/><Relationship Id="rId877" Type="http://schemas.openxmlformats.org/officeDocument/2006/relationships/control" Target="../activeX/activeX209.xml"/><Relationship Id="rId1062" Type="http://schemas.openxmlformats.org/officeDocument/2006/relationships/control" Target="../activeX/activeX394.xml"/><Relationship Id="rId737" Type="http://schemas.openxmlformats.org/officeDocument/2006/relationships/control" Target="../activeX/activeX69.xml"/><Relationship Id="rId944" Type="http://schemas.openxmlformats.org/officeDocument/2006/relationships/control" Target="../activeX/activeX276.xml"/><Relationship Id="rId73" Type="http://schemas.openxmlformats.org/officeDocument/2006/relationships/hyperlink" Target="https://icargo-rc4-rct.afklcargo.com/icargo/msgbroker.message.checkselected.do?openPopUpFlg=VIEW&amp;selectedId=14044850," TargetMode="External"/><Relationship Id="rId169" Type="http://schemas.openxmlformats.org/officeDocument/2006/relationships/hyperlink" Target="https://icargo-rc4-rct.afklcargo.com/icargo/showScreen.do" TargetMode="External"/><Relationship Id="rId376" Type="http://schemas.openxmlformats.org/officeDocument/2006/relationships/hyperlink" Target="https://icargo-rct.afklcargo.com/icargo/showScreen.do" TargetMode="External"/><Relationship Id="rId583" Type="http://schemas.openxmlformats.org/officeDocument/2006/relationships/hyperlink" Target="https://icargo-rct.afklcargo.com/icargo/showScreen.do" TargetMode="External"/><Relationship Id="rId790" Type="http://schemas.openxmlformats.org/officeDocument/2006/relationships/control" Target="../activeX/activeX122.xml"/><Relationship Id="rId804" Type="http://schemas.openxmlformats.org/officeDocument/2006/relationships/control" Target="../activeX/activeX136.xml"/><Relationship Id="rId1227" Type="http://schemas.openxmlformats.org/officeDocument/2006/relationships/control" Target="../activeX/activeX558.xml"/><Relationship Id="rId4" Type="http://schemas.openxmlformats.org/officeDocument/2006/relationships/hyperlink" Target="https://icargo-rc4-rct.afklcargo.com/icargo/msgbroker.message.checkselected.do?openPopUpFlg=VIEW&amp;selectedId=14044850," TargetMode="External"/><Relationship Id="rId236" Type="http://schemas.openxmlformats.org/officeDocument/2006/relationships/hyperlink" Target="https://icargo-rc4-rct.afklcargo.com/icargo/showScreen.do" TargetMode="External"/><Relationship Id="rId443" Type="http://schemas.openxmlformats.org/officeDocument/2006/relationships/hyperlink" Target="https://icargo-rct.afklcargo.com/icargo/showScreen.do" TargetMode="External"/><Relationship Id="rId650" Type="http://schemas.openxmlformats.org/officeDocument/2006/relationships/hyperlink" Target="https://icargo-rct.afklcargo.com/icargo/showScreen.do" TargetMode="External"/><Relationship Id="rId888" Type="http://schemas.openxmlformats.org/officeDocument/2006/relationships/control" Target="../activeX/activeX220.xml"/><Relationship Id="rId1073" Type="http://schemas.openxmlformats.org/officeDocument/2006/relationships/control" Target="../activeX/activeX405.xml"/><Relationship Id="rId1280" Type="http://schemas.openxmlformats.org/officeDocument/2006/relationships/control" Target="../activeX/activeX611.xml"/><Relationship Id="rId303" Type="http://schemas.openxmlformats.org/officeDocument/2006/relationships/hyperlink" Target="https://icargo-rct.afklcargo.com/icargo/showScreen.do" TargetMode="External"/><Relationship Id="rId748" Type="http://schemas.openxmlformats.org/officeDocument/2006/relationships/control" Target="../activeX/activeX80.xml"/><Relationship Id="rId955" Type="http://schemas.openxmlformats.org/officeDocument/2006/relationships/control" Target="../activeX/activeX287.xml"/><Relationship Id="rId1140" Type="http://schemas.openxmlformats.org/officeDocument/2006/relationships/control" Target="../activeX/activeX472.xml"/><Relationship Id="rId84" Type="http://schemas.openxmlformats.org/officeDocument/2006/relationships/hyperlink" Target="https://icargo-rc4-rct.afklcargo.com/icargo/msgbroker.message.checkselected.do?openPopUpFlg=VIEW&amp;selectedId=14044850," TargetMode="External"/><Relationship Id="rId387" Type="http://schemas.openxmlformats.org/officeDocument/2006/relationships/hyperlink" Target="https://icargo-rct.afklcargo.com/icargo/showScreen.do" TargetMode="External"/><Relationship Id="rId510" Type="http://schemas.openxmlformats.org/officeDocument/2006/relationships/hyperlink" Target="https://icargo-rct.afklcargo.com/icargo/showScreen.do" TargetMode="External"/><Relationship Id="rId594" Type="http://schemas.openxmlformats.org/officeDocument/2006/relationships/hyperlink" Target="https://icargo-rct.afklcargo.com/icargo/showScreen.do" TargetMode="External"/><Relationship Id="rId608" Type="http://schemas.openxmlformats.org/officeDocument/2006/relationships/hyperlink" Target="https://icargo-rct.afklcargo.com/icargo/showScreen.do" TargetMode="External"/><Relationship Id="rId815" Type="http://schemas.openxmlformats.org/officeDocument/2006/relationships/control" Target="../activeX/activeX147.xml"/><Relationship Id="rId1238" Type="http://schemas.openxmlformats.org/officeDocument/2006/relationships/control" Target="../activeX/activeX569.xml"/><Relationship Id="rId247" Type="http://schemas.openxmlformats.org/officeDocument/2006/relationships/hyperlink" Target="https://icargo-rc4-rct.afklcargo.com/icargo/showScreen.do" TargetMode="External"/><Relationship Id="rId899" Type="http://schemas.openxmlformats.org/officeDocument/2006/relationships/control" Target="../activeX/activeX231.xml"/><Relationship Id="rId1000" Type="http://schemas.openxmlformats.org/officeDocument/2006/relationships/control" Target="../activeX/activeX332.xml"/><Relationship Id="rId1084" Type="http://schemas.openxmlformats.org/officeDocument/2006/relationships/control" Target="../activeX/activeX416.xml"/><Relationship Id="rId1305" Type="http://schemas.openxmlformats.org/officeDocument/2006/relationships/control" Target="../activeX/activeX636.xml"/><Relationship Id="rId107" Type="http://schemas.openxmlformats.org/officeDocument/2006/relationships/hyperlink" Target="https://icargo-rc4-rct.afklcargo.com/icargo/showScreen.do" TargetMode="External"/><Relationship Id="rId454" Type="http://schemas.openxmlformats.org/officeDocument/2006/relationships/hyperlink" Target="https://icargo-rct.afklcargo.com/icargo/showScreen.do" TargetMode="External"/><Relationship Id="rId661" Type="http://schemas.openxmlformats.org/officeDocument/2006/relationships/hyperlink" Target="https://icargo-rct.afklcargo.com/icargo/showScreen.do" TargetMode="External"/><Relationship Id="rId759" Type="http://schemas.openxmlformats.org/officeDocument/2006/relationships/control" Target="../activeX/activeX91.xml"/><Relationship Id="rId966" Type="http://schemas.openxmlformats.org/officeDocument/2006/relationships/control" Target="../activeX/activeX298.xml"/><Relationship Id="rId1291" Type="http://schemas.openxmlformats.org/officeDocument/2006/relationships/control" Target="../activeX/activeX622.xml"/><Relationship Id="rId11" Type="http://schemas.openxmlformats.org/officeDocument/2006/relationships/hyperlink" Target="https://icargo-rc4-rct.afklcargo.com/icargo/msgbroker.message.checkselected.do?openPopUpFlg=VIEW&amp;selectedId=14044850," TargetMode="External"/><Relationship Id="rId314" Type="http://schemas.openxmlformats.org/officeDocument/2006/relationships/hyperlink" Target="https://icargo-rct.afklcargo.com/icargo/showScreen.do" TargetMode="External"/><Relationship Id="rId398" Type="http://schemas.openxmlformats.org/officeDocument/2006/relationships/hyperlink" Target="https://icargo-rct.afklcargo.com/icargo/showScreen.do" TargetMode="External"/><Relationship Id="rId521" Type="http://schemas.openxmlformats.org/officeDocument/2006/relationships/hyperlink" Target="https://icargo-rct.afklcargo.com/icargo/showScreen.do" TargetMode="External"/><Relationship Id="rId619" Type="http://schemas.openxmlformats.org/officeDocument/2006/relationships/hyperlink" Target="https://icargo-rct.afklcargo.com/icargo/showScreen.do" TargetMode="External"/><Relationship Id="rId1151" Type="http://schemas.openxmlformats.org/officeDocument/2006/relationships/control" Target="../activeX/activeX483.xml"/><Relationship Id="rId1249" Type="http://schemas.openxmlformats.org/officeDocument/2006/relationships/control" Target="../activeX/activeX580.xml"/><Relationship Id="rId95" Type="http://schemas.openxmlformats.org/officeDocument/2006/relationships/hyperlink" Target="https://icargo-rc4-rct.afklcargo.com/icargo/msgbroker.message.checkselected.do?openPopUpFlg=VIEW&amp;selectedId=14044850," TargetMode="External"/><Relationship Id="rId160" Type="http://schemas.openxmlformats.org/officeDocument/2006/relationships/hyperlink" Target="https://icargo-rc4-rct.afklcargo.com/icargo/showScreen.do" TargetMode="External"/><Relationship Id="rId826" Type="http://schemas.openxmlformats.org/officeDocument/2006/relationships/control" Target="../activeX/activeX158.xml"/><Relationship Id="rId1011" Type="http://schemas.openxmlformats.org/officeDocument/2006/relationships/control" Target="../activeX/activeX343.xml"/><Relationship Id="rId1109" Type="http://schemas.openxmlformats.org/officeDocument/2006/relationships/control" Target="../activeX/activeX441.xml"/><Relationship Id="rId258" Type="http://schemas.openxmlformats.org/officeDocument/2006/relationships/hyperlink" Target="https://icargo-rc4-rct.afklcargo.com/icargo/showScreen.do" TargetMode="External"/><Relationship Id="rId465" Type="http://schemas.openxmlformats.org/officeDocument/2006/relationships/hyperlink" Target="https://icargo-rct.afklcargo.com/icargo/showScreen.do" TargetMode="External"/><Relationship Id="rId672" Type="http://schemas.openxmlformats.org/officeDocument/2006/relationships/control" Target="../activeX/activeX4.xml"/><Relationship Id="rId1095" Type="http://schemas.openxmlformats.org/officeDocument/2006/relationships/control" Target="../activeX/activeX427.xml"/><Relationship Id="rId22" Type="http://schemas.openxmlformats.org/officeDocument/2006/relationships/hyperlink" Target="https://icargo-rc4-rct.afklcargo.com/icargo/msgbroker.message.checkselected.do?openPopUpFlg=VIEW&amp;selectedId=14044850," TargetMode="External"/><Relationship Id="rId118" Type="http://schemas.openxmlformats.org/officeDocument/2006/relationships/hyperlink" Target="https://icargo-rc4-rct.afklcargo.com/icargo/showScreen.do" TargetMode="External"/><Relationship Id="rId325" Type="http://schemas.openxmlformats.org/officeDocument/2006/relationships/hyperlink" Target="https://icargo-rct.afklcargo.com/icargo/showScreen.do" TargetMode="External"/><Relationship Id="rId532" Type="http://schemas.openxmlformats.org/officeDocument/2006/relationships/hyperlink" Target="https://icargo-rct.afklcargo.com/icargo/showScreen.do" TargetMode="External"/><Relationship Id="rId977" Type="http://schemas.openxmlformats.org/officeDocument/2006/relationships/control" Target="../activeX/activeX309.xml"/><Relationship Id="rId1162" Type="http://schemas.openxmlformats.org/officeDocument/2006/relationships/control" Target="../activeX/activeX494.xml"/><Relationship Id="rId171" Type="http://schemas.openxmlformats.org/officeDocument/2006/relationships/hyperlink" Target="https://icargo-rc4-rct.afklcargo.com/icargo/showScreen.do" TargetMode="External"/><Relationship Id="rId837" Type="http://schemas.openxmlformats.org/officeDocument/2006/relationships/control" Target="../activeX/activeX169.xml"/><Relationship Id="rId1022" Type="http://schemas.openxmlformats.org/officeDocument/2006/relationships/control" Target="../activeX/activeX354.xml"/><Relationship Id="rId269" Type="http://schemas.openxmlformats.org/officeDocument/2006/relationships/hyperlink" Target="https://icargo-rc4-rct.afklcargo.com/icargo/showScreen.do" TargetMode="External"/><Relationship Id="rId476" Type="http://schemas.openxmlformats.org/officeDocument/2006/relationships/hyperlink" Target="https://icargo-rct.afklcargo.com/icargo/showScreen.do" TargetMode="External"/><Relationship Id="rId683" Type="http://schemas.openxmlformats.org/officeDocument/2006/relationships/control" Target="../activeX/activeX15.xml"/><Relationship Id="rId890" Type="http://schemas.openxmlformats.org/officeDocument/2006/relationships/control" Target="../activeX/activeX222.xml"/><Relationship Id="rId904" Type="http://schemas.openxmlformats.org/officeDocument/2006/relationships/control" Target="../activeX/activeX236.xml"/><Relationship Id="rId33" Type="http://schemas.openxmlformats.org/officeDocument/2006/relationships/hyperlink" Target="https://icargo-rc4-rct.afklcargo.com/icargo/msgbroker.message.checkselected.do?openPopUpFlg=VIEW&amp;selectedId=14044850," TargetMode="External"/><Relationship Id="rId129" Type="http://schemas.openxmlformats.org/officeDocument/2006/relationships/hyperlink" Target="https://icargo-rc4-rct.afklcargo.com/icargo/showScreen.do" TargetMode="External"/><Relationship Id="rId336" Type="http://schemas.openxmlformats.org/officeDocument/2006/relationships/hyperlink" Target="https://icargo-rct.afklcargo.com/icargo/showScreen.do" TargetMode="External"/><Relationship Id="rId543" Type="http://schemas.openxmlformats.org/officeDocument/2006/relationships/hyperlink" Target="https://icargo-rct.afklcargo.com/icargo/showScreen.do" TargetMode="External"/><Relationship Id="rId988" Type="http://schemas.openxmlformats.org/officeDocument/2006/relationships/control" Target="../activeX/activeX320.xml"/><Relationship Id="rId1173" Type="http://schemas.openxmlformats.org/officeDocument/2006/relationships/control" Target="../activeX/activeX505.xml"/><Relationship Id="rId182" Type="http://schemas.openxmlformats.org/officeDocument/2006/relationships/hyperlink" Target="https://icargo-rc4-rct.afklcargo.com/icargo/showScreen.do" TargetMode="External"/><Relationship Id="rId403" Type="http://schemas.openxmlformats.org/officeDocument/2006/relationships/hyperlink" Target="https://icargo-rct.afklcargo.com/icargo/showScreen.do" TargetMode="External"/><Relationship Id="rId750" Type="http://schemas.openxmlformats.org/officeDocument/2006/relationships/control" Target="../activeX/activeX82.xml"/><Relationship Id="rId848" Type="http://schemas.openxmlformats.org/officeDocument/2006/relationships/control" Target="../activeX/activeX180.xml"/><Relationship Id="rId1033" Type="http://schemas.openxmlformats.org/officeDocument/2006/relationships/control" Target="../activeX/activeX365.xml"/><Relationship Id="rId487" Type="http://schemas.openxmlformats.org/officeDocument/2006/relationships/hyperlink" Target="https://icargo-rct.afklcargo.com/icargo/showScreen.do" TargetMode="External"/><Relationship Id="rId610" Type="http://schemas.openxmlformats.org/officeDocument/2006/relationships/hyperlink" Target="https://icargo-rct.afklcargo.com/icargo/showScreen.do" TargetMode="External"/><Relationship Id="rId694" Type="http://schemas.openxmlformats.org/officeDocument/2006/relationships/control" Target="../activeX/activeX26.xml"/><Relationship Id="rId708" Type="http://schemas.openxmlformats.org/officeDocument/2006/relationships/control" Target="../activeX/activeX40.xml"/><Relationship Id="rId915" Type="http://schemas.openxmlformats.org/officeDocument/2006/relationships/control" Target="../activeX/activeX247.xml"/><Relationship Id="rId1240" Type="http://schemas.openxmlformats.org/officeDocument/2006/relationships/control" Target="../activeX/activeX571.xml"/><Relationship Id="rId347" Type="http://schemas.openxmlformats.org/officeDocument/2006/relationships/hyperlink" Target="https://icargo-rct.afklcargo.com/icargo/showScreen.do" TargetMode="External"/><Relationship Id="rId999" Type="http://schemas.openxmlformats.org/officeDocument/2006/relationships/control" Target="../activeX/activeX331.xml"/><Relationship Id="rId1100" Type="http://schemas.openxmlformats.org/officeDocument/2006/relationships/control" Target="../activeX/activeX432.xml"/><Relationship Id="rId1184" Type="http://schemas.openxmlformats.org/officeDocument/2006/relationships/image" Target="../media/image2.emf"/><Relationship Id="rId44" Type="http://schemas.openxmlformats.org/officeDocument/2006/relationships/hyperlink" Target="https://icargo-rc4-rct.afklcargo.com/icargo/msgbroker.message.checkselected.do?openPopUpFlg=VIEW&amp;selectedId=14044850," TargetMode="External"/><Relationship Id="rId554" Type="http://schemas.openxmlformats.org/officeDocument/2006/relationships/hyperlink" Target="https://icargo-rct.afklcargo.com/icargo/showScreen.do" TargetMode="External"/><Relationship Id="rId761" Type="http://schemas.openxmlformats.org/officeDocument/2006/relationships/control" Target="../activeX/activeX93.xml"/><Relationship Id="rId859" Type="http://schemas.openxmlformats.org/officeDocument/2006/relationships/control" Target="../activeX/activeX191.xml"/><Relationship Id="rId193" Type="http://schemas.openxmlformats.org/officeDocument/2006/relationships/hyperlink" Target="https://icargo-rc4-rct.afklcargo.com/icargo/showScreen.do" TargetMode="External"/><Relationship Id="rId207" Type="http://schemas.openxmlformats.org/officeDocument/2006/relationships/hyperlink" Target="https://icargo-rc4-rct.afklcargo.com/icargo/showScreen.do" TargetMode="External"/><Relationship Id="rId414" Type="http://schemas.openxmlformats.org/officeDocument/2006/relationships/hyperlink" Target="https://icargo-rct.afklcargo.com/icargo/showScreen.do" TargetMode="External"/><Relationship Id="rId498" Type="http://schemas.openxmlformats.org/officeDocument/2006/relationships/hyperlink" Target="https://icargo-rct.afklcargo.com/icargo/showScreen.do" TargetMode="External"/><Relationship Id="rId621" Type="http://schemas.openxmlformats.org/officeDocument/2006/relationships/hyperlink" Target="https://icargo-rct.afklcargo.com/icargo/showScreen.do" TargetMode="External"/><Relationship Id="rId1044" Type="http://schemas.openxmlformats.org/officeDocument/2006/relationships/control" Target="../activeX/activeX376.xml"/><Relationship Id="rId1251" Type="http://schemas.openxmlformats.org/officeDocument/2006/relationships/control" Target="../activeX/activeX582.xml"/><Relationship Id="rId260" Type="http://schemas.openxmlformats.org/officeDocument/2006/relationships/hyperlink" Target="https://icargo-rc4-rct.afklcargo.com/icargo/showScreen.do" TargetMode="External"/><Relationship Id="rId719" Type="http://schemas.openxmlformats.org/officeDocument/2006/relationships/control" Target="../activeX/activeX51.xml"/><Relationship Id="rId926" Type="http://schemas.openxmlformats.org/officeDocument/2006/relationships/control" Target="../activeX/activeX258.xml"/><Relationship Id="rId1111" Type="http://schemas.openxmlformats.org/officeDocument/2006/relationships/control" Target="../activeX/activeX443.xml"/><Relationship Id="rId55" Type="http://schemas.openxmlformats.org/officeDocument/2006/relationships/hyperlink" Target="https://icargo-rc4-rct.afklcargo.com/icargo/msgbroker.message.checkselected.do?openPopUpFlg=VIEW&amp;selectedId=14044850," TargetMode="External"/><Relationship Id="rId120" Type="http://schemas.openxmlformats.org/officeDocument/2006/relationships/hyperlink" Target="https://icargo-rc4-rct.afklcargo.com/icargo/showScreen.do" TargetMode="External"/><Relationship Id="rId358" Type="http://schemas.openxmlformats.org/officeDocument/2006/relationships/hyperlink" Target="https://icargo-rct.afklcargo.com/icargo/showScreen.do" TargetMode="External"/><Relationship Id="rId565" Type="http://schemas.openxmlformats.org/officeDocument/2006/relationships/hyperlink" Target="https://icargo-rct.afklcargo.com/icargo/showScreen.do" TargetMode="External"/><Relationship Id="rId772" Type="http://schemas.openxmlformats.org/officeDocument/2006/relationships/control" Target="../activeX/activeX104.xml"/><Relationship Id="rId1195" Type="http://schemas.openxmlformats.org/officeDocument/2006/relationships/control" Target="../activeX/activeX526.xml"/><Relationship Id="rId1209" Type="http://schemas.openxmlformats.org/officeDocument/2006/relationships/control" Target="../activeX/activeX540.xml"/><Relationship Id="rId218" Type="http://schemas.openxmlformats.org/officeDocument/2006/relationships/hyperlink" Target="https://icargo-rc4-rct.afklcargo.com/icargo/showScreen.do" TargetMode="External"/><Relationship Id="rId425" Type="http://schemas.openxmlformats.org/officeDocument/2006/relationships/hyperlink" Target="https://icargo-rct.afklcargo.com/icargo/showScreen.do" TargetMode="External"/><Relationship Id="rId632" Type="http://schemas.openxmlformats.org/officeDocument/2006/relationships/hyperlink" Target="https://icargo-rct.afklcargo.com/icargo/showScreen.do" TargetMode="External"/><Relationship Id="rId1055" Type="http://schemas.openxmlformats.org/officeDocument/2006/relationships/control" Target="../activeX/activeX387.xml"/><Relationship Id="rId1262" Type="http://schemas.openxmlformats.org/officeDocument/2006/relationships/control" Target="../activeX/activeX593.xml"/><Relationship Id="rId271" Type="http://schemas.openxmlformats.org/officeDocument/2006/relationships/hyperlink" Target="https://icargo-rc4-rct.afklcargo.com/icargo/showScreen.do" TargetMode="External"/><Relationship Id="rId937" Type="http://schemas.openxmlformats.org/officeDocument/2006/relationships/control" Target="../activeX/activeX269.xml"/><Relationship Id="rId1122" Type="http://schemas.openxmlformats.org/officeDocument/2006/relationships/control" Target="../activeX/activeX454.xml"/><Relationship Id="rId66" Type="http://schemas.openxmlformats.org/officeDocument/2006/relationships/hyperlink" Target="https://icargo-rc4-rct.afklcargo.com/icargo/msgbroker.message.checkselected.do?openPopUpFlg=VIEW&amp;selectedId=14044850," TargetMode="External"/><Relationship Id="rId131" Type="http://schemas.openxmlformats.org/officeDocument/2006/relationships/hyperlink" Target="https://icargo-rc4-rct.afklcargo.com/icargo/showScreen.do" TargetMode="External"/><Relationship Id="rId369" Type="http://schemas.openxmlformats.org/officeDocument/2006/relationships/hyperlink" Target="https://icargo-rct.afklcargo.com/icargo/showScreen.do" TargetMode="External"/><Relationship Id="rId576" Type="http://schemas.openxmlformats.org/officeDocument/2006/relationships/hyperlink" Target="https://icargo-rct.afklcargo.com/icargo/showScreen.do" TargetMode="External"/><Relationship Id="rId783" Type="http://schemas.openxmlformats.org/officeDocument/2006/relationships/control" Target="../activeX/activeX115.xml"/><Relationship Id="rId990" Type="http://schemas.openxmlformats.org/officeDocument/2006/relationships/control" Target="../activeX/activeX322.xml"/><Relationship Id="rId229" Type="http://schemas.openxmlformats.org/officeDocument/2006/relationships/hyperlink" Target="https://icargo-rc4-rct.afklcargo.com/icargo/showScreen.do" TargetMode="External"/><Relationship Id="rId436" Type="http://schemas.openxmlformats.org/officeDocument/2006/relationships/hyperlink" Target="https://icargo-rct.afklcargo.com/icargo/showScreen.do" TargetMode="External"/><Relationship Id="rId643" Type="http://schemas.openxmlformats.org/officeDocument/2006/relationships/hyperlink" Target="https://icargo-rct.afklcargo.com/icargo/showScreen.do" TargetMode="External"/><Relationship Id="rId1066" Type="http://schemas.openxmlformats.org/officeDocument/2006/relationships/control" Target="../activeX/activeX398.xml"/><Relationship Id="rId1273" Type="http://schemas.openxmlformats.org/officeDocument/2006/relationships/control" Target="../activeX/activeX604.xml"/><Relationship Id="rId850" Type="http://schemas.openxmlformats.org/officeDocument/2006/relationships/control" Target="../activeX/activeX182.xml"/><Relationship Id="rId948" Type="http://schemas.openxmlformats.org/officeDocument/2006/relationships/control" Target="../activeX/activeX280.xml"/><Relationship Id="rId1133" Type="http://schemas.openxmlformats.org/officeDocument/2006/relationships/control" Target="../activeX/activeX465.xml"/><Relationship Id="rId77" Type="http://schemas.openxmlformats.org/officeDocument/2006/relationships/hyperlink" Target="https://icargo-rc4-rct.afklcargo.com/icargo/msgbroker.message.checkselected.do?openPopUpFlg=VIEW&amp;selectedId=14044850," TargetMode="External"/><Relationship Id="rId282" Type="http://schemas.openxmlformats.org/officeDocument/2006/relationships/hyperlink" Target="https://icargo-rct.afklcargo.com/icargo/showScreen.do" TargetMode="External"/><Relationship Id="rId503" Type="http://schemas.openxmlformats.org/officeDocument/2006/relationships/hyperlink" Target="https://icargo-rct.afklcargo.com/icargo/showScreen.do" TargetMode="External"/><Relationship Id="rId587" Type="http://schemas.openxmlformats.org/officeDocument/2006/relationships/hyperlink" Target="https://icargo-rct.afklcargo.com/icargo/showScreen.do" TargetMode="External"/><Relationship Id="rId710" Type="http://schemas.openxmlformats.org/officeDocument/2006/relationships/control" Target="../activeX/activeX42.xml"/><Relationship Id="rId808" Type="http://schemas.openxmlformats.org/officeDocument/2006/relationships/control" Target="../activeX/activeX140.xml"/><Relationship Id="rId8" Type="http://schemas.openxmlformats.org/officeDocument/2006/relationships/hyperlink" Target="https://icargo-rc4-rct.afklcargo.com/icargo/msgbroker.message.checkselected.do?openPopUpFlg=VIEW&amp;selectedId=14044850," TargetMode="External"/><Relationship Id="rId142" Type="http://schemas.openxmlformats.org/officeDocument/2006/relationships/hyperlink" Target="https://icargo-rc4-rct.afklcargo.com/icargo/showScreen.do" TargetMode="External"/><Relationship Id="rId447" Type="http://schemas.openxmlformats.org/officeDocument/2006/relationships/hyperlink" Target="https://icargo-rct.afklcargo.com/icargo/showScreen.do" TargetMode="External"/><Relationship Id="rId794" Type="http://schemas.openxmlformats.org/officeDocument/2006/relationships/control" Target="../activeX/activeX126.xml"/><Relationship Id="rId1077" Type="http://schemas.openxmlformats.org/officeDocument/2006/relationships/control" Target="../activeX/activeX409.xml"/><Relationship Id="rId1200" Type="http://schemas.openxmlformats.org/officeDocument/2006/relationships/control" Target="../activeX/activeX531.xml"/><Relationship Id="rId654" Type="http://schemas.openxmlformats.org/officeDocument/2006/relationships/hyperlink" Target="https://icargo-rct.afklcargo.com/icargo/showScreen.do" TargetMode="External"/><Relationship Id="rId861" Type="http://schemas.openxmlformats.org/officeDocument/2006/relationships/control" Target="../activeX/activeX193.xml"/><Relationship Id="rId959" Type="http://schemas.openxmlformats.org/officeDocument/2006/relationships/control" Target="../activeX/activeX291.xml"/><Relationship Id="rId1284" Type="http://schemas.openxmlformats.org/officeDocument/2006/relationships/control" Target="../activeX/activeX615.xml"/><Relationship Id="rId293" Type="http://schemas.openxmlformats.org/officeDocument/2006/relationships/hyperlink" Target="https://icargo-rct.afklcargo.com/icargo/showScreen.do" TargetMode="External"/><Relationship Id="rId307" Type="http://schemas.openxmlformats.org/officeDocument/2006/relationships/hyperlink" Target="https://icargo-rct.afklcargo.com/icargo/showScreen.do" TargetMode="External"/><Relationship Id="rId514" Type="http://schemas.openxmlformats.org/officeDocument/2006/relationships/hyperlink" Target="https://icargo-rct.afklcargo.com/icargo/showScreen.do" TargetMode="External"/><Relationship Id="rId721" Type="http://schemas.openxmlformats.org/officeDocument/2006/relationships/control" Target="../activeX/activeX53.xml"/><Relationship Id="rId1144" Type="http://schemas.openxmlformats.org/officeDocument/2006/relationships/control" Target="../activeX/activeX476.xml"/><Relationship Id="rId88" Type="http://schemas.openxmlformats.org/officeDocument/2006/relationships/hyperlink" Target="https://icargo-rc4-rct.afklcargo.com/icargo/msgbroker.message.checkselected.do?openPopUpFlg=VIEW&amp;selectedId=14044850," TargetMode="External"/><Relationship Id="rId153" Type="http://schemas.openxmlformats.org/officeDocument/2006/relationships/hyperlink" Target="https://icargo-rc4-rct.afklcargo.com/icargo/showScreen.do" TargetMode="External"/><Relationship Id="rId360" Type="http://schemas.openxmlformats.org/officeDocument/2006/relationships/hyperlink" Target="https://icargo-rct.afklcargo.com/icargo/showScreen.do" TargetMode="External"/><Relationship Id="rId598" Type="http://schemas.openxmlformats.org/officeDocument/2006/relationships/hyperlink" Target="https://icargo-rct.afklcargo.com/icargo/showScreen.do" TargetMode="External"/><Relationship Id="rId819" Type="http://schemas.openxmlformats.org/officeDocument/2006/relationships/control" Target="../activeX/activeX151.xml"/><Relationship Id="rId1004" Type="http://schemas.openxmlformats.org/officeDocument/2006/relationships/control" Target="../activeX/activeX336.xml"/><Relationship Id="rId1211" Type="http://schemas.openxmlformats.org/officeDocument/2006/relationships/control" Target="../activeX/activeX542.xml"/><Relationship Id="rId220" Type="http://schemas.openxmlformats.org/officeDocument/2006/relationships/hyperlink" Target="https://icargo-rc4-rct.afklcargo.com/icargo/showScreen.do" TargetMode="External"/><Relationship Id="rId458" Type="http://schemas.openxmlformats.org/officeDocument/2006/relationships/hyperlink" Target="https://icargo-rct.afklcargo.com/icargo/showScreen.do" TargetMode="External"/><Relationship Id="rId665" Type="http://schemas.openxmlformats.org/officeDocument/2006/relationships/printerSettings" Target="../printerSettings/printerSettings1.bin"/><Relationship Id="rId872" Type="http://schemas.openxmlformats.org/officeDocument/2006/relationships/control" Target="../activeX/activeX204.xml"/><Relationship Id="rId1088" Type="http://schemas.openxmlformats.org/officeDocument/2006/relationships/control" Target="../activeX/activeX420.xml"/><Relationship Id="rId1295" Type="http://schemas.openxmlformats.org/officeDocument/2006/relationships/control" Target="../activeX/activeX626.xml"/><Relationship Id="rId15" Type="http://schemas.openxmlformats.org/officeDocument/2006/relationships/hyperlink" Target="https://icargo-rc4-rct.afklcargo.com/icargo/msgbroker.message.checkselected.do?openPopUpFlg=VIEW&amp;selectedId=14044850," TargetMode="External"/><Relationship Id="rId318" Type="http://schemas.openxmlformats.org/officeDocument/2006/relationships/hyperlink" Target="https://icargo-rct.afklcargo.com/icargo/showScreen.do" TargetMode="External"/><Relationship Id="rId525" Type="http://schemas.openxmlformats.org/officeDocument/2006/relationships/hyperlink" Target="https://icargo-rct.afklcargo.com/icargo/showScreen.do" TargetMode="External"/><Relationship Id="rId732" Type="http://schemas.openxmlformats.org/officeDocument/2006/relationships/control" Target="../activeX/activeX64.xml"/><Relationship Id="rId1155" Type="http://schemas.openxmlformats.org/officeDocument/2006/relationships/control" Target="../activeX/activeX487.xml"/><Relationship Id="rId99" Type="http://schemas.openxmlformats.org/officeDocument/2006/relationships/hyperlink" Target="https://icargo-rc4-rct.afklcargo.com/icargo/msgbroker.message.checkselected.do?openPopUpFlg=VIEW&amp;selectedId=14044850," TargetMode="External"/><Relationship Id="rId164" Type="http://schemas.openxmlformats.org/officeDocument/2006/relationships/hyperlink" Target="https://icargo-rc4-rct.afklcargo.com/icargo/showScreen.do" TargetMode="External"/><Relationship Id="rId371" Type="http://schemas.openxmlformats.org/officeDocument/2006/relationships/hyperlink" Target="https://icargo-rct.afklcargo.com/icargo/showScreen.do" TargetMode="External"/><Relationship Id="rId1015" Type="http://schemas.openxmlformats.org/officeDocument/2006/relationships/control" Target="../activeX/activeX347.xml"/><Relationship Id="rId1222" Type="http://schemas.openxmlformats.org/officeDocument/2006/relationships/control" Target="../activeX/activeX553.xml"/><Relationship Id="rId469" Type="http://schemas.openxmlformats.org/officeDocument/2006/relationships/hyperlink" Target="https://icargo-rct.afklcargo.com/icargo/showScreen.do" TargetMode="External"/><Relationship Id="rId676" Type="http://schemas.openxmlformats.org/officeDocument/2006/relationships/control" Target="../activeX/activeX8.xml"/><Relationship Id="rId883" Type="http://schemas.openxmlformats.org/officeDocument/2006/relationships/control" Target="../activeX/activeX215.xml"/><Relationship Id="rId1099" Type="http://schemas.openxmlformats.org/officeDocument/2006/relationships/control" Target="../activeX/activeX431.xml"/><Relationship Id="rId26" Type="http://schemas.openxmlformats.org/officeDocument/2006/relationships/hyperlink" Target="https://icargo-rc4-rct.afklcargo.com/icargo/msgbroker.message.checkselected.do?openPopUpFlg=VIEW&amp;selectedId=14044850," TargetMode="External"/><Relationship Id="rId231" Type="http://schemas.openxmlformats.org/officeDocument/2006/relationships/hyperlink" Target="https://icargo-rc4-rct.afklcargo.com/icargo/showScreen.do" TargetMode="External"/><Relationship Id="rId329" Type="http://schemas.openxmlformats.org/officeDocument/2006/relationships/hyperlink" Target="https://icargo-rct.afklcargo.com/icargo/showScreen.do" TargetMode="External"/><Relationship Id="rId536" Type="http://schemas.openxmlformats.org/officeDocument/2006/relationships/hyperlink" Target="https://icargo-rct.afklcargo.com/icargo/showScreen.do" TargetMode="External"/><Relationship Id="rId1166" Type="http://schemas.openxmlformats.org/officeDocument/2006/relationships/control" Target="../activeX/activeX498.xml"/><Relationship Id="rId175" Type="http://schemas.openxmlformats.org/officeDocument/2006/relationships/hyperlink" Target="https://icargo-rc4-rct.afklcargo.com/icargo/showScreen.do" TargetMode="External"/><Relationship Id="rId743" Type="http://schemas.openxmlformats.org/officeDocument/2006/relationships/control" Target="../activeX/activeX75.xml"/><Relationship Id="rId950" Type="http://schemas.openxmlformats.org/officeDocument/2006/relationships/control" Target="../activeX/activeX282.xml"/><Relationship Id="rId1026" Type="http://schemas.openxmlformats.org/officeDocument/2006/relationships/control" Target="../activeX/activeX358.xml"/><Relationship Id="rId382" Type="http://schemas.openxmlformats.org/officeDocument/2006/relationships/hyperlink" Target="https://icargo-rct.afklcargo.com/icargo/showScreen.do" TargetMode="External"/><Relationship Id="rId603" Type="http://schemas.openxmlformats.org/officeDocument/2006/relationships/hyperlink" Target="https://icargo-rct.afklcargo.com/icargo/showScreen.do" TargetMode="External"/><Relationship Id="rId687" Type="http://schemas.openxmlformats.org/officeDocument/2006/relationships/control" Target="../activeX/activeX19.xml"/><Relationship Id="rId810" Type="http://schemas.openxmlformats.org/officeDocument/2006/relationships/control" Target="../activeX/activeX142.xml"/><Relationship Id="rId908" Type="http://schemas.openxmlformats.org/officeDocument/2006/relationships/control" Target="../activeX/activeX240.xml"/><Relationship Id="rId1233" Type="http://schemas.openxmlformats.org/officeDocument/2006/relationships/control" Target="../activeX/activeX564.xml"/><Relationship Id="rId242" Type="http://schemas.openxmlformats.org/officeDocument/2006/relationships/hyperlink" Target="https://icargo-rc4-rct.afklcargo.com/icargo/showScreen.do" TargetMode="External"/><Relationship Id="rId894" Type="http://schemas.openxmlformats.org/officeDocument/2006/relationships/control" Target="../activeX/activeX226.xml"/><Relationship Id="rId1177" Type="http://schemas.openxmlformats.org/officeDocument/2006/relationships/control" Target="../activeX/activeX509.xml"/><Relationship Id="rId1300" Type="http://schemas.openxmlformats.org/officeDocument/2006/relationships/control" Target="../activeX/activeX631.xml"/><Relationship Id="rId37" Type="http://schemas.openxmlformats.org/officeDocument/2006/relationships/hyperlink" Target="https://icargo-rc4-rct.afklcargo.com/icargo/msgbroker.message.checkselected.do?openPopUpFlg=VIEW&amp;selectedId=14044850," TargetMode="External"/><Relationship Id="rId102" Type="http://schemas.openxmlformats.org/officeDocument/2006/relationships/hyperlink" Target="https://icargo-rc4-rct.afklcargo.com/icargo/showScreen.do" TargetMode="External"/><Relationship Id="rId547" Type="http://schemas.openxmlformats.org/officeDocument/2006/relationships/hyperlink" Target="https://icargo-rct.afklcargo.com/icargo/showScreen.do" TargetMode="External"/><Relationship Id="rId754" Type="http://schemas.openxmlformats.org/officeDocument/2006/relationships/control" Target="../activeX/activeX86.xml"/><Relationship Id="rId961" Type="http://schemas.openxmlformats.org/officeDocument/2006/relationships/control" Target="../activeX/activeX293.xml"/><Relationship Id="rId90" Type="http://schemas.openxmlformats.org/officeDocument/2006/relationships/hyperlink" Target="https://icargo-rc4-rct.afklcargo.com/icargo/msgbroker.message.checkselected.do?openPopUpFlg=VIEW&amp;selectedId=14044850," TargetMode="External"/><Relationship Id="rId186" Type="http://schemas.openxmlformats.org/officeDocument/2006/relationships/hyperlink" Target="https://icargo-rc4-rct.afklcargo.com/icargo/showScreen.do" TargetMode="External"/><Relationship Id="rId393" Type="http://schemas.openxmlformats.org/officeDocument/2006/relationships/hyperlink" Target="https://icargo-rct.afklcargo.com/icargo/showScreen.do" TargetMode="External"/><Relationship Id="rId407" Type="http://schemas.openxmlformats.org/officeDocument/2006/relationships/hyperlink" Target="https://icargo-rct.afklcargo.com/icargo/showScreen.do" TargetMode="External"/><Relationship Id="rId614" Type="http://schemas.openxmlformats.org/officeDocument/2006/relationships/hyperlink" Target="https://icargo-rct.afklcargo.com/icargo/showScreen.do" TargetMode="External"/><Relationship Id="rId821" Type="http://schemas.openxmlformats.org/officeDocument/2006/relationships/control" Target="../activeX/activeX153.xml"/><Relationship Id="rId1037" Type="http://schemas.openxmlformats.org/officeDocument/2006/relationships/control" Target="../activeX/activeX369.xml"/><Relationship Id="rId1244" Type="http://schemas.openxmlformats.org/officeDocument/2006/relationships/control" Target="../activeX/activeX575.xml"/><Relationship Id="rId253" Type="http://schemas.openxmlformats.org/officeDocument/2006/relationships/hyperlink" Target="https://icargo-rc4-rct.afklcargo.com/icargo/showScreen.do" TargetMode="External"/><Relationship Id="rId460" Type="http://schemas.openxmlformats.org/officeDocument/2006/relationships/hyperlink" Target="https://icargo-rct.afklcargo.com/icargo/showScreen.do" TargetMode="External"/><Relationship Id="rId698" Type="http://schemas.openxmlformats.org/officeDocument/2006/relationships/control" Target="../activeX/activeX30.xml"/><Relationship Id="rId919" Type="http://schemas.openxmlformats.org/officeDocument/2006/relationships/control" Target="../activeX/activeX251.xml"/><Relationship Id="rId1090" Type="http://schemas.openxmlformats.org/officeDocument/2006/relationships/control" Target="../activeX/activeX422.xml"/><Relationship Id="rId1104" Type="http://schemas.openxmlformats.org/officeDocument/2006/relationships/control" Target="../activeX/activeX436.xml"/><Relationship Id="rId48" Type="http://schemas.openxmlformats.org/officeDocument/2006/relationships/hyperlink" Target="https://icargo-rc4-rct.afklcargo.com/icargo/msgbroker.message.checkselected.do?openPopUpFlg=VIEW&amp;selectedId=14044850," TargetMode="External"/><Relationship Id="rId113" Type="http://schemas.openxmlformats.org/officeDocument/2006/relationships/hyperlink" Target="https://icargo-rc4-rct.afklcargo.com/icargo/showScreen.do" TargetMode="External"/><Relationship Id="rId320" Type="http://schemas.openxmlformats.org/officeDocument/2006/relationships/hyperlink" Target="https://icargo-rct.afklcargo.com/icargo/showScreen.do" TargetMode="External"/><Relationship Id="rId558" Type="http://schemas.openxmlformats.org/officeDocument/2006/relationships/hyperlink" Target="https://icargo-rct.afklcargo.com/icargo/showScreen.do" TargetMode="External"/><Relationship Id="rId765" Type="http://schemas.openxmlformats.org/officeDocument/2006/relationships/control" Target="../activeX/activeX97.xml"/><Relationship Id="rId972" Type="http://schemas.openxmlformats.org/officeDocument/2006/relationships/control" Target="../activeX/activeX304.xml"/><Relationship Id="rId1188" Type="http://schemas.openxmlformats.org/officeDocument/2006/relationships/control" Target="../activeX/activeX519.xml"/><Relationship Id="rId197" Type="http://schemas.openxmlformats.org/officeDocument/2006/relationships/hyperlink" Target="https://icargo-rc4-rct.afklcargo.com/icargo/showScreen.do" TargetMode="External"/><Relationship Id="rId418" Type="http://schemas.openxmlformats.org/officeDocument/2006/relationships/hyperlink" Target="https://icargo-rct.afklcargo.com/icargo/showScreen.do" TargetMode="External"/><Relationship Id="rId625" Type="http://schemas.openxmlformats.org/officeDocument/2006/relationships/hyperlink" Target="https://icargo-rct.afklcargo.com/icargo/showScreen.do" TargetMode="External"/><Relationship Id="rId832" Type="http://schemas.openxmlformats.org/officeDocument/2006/relationships/control" Target="../activeX/activeX164.xml"/><Relationship Id="rId1048" Type="http://schemas.openxmlformats.org/officeDocument/2006/relationships/control" Target="../activeX/activeX380.xml"/><Relationship Id="rId1255" Type="http://schemas.openxmlformats.org/officeDocument/2006/relationships/control" Target="../activeX/activeX586.xml"/><Relationship Id="rId264" Type="http://schemas.openxmlformats.org/officeDocument/2006/relationships/hyperlink" Target="https://icargo-rc4-rct.afklcargo.com/icargo/showScreen.do" TargetMode="External"/><Relationship Id="rId471" Type="http://schemas.openxmlformats.org/officeDocument/2006/relationships/hyperlink" Target="https://icargo-rct.afklcargo.com/icargo/showScreen.do" TargetMode="External"/><Relationship Id="rId1115" Type="http://schemas.openxmlformats.org/officeDocument/2006/relationships/control" Target="../activeX/activeX447.xml"/><Relationship Id="rId59" Type="http://schemas.openxmlformats.org/officeDocument/2006/relationships/hyperlink" Target="https://icargo-rc4-rct.afklcargo.com/icargo/msgbroker.message.checkselected.do?openPopUpFlg=VIEW&amp;selectedId=14044850," TargetMode="External"/><Relationship Id="rId124" Type="http://schemas.openxmlformats.org/officeDocument/2006/relationships/hyperlink" Target="https://icargo-rc4-rct.afklcargo.com/icargo/showScreen.do" TargetMode="External"/><Relationship Id="rId569" Type="http://schemas.openxmlformats.org/officeDocument/2006/relationships/hyperlink" Target="https://icargo-rct.afklcargo.com/icargo/showScreen.do" TargetMode="External"/><Relationship Id="rId776" Type="http://schemas.openxmlformats.org/officeDocument/2006/relationships/control" Target="../activeX/activeX108.xml"/><Relationship Id="rId983" Type="http://schemas.openxmlformats.org/officeDocument/2006/relationships/control" Target="../activeX/activeX315.xml"/><Relationship Id="rId1199" Type="http://schemas.openxmlformats.org/officeDocument/2006/relationships/control" Target="../activeX/activeX530.xml"/><Relationship Id="rId331" Type="http://schemas.openxmlformats.org/officeDocument/2006/relationships/hyperlink" Target="https://icargo-rct.afklcargo.com/icargo/showScreen.do" TargetMode="External"/><Relationship Id="rId429" Type="http://schemas.openxmlformats.org/officeDocument/2006/relationships/hyperlink" Target="https://icargo-rct.afklcargo.com/icargo/showScreen.do" TargetMode="External"/><Relationship Id="rId636" Type="http://schemas.openxmlformats.org/officeDocument/2006/relationships/hyperlink" Target="https://icargo-rct.afklcargo.com/icargo/showScreen.do" TargetMode="External"/><Relationship Id="rId1059" Type="http://schemas.openxmlformats.org/officeDocument/2006/relationships/control" Target="../activeX/activeX391.xml"/><Relationship Id="rId1266" Type="http://schemas.openxmlformats.org/officeDocument/2006/relationships/control" Target="../activeX/activeX597.xml"/><Relationship Id="rId843" Type="http://schemas.openxmlformats.org/officeDocument/2006/relationships/control" Target="../activeX/activeX175.xml"/><Relationship Id="rId1126" Type="http://schemas.openxmlformats.org/officeDocument/2006/relationships/control" Target="../activeX/activeX458.xml"/><Relationship Id="rId275" Type="http://schemas.openxmlformats.org/officeDocument/2006/relationships/hyperlink" Target="https://icargo-rc4-rct.afklcargo.com/icargo/showScreen.do" TargetMode="External"/><Relationship Id="rId482" Type="http://schemas.openxmlformats.org/officeDocument/2006/relationships/hyperlink" Target="https://icargo-rct.afklcargo.com/icargo/showScreen.do" TargetMode="External"/><Relationship Id="rId703" Type="http://schemas.openxmlformats.org/officeDocument/2006/relationships/control" Target="../activeX/activeX35.xml"/><Relationship Id="rId910" Type="http://schemas.openxmlformats.org/officeDocument/2006/relationships/control" Target="../activeX/activeX242.xml"/><Relationship Id="rId135" Type="http://schemas.openxmlformats.org/officeDocument/2006/relationships/hyperlink" Target="https://icargo-rc4-rct.afklcargo.com/icargo/showScreen.do" TargetMode="External"/><Relationship Id="rId342" Type="http://schemas.openxmlformats.org/officeDocument/2006/relationships/hyperlink" Target="https://icargo-rct.afklcargo.com/icargo/showScreen.do" TargetMode="External"/><Relationship Id="rId787" Type="http://schemas.openxmlformats.org/officeDocument/2006/relationships/control" Target="../activeX/activeX119.xml"/><Relationship Id="rId994" Type="http://schemas.openxmlformats.org/officeDocument/2006/relationships/control" Target="../activeX/activeX326.xml"/><Relationship Id="rId202" Type="http://schemas.openxmlformats.org/officeDocument/2006/relationships/hyperlink" Target="https://icargo-rc4-rct.afklcargo.com/icargo/showScreen.do" TargetMode="External"/><Relationship Id="rId647" Type="http://schemas.openxmlformats.org/officeDocument/2006/relationships/hyperlink" Target="https://icargo-rct.afklcargo.com/icargo/showScreen.do" TargetMode="External"/><Relationship Id="rId854" Type="http://schemas.openxmlformats.org/officeDocument/2006/relationships/control" Target="../activeX/activeX186.xml"/><Relationship Id="rId1277" Type="http://schemas.openxmlformats.org/officeDocument/2006/relationships/control" Target="../activeX/activeX608.xml"/><Relationship Id="rId286" Type="http://schemas.openxmlformats.org/officeDocument/2006/relationships/hyperlink" Target="https://icargo-rct.afklcargo.com/icargo/showScreen.do" TargetMode="External"/><Relationship Id="rId493" Type="http://schemas.openxmlformats.org/officeDocument/2006/relationships/hyperlink" Target="https://icargo-rct.afklcargo.com/icargo/showScreen.do" TargetMode="External"/><Relationship Id="rId507" Type="http://schemas.openxmlformats.org/officeDocument/2006/relationships/hyperlink" Target="https://icargo-rct.afklcargo.com/icargo/showScreen.do" TargetMode="External"/><Relationship Id="rId714" Type="http://schemas.openxmlformats.org/officeDocument/2006/relationships/control" Target="../activeX/activeX46.xml"/><Relationship Id="rId921" Type="http://schemas.openxmlformats.org/officeDocument/2006/relationships/control" Target="../activeX/activeX253.xml"/><Relationship Id="rId1137" Type="http://schemas.openxmlformats.org/officeDocument/2006/relationships/control" Target="../activeX/activeX469.xml"/><Relationship Id="rId50" Type="http://schemas.openxmlformats.org/officeDocument/2006/relationships/hyperlink" Target="https://icargo-rc4-rct.afklcargo.com/icargo/msgbroker.message.checkselected.do?openPopUpFlg=VIEW&amp;selectedId=14044850," TargetMode="External"/><Relationship Id="rId146" Type="http://schemas.openxmlformats.org/officeDocument/2006/relationships/hyperlink" Target="https://icargo-rc4-rct.afklcargo.com/icargo/showScreen.do" TargetMode="External"/><Relationship Id="rId353" Type="http://schemas.openxmlformats.org/officeDocument/2006/relationships/hyperlink" Target="https://icargo-rct.afklcargo.com/icargo/showScreen.do" TargetMode="External"/><Relationship Id="rId560" Type="http://schemas.openxmlformats.org/officeDocument/2006/relationships/hyperlink" Target="https://icargo-rct.afklcargo.com/icargo/showScreen.do" TargetMode="External"/><Relationship Id="rId798" Type="http://schemas.openxmlformats.org/officeDocument/2006/relationships/control" Target="../activeX/activeX130.xml"/><Relationship Id="rId1190" Type="http://schemas.openxmlformats.org/officeDocument/2006/relationships/control" Target="../activeX/activeX521.xml"/><Relationship Id="rId1204" Type="http://schemas.openxmlformats.org/officeDocument/2006/relationships/control" Target="../activeX/activeX535.xml"/><Relationship Id="rId213" Type="http://schemas.openxmlformats.org/officeDocument/2006/relationships/hyperlink" Target="https://icargo-rc4-rct.afklcargo.com/icargo/showScreen.do" TargetMode="External"/><Relationship Id="rId420" Type="http://schemas.openxmlformats.org/officeDocument/2006/relationships/hyperlink" Target="https://icargo-rct.afklcargo.com/icargo/showScreen.do" TargetMode="External"/><Relationship Id="rId658" Type="http://schemas.openxmlformats.org/officeDocument/2006/relationships/hyperlink" Target="https://icargo-rct.afklcargo.com/icargo/showScreen.do" TargetMode="External"/><Relationship Id="rId865" Type="http://schemas.openxmlformats.org/officeDocument/2006/relationships/control" Target="../activeX/activeX197.xml"/><Relationship Id="rId1050" Type="http://schemas.openxmlformats.org/officeDocument/2006/relationships/control" Target="../activeX/activeX382.xml"/><Relationship Id="rId1288" Type="http://schemas.openxmlformats.org/officeDocument/2006/relationships/control" Target="../activeX/activeX619.xml"/><Relationship Id="rId297" Type="http://schemas.openxmlformats.org/officeDocument/2006/relationships/hyperlink" Target="https://icargo-rct.afklcargo.com/icargo/showScreen.do" TargetMode="External"/><Relationship Id="rId518" Type="http://schemas.openxmlformats.org/officeDocument/2006/relationships/hyperlink" Target="https://icargo-rct.afklcargo.com/icargo/showScreen.do" TargetMode="External"/><Relationship Id="rId725" Type="http://schemas.openxmlformats.org/officeDocument/2006/relationships/control" Target="../activeX/activeX57.xml"/><Relationship Id="rId932" Type="http://schemas.openxmlformats.org/officeDocument/2006/relationships/control" Target="../activeX/activeX264.xml"/><Relationship Id="rId1148" Type="http://schemas.openxmlformats.org/officeDocument/2006/relationships/control" Target="../activeX/activeX480.xml"/><Relationship Id="rId157" Type="http://schemas.openxmlformats.org/officeDocument/2006/relationships/hyperlink" Target="https://icargo-rc4-rct.afklcargo.com/icargo/showScreen.do" TargetMode="External"/><Relationship Id="rId364" Type="http://schemas.openxmlformats.org/officeDocument/2006/relationships/hyperlink" Target="https://icargo-rct.afklcargo.com/icargo/showScreen.do" TargetMode="External"/><Relationship Id="rId1008" Type="http://schemas.openxmlformats.org/officeDocument/2006/relationships/control" Target="../activeX/activeX340.xml"/><Relationship Id="rId1215" Type="http://schemas.openxmlformats.org/officeDocument/2006/relationships/control" Target="../activeX/activeX546.xml"/><Relationship Id="rId61" Type="http://schemas.openxmlformats.org/officeDocument/2006/relationships/hyperlink" Target="https://icargo-rc4-rct.afklcargo.com/icargo/msgbroker.message.checkselected.do?openPopUpFlg=VIEW&amp;selectedId=14044850," TargetMode="External"/><Relationship Id="rId571" Type="http://schemas.openxmlformats.org/officeDocument/2006/relationships/hyperlink" Target="https://icargo-rct.afklcargo.com/icargo/showScreen.do" TargetMode="External"/><Relationship Id="rId669" Type="http://schemas.openxmlformats.org/officeDocument/2006/relationships/image" Target="../media/image1.emf"/><Relationship Id="rId876" Type="http://schemas.openxmlformats.org/officeDocument/2006/relationships/control" Target="../activeX/activeX208.xml"/><Relationship Id="rId1299" Type="http://schemas.openxmlformats.org/officeDocument/2006/relationships/control" Target="../activeX/activeX630.xml"/><Relationship Id="rId19" Type="http://schemas.openxmlformats.org/officeDocument/2006/relationships/hyperlink" Target="https://icargo-rc4-rct.afklcargo.com/icargo/msgbroker.message.checkselected.do?openPopUpFlg=VIEW&amp;selectedId=14044850," TargetMode="External"/><Relationship Id="rId224" Type="http://schemas.openxmlformats.org/officeDocument/2006/relationships/hyperlink" Target="https://icargo-rc4-rct.afklcargo.com/icargo/showScreen.do" TargetMode="External"/><Relationship Id="rId431" Type="http://schemas.openxmlformats.org/officeDocument/2006/relationships/hyperlink" Target="https://icargo-rct.afklcargo.com/icargo/showScreen.do" TargetMode="External"/><Relationship Id="rId529" Type="http://schemas.openxmlformats.org/officeDocument/2006/relationships/hyperlink" Target="https://icargo-rct.afklcargo.com/icargo/showScreen.do" TargetMode="External"/><Relationship Id="rId736" Type="http://schemas.openxmlformats.org/officeDocument/2006/relationships/control" Target="../activeX/activeX68.xml"/><Relationship Id="rId1061" Type="http://schemas.openxmlformats.org/officeDocument/2006/relationships/control" Target="../activeX/activeX393.xml"/><Relationship Id="rId1159" Type="http://schemas.openxmlformats.org/officeDocument/2006/relationships/control" Target="../activeX/activeX491.xml"/><Relationship Id="rId168" Type="http://schemas.openxmlformats.org/officeDocument/2006/relationships/hyperlink" Target="https://icargo-rc4-rct.afklcargo.com/icargo/showScreen.do" TargetMode="External"/><Relationship Id="rId943" Type="http://schemas.openxmlformats.org/officeDocument/2006/relationships/control" Target="../activeX/activeX275.xml"/><Relationship Id="rId1019" Type="http://schemas.openxmlformats.org/officeDocument/2006/relationships/control" Target="../activeX/activeX351.xml"/><Relationship Id="rId72" Type="http://schemas.openxmlformats.org/officeDocument/2006/relationships/hyperlink" Target="https://icargo-rc4-rct.afklcargo.com/icargo/msgbroker.message.checkselected.do?openPopUpFlg=VIEW&amp;selectedId=14044850," TargetMode="External"/><Relationship Id="rId375" Type="http://schemas.openxmlformats.org/officeDocument/2006/relationships/hyperlink" Target="https://icargo-rct.afklcargo.com/icargo/showScreen.do" TargetMode="External"/><Relationship Id="rId582" Type="http://schemas.openxmlformats.org/officeDocument/2006/relationships/hyperlink" Target="https://icargo-rct.afklcargo.com/icargo/showScreen.do" TargetMode="External"/><Relationship Id="rId803" Type="http://schemas.openxmlformats.org/officeDocument/2006/relationships/control" Target="../activeX/activeX135.xml"/><Relationship Id="rId1226" Type="http://schemas.openxmlformats.org/officeDocument/2006/relationships/control" Target="../activeX/activeX557.xml"/><Relationship Id="rId3" Type="http://schemas.openxmlformats.org/officeDocument/2006/relationships/hyperlink" Target="https://icargo-rc4-rct.afklcargo.com/icargo/msgbroker.message.checkselected.do?openPopUpFlg=VIEW&amp;selectedId=14044850," TargetMode="External"/><Relationship Id="rId235" Type="http://schemas.openxmlformats.org/officeDocument/2006/relationships/hyperlink" Target="https://icargo-rc4-rct.afklcargo.com/icargo/showScreen.do" TargetMode="External"/><Relationship Id="rId442" Type="http://schemas.openxmlformats.org/officeDocument/2006/relationships/hyperlink" Target="https://icargo-rct.afklcargo.com/icargo/showScreen.do" TargetMode="External"/><Relationship Id="rId887" Type="http://schemas.openxmlformats.org/officeDocument/2006/relationships/control" Target="../activeX/activeX219.xml"/><Relationship Id="rId1072" Type="http://schemas.openxmlformats.org/officeDocument/2006/relationships/control" Target="../activeX/activeX404.xml"/><Relationship Id="rId302" Type="http://schemas.openxmlformats.org/officeDocument/2006/relationships/hyperlink" Target="https://icargo-rct.afklcargo.com/icargo/showScreen.do" TargetMode="External"/><Relationship Id="rId747" Type="http://schemas.openxmlformats.org/officeDocument/2006/relationships/control" Target="../activeX/activeX79.xml"/><Relationship Id="rId954" Type="http://schemas.openxmlformats.org/officeDocument/2006/relationships/control" Target="../activeX/activeX286.xml"/><Relationship Id="rId83" Type="http://schemas.openxmlformats.org/officeDocument/2006/relationships/hyperlink" Target="https://icargo-rc4-rct.afklcargo.com/icargo/msgbroker.message.checkselected.do?openPopUpFlg=VIEW&amp;selectedId=14044850," TargetMode="External"/><Relationship Id="rId179" Type="http://schemas.openxmlformats.org/officeDocument/2006/relationships/hyperlink" Target="https://icargo-rc4-rct.afklcargo.com/icargo/showScreen.do" TargetMode="External"/><Relationship Id="rId386" Type="http://schemas.openxmlformats.org/officeDocument/2006/relationships/hyperlink" Target="https://icargo-rct.afklcargo.com/icargo/showScreen.do" TargetMode="External"/><Relationship Id="rId593" Type="http://schemas.openxmlformats.org/officeDocument/2006/relationships/hyperlink" Target="https://icargo-rct.afklcargo.com/icargo/showScreen.do" TargetMode="External"/><Relationship Id="rId607" Type="http://schemas.openxmlformats.org/officeDocument/2006/relationships/hyperlink" Target="https://icargo-rct.afklcargo.com/icargo/showScreen.do" TargetMode="External"/><Relationship Id="rId814" Type="http://schemas.openxmlformats.org/officeDocument/2006/relationships/control" Target="../activeX/activeX146.xml"/><Relationship Id="rId1237" Type="http://schemas.openxmlformats.org/officeDocument/2006/relationships/control" Target="../activeX/activeX568.xml"/><Relationship Id="rId246" Type="http://schemas.openxmlformats.org/officeDocument/2006/relationships/hyperlink" Target="https://icargo-rc4-rct.afklcargo.com/icargo/showScreen.do" TargetMode="External"/><Relationship Id="rId453" Type="http://schemas.openxmlformats.org/officeDocument/2006/relationships/hyperlink" Target="https://icargo-rct.afklcargo.com/icargo/showScreen.do" TargetMode="External"/><Relationship Id="rId660" Type="http://schemas.openxmlformats.org/officeDocument/2006/relationships/hyperlink" Target="https://icargo-rct.afklcargo.com/icargo/showScreen.do" TargetMode="External"/><Relationship Id="rId898" Type="http://schemas.openxmlformats.org/officeDocument/2006/relationships/control" Target="../activeX/activeX230.xml"/><Relationship Id="rId1083" Type="http://schemas.openxmlformats.org/officeDocument/2006/relationships/control" Target="../activeX/activeX415.xml"/><Relationship Id="rId1290" Type="http://schemas.openxmlformats.org/officeDocument/2006/relationships/control" Target="../activeX/activeX621.xml"/><Relationship Id="rId1304" Type="http://schemas.openxmlformats.org/officeDocument/2006/relationships/control" Target="../activeX/activeX635.xml"/><Relationship Id="rId106" Type="http://schemas.openxmlformats.org/officeDocument/2006/relationships/hyperlink" Target="https://icargo-rc4-rct.afklcargo.com/icargo/showScreen.do" TargetMode="External"/><Relationship Id="rId313" Type="http://schemas.openxmlformats.org/officeDocument/2006/relationships/hyperlink" Target="https://icargo-rct.afklcargo.com/icargo/showScreen.do" TargetMode="External"/><Relationship Id="rId758" Type="http://schemas.openxmlformats.org/officeDocument/2006/relationships/control" Target="../activeX/activeX90.xml"/><Relationship Id="rId965" Type="http://schemas.openxmlformats.org/officeDocument/2006/relationships/control" Target="../activeX/activeX297.xml"/><Relationship Id="rId1150" Type="http://schemas.openxmlformats.org/officeDocument/2006/relationships/control" Target="../activeX/activeX482.xml"/><Relationship Id="rId10" Type="http://schemas.openxmlformats.org/officeDocument/2006/relationships/hyperlink" Target="https://icargo-rc4-rct.afklcargo.com/icargo/msgbroker.message.checkselected.do?openPopUpFlg=VIEW&amp;selectedId=14044850," TargetMode="External"/><Relationship Id="rId94" Type="http://schemas.openxmlformats.org/officeDocument/2006/relationships/hyperlink" Target="https://icargo-rc4-rct.afklcargo.com/icargo/msgbroker.message.checkselected.do?openPopUpFlg=VIEW&amp;selectedId=14044850," TargetMode="External"/><Relationship Id="rId397" Type="http://schemas.openxmlformats.org/officeDocument/2006/relationships/hyperlink" Target="https://icargo-rct.afklcargo.com/icargo/showScreen.do" TargetMode="External"/><Relationship Id="rId520" Type="http://schemas.openxmlformats.org/officeDocument/2006/relationships/hyperlink" Target="https://icargo-rct.afklcargo.com/icargo/showScreen.do" TargetMode="External"/><Relationship Id="rId618" Type="http://schemas.openxmlformats.org/officeDocument/2006/relationships/hyperlink" Target="https://icargo-rct.afklcargo.com/icargo/showScreen.do" TargetMode="External"/><Relationship Id="rId825" Type="http://schemas.openxmlformats.org/officeDocument/2006/relationships/control" Target="../activeX/activeX157.xml"/><Relationship Id="rId1248" Type="http://schemas.openxmlformats.org/officeDocument/2006/relationships/control" Target="../activeX/activeX579.xml"/><Relationship Id="rId257" Type="http://schemas.openxmlformats.org/officeDocument/2006/relationships/hyperlink" Target="https://icargo-rc4-rct.afklcargo.com/icargo/showScreen.do" TargetMode="External"/><Relationship Id="rId464" Type="http://schemas.openxmlformats.org/officeDocument/2006/relationships/hyperlink" Target="https://icargo-rct.afklcargo.com/icargo/showScreen.do" TargetMode="External"/><Relationship Id="rId1010" Type="http://schemas.openxmlformats.org/officeDocument/2006/relationships/control" Target="../activeX/activeX342.xml"/><Relationship Id="rId1094" Type="http://schemas.openxmlformats.org/officeDocument/2006/relationships/control" Target="../activeX/activeX426.xml"/><Relationship Id="rId1108" Type="http://schemas.openxmlformats.org/officeDocument/2006/relationships/control" Target="../activeX/activeX440.xml"/><Relationship Id="rId117" Type="http://schemas.openxmlformats.org/officeDocument/2006/relationships/hyperlink" Target="https://icargo-rc4-rct.afklcargo.com/icargo/showScreen.do" TargetMode="External"/><Relationship Id="rId671" Type="http://schemas.openxmlformats.org/officeDocument/2006/relationships/control" Target="../activeX/activeX3.xml"/><Relationship Id="rId769" Type="http://schemas.openxmlformats.org/officeDocument/2006/relationships/control" Target="../activeX/activeX101.xml"/><Relationship Id="rId976" Type="http://schemas.openxmlformats.org/officeDocument/2006/relationships/control" Target="../activeX/activeX308.xml"/><Relationship Id="rId324" Type="http://schemas.openxmlformats.org/officeDocument/2006/relationships/hyperlink" Target="https://icargo-rct.afklcargo.com/icargo/showScreen.do" TargetMode="External"/><Relationship Id="rId531" Type="http://schemas.openxmlformats.org/officeDocument/2006/relationships/hyperlink" Target="https://icargo-rct.afklcargo.com/icargo/showScreen.do" TargetMode="External"/><Relationship Id="rId629" Type="http://schemas.openxmlformats.org/officeDocument/2006/relationships/hyperlink" Target="https://icargo-rct.afklcargo.com/icargo/showScreen.do" TargetMode="External"/><Relationship Id="rId1161" Type="http://schemas.openxmlformats.org/officeDocument/2006/relationships/control" Target="../activeX/activeX493.xml"/><Relationship Id="rId1259" Type="http://schemas.openxmlformats.org/officeDocument/2006/relationships/control" Target="../activeX/activeX590.xml"/><Relationship Id="rId836" Type="http://schemas.openxmlformats.org/officeDocument/2006/relationships/control" Target="../activeX/activeX168.xml"/><Relationship Id="rId1021" Type="http://schemas.openxmlformats.org/officeDocument/2006/relationships/control" Target="../activeX/activeX353.xml"/><Relationship Id="rId1119" Type="http://schemas.openxmlformats.org/officeDocument/2006/relationships/control" Target="../activeX/activeX451.xml"/><Relationship Id="rId903" Type="http://schemas.openxmlformats.org/officeDocument/2006/relationships/control" Target="../activeX/activeX235.xml"/><Relationship Id="rId32" Type="http://schemas.openxmlformats.org/officeDocument/2006/relationships/hyperlink" Target="https://icargo-rc4-rct.afklcargo.com/icargo/msgbroker.message.checkselected.do?openPopUpFlg=VIEW&amp;selectedId=14044850," TargetMode="External"/><Relationship Id="rId181" Type="http://schemas.openxmlformats.org/officeDocument/2006/relationships/hyperlink" Target="https://icargo-rc4-rct.afklcargo.com/icargo/showScreen.do" TargetMode="External"/><Relationship Id="rId279" Type="http://schemas.openxmlformats.org/officeDocument/2006/relationships/hyperlink" Target="https://icargo-rc4-rct.afklcargo.com/icargo/showScreen.do" TargetMode="External"/><Relationship Id="rId486" Type="http://schemas.openxmlformats.org/officeDocument/2006/relationships/hyperlink" Target="https://icargo-rct.afklcargo.com/icargo/showScreen.do" TargetMode="External"/><Relationship Id="rId693" Type="http://schemas.openxmlformats.org/officeDocument/2006/relationships/control" Target="../activeX/activeX25.xml"/><Relationship Id="rId139" Type="http://schemas.openxmlformats.org/officeDocument/2006/relationships/hyperlink" Target="https://icargo-rc4-rct.afklcargo.com/icargo/showScreen.do" TargetMode="External"/><Relationship Id="rId346" Type="http://schemas.openxmlformats.org/officeDocument/2006/relationships/hyperlink" Target="https://icargo-rct.afklcargo.com/icargo/showScreen.do" TargetMode="External"/><Relationship Id="rId553" Type="http://schemas.openxmlformats.org/officeDocument/2006/relationships/hyperlink" Target="https://icargo-rct.afklcargo.com/icargo/showScreen.do" TargetMode="External"/><Relationship Id="rId760" Type="http://schemas.openxmlformats.org/officeDocument/2006/relationships/control" Target="../activeX/activeX92.xml"/><Relationship Id="rId998" Type="http://schemas.openxmlformats.org/officeDocument/2006/relationships/control" Target="../activeX/activeX330.xml"/><Relationship Id="rId1183" Type="http://schemas.openxmlformats.org/officeDocument/2006/relationships/control" Target="../activeX/activeX515.xml"/><Relationship Id="rId206" Type="http://schemas.openxmlformats.org/officeDocument/2006/relationships/hyperlink" Target="https://icargo-rc4-rct.afklcargo.com/icargo/showScreen.do" TargetMode="External"/><Relationship Id="rId413" Type="http://schemas.openxmlformats.org/officeDocument/2006/relationships/hyperlink" Target="https://icargo-rct.afklcargo.com/icargo/showScreen.do" TargetMode="External"/><Relationship Id="rId858" Type="http://schemas.openxmlformats.org/officeDocument/2006/relationships/control" Target="../activeX/activeX190.xml"/><Relationship Id="rId1043" Type="http://schemas.openxmlformats.org/officeDocument/2006/relationships/control" Target="../activeX/activeX375.xml"/><Relationship Id="rId620" Type="http://schemas.openxmlformats.org/officeDocument/2006/relationships/hyperlink" Target="https://icargo-rct.afklcargo.com/icargo/showScreen.do" TargetMode="External"/><Relationship Id="rId718" Type="http://schemas.openxmlformats.org/officeDocument/2006/relationships/control" Target="../activeX/activeX50.xml"/><Relationship Id="rId925" Type="http://schemas.openxmlformats.org/officeDocument/2006/relationships/control" Target="../activeX/activeX257.xml"/><Relationship Id="rId1250" Type="http://schemas.openxmlformats.org/officeDocument/2006/relationships/control" Target="../activeX/activeX581.xml"/><Relationship Id="rId1110" Type="http://schemas.openxmlformats.org/officeDocument/2006/relationships/control" Target="../activeX/activeX442.xml"/><Relationship Id="rId1208" Type="http://schemas.openxmlformats.org/officeDocument/2006/relationships/control" Target="../activeX/activeX539.xml"/><Relationship Id="rId54" Type="http://schemas.openxmlformats.org/officeDocument/2006/relationships/hyperlink" Target="https://icargo-rc4-rct.afklcargo.com/icargo/msgbroker.message.checkselected.do?openPopUpFlg=VIEW&amp;selectedId=14044850," TargetMode="External"/><Relationship Id="rId270" Type="http://schemas.openxmlformats.org/officeDocument/2006/relationships/hyperlink" Target="https://icargo-rc4-rct.afklcargo.com/icargo/showScreen.do" TargetMode="External"/><Relationship Id="rId130" Type="http://schemas.openxmlformats.org/officeDocument/2006/relationships/hyperlink" Target="https://icargo-rc4-rct.afklcargo.com/icargo/showScreen.do" TargetMode="External"/><Relationship Id="rId368" Type="http://schemas.openxmlformats.org/officeDocument/2006/relationships/hyperlink" Target="https://icargo-rct.afklcargo.com/icargo/showScreen.do" TargetMode="External"/><Relationship Id="rId575" Type="http://schemas.openxmlformats.org/officeDocument/2006/relationships/hyperlink" Target="https://icargo-rct.afklcargo.com/icargo/showScreen.do" TargetMode="External"/><Relationship Id="rId782" Type="http://schemas.openxmlformats.org/officeDocument/2006/relationships/control" Target="../activeX/activeX114.xml"/><Relationship Id="rId228" Type="http://schemas.openxmlformats.org/officeDocument/2006/relationships/hyperlink" Target="https://icargo-rc4-rct.afklcargo.com/icargo/showScreen.do" TargetMode="External"/><Relationship Id="rId435" Type="http://schemas.openxmlformats.org/officeDocument/2006/relationships/hyperlink" Target="https://icargo-rct.afklcargo.com/icargo/showScreen.do" TargetMode="External"/><Relationship Id="rId642" Type="http://schemas.openxmlformats.org/officeDocument/2006/relationships/hyperlink" Target="https://icargo-rct.afklcargo.com/icargo/showScreen.do" TargetMode="External"/><Relationship Id="rId1065" Type="http://schemas.openxmlformats.org/officeDocument/2006/relationships/control" Target="../activeX/activeX397.xml"/><Relationship Id="rId1272" Type="http://schemas.openxmlformats.org/officeDocument/2006/relationships/control" Target="../activeX/activeX603.xml"/><Relationship Id="rId502" Type="http://schemas.openxmlformats.org/officeDocument/2006/relationships/hyperlink" Target="https://icargo-rct.afklcargo.com/icargo/showScreen.do" TargetMode="External"/><Relationship Id="rId947" Type="http://schemas.openxmlformats.org/officeDocument/2006/relationships/control" Target="../activeX/activeX279.xml"/><Relationship Id="rId1132" Type="http://schemas.openxmlformats.org/officeDocument/2006/relationships/control" Target="../activeX/activeX464.xml"/><Relationship Id="rId76" Type="http://schemas.openxmlformats.org/officeDocument/2006/relationships/hyperlink" Target="https://icargo-rc4-rct.afklcargo.com/icargo/msgbroker.message.checkselected.do?openPopUpFlg=VIEW&amp;selectedId=14044850," TargetMode="External"/><Relationship Id="rId807" Type="http://schemas.openxmlformats.org/officeDocument/2006/relationships/control" Target="../activeX/activeX139.xml"/><Relationship Id="rId292" Type="http://schemas.openxmlformats.org/officeDocument/2006/relationships/hyperlink" Target="https://icargo-rct.afklcargo.com/icargo/showScreen.do" TargetMode="External"/><Relationship Id="rId597" Type="http://schemas.openxmlformats.org/officeDocument/2006/relationships/hyperlink" Target="https://icargo-rct.afklcargo.com/icargo/showScreen.do" TargetMode="External"/><Relationship Id="rId152" Type="http://schemas.openxmlformats.org/officeDocument/2006/relationships/hyperlink" Target="https://icargo-rc4-rct.afklcargo.com/icargo/showScreen.do" TargetMode="External"/><Relationship Id="rId457" Type="http://schemas.openxmlformats.org/officeDocument/2006/relationships/hyperlink" Target="https://icargo-rct.afklcargo.com/icargo/showScreen.do" TargetMode="External"/><Relationship Id="rId1087" Type="http://schemas.openxmlformats.org/officeDocument/2006/relationships/control" Target="../activeX/activeX419.xml"/><Relationship Id="rId1294" Type="http://schemas.openxmlformats.org/officeDocument/2006/relationships/control" Target="../activeX/activeX625.xml"/><Relationship Id="rId664" Type="http://schemas.openxmlformats.org/officeDocument/2006/relationships/hyperlink" Target="https://icargo-rct.afklcargo.com/icargo/showScreen.do" TargetMode="External"/><Relationship Id="rId871" Type="http://schemas.openxmlformats.org/officeDocument/2006/relationships/control" Target="../activeX/activeX203.xml"/><Relationship Id="rId969" Type="http://schemas.openxmlformats.org/officeDocument/2006/relationships/control" Target="../activeX/activeX301.xml"/><Relationship Id="rId317" Type="http://schemas.openxmlformats.org/officeDocument/2006/relationships/hyperlink" Target="https://icargo-rct.afklcargo.com/icargo/showScreen.do" TargetMode="External"/><Relationship Id="rId524" Type="http://schemas.openxmlformats.org/officeDocument/2006/relationships/hyperlink" Target="https://icargo-rct.afklcargo.com/icargo/showScreen.do" TargetMode="External"/><Relationship Id="rId731" Type="http://schemas.openxmlformats.org/officeDocument/2006/relationships/control" Target="../activeX/activeX63.xml"/><Relationship Id="rId1154" Type="http://schemas.openxmlformats.org/officeDocument/2006/relationships/control" Target="../activeX/activeX486.xml"/><Relationship Id="rId98" Type="http://schemas.openxmlformats.org/officeDocument/2006/relationships/hyperlink" Target="https://icargo-rc4-rct.afklcargo.com/icargo/msgbroker.message.checkselected.do?openPopUpFlg=VIEW&amp;selectedId=14044850," TargetMode="External"/><Relationship Id="rId829" Type="http://schemas.openxmlformats.org/officeDocument/2006/relationships/control" Target="../activeX/activeX161.xml"/><Relationship Id="rId1014" Type="http://schemas.openxmlformats.org/officeDocument/2006/relationships/control" Target="../activeX/activeX346.xml"/><Relationship Id="rId1221" Type="http://schemas.openxmlformats.org/officeDocument/2006/relationships/control" Target="../activeX/activeX552.xml"/><Relationship Id="rId25" Type="http://schemas.openxmlformats.org/officeDocument/2006/relationships/hyperlink" Target="https://icargo-rc4-rct.afklcargo.com/icargo/msgbroker.message.checkselected.do?openPopUpFlg=VIEW&amp;selectedId=14044850," TargetMode="External"/><Relationship Id="rId174" Type="http://schemas.openxmlformats.org/officeDocument/2006/relationships/hyperlink" Target="https://icargo-rc4-rct.afklcargo.com/icargo/showScreen.do" TargetMode="External"/><Relationship Id="rId381" Type="http://schemas.openxmlformats.org/officeDocument/2006/relationships/hyperlink" Target="https://icargo-rct.afklcargo.com/icargo/showScreen.do" TargetMode="External"/><Relationship Id="rId241" Type="http://schemas.openxmlformats.org/officeDocument/2006/relationships/hyperlink" Target="https://icargo-rc4-rct.afklcargo.com/icargo/showScreen.do" TargetMode="External"/><Relationship Id="rId479" Type="http://schemas.openxmlformats.org/officeDocument/2006/relationships/hyperlink" Target="https://icargo-rct.afklcargo.com/icargo/showScreen.do" TargetMode="External"/><Relationship Id="rId686" Type="http://schemas.openxmlformats.org/officeDocument/2006/relationships/control" Target="../activeX/activeX18.xml"/><Relationship Id="rId893" Type="http://schemas.openxmlformats.org/officeDocument/2006/relationships/control" Target="../activeX/activeX225.xml"/><Relationship Id="rId339" Type="http://schemas.openxmlformats.org/officeDocument/2006/relationships/hyperlink" Target="https://icargo-rct.afklcargo.com/icargo/showScreen.do" TargetMode="External"/><Relationship Id="rId546" Type="http://schemas.openxmlformats.org/officeDocument/2006/relationships/hyperlink" Target="https://icargo-rct.afklcargo.com/icargo/showScreen.do" TargetMode="External"/><Relationship Id="rId753" Type="http://schemas.openxmlformats.org/officeDocument/2006/relationships/control" Target="../activeX/activeX85.xml"/><Relationship Id="rId1176" Type="http://schemas.openxmlformats.org/officeDocument/2006/relationships/control" Target="../activeX/activeX508.xml"/><Relationship Id="rId101" Type="http://schemas.openxmlformats.org/officeDocument/2006/relationships/hyperlink" Target="https://icargo-rc4-rct.afklcargo.com/icargo/showScreen.do" TargetMode="External"/><Relationship Id="rId406" Type="http://schemas.openxmlformats.org/officeDocument/2006/relationships/hyperlink" Target="https://icargo-rct.afklcargo.com/icargo/showScreen.do" TargetMode="External"/><Relationship Id="rId960" Type="http://schemas.openxmlformats.org/officeDocument/2006/relationships/control" Target="../activeX/activeX292.xml"/><Relationship Id="rId1036" Type="http://schemas.openxmlformats.org/officeDocument/2006/relationships/control" Target="../activeX/activeX368.xml"/><Relationship Id="rId1243" Type="http://schemas.openxmlformats.org/officeDocument/2006/relationships/control" Target="../activeX/activeX574.xml"/><Relationship Id="rId613" Type="http://schemas.openxmlformats.org/officeDocument/2006/relationships/hyperlink" Target="https://icargo-rct.afklcargo.com/icargo/showScreen.do" TargetMode="External"/><Relationship Id="rId820" Type="http://schemas.openxmlformats.org/officeDocument/2006/relationships/control" Target="../activeX/activeX152.xml"/><Relationship Id="rId918" Type="http://schemas.openxmlformats.org/officeDocument/2006/relationships/control" Target="../activeX/activeX250.xml"/><Relationship Id="rId1103" Type="http://schemas.openxmlformats.org/officeDocument/2006/relationships/control" Target="../activeX/activeX435.xml"/><Relationship Id="rId47" Type="http://schemas.openxmlformats.org/officeDocument/2006/relationships/hyperlink" Target="https://icargo-rc4-rct.afklcargo.com/icargo/msgbroker.message.checkselected.do?openPopUpFlg=VIEW&amp;selectedId=14044850," TargetMode="External"/><Relationship Id="rId196" Type="http://schemas.openxmlformats.org/officeDocument/2006/relationships/hyperlink" Target="https://icargo-rc4-rct.afklcargo.com/icargo/showScreen.do" TargetMode="External"/><Relationship Id="rId263" Type="http://schemas.openxmlformats.org/officeDocument/2006/relationships/hyperlink" Target="https://icargo-rc4-rct.afklcargo.com/icargo/showScreen.do" TargetMode="External"/><Relationship Id="rId470" Type="http://schemas.openxmlformats.org/officeDocument/2006/relationships/hyperlink" Target="https://icargo-rct.afklcargo.com/icargo/showScreen.do" TargetMode="External"/><Relationship Id="rId123" Type="http://schemas.openxmlformats.org/officeDocument/2006/relationships/hyperlink" Target="https://icargo-rc4-rct.afklcargo.com/icargo/showScreen.do" TargetMode="External"/><Relationship Id="rId330" Type="http://schemas.openxmlformats.org/officeDocument/2006/relationships/hyperlink" Target="https://icargo-rct.afklcargo.com/icargo/showScreen.do" TargetMode="External"/><Relationship Id="rId568" Type="http://schemas.openxmlformats.org/officeDocument/2006/relationships/hyperlink" Target="https://icargo-rct.afklcargo.com/icargo/showScreen.do" TargetMode="External"/><Relationship Id="rId775" Type="http://schemas.openxmlformats.org/officeDocument/2006/relationships/control" Target="../activeX/activeX107.xml"/><Relationship Id="rId982" Type="http://schemas.openxmlformats.org/officeDocument/2006/relationships/control" Target="../activeX/activeX314.xml"/><Relationship Id="rId1198" Type="http://schemas.openxmlformats.org/officeDocument/2006/relationships/control" Target="../activeX/activeX529.xml"/><Relationship Id="rId428" Type="http://schemas.openxmlformats.org/officeDocument/2006/relationships/hyperlink" Target="https://icargo-rct.afklcargo.com/icargo/showScreen.do" TargetMode="External"/><Relationship Id="rId635" Type="http://schemas.openxmlformats.org/officeDocument/2006/relationships/hyperlink" Target="https://icargo-rct.afklcargo.com/icargo/showScreen.do" TargetMode="External"/><Relationship Id="rId842" Type="http://schemas.openxmlformats.org/officeDocument/2006/relationships/control" Target="../activeX/activeX174.xml"/><Relationship Id="rId1058" Type="http://schemas.openxmlformats.org/officeDocument/2006/relationships/control" Target="../activeX/activeX390.xml"/><Relationship Id="rId1265" Type="http://schemas.openxmlformats.org/officeDocument/2006/relationships/control" Target="../activeX/activeX596.xml"/><Relationship Id="rId702" Type="http://schemas.openxmlformats.org/officeDocument/2006/relationships/control" Target="../activeX/activeX34.xml"/><Relationship Id="rId1125" Type="http://schemas.openxmlformats.org/officeDocument/2006/relationships/control" Target="../activeX/activeX457.xml"/><Relationship Id="rId69" Type="http://schemas.openxmlformats.org/officeDocument/2006/relationships/hyperlink" Target="https://icargo-rc4-rct.afklcargo.com/icargo/msgbroker.message.checkselected.do?openPopUpFlg=VIEW&amp;selectedId=14044850," TargetMode="External"/><Relationship Id="rId285" Type="http://schemas.openxmlformats.org/officeDocument/2006/relationships/hyperlink" Target="https://icargo-rct.afklcargo.com/icargo/showScreen.do" TargetMode="External"/><Relationship Id="rId492" Type="http://schemas.openxmlformats.org/officeDocument/2006/relationships/hyperlink" Target="https://icargo-rct.afklcargo.com/icargo/showScreen.do" TargetMode="External"/><Relationship Id="rId797" Type="http://schemas.openxmlformats.org/officeDocument/2006/relationships/control" Target="../activeX/activeX129.xml"/><Relationship Id="rId145" Type="http://schemas.openxmlformats.org/officeDocument/2006/relationships/hyperlink" Target="https://icargo-rc4-rct.afklcargo.com/icargo/showScreen.do" TargetMode="External"/><Relationship Id="rId352" Type="http://schemas.openxmlformats.org/officeDocument/2006/relationships/hyperlink" Target="https://icargo-rct.afklcargo.com/icargo/showScreen.do" TargetMode="External"/><Relationship Id="rId1287" Type="http://schemas.openxmlformats.org/officeDocument/2006/relationships/control" Target="../activeX/activeX618.xml"/><Relationship Id="rId212" Type="http://schemas.openxmlformats.org/officeDocument/2006/relationships/hyperlink" Target="https://icargo-rc4-rct.afklcargo.com/icargo/showScreen.do" TargetMode="External"/><Relationship Id="rId657" Type="http://schemas.openxmlformats.org/officeDocument/2006/relationships/hyperlink" Target="https://icargo-rct.afklcargo.com/icargo/showScreen.do" TargetMode="External"/><Relationship Id="rId864" Type="http://schemas.openxmlformats.org/officeDocument/2006/relationships/control" Target="../activeX/activeX196.xml"/><Relationship Id="rId517" Type="http://schemas.openxmlformats.org/officeDocument/2006/relationships/hyperlink" Target="https://icargo-rct.afklcargo.com/icargo/showScreen.do" TargetMode="External"/><Relationship Id="rId724" Type="http://schemas.openxmlformats.org/officeDocument/2006/relationships/control" Target="../activeX/activeX56.xml"/><Relationship Id="rId931" Type="http://schemas.openxmlformats.org/officeDocument/2006/relationships/control" Target="../activeX/activeX263.xml"/><Relationship Id="rId1147" Type="http://schemas.openxmlformats.org/officeDocument/2006/relationships/control" Target="../activeX/activeX479.xml"/><Relationship Id="rId60" Type="http://schemas.openxmlformats.org/officeDocument/2006/relationships/hyperlink" Target="https://icargo-rc4-rct.afklcargo.com/icargo/msgbroker.message.checkselected.do?openPopUpFlg=VIEW&amp;selectedId=14044850," TargetMode="External"/><Relationship Id="rId1007" Type="http://schemas.openxmlformats.org/officeDocument/2006/relationships/control" Target="../activeX/activeX339.xml"/><Relationship Id="rId1214" Type="http://schemas.openxmlformats.org/officeDocument/2006/relationships/control" Target="../activeX/activeX545.xml"/><Relationship Id="rId18" Type="http://schemas.openxmlformats.org/officeDocument/2006/relationships/hyperlink" Target="https://icargo-rc4-rct.afklcargo.com/icargo/msgbroker.message.checkselected.do?openPopUpFlg=VIEW&amp;selectedId=14044850," TargetMode="External"/><Relationship Id="rId167" Type="http://schemas.openxmlformats.org/officeDocument/2006/relationships/hyperlink" Target="https://icargo-rc4-rct.afklcargo.com/icargo/showScreen.do" TargetMode="External"/><Relationship Id="rId374" Type="http://schemas.openxmlformats.org/officeDocument/2006/relationships/hyperlink" Target="https://icargo-rct.afklcargo.com/icargo/showScreen.do" TargetMode="External"/><Relationship Id="rId581" Type="http://schemas.openxmlformats.org/officeDocument/2006/relationships/hyperlink" Target="https://icargo-rct.afklcargo.com/icargo/showScreen.do" TargetMode="External"/><Relationship Id="rId234" Type="http://schemas.openxmlformats.org/officeDocument/2006/relationships/hyperlink" Target="https://icargo-rc4-rct.afklcargo.com/icargo/showScreen.do" TargetMode="External"/><Relationship Id="rId679" Type="http://schemas.openxmlformats.org/officeDocument/2006/relationships/control" Target="../activeX/activeX11.xml"/><Relationship Id="rId886" Type="http://schemas.openxmlformats.org/officeDocument/2006/relationships/control" Target="../activeX/activeX218.xml"/><Relationship Id="rId2" Type="http://schemas.openxmlformats.org/officeDocument/2006/relationships/hyperlink" Target="https://icargo-rc4-rct.afklcargo.com/icargo/msgbroker.message.checkselected.do?openPopUpFlg=VIEW&amp;selectedId=14044850," TargetMode="External"/><Relationship Id="rId441" Type="http://schemas.openxmlformats.org/officeDocument/2006/relationships/hyperlink" Target="https://icargo-rct.afklcargo.com/icargo/showScreen.do" TargetMode="External"/><Relationship Id="rId539" Type="http://schemas.openxmlformats.org/officeDocument/2006/relationships/hyperlink" Target="https://icargo-rct.afklcargo.com/icargo/showScreen.do" TargetMode="External"/><Relationship Id="rId746" Type="http://schemas.openxmlformats.org/officeDocument/2006/relationships/control" Target="../activeX/activeX78.xml"/><Relationship Id="rId1071" Type="http://schemas.openxmlformats.org/officeDocument/2006/relationships/control" Target="../activeX/activeX403.xml"/><Relationship Id="rId1169" Type="http://schemas.openxmlformats.org/officeDocument/2006/relationships/control" Target="../activeX/activeX501.xml"/><Relationship Id="rId301" Type="http://schemas.openxmlformats.org/officeDocument/2006/relationships/hyperlink" Target="https://icargo-rct.afklcargo.com/icargo/showScreen.do" TargetMode="External"/><Relationship Id="rId953" Type="http://schemas.openxmlformats.org/officeDocument/2006/relationships/control" Target="../activeX/activeX285.xml"/><Relationship Id="rId1029" Type="http://schemas.openxmlformats.org/officeDocument/2006/relationships/control" Target="../activeX/activeX361.xml"/><Relationship Id="rId1236" Type="http://schemas.openxmlformats.org/officeDocument/2006/relationships/control" Target="../activeX/activeX567.xml"/><Relationship Id="rId82" Type="http://schemas.openxmlformats.org/officeDocument/2006/relationships/hyperlink" Target="https://icargo-rc4-rct.afklcargo.com/icargo/msgbroker.message.checkselected.do?openPopUpFlg=VIEW&amp;selectedId=14044850," TargetMode="External"/><Relationship Id="rId606" Type="http://schemas.openxmlformats.org/officeDocument/2006/relationships/hyperlink" Target="https://icargo-rct.afklcargo.com/icargo/showScreen.do" TargetMode="External"/><Relationship Id="rId813" Type="http://schemas.openxmlformats.org/officeDocument/2006/relationships/control" Target="../activeX/activeX145.xml"/><Relationship Id="rId1303" Type="http://schemas.openxmlformats.org/officeDocument/2006/relationships/control" Target="../activeX/activeX634.xml"/><Relationship Id="rId189" Type="http://schemas.openxmlformats.org/officeDocument/2006/relationships/hyperlink" Target="https://icargo-rc4-rct.afklcargo.com/icargo/showScreen.do" TargetMode="External"/><Relationship Id="rId396" Type="http://schemas.openxmlformats.org/officeDocument/2006/relationships/hyperlink" Target="https://icargo-rct.afklcargo.com/icargo/showScreen.do" TargetMode="External"/><Relationship Id="rId256" Type="http://schemas.openxmlformats.org/officeDocument/2006/relationships/hyperlink" Target="https://icargo-rc4-rct.afklcargo.com/icargo/showScreen.do" TargetMode="External"/><Relationship Id="rId463" Type="http://schemas.openxmlformats.org/officeDocument/2006/relationships/hyperlink" Target="https://icargo-rct.afklcargo.com/icargo/showScreen.do" TargetMode="External"/><Relationship Id="rId670" Type="http://schemas.openxmlformats.org/officeDocument/2006/relationships/control" Target="../activeX/activeX2.xml"/><Relationship Id="rId1093" Type="http://schemas.openxmlformats.org/officeDocument/2006/relationships/control" Target="../activeX/activeX425.xml"/><Relationship Id="rId116" Type="http://schemas.openxmlformats.org/officeDocument/2006/relationships/hyperlink" Target="https://icargo-rc4-rct.afklcargo.com/icargo/showScreen.do" TargetMode="External"/><Relationship Id="rId323" Type="http://schemas.openxmlformats.org/officeDocument/2006/relationships/hyperlink" Target="https://icargo-rct.afklcargo.com/icargo/showScreen.do" TargetMode="External"/><Relationship Id="rId530" Type="http://schemas.openxmlformats.org/officeDocument/2006/relationships/hyperlink" Target="https://icargo-rct.afklcargo.com/icargo/showScreen.do" TargetMode="External"/><Relationship Id="rId768" Type="http://schemas.openxmlformats.org/officeDocument/2006/relationships/control" Target="../activeX/activeX100.xml"/><Relationship Id="rId975" Type="http://schemas.openxmlformats.org/officeDocument/2006/relationships/control" Target="../activeX/activeX307.xml"/><Relationship Id="rId1160" Type="http://schemas.openxmlformats.org/officeDocument/2006/relationships/control" Target="../activeX/activeX492.xml"/><Relationship Id="rId628" Type="http://schemas.openxmlformats.org/officeDocument/2006/relationships/hyperlink" Target="https://icargo-rct.afklcargo.com/icargo/showScreen.do" TargetMode="External"/><Relationship Id="rId835" Type="http://schemas.openxmlformats.org/officeDocument/2006/relationships/control" Target="../activeX/activeX167.xml"/><Relationship Id="rId1258" Type="http://schemas.openxmlformats.org/officeDocument/2006/relationships/control" Target="../activeX/activeX589.xml"/><Relationship Id="rId1020" Type="http://schemas.openxmlformats.org/officeDocument/2006/relationships/control" Target="../activeX/activeX352.xml"/><Relationship Id="rId1118" Type="http://schemas.openxmlformats.org/officeDocument/2006/relationships/control" Target="../activeX/activeX450.xml"/><Relationship Id="rId902" Type="http://schemas.openxmlformats.org/officeDocument/2006/relationships/control" Target="../activeX/activeX234.xml"/><Relationship Id="rId31" Type="http://schemas.openxmlformats.org/officeDocument/2006/relationships/hyperlink" Target="https://icargo-rc4-rct.afklcargo.com/icargo/msgbroker.message.checkselected.do?openPopUpFlg=VIEW&amp;selectedId=14044850," TargetMode="External"/><Relationship Id="rId180" Type="http://schemas.openxmlformats.org/officeDocument/2006/relationships/hyperlink" Target="https://icargo-rc4-rct.afklcargo.com/icargo/showScreen.do" TargetMode="External"/><Relationship Id="rId278" Type="http://schemas.openxmlformats.org/officeDocument/2006/relationships/hyperlink" Target="https://icargo-rc4-rct.afklcargo.com/icargo/showScreen.do" TargetMode="External"/><Relationship Id="rId485" Type="http://schemas.openxmlformats.org/officeDocument/2006/relationships/hyperlink" Target="https://icargo-rct.afklcargo.com/icargo/showScreen.do" TargetMode="External"/><Relationship Id="rId692" Type="http://schemas.openxmlformats.org/officeDocument/2006/relationships/control" Target="../activeX/activeX24.xml"/><Relationship Id="rId138" Type="http://schemas.openxmlformats.org/officeDocument/2006/relationships/hyperlink" Target="https://icargo-rc4-rct.afklcargo.com/icargo/showScreen.do" TargetMode="External"/><Relationship Id="rId345" Type="http://schemas.openxmlformats.org/officeDocument/2006/relationships/hyperlink" Target="https://icargo-rct.afklcargo.com/icargo/showScreen.do" TargetMode="External"/><Relationship Id="rId552" Type="http://schemas.openxmlformats.org/officeDocument/2006/relationships/hyperlink" Target="https://icargo-rct.afklcargo.com/icargo/showScreen.do" TargetMode="External"/><Relationship Id="rId997" Type="http://schemas.openxmlformats.org/officeDocument/2006/relationships/control" Target="../activeX/activeX329.xml"/><Relationship Id="rId1182" Type="http://schemas.openxmlformats.org/officeDocument/2006/relationships/control" Target="../activeX/activeX514.xml"/><Relationship Id="rId205" Type="http://schemas.openxmlformats.org/officeDocument/2006/relationships/hyperlink" Target="https://icargo-rc4-rct.afklcargo.com/icargo/showScreen.do" TargetMode="External"/><Relationship Id="rId412" Type="http://schemas.openxmlformats.org/officeDocument/2006/relationships/hyperlink" Target="https://icargo-rct.afklcargo.com/icargo/showScreen.do" TargetMode="External"/><Relationship Id="rId857" Type="http://schemas.openxmlformats.org/officeDocument/2006/relationships/control" Target="../activeX/activeX189.xml"/><Relationship Id="rId1042" Type="http://schemas.openxmlformats.org/officeDocument/2006/relationships/control" Target="../activeX/activeX374.xml"/><Relationship Id="rId717" Type="http://schemas.openxmlformats.org/officeDocument/2006/relationships/control" Target="../activeX/activeX49.xml"/><Relationship Id="rId924" Type="http://schemas.openxmlformats.org/officeDocument/2006/relationships/control" Target="../activeX/activeX256.xml"/><Relationship Id="rId53" Type="http://schemas.openxmlformats.org/officeDocument/2006/relationships/hyperlink" Target="https://icargo-rc4-rct.afklcargo.com/icargo/msgbroker.message.checkselected.do?openPopUpFlg=VIEW&amp;selectedId=14044850," TargetMode="External"/><Relationship Id="rId1207" Type="http://schemas.openxmlformats.org/officeDocument/2006/relationships/control" Target="../activeX/activeX538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"/>
  <dimension ref="B1:U665"/>
  <sheetViews>
    <sheetView topLeftCell="B1" workbookViewId="0">
      <selection activeCell="O8" sqref="O8"/>
    </sheetView>
  </sheetViews>
  <sheetFormatPr defaultColWidth="11.42578125" defaultRowHeight="15"/>
  <cols>
    <col min="1" max="1" width="0" style="1" hidden="1" customWidth="1"/>
    <col min="2" max="2" width="11.42578125" style="1"/>
    <col min="3" max="3" width="28.42578125" style="1" customWidth="1"/>
    <col min="4" max="4" width="16.85546875" style="1" customWidth="1"/>
    <col min="5" max="5" width="13.7109375" style="1" customWidth="1"/>
    <col min="6" max="6" width="15.7109375" style="1" hidden="1" customWidth="1"/>
    <col min="7" max="7" width="16.85546875" style="1" customWidth="1"/>
    <col min="8" max="8" width="15.85546875" style="1" customWidth="1"/>
    <col min="9" max="9" width="18.7109375" style="1" customWidth="1"/>
    <col min="10" max="10" width="24.42578125" style="1" hidden="1" customWidth="1"/>
    <col min="11" max="11" width="12.85546875" style="1" hidden="1" customWidth="1"/>
    <col min="12" max="12" width="15.7109375" style="1" hidden="1" customWidth="1"/>
    <col min="13" max="13" width="13.7109375" style="1" hidden="1" customWidth="1"/>
    <col min="14" max="14" width="17.85546875" style="1" customWidth="1"/>
    <col min="15" max="15" width="15.42578125" style="1" customWidth="1"/>
    <col min="16" max="16" width="13.42578125" style="1" customWidth="1"/>
    <col min="17" max="17" width="19.28515625" style="1" customWidth="1"/>
    <col min="18" max="18" width="13.42578125" style="1" customWidth="1"/>
    <col min="19" max="19" width="11.42578125" style="1"/>
    <col min="20" max="20" width="23.85546875" style="1" bestFit="1" customWidth="1"/>
    <col min="21" max="16384" width="11.42578125" style="1"/>
  </cols>
  <sheetData>
    <row r="1" spans="2:21">
      <c r="C1" s="10" t="s">
        <v>0</v>
      </c>
      <c r="D1" s="10" t="s">
        <v>1</v>
      </c>
      <c r="E1" s="10" t="s">
        <v>2</v>
      </c>
      <c r="F1" s="10" t="s">
        <v>3</v>
      </c>
      <c r="G1" s="10" t="s">
        <v>4</v>
      </c>
      <c r="H1" s="10" t="s">
        <v>5</v>
      </c>
      <c r="I1" s="10" t="s">
        <v>6</v>
      </c>
      <c r="J1" s="10" t="s">
        <v>7</v>
      </c>
      <c r="K1" s="10" t="s">
        <v>8</v>
      </c>
      <c r="L1" s="10" t="s">
        <v>9</v>
      </c>
      <c r="M1" s="10" t="s">
        <v>10</v>
      </c>
      <c r="N1" s="11" t="s">
        <v>11</v>
      </c>
      <c r="O1" s="11" t="s">
        <v>12</v>
      </c>
      <c r="P1" s="11" t="s">
        <v>13</v>
      </c>
      <c r="Q1" s="11" t="s">
        <v>14</v>
      </c>
      <c r="R1" s="11" t="s">
        <v>15</v>
      </c>
      <c r="T1" s="1" t="s">
        <v>16</v>
      </c>
    </row>
    <row r="2" spans="2:21" ht="12.75" hidden="1" customHeight="1">
      <c r="C2" s="12" t="s">
        <v>17</v>
      </c>
      <c r="D2" s="12" t="s">
        <v>18</v>
      </c>
      <c r="E2" s="12" t="s">
        <v>19</v>
      </c>
      <c r="F2" s="12">
        <v>3</v>
      </c>
      <c r="G2" s="12" t="s">
        <v>20</v>
      </c>
      <c r="H2" s="12" t="s">
        <v>21</v>
      </c>
      <c r="I2" s="13">
        <v>45195.619131944448</v>
      </c>
      <c r="J2" s="12" t="s">
        <v>22</v>
      </c>
      <c r="K2" s="12"/>
      <c r="L2" s="12"/>
      <c r="M2" s="4" t="s">
        <v>23</v>
      </c>
      <c r="N2" s="12" t="str">
        <f>LEFT(C2,14)</f>
        <v>057 - 33040980</v>
      </c>
      <c r="O2" s="12" t="s">
        <v>24</v>
      </c>
      <c r="P2" s="12" t="s">
        <v>25</v>
      </c>
      <c r="Q2" s="12" t="s">
        <v>26</v>
      </c>
      <c r="R2" s="12"/>
      <c r="T2" s="1" t="s">
        <v>27</v>
      </c>
      <c r="U2" s="1">
        <v>12345</v>
      </c>
    </row>
    <row r="3" spans="2:21" ht="12.75" hidden="1" customHeight="1" thickBot="1">
      <c r="B3" s="3"/>
      <c r="C3" s="12" t="s">
        <v>28</v>
      </c>
      <c r="D3" s="12" t="s">
        <v>18</v>
      </c>
      <c r="E3" s="12" t="s">
        <v>19</v>
      </c>
      <c r="F3" s="12">
        <v>3</v>
      </c>
      <c r="G3" s="12" t="s">
        <v>20</v>
      </c>
      <c r="H3" s="12" t="s">
        <v>21</v>
      </c>
      <c r="I3" s="13">
        <v>45195.608055555553</v>
      </c>
      <c r="J3" s="12" t="s">
        <v>22</v>
      </c>
      <c r="K3" s="12"/>
      <c r="L3" s="12"/>
      <c r="M3" s="4" t="s">
        <v>23</v>
      </c>
      <c r="N3" s="12" t="str">
        <f t="shared" ref="N3:N26" si="0">LEFT(C3,14)</f>
        <v>057 - 30194216</v>
      </c>
      <c r="O3" s="9" t="s">
        <v>29</v>
      </c>
      <c r="P3" s="9" t="s">
        <v>25</v>
      </c>
      <c r="Q3" s="9"/>
      <c r="R3" s="9" t="s">
        <v>30</v>
      </c>
      <c r="T3" s="1" t="s">
        <v>31</v>
      </c>
    </row>
    <row r="4" spans="2:21" ht="12.75" hidden="1" customHeight="1" thickBot="1">
      <c r="B4" s="3"/>
      <c r="C4" s="12" t="s">
        <v>32</v>
      </c>
      <c r="D4" s="12" t="s">
        <v>18</v>
      </c>
      <c r="E4" s="12" t="s">
        <v>19</v>
      </c>
      <c r="F4" s="12">
        <v>3</v>
      </c>
      <c r="G4" s="12" t="s">
        <v>20</v>
      </c>
      <c r="H4" s="12" t="s">
        <v>33</v>
      </c>
      <c r="I4" s="13">
        <v>45195.431030092594</v>
      </c>
      <c r="J4" s="12" t="s">
        <v>22</v>
      </c>
      <c r="K4" s="12"/>
      <c r="L4" s="12"/>
      <c r="M4" s="4" t="s">
        <v>23</v>
      </c>
      <c r="N4" s="12" t="str">
        <f t="shared" si="0"/>
        <v>057 - 03931944</v>
      </c>
      <c r="O4" s="9" t="s">
        <v>34</v>
      </c>
      <c r="P4" s="9" t="s">
        <v>25</v>
      </c>
      <c r="Q4" s="9"/>
      <c r="R4" s="9" t="s">
        <v>35</v>
      </c>
    </row>
    <row r="5" spans="2:21" ht="12.75" hidden="1" customHeight="1" thickBot="1">
      <c r="B5" s="3"/>
      <c r="C5" s="12" t="s">
        <v>32</v>
      </c>
      <c r="D5" s="12" t="s">
        <v>18</v>
      </c>
      <c r="E5" s="12" t="s">
        <v>19</v>
      </c>
      <c r="F5" s="12">
        <v>3</v>
      </c>
      <c r="G5" s="12" t="s">
        <v>20</v>
      </c>
      <c r="H5" s="12" t="s">
        <v>33</v>
      </c>
      <c r="I5" s="13">
        <v>45195.430983796294</v>
      </c>
      <c r="J5" s="12" t="s">
        <v>22</v>
      </c>
      <c r="K5" s="12"/>
      <c r="L5" s="12"/>
      <c r="M5" s="4" t="s">
        <v>23</v>
      </c>
      <c r="N5" s="12" t="str">
        <f t="shared" si="0"/>
        <v>057 - 03931944</v>
      </c>
      <c r="O5" s="9" t="s">
        <v>34</v>
      </c>
      <c r="P5" s="9" t="s">
        <v>25</v>
      </c>
      <c r="Q5" s="9"/>
      <c r="R5" s="9" t="s">
        <v>35</v>
      </c>
    </row>
    <row r="6" spans="2:21" ht="12.75" hidden="1" customHeight="1" thickBot="1">
      <c r="B6" s="3"/>
      <c r="C6" s="12" t="s">
        <v>36</v>
      </c>
      <c r="D6" s="12" t="s">
        <v>18</v>
      </c>
      <c r="E6" s="12" t="s">
        <v>19</v>
      </c>
      <c r="F6" s="12">
        <v>3</v>
      </c>
      <c r="G6" s="12" t="s">
        <v>20</v>
      </c>
      <c r="H6" s="12" t="s">
        <v>33</v>
      </c>
      <c r="I6" s="13">
        <v>45195.430949074071</v>
      </c>
      <c r="J6" s="12" t="s">
        <v>22</v>
      </c>
      <c r="K6" s="12"/>
      <c r="L6" s="12"/>
      <c r="M6" s="4" t="s">
        <v>23</v>
      </c>
      <c r="N6" s="12" t="str">
        <f t="shared" si="0"/>
        <v>057 - 46907464</v>
      </c>
      <c r="O6" s="9" t="s">
        <v>34</v>
      </c>
      <c r="P6" s="9" t="s">
        <v>25</v>
      </c>
      <c r="Q6" s="9"/>
      <c r="R6" s="9" t="s">
        <v>35</v>
      </c>
    </row>
    <row r="7" spans="2:21" ht="12.75" hidden="1" customHeight="1" thickBot="1">
      <c r="B7" s="3"/>
      <c r="C7" s="12" t="s">
        <v>36</v>
      </c>
      <c r="D7" s="12" t="s">
        <v>18</v>
      </c>
      <c r="E7" s="12" t="s">
        <v>19</v>
      </c>
      <c r="F7" s="12">
        <v>3</v>
      </c>
      <c r="G7" s="12" t="s">
        <v>20</v>
      </c>
      <c r="H7" s="12" t="s">
        <v>33</v>
      </c>
      <c r="I7" s="13">
        <v>45195.430914351855</v>
      </c>
      <c r="J7" s="12" t="s">
        <v>22</v>
      </c>
      <c r="K7" s="12"/>
      <c r="L7" s="12"/>
      <c r="M7" s="4" t="s">
        <v>23</v>
      </c>
      <c r="N7" s="12" t="str">
        <f t="shared" si="0"/>
        <v>057 - 46907464</v>
      </c>
      <c r="O7" s="9" t="s">
        <v>24</v>
      </c>
      <c r="P7" s="9" t="s">
        <v>25</v>
      </c>
      <c r="Q7" s="9" t="s">
        <v>37</v>
      </c>
      <c r="R7" s="9" t="s">
        <v>35</v>
      </c>
    </row>
    <row r="8" spans="2:21" ht="12.75" hidden="1" customHeight="1" thickBot="1">
      <c r="B8" s="3"/>
      <c r="C8" s="12" t="s">
        <v>38</v>
      </c>
      <c r="D8" s="12" t="s">
        <v>18</v>
      </c>
      <c r="E8" s="12" t="s">
        <v>19</v>
      </c>
      <c r="F8" s="12">
        <v>3</v>
      </c>
      <c r="G8" s="12" t="s">
        <v>20</v>
      </c>
      <c r="H8" s="12" t="s">
        <v>33</v>
      </c>
      <c r="I8" s="13">
        <v>45195.430879629632</v>
      </c>
      <c r="J8" s="12" t="s">
        <v>22</v>
      </c>
      <c r="K8" s="12"/>
      <c r="L8" s="12"/>
      <c r="M8" s="4" t="s">
        <v>23</v>
      </c>
      <c r="N8" s="12" t="str">
        <f t="shared" si="0"/>
        <v>057 - 46907313</v>
      </c>
      <c r="O8" s="9" t="s">
        <v>24</v>
      </c>
      <c r="P8" s="9" t="s">
        <v>25</v>
      </c>
      <c r="Q8" s="9" t="s">
        <v>37</v>
      </c>
      <c r="R8" s="9" t="s">
        <v>35</v>
      </c>
    </row>
    <row r="9" spans="2:21" ht="12.75" hidden="1" customHeight="1" thickBot="1">
      <c r="B9" s="3"/>
      <c r="C9" s="12" t="s">
        <v>38</v>
      </c>
      <c r="D9" s="12" t="s">
        <v>18</v>
      </c>
      <c r="E9" s="12" t="s">
        <v>19</v>
      </c>
      <c r="F9" s="12">
        <v>3</v>
      </c>
      <c r="G9" s="12" t="s">
        <v>20</v>
      </c>
      <c r="H9" s="12" t="s">
        <v>33</v>
      </c>
      <c r="I9" s="13">
        <v>45195.430833333332</v>
      </c>
      <c r="J9" s="12" t="s">
        <v>22</v>
      </c>
      <c r="K9" s="12"/>
      <c r="L9" s="12"/>
      <c r="M9" s="4" t="s">
        <v>23</v>
      </c>
      <c r="N9" s="12" t="str">
        <f t="shared" si="0"/>
        <v>057 - 46907313</v>
      </c>
      <c r="O9" s="9"/>
      <c r="P9" s="9" t="s">
        <v>39</v>
      </c>
      <c r="Q9" s="9" t="s">
        <v>40</v>
      </c>
      <c r="R9" s="9" t="s">
        <v>35</v>
      </c>
    </row>
    <row r="10" spans="2:21" ht="12.75" hidden="1" customHeight="1" thickBot="1">
      <c r="B10" s="3"/>
      <c r="C10" s="12" t="s">
        <v>41</v>
      </c>
      <c r="D10" s="12" t="s">
        <v>18</v>
      </c>
      <c r="E10" s="12" t="s">
        <v>19</v>
      </c>
      <c r="F10" s="12">
        <v>3</v>
      </c>
      <c r="G10" s="12" t="s">
        <v>20</v>
      </c>
      <c r="H10" s="12" t="s">
        <v>42</v>
      </c>
      <c r="I10" s="13">
        <v>45195.430636574078</v>
      </c>
      <c r="J10" s="12" t="s">
        <v>22</v>
      </c>
      <c r="K10" s="12"/>
      <c r="L10" s="12"/>
      <c r="M10" s="4" t="s">
        <v>23</v>
      </c>
      <c r="N10" s="12" t="str">
        <f t="shared" si="0"/>
        <v>074 - 54744992</v>
      </c>
      <c r="O10" s="9" t="s">
        <v>34</v>
      </c>
      <c r="P10" s="9" t="s">
        <v>25</v>
      </c>
      <c r="Q10" s="9" t="s">
        <v>43</v>
      </c>
      <c r="R10" s="9" t="s">
        <v>35</v>
      </c>
    </row>
    <row r="11" spans="2:21" ht="12.75" hidden="1" customHeight="1" thickBot="1">
      <c r="B11" s="3"/>
      <c r="C11" s="12" t="s">
        <v>44</v>
      </c>
      <c r="D11" s="12" t="s">
        <v>18</v>
      </c>
      <c r="E11" s="12" t="s">
        <v>19</v>
      </c>
      <c r="F11" s="12">
        <v>3</v>
      </c>
      <c r="G11" s="12" t="s">
        <v>20</v>
      </c>
      <c r="H11" s="12" t="s">
        <v>45</v>
      </c>
      <c r="I11" s="13">
        <v>45195.430601851855</v>
      </c>
      <c r="J11" s="12" t="s">
        <v>22</v>
      </c>
      <c r="K11" s="12"/>
      <c r="L11" s="12"/>
      <c r="M11" s="4" t="s">
        <v>23</v>
      </c>
      <c r="N11" s="12" t="str">
        <f t="shared" si="0"/>
        <v>057 - 47655064</v>
      </c>
      <c r="O11" s="9" t="s">
        <v>34</v>
      </c>
      <c r="P11" s="9" t="s">
        <v>25</v>
      </c>
      <c r="Q11" s="9" t="s">
        <v>43</v>
      </c>
      <c r="R11" s="9" t="s">
        <v>35</v>
      </c>
    </row>
    <row r="12" spans="2:21" ht="12.75" hidden="1" customHeight="1" thickBot="1">
      <c r="B12" s="3"/>
      <c r="C12" s="12" t="s">
        <v>44</v>
      </c>
      <c r="D12" s="12" t="s">
        <v>18</v>
      </c>
      <c r="E12" s="12" t="s">
        <v>19</v>
      </c>
      <c r="F12" s="12">
        <v>3</v>
      </c>
      <c r="G12" s="12" t="s">
        <v>20</v>
      </c>
      <c r="H12" s="12" t="s">
        <v>46</v>
      </c>
      <c r="I12" s="13">
        <v>45195.430578703701</v>
      </c>
      <c r="J12" s="12" t="s">
        <v>22</v>
      </c>
      <c r="K12" s="12"/>
      <c r="L12" s="12"/>
      <c r="M12" s="4" t="s">
        <v>23</v>
      </c>
      <c r="N12" s="12" t="str">
        <f t="shared" si="0"/>
        <v>057 - 47655064</v>
      </c>
      <c r="O12" s="9" t="s">
        <v>34</v>
      </c>
      <c r="P12" s="9" t="s">
        <v>25</v>
      </c>
      <c r="Q12" s="9" t="s">
        <v>43</v>
      </c>
      <c r="R12" s="9"/>
    </row>
    <row r="13" spans="2:21" ht="12.75" hidden="1" customHeight="1" thickBot="1">
      <c r="B13" s="3"/>
      <c r="C13" s="12" t="s">
        <v>47</v>
      </c>
      <c r="D13" s="12" t="s">
        <v>18</v>
      </c>
      <c r="E13" s="12" t="s">
        <v>19</v>
      </c>
      <c r="F13" s="12">
        <v>3</v>
      </c>
      <c r="G13" s="12" t="s">
        <v>20</v>
      </c>
      <c r="H13" s="12" t="s">
        <v>45</v>
      </c>
      <c r="I13" s="13">
        <v>45195.430555555555</v>
      </c>
      <c r="J13" s="12" t="s">
        <v>22</v>
      </c>
      <c r="K13" s="12"/>
      <c r="L13" s="12"/>
      <c r="M13" s="4" t="s">
        <v>23</v>
      </c>
      <c r="N13" s="12" t="str">
        <f t="shared" si="0"/>
        <v>057 - 04245920</v>
      </c>
      <c r="O13" s="9" t="s">
        <v>34</v>
      </c>
      <c r="P13" s="9" t="s">
        <v>25</v>
      </c>
      <c r="Q13" s="9" t="s">
        <v>43</v>
      </c>
      <c r="R13" s="9"/>
    </row>
    <row r="14" spans="2:21" ht="12.75" hidden="1" customHeight="1" thickBot="1">
      <c r="B14" s="3"/>
      <c r="C14" s="12" t="s">
        <v>47</v>
      </c>
      <c r="D14" s="12" t="s">
        <v>18</v>
      </c>
      <c r="E14" s="12" t="s">
        <v>19</v>
      </c>
      <c r="F14" s="12">
        <v>3</v>
      </c>
      <c r="G14" s="12" t="s">
        <v>20</v>
      </c>
      <c r="H14" s="12" t="s">
        <v>46</v>
      </c>
      <c r="I14" s="13">
        <v>45195.430520833332</v>
      </c>
      <c r="J14" s="12" t="s">
        <v>22</v>
      </c>
      <c r="K14" s="12"/>
      <c r="L14" s="12"/>
      <c r="M14" s="4" t="s">
        <v>23</v>
      </c>
      <c r="N14" s="12" t="str">
        <f t="shared" si="0"/>
        <v>057 - 04245920</v>
      </c>
      <c r="O14" s="9" t="s">
        <v>34</v>
      </c>
      <c r="P14" s="9" t="s">
        <v>25</v>
      </c>
      <c r="Q14" s="9"/>
      <c r="R14" s="9"/>
    </row>
    <row r="15" spans="2:21" ht="12.75" hidden="1" customHeight="1" thickBot="1">
      <c r="B15" s="3"/>
      <c r="C15" s="12" t="s">
        <v>48</v>
      </c>
      <c r="D15" s="12" t="s">
        <v>18</v>
      </c>
      <c r="E15" s="12" t="s">
        <v>19</v>
      </c>
      <c r="F15" s="12">
        <v>3</v>
      </c>
      <c r="G15" s="12" t="s">
        <v>20</v>
      </c>
      <c r="H15" s="12" t="s">
        <v>33</v>
      </c>
      <c r="I15" s="13">
        <v>45195.430497685185</v>
      </c>
      <c r="J15" s="12" t="s">
        <v>22</v>
      </c>
      <c r="K15" s="12"/>
      <c r="L15" s="12"/>
      <c r="M15" s="4" t="s">
        <v>23</v>
      </c>
      <c r="N15" s="12" t="str">
        <f t="shared" si="0"/>
        <v>057 - 48323181</v>
      </c>
      <c r="O15" s="9" t="s">
        <v>49</v>
      </c>
      <c r="P15" s="9" t="s">
        <v>50</v>
      </c>
      <c r="Q15" s="9"/>
      <c r="R15" s="9"/>
    </row>
    <row r="16" spans="2:21" ht="12.75" hidden="1" customHeight="1" thickBot="1">
      <c r="B16" s="3"/>
      <c r="C16" s="12" t="s">
        <v>51</v>
      </c>
      <c r="D16" s="12" t="s">
        <v>18</v>
      </c>
      <c r="E16" s="12" t="s">
        <v>19</v>
      </c>
      <c r="F16" s="12">
        <v>3</v>
      </c>
      <c r="G16" s="12" t="s">
        <v>20</v>
      </c>
      <c r="H16" s="12" t="s">
        <v>33</v>
      </c>
      <c r="I16" s="13">
        <v>45195.430300925924</v>
      </c>
      <c r="J16" s="12" t="s">
        <v>22</v>
      </c>
      <c r="K16" s="12"/>
      <c r="L16" s="12"/>
      <c r="M16" s="4" t="s">
        <v>23</v>
      </c>
      <c r="N16" s="12" t="str">
        <f t="shared" si="0"/>
        <v>057 - 04247003</v>
      </c>
      <c r="O16" s="9" t="s">
        <v>24</v>
      </c>
      <c r="P16" s="9" t="s">
        <v>25</v>
      </c>
      <c r="Q16" s="9"/>
      <c r="R16" s="9" t="s">
        <v>52</v>
      </c>
    </row>
    <row r="17" spans="2:18" ht="12.75" hidden="1" customHeight="1" thickBot="1">
      <c r="B17" s="3"/>
      <c r="C17" s="12" t="s">
        <v>53</v>
      </c>
      <c r="D17" s="12" t="s">
        <v>18</v>
      </c>
      <c r="E17" s="12" t="s">
        <v>19</v>
      </c>
      <c r="F17" s="12">
        <v>3</v>
      </c>
      <c r="G17" s="12" t="s">
        <v>20</v>
      </c>
      <c r="H17" s="12" t="s">
        <v>33</v>
      </c>
      <c r="I17" s="13">
        <v>45195.430266203701</v>
      </c>
      <c r="J17" s="12" t="s">
        <v>22</v>
      </c>
      <c r="K17" s="12"/>
      <c r="L17" s="12"/>
      <c r="M17" s="4" t="s">
        <v>23</v>
      </c>
      <c r="N17" s="12" t="str">
        <f t="shared" si="0"/>
        <v>057 - 47542224</v>
      </c>
      <c r="O17" s="9" t="s">
        <v>24</v>
      </c>
      <c r="P17" s="9" t="s">
        <v>25</v>
      </c>
      <c r="Q17" s="9"/>
      <c r="R17" s="9" t="s">
        <v>52</v>
      </c>
    </row>
    <row r="18" spans="2:18" ht="12.75" hidden="1" customHeight="1" thickBot="1">
      <c r="B18" s="3"/>
      <c r="C18" s="12" t="s">
        <v>54</v>
      </c>
      <c r="D18" s="12" t="s">
        <v>18</v>
      </c>
      <c r="E18" s="12" t="s">
        <v>19</v>
      </c>
      <c r="F18" s="12">
        <v>3</v>
      </c>
      <c r="G18" s="12" t="s">
        <v>20</v>
      </c>
      <c r="H18" s="12" t="s">
        <v>33</v>
      </c>
      <c r="I18" s="13">
        <v>45195.430231481485</v>
      </c>
      <c r="J18" s="12" t="s">
        <v>22</v>
      </c>
      <c r="K18" s="12"/>
      <c r="L18" s="12"/>
      <c r="M18" s="4" t="s">
        <v>23</v>
      </c>
      <c r="N18" s="12" t="str">
        <f t="shared" si="0"/>
        <v>057 - 48110720</v>
      </c>
      <c r="O18" s="9" t="s">
        <v>24</v>
      </c>
      <c r="P18" s="9" t="s">
        <v>25</v>
      </c>
      <c r="Q18" s="9"/>
      <c r="R18" s="9" t="s">
        <v>52</v>
      </c>
    </row>
    <row r="19" spans="2:18" ht="12.75" hidden="1" customHeight="1" thickBot="1">
      <c r="B19" s="3"/>
      <c r="C19" s="12" t="s">
        <v>55</v>
      </c>
      <c r="D19" s="12" t="s">
        <v>18</v>
      </c>
      <c r="E19" s="12" t="s">
        <v>19</v>
      </c>
      <c r="F19" s="12">
        <v>3</v>
      </c>
      <c r="G19" s="12" t="s">
        <v>20</v>
      </c>
      <c r="H19" s="12" t="s">
        <v>33</v>
      </c>
      <c r="I19" s="13">
        <v>45195.430196759262</v>
      </c>
      <c r="J19" s="12" t="s">
        <v>22</v>
      </c>
      <c r="K19" s="12"/>
      <c r="L19" s="12"/>
      <c r="M19" s="4" t="s">
        <v>23</v>
      </c>
      <c r="N19" s="12" t="str">
        <f t="shared" si="0"/>
        <v>057 - 04184213</v>
      </c>
      <c r="O19" s="9" t="s">
        <v>24</v>
      </c>
      <c r="P19" s="9" t="s">
        <v>25</v>
      </c>
      <c r="Q19" s="9"/>
      <c r="R19" s="9" t="s">
        <v>52</v>
      </c>
    </row>
    <row r="20" spans="2:18" ht="12.75" hidden="1" customHeight="1" thickBot="1">
      <c r="B20" s="3"/>
      <c r="C20" s="12" t="s">
        <v>56</v>
      </c>
      <c r="D20" s="12" t="s">
        <v>18</v>
      </c>
      <c r="E20" s="12" t="s">
        <v>19</v>
      </c>
      <c r="F20" s="12">
        <v>3</v>
      </c>
      <c r="G20" s="12" t="s">
        <v>20</v>
      </c>
      <c r="H20" s="12" t="s">
        <v>33</v>
      </c>
      <c r="I20" s="13">
        <v>45195.430162037039</v>
      </c>
      <c r="J20" s="12" t="s">
        <v>22</v>
      </c>
      <c r="K20" s="12"/>
      <c r="L20" s="12"/>
      <c r="M20" s="4" t="s">
        <v>23</v>
      </c>
      <c r="N20" s="12" t="str">
        <f t="shared" si="0"/>
        <v>057 - 48182934</v>
      </c>
      <c r="O20" s="9" t="s">
        <v>24</v>
      </c>
      <c r="P20" s="9" t="s">
        <v>25</v>
      </c>
      <c r="Q20" s="9"/>
      <c r="R20" s="9" t="s">
        <v>52</v>
      </c>
    </row>
    <row r="21" spans="2:18" ht="12.75" hidden="1" customHeight="1" thickBot="1">
      <c r="B21" s="3"/>
      <c r="C21" s="12" t="s">
        <v>57</v>
      </c>
      <c r="D21" s="12" t="s">
        <v>18</v>
      </c>
      <c r="E21" s="12" t="s">
        <v>19</v>
      </c>
      <c r="F21" s="12">
        <v>3</v>
      </c>
      <c r="G21" s="12" t="s">
        <v>20</v>
      </c>
      <c r="H21" s="12" t="s">
        <v>33</v>
      </c>
      <c r="I21" s="13">
        <v>45195.430127314816</v>
      </c>
      <c r="J21" s="12" t="s">
        <v>22</v>
      </c>
      <c r="K21" s="12"/>
      <c r="L21" s="12"/>
      <c r="M21" s="4" t="s">
        <v>23</v>
      </c>
      <c r="N21" s="12" t="str">
        <f t="shared" si="0"/>
        <v>057 - 46971455</v>
      </c>
      <c r="O21" s="9" t="s">
        <v>58</v>
      </c>
      <c r="P21" s="9" t="s">
        <v>59</v>
      </c>
      <c r="Q21" s="9"/>
      <c r="R21" s="9"/>
    </row>
    <row r="22" spans="2:18" ht="12.75" hidden="1" customHeight="1" thickBot="1">
      <c r="B22" s="3"/>
      <c r="C22" s="12" t="s">
        <v>60</v>
      </c>
      <c r="D22" s="12" t="s">
        <v>18</v>
      </c>
      <c r="E22" s="12" t="s">
        <v>19</v>
      </c>
      <c r="F22" s="12">
        <v>3</v>
      </c>
      <c r="G22" s="12" t="s">
        <v>20</v>
      </c>
      <c r="H22" s="12" t="s">
        <v>33</v>
      </c>
      <c r="I22" s="13">
        <v>45195.430104166669</v>
      </c>
      <c r="J22" s="12" t="s">
        <v>22</v>
      </c>
      <c r="K22" s="12"/>
      <c r="L22" s="12"/>
      <c r="M22" s="4" t="s">
        <v>23</v>
      </c>
      <c r="N22" s="12" t="str">
        <f t="shared" si="0"/>
        <v>057 - 47986890</v>
      </c>
      <c r="O22" s="9" t="s">
        <v>24</v>
      </c>
      <c r="P22" s="9" t="s">
        <v>25</v>
      </c>
      <c r="Q22" s="9"/>
      <c r="R22" s="9" t="s">
        <v>52</v>
      </c>
    </row>
    <row r="23" spans="2:18" ht="12.75" hidden="1" customHeight="1" thickBot="1">
      <c r="B23" s="3"/>
      <c r="C23" s="12" t="s">
        <v>60</v>
      </c>
      <c r="D23" s="12" t="s">
        <v>18</v>
      </c>
      <c r="E23" s="12" t="s">
        <v>19</v>
      </c>
      <c r="F23" s="12">
        <v>3</v>
      </c>
      <c r="G23" s="12" t="s">
        <v>20</v>
      </c>
      <c r="H23" s="12" t="s">
        <v>33</v>
      </c>
      <c r="I23" s="13">
        <v>45195.430081018516</v>
      </c>
      <c r="J23" s="12" t="s">
        <v>22</v>
      </c>
      <c r="K23" s="12"/>
      <c r="L23" s="12"/>
      <c r="M23" s="4" t="s">
        <v>23</v>
      </c>
      <c r="N23" s="12" t="str">
        <f t="shared" si="0"/>
        <v>057 - 47986890</v>
      </c>
      <c r="O23" s="9" t="s">
        <v>34</v>
      </c>
      <c r="P23" s="9" t="s">
        <v>25</v>
      </c>
      <c r="Q23" s="9"/>
      <c r="R23" s="9"/>
    </row>
    <row r="24" spans="2:18" ht="12.75" hidden="1" customHeight="1" thickBot="1">
      <c r="B24" s="3"/>
      <c r="C24" s="12" t="s">
        <v>60</v>
      </c>
      <c r="D24" s="12" t="s">
        <v>18</v>
      </c>
      <c r="E24" s="12" t="s">
        <v>19</v>
      </c>
      <c r="F24" s="12">
        <v>3</v>
      </c>
      <c r="G24" s="12" t="s">
        <v>20</v>
      </c>
      <c r="H24" s="12" t="s">
        <v>33</v>
      </c>
      <c r="I24" s="13">
        <v>45195.43005787037</v>
      </c>
      <c r="J24" s="12" t="s">
        <v>22</v>
      </c>
      <c r="K24" s="12"/>
      <c r="L24" s="12"/>
      <c r="M24" s="4" t="s">
        <v>23</v>
      </c>
      <c r="N24" s="12" t="str">
        <f t="shared" si="0"/>
        <v>057 - 47986890</v>
      </c>
      <c r="O24" s="9" t="s">
        <v>34</v>
      </c>
      <c r="P24" s="9" t="s">
        <v>25</v>
      </c>
      <c r="Q24" s="9"/>
      <c r="R24" s="9"/>
    </row>
    <row r="25" spans="2:18" ht="12.75" hidden="1" customHeight="1" thickBot="1">
      <c r="B25" s="3"/>
      <c r="C25" s="12" t="s">
        <v>61</v>
      </c>
      <c r="D25" s="12" t="s">
        <v>18</v>
      </c>
      <c r="E25" s="12" t="s">
        <v>19</v>
      </c>
      <c r="F25" s="12">
        <v>3</v>
      </c>
      <c r="G25" s="12" t="s">
        <v>20</v>
      </c>
      <c r="H25" s="12" t="s">
        <v>45</v>
      </c>
      <c r="I25" s="13">
        <v>45195.430023148147</v>
      </c>
      <c r="J25" s="12" t="s">
        <v>22</v>
      </c>
      <c r="K25" s="12"/>
      <c r="L25" s="12"/>
      <c r="M25" s="4" t="s">
        <v>23</v>
      </c>
      <c r="N25" s="12" t="str">
        <f t="shared" si="0"/>
        <v>057 - 47919130</v>
      </c>
      <c r="O25" s="9" t="s">
        <v>24</v>
      </c>
      <c r="P25" s="9" t="s">
        <v>25</v>
      </c>
      <c r="Q25" s="9" t="s">
        <v>62</v>
      </c>
      <c r="R25" s="9"/>
    </row>
    <row r="26" spans="2:18" ht="12.75" customHeight="1" thickBot="1">
      <c r="B26" s="3"/>
      <c r="C26" s="12" t="s">
        <v>61</v>
      </c>
      <c r="D26" s="12" t="s">
        <v>18</v>
      </c>
      <c r="E26" s="12" t="s">
        <v>19</v>
      </c>
      <c r="F26" s="12">
        <v>3</v>
      </c>
      <c r="G26" s="12" t="s">
        <v>20</v>
      </c>
      <c r="H26" s="12" t="s">
        <v>46</v>
      </c>
      <c r="I26" s="13">
        <v>45195.429988425924</v>
      </c>
      <c r="J26" s="12" t="s">
        <v>22</v>
      </c>
      <c r="K26" s="12"/>
      <c r="L26" s="12"/>
      <c r="M26" s="4" t="s">
        <v>23</v>
      </c>
      <c r="N26" s="12" t="str">
        <f t="shared" si="0"/>
        <v>057 - 47919130</v>
      </c>
      <c r="O26" s="9" t="s">
        <v>29</v>
      </c>
      <c r="P26" s="9" t="s">
        <v>25</v>
      </c>
      <c r="Q26" s="9"/>
      <c r="R26" s="9" t="s">
        <v>35</v>
      </c>
    </row>
    <row r="27" spans="2:18" ht="12.75" customHeight="1">
      <c r="C27" s="12" t="s">
        <v>63</v>
      </c>
      <c r="D27" s="12" t="s">
        <v>18</v>
      </c>
      <c r="E27" s="12" t="s">
        <v>19</v>
      </c>
      <c r="F27" s="12">
        <v>3</v>
      </c>
      <c r="G27" s="12" t="s">
        <v>20</v>
      </c>
      <c r="H27" s="12" t="s">
        <v>45</v>
      </c>
      <c r="I27" s="13">
        <v>45195.4299537037</v>
      </c>
      <c r="J27" s="12" t="s">
        <v>22</v>
      </c>
      <c r="K27" s="12"/>
      <c r="L27" s="12"/>
      <c r="M27" s="4" t="s">
        <v>23</v>
      </c>
      <c r="N27" s="12" t="str">
        <f>LEFT(C27,14)</f>
        <v>057 - 48294201</v>
      </c>
      <c r="O27" s="9" t="s">
        <v>29</v>
      </c>
      <c r="P27" s="9" t="s">
        <v>59</v>
      </c>
      <c r="Q27" s="9" t="s">
        <v>43</v>
      </c>
      <c r="R27" s="9" t="s">
        <v>59</v>
      </c>
    </row>
    <row r="28" spans="2:18" ht="15.75" hidden="1" thickBot="1">
      <c r="B28" s="5"/>
      <c r="C28" s="12" t="s">
        <v>63</v>
      </c>
      <c r="D28" s="12" t="s">
        <v>18</v>
      </c>
      <c r="E28" s="12" t="s">
        <v>19</v>
      </c>
      <c r="F28" s="12">
        <v>3</v>
      </c>
      <c r="G28" s="12" t="s">
        <v>20</v>
      </c>
      <c r="H28" s="12" t="s">
        <v>46</v>
      </c>
      <c r="I28" s="13">
        <v>45195.429930555554</v>
      </c>
      <c r="J28" s="12" t="s">
        <v>22</v>
      </c>
      <c r="K28" s="12"/>
      <c r="L28" s="12"/>
      <c r="M28" s="4" t="s">
        <v>23</v>
      </c>
      <c r="N28" s="12" t="str">
        <f t="shared" ref="N28:N51" si="1">LEFT(C28,14)</f>
        <v>057 - 48294201</v>
      </c>
      <c r="O28" s="9"/>
      <c r="P28" s="9" t="s">
        <v>59</v>
      </c>
      <c r="Q28" s="9"/>
      <c r="R28" s="9"/>
    </row>
    <row r="29" spans="2:18" ht="12.75" hidden="1" customHeight="1" thickBot="1">
      <c r="B29" s="6"/>
      <c r="C29" s="12" t="s">
        <v>64</v>
      </c>
      <c r="D29" s="12" t="s">
        <v>18</v>
      </c>
      <c r="E29" s="12" t="s">
        <v>19</v>
      </c>
      <c r="F29" s="12">
        <v>3</v>
      </c>
      <c r="G29" s="12" t="s">
        <v>20</v>
      </c>
      <c r="H29" s="12" t="s">
        <v>33</v>
      </c>
      <c r="I29" s="13">
        <v>45195.429907407408</v>
      </c>
      <c r="J29" s="12" t="s">
        <v>22</v>
      </c>
      <c r="K29" s="12"/>
      <c r="L29" s="12"/>
      <c r="M29" s="4" t="s">
        <v>23</v>
      </c>
      <c r="N29" s="12" t="str">
        <f t="shared" si="1"/>
        <v>057 - 47647250</v>
      </c>
      <c r="O29" s="9" t="s">
        <v>65</v>
      </c>
      <c r="P29" s="9" t="s">
        <v>25</v>
      </c>
      <c r="Q29" s="9" t="s">
        <v>66</v>
      </c>
      <c r="R29" s="9" t="s">
        <v>52</v>
      </c>
    </row>
    <row r="30" spans="2:18" ht="12.75" hidden="1" customHeight="1" thickBot="1">
      <c r="B30" s="5"/>
      <c r="C30" s="12" t="s">
        <v>64</v>
      </c>
      <c r="D30" s="12" t="s">
        <v>18</v>
      </c>
      <c r="E30" s="12" t="s">
        <v>19</v>
      </c>
      <c r="F30" s="12">
        <v>3</v>
      </c>
      <c r="G30" s="12" t="s">
        <v>20</v>
      </c>
      <c r="H30" s="12" t="s">
        <v>33</v>
      </c>
      <c r="I30" s="13">
        <v>45195.429884259262</v>
      </c>
      <c r="J30" s="12" t="s">
        <v>22</v>
      </c>
      <c r="K30" s="12"/>
      <c r="L30" s="12"/>
      <c r="M30" s="4" t="s">
        <v>23</v>
      </c>
      <c r="N30" s="12" t="str">
        <f t="shared" si="1"/>
        <v>057 - 47647250</v>
      </c>
      <c r="O30" s="9" t="s">
        <v>65</v>
      </c>
      <c r="P30" s="9" t="s">
        <v>67</v>
      </c>
      <c r="Q30" s="9" t="s">
        <v>66</v>
      </c>
      <c r="R30" s="9"/>
    </row>
    <row r="31" spans="2:18" ht="12.75" customHeight="1" thickBot="1">
      <c r="B31" s="6"/>
      <c r="C31" s="12" t="s">
        <v>68</v>
      </c>
      <c r="D31" s="12" t="s">
        <v>18</v>
      </c>
      <c r="E31" s="12" t="s">
        <v>19</v>
      </c>
      <c r="F31" s="12">
        <v>3</v>
      </c>
      <c r="G31" s="12" t="s">
        <v>20</v>
      </c>
      <c r="H31" s="12" t="s">
        <v>33</v>
      </c>
      <c r="I31" s="13">
        <v>45195.429861111108</v>
      </c>
      <c r="J31" s="12" t="s">
        <v>22</v>
      </c>
      <c r="K31" s="12"/>
      <c r="L31" s="12"/>
      <c r="M31" s="4" t="s">
        <v>23</v>
      </c>
      <c r="N31" s="12" t="str">
        <f>LEFT(C31,14)</f>
        <v>057 - 04151766</v>
      </c>
      <c r="O31" s="9" t="s">
        <v>29</v>
      </c>
      <c r="P31" s="9" t="s">
        <v>25</v>
      </c>
      <c r="Q31" s="9"/>
      <c r="R31" s="9" t="s">
        <v>35</v>
      </c>
    </row>
    <row r="32" spans="2:18" ht="12.75" hidden="1" customHeight="1" thickBot="1">
      <c r="B32" s="5"/>
      <c r="C32" s="12" t="s">
        <v>68</v>
      </c>
      <c r="D32" s="12" t="s">
        <v>18</v>
      </c>
      <c r="E32" s="12" t="s">
        <v>19</v>
      </c>
      <c r="F32" s="12">
        <v>3</v>
      </c>
      <c r="G32" s="12" t="s">
        <v>20</v>
      </c>
      <c r="H32" s="12" t="s">
        <v>33</v>
      </c>
      <c r="I32" s="13">
        <v>45195.429849537039</v>
      </c>
      <c r="J32" s="12" t="s">
        <v>22</v>
      </c>
      <c r="K32" s="12"/>
      <c r="L32" s="12"/>
      <c r="M32" s="4" t="s">
        <v>23</v>
      </c>
      <c r="N32" s="12" t="str">
        <f>LEFT(C32,14)</f>
        <v>057 - 04151766</v>
      </c>
      <c r="O32" s="9" t="s">
        <v>69</v>
      </c>
      <c r="P32" s="9" t="s">
        <v>25</v>
      </c>
      <c r="Q32" s="9"/>
      <c r="R32" s="9"/>
    </row>
    <row r="33" spans="2:18" ht="12.75" hidden="1" customHeight="1" thickBot="1">
      <c r="B33" s="6"/>
      <c r="C33" s="12" t="s">
        <v>68</v>
      </c>
      <c r="D33" s="12" t="s">
        <v>18</v>
      </c>
      <c r="E33" s="12" t="s">
        <v>19</v>
      </c>
      <c r="F33" s="12">
        <v>3</v>
      </c>
      <c r="G33" s="12" t="s">
        <v>20</v>
      </c>
      <c r="H33" s="12" t="s">
        <v>33</v>
      </c>
      <c r="I33" s="13">
        <v>45195.429814814815</v>
      </c>
      <c r="J33" s="12" t="s">
        <v>22</v>
      </c>
      <c r="K33" s="12"/>
      <c r="L33" s="12"/>
      <c r="M33" s="4" t="s">
        <v>23</v>
      </c>
      <c r="N33" s="12" t="str">
        <f t="shared" si="1"/>
        <v>057 - 04151766</v>
      </c>
      <c r="O33" s="9" t="s">
        <v>69</v>
      </c>
      <c r="P33" s="9" t="s">
        <v>67</v>
      </c>
      <c r="Q33" s="9"/>
      <c r="R33" s="9"/>
    </row>
    <row r="34" spans="2:18" ht="12.75" hidden="1" customHeight="1" thickBot="1">
      <c r="B34" s="5"/>
      <c r="C34" s="12" t="s">
        <v>70</v>
      </c>
      <c r="D34" s="12" t="s">
        <v>18</v>
      </c>
      <c r="E34" s="12" t="s">
        <v>19</v>
      </c>
      <c r="F34" s="12">
        <v>3</v>
      </c>
      <c r="G34" s="12" t="s">
        <v>20</v>
      </c>
      <c r="H34" s="12" t="s">
        <v>33</v>
      </c>
      <c r="I34" s="13">
        <v>45195.429780092592</v>
      </c>
      <c r="J34" s="12" t="s">
        <v>22</v>
      </c>
      <c r="K34" s="12"/>
      <c r="L34" s="12"/>
      <c r="M34" s="4" t="s">
        <v>23</v>
      </c>
      <c r="N34" s="12" t="str">
        <f>LEFT(C34,14)</f>
        <v>057 - 10720485</v>
      </c>
      <c r="O34" s="9"/>
      <c r="P34" s="9" t="s">
        <v>25</v>
      </c>
      <c r="Q34" s="9"/>
      <c r="R34" s="9"/>
    </row>
    <row r="35" spans="2:18" ht="12.75" hidden="1" customHeight="1" thickBot="1">
      <c r="B35" s="6"/>
      <c r="C35" s="12" t="s">
        <v>71</v>
      </c>
      <c r="D35" s="12" t="s">
        <v>18</v>
      </c>
      <c r="E35" s="12" t="s">
        <v>19</v>
      </c>
      <c r="F35" s="12">
        <v>3</v>
      </c>
      <c r="G35" s="12" t="s">
        <v>20</v>
      </c>
      <c r="H35" s="12" t="s">
        <v>33</v>
      </c>
      <c r="I35" s="13">
        <v>45195.429652777777</v>
      </c>
      <c r="J35" s="12" t="s">
        <v>22</v>
      </c>
      <c r="K35" s="12"/>
      <c r="L35" s="12"/>
      <c r="M35" s="4" t="s">
        <v>23</v>
      </c>
      <c r="N35" s="12" t="str">
        <f t="shared" si="1"/>
        <v>057 - 47988161</v>
      </c>
      <c r="O35" s="9" t="s">
        <v>69</v>
      </c>
      <c r="P35" s="9" t="s">
        <v>25</v>
      </c>
      <c r="Q35" s="9"/>
      <c r="R35" s="9"/>
    </row>
    <row r="36" spans="2:18" ht="12.75" hidden="1" customHeight="1" thickBot="1">
      <c r="B36" s="5"/>
      <c r="C36" s="12" t="s">
        <v>72</v>
      </c>
      <c r="D36" s="12" t="s">
        <v>18</v>
      </c>
      <c r="E36" s="12" t="s">
        <v>19</v>
      </c>
      <c r="F36" s="12">
        <v>3</v>
      </c>
      <c r="G36" s="12" t="s">
        <v>20</v>
      </c>
      <c r="H36" s="12" t="s">
        <v>33</v>
      </c>
      <c r="I36" s="13">
        <v>45195.429606481484</v>
      </c>
      <c r="J36" s="12" t="s">
        <v>22</v>
      </c>
      <c r="K36" s="12"/>
      <c r="L36" s="12"/>
      <c r="M36" s="4" t="s">
        <v>23</v>
      </c>
      <c r="N36" s="12" t="str">
        <f t="shared" si="1"/>
        <v>057 - 48110834</v>
      </c>
      <c r="O36" s="9" t="s">
        <v>69</v>
      </c>
      <c r="P36" s="9" t="s">
        <v>25</v>
      </c>
      <c r="Q36" s="9"/>
      <c r="R36" s="9"/>
    </row>
    <row r="37" spans="2:18" ht="12.75" hidden="1" customHeight="1" thickBot="1">
      <c r="B37" s="6"/>
      <c r="C37" s="12" t="s">
        <v>73</v>
      </c>
      <c r="D37" s="12" t="s">
        <v>18</v>
      </c>
      <c r="E37" s="12" t="s">
        <v>19</v>
      </c>
      <c r="F37" s="12">
        <v>3</v>
      </c>
      <c r="G37" s="12" t="s">
        <v>20</v>
      </c>
      <c r="H37" s="12" t="s">
        <v>45</v>
      </c>
      <c r="I37" s="13">
        <v>45195.429583333331</v>
      </c>
      <c r="J37" s="12" t="s">
        <v>22</v>
      </c>
      <c r="K37" s="12"/>
      <c r="L37" s="12"/>
      <c r="M37" s="4" t="s">
        <v>23</v>
      </c>
      <c r="N37" s="12" t="str">
        <f t="shared" si="1"/>
        <v>057 - 04259463</v>
      </c>
      <c r="O37" s="9" t="s">
        <v>69</v>
      </c>
      <c r="P37" s="9" t="s">
        <v>25</v>
      </c>
      <c r="Q37" s="17" t="s">
        <v>74</v>
      </c>
      <c r="R37" s="9"/>
    </row>
    <row r="38" spans="2:18" ht="12.75" hidden="1" customHeight="1" thickBot="1">
      <c r="B38" s="5"/>
      <c r="C38" s="12" t="s">
        <v>73</v>
      </c>
      <c r="D38" s="12" t="s">
        <v>18</v>
      </c>
      <c r="E38" s="12" t="s">
        <v>19</v>
      </c>
      <c r="F38" s="12">
        <v>3</v>
      </c>
      <c r="G38" s="12" t="s">
        <v>20</v>
      </c>
      <c r="H38" s="12" t="s">
        <v>46</v>
      </c>
      <c r="I38" s="13">
        <v>45195.429548611108</v>
      </c>
      <c r="J38" s="12" t="s">
        <v>22</v>
      </c>
      <c r="K38" s="12"/>
      <c r="L38" s="12"/>
      <c r="M38" s="4" t="s">
        <v>23</v>
      </c>
      <c r="N38" s="12" t="str">
        <f t="shared" si="1"/>
        <v>057 - 04259463</v>
      </c>
      <c r="O38" s="9" t="s">
        <v>69</v>
      </c>
      <c r="P38" s="9" t="s">
        <v>67</v>
      </c>
      <c r="Q38" s="9"/>
      <c r="R38" s="9"/>
    </row>
    <row r="39" spans="2:18" ht="12.75" hidden="1" customHeight="1" thickBot="1">
      <c r="B39" s="6"/>
      <c r="C39" s="12" t="s">
        <v>73</v>
      </c>
      <c r="D39" s="12" t="s">
        <v>18</v>
      </c>
      <c r="E39" s="12" t="s">
        <v>19</v>
      </c>
      <c r="F39" s="12">
        <v>3</v>
      </c>
      <c r="G39" s="12" t="s">
        <v>20</v>
      </c>
      <c r="H39" s="12" t="s">
        <v>45</v>
      </c>
      <c r="I39" s="13">
        <v>45195.429513888892</v>
      </c>
      <c r="J39" s="12" t="s">
        <v>22</v>
      </c>
      <c r="K39" s="12"/>
      <c r="L39" s="12"/>
      <c r="M39" s="4" t="s">
        <v>23</v>
      </c>
      <c r="N39" s="12" t="str">
        <f t="shared" si="1"/>
        <v>057 - 04259463</v>
      </c>
      <c r="O39" s="9"/>
      <c r="P39" s="9" t="s">
        <v>67</v>
      </c>
      <c r="Q39" s="9"/>
      <c r="R39" s="9"/>
    </row>
    <row r="40" spans="2:18" ht="12.75" hidden="1" customHeight="1" thickBot="1">
      <c r="B40" s="5"/>
      <c r="C40" s="12" t="s">
        <v>73</v>
      </c>
      <c r="D40" s="12" t="s">
        <v>18</v>
      </c>
      <c r="E40" s="12" t="s">
        <v>19</v>
      </c>
      <c r="F40" s="12">
        <v>3</v>
      </c>
      <c r="G40" s="12" t="s">
        <v>20</v>
      </c>
      <c r="H40" s="12" t="s">
        <v>46</v>
      </c>
      <c r="I40" s="13">
        <v>45195.429479166669</v>
      </c>
      <c r="J40" s="12" t="s">
        <v>22</v>
      </c>
      <c r="K40" s="12"/>
      <c r="L40" s="12"/>
      <c r="M40" s="4" t="s">
        <v>23</v>
      </c>
      <c r="N40" s="12" t="str">
        <f t="shared" si="1"/>
        <v>057 - 04259463</v>
      </c>
      <c r="O40" s="9" t="s">
        <v>24</v>
      </c>
      <c r="P40" s="9"/>
      <c r="Q40" s="9" t="s">
        <v>43</v>
      </c>
      <c r="R40" s="9"/>
    </row>
    <row r="41" spans="2:18" ht="12.75" hidden="1" customHeight="1" thickBot="1">
      <c r="B41" s="6"/>
      <c r="C41" s="12" t="s">
        <v>75</v>
      </c>
      <c r="D41" s="12" t="s">
        <v>18</v>
      </c>
      <c r="E41" s="12" t="s">
        <v>19</v>
      </c>
      <c r="F41" s="12">
        <v>3</v>
      </c>
      <c r="G41" s="12" t="s">
        <v>20</v>
      </c>
      <c r="H41" s="12" t="s">
        <v>33</v>
      </c>
      <c r="I41" s="13">
        <v>45195.429444444446</v>
      </c>
      <c r="J41" s="12" t="s">
        <v>22</v>
      </c>
      <c r="K41" s="12"/>
      <c r="L41" s="12"/>
      <c r="M41" s="4" t="s">
        <v>23</v>
      </c>
      <c r="N41" s="12" t="str">
        <f>LEFT(C41,14)</f>
        <v>057 - 48313882</v>
      </c>
      <c r="O41" s="9" t="s">
        <v>65</v>
      </c>
      <c r="P41" s="9" t="s">
        <v>25</v>
      </c>
      <c r="Q41" s="9" t="s">
        <v>76</v>
      </c>
      <c r="R41" s="9" t="s">
        <v>52</v>
      </c>
    </row>
    <row r="42" spans="2:18" ht="12.75" hidden="1" customHeight="1" thickBot="1">
      <c r="B42" s="5"/>
      <c r="C42" s="12" t="s">
        <v>77</v>
      </c>
      <c r="D42" s="12" t="s">
        <v>18</v>
      </c>
      <c r="E42" s="12" t="s">
        <v>19</v>
      </c>
      <c r="F42" s="12">
        <v>3</v>
      </c>
      <c r="G42" s="12" t="s">
        <v>20</v>
      </c>
      <c r="H42" s="12" t="s">
        <v>33</v>
      </c>
      <c r="I42" s="13">
        <v>45195.429398148146</v>
      </c>
      <c r="J42" s="12" t="s">
        <v>22</v>
      </c>
      <c r="K42" s="12"/>
      <c r="L42" s="12"/>
      <c r="M42" s="4" t="s">
        <v>23</v>
      </c>
      <c r="N42" s="12" t="str">
        <f t="shared" si="1"/>
        <v>057 - 48313893</v>
      </c>
      <c r="O42" s="9" t="s">
        <v>65</v>
      </c>
      <c r="P42" s="9" t="s">
        <v>25</v>
      </c>
      <c r="Q42" s="9" t="s">
        <v>76</v>
      </c>
      <c r="R42" s="9" t="s">
        <v>52</v>
      </c>
    </row>
    <row r="43" spans="2:18" ht="12.75" hidden="1" customHeight="1" thickBot="1">
      <c r="B43" s="6"/>
      <c r="C43" s="12" t="s">
        <v>78</v>
      </c>
      <c r="D43" s="12" t="s">
        <v>18</v>
      </c>
      <c r="E43" s="12" t="s">
        <v>19</v>
      </c>
      <c r="F43" s="12">
        <v>3</v>
      </c>
      <c r="G43" s="12" t="s">
        <v>20</v>
      </c>
      <c r="H43" s="12" t="s">
        <v>33</v>
      </c>
      <c r="I43" s="13">
        <v>45195.429363425923</v>
      </c>
      <c r="J43" s="12" t="s">
        <v>22</v>
      </c>
      <c r="K43" s="12"/>
      <c r="L43" s="12"/>
      <c r="M43" s="4" t="s">
        <v>23</v>
      </c>
      <c r="N43" s="12" t="str">
        <f t="shared" si="1"/>
        <v>057 - 48313871</v>
      </c>
      <c r="O43" s="9" t="s">
        <v>65</v>
      </c>
      <c r="P43" s="9" t="s">
        <v>25</v>
      </c>
      <c r="Q43" s="9"/>
      <c r="R43" s="9" t="s">
        <v>52</v>
      </c>
    </row>
    <row r="44" spans="2:18" ht="12.75" hidden="1" customHeight="1" thickBot="1">
      <c r="B44" s="5"/>
      <c r="C44" s="12" t="s">
        <v>79</v>
      </c>
      <c r="D44" s="12" t="s">
        <v>18</v>
      </c>
      <c r="E44" s="12" t="s">
        <v>19</v>
      </c>
      <c r="F44" s="12">
        <v>3</v>
      </c>
      <c r="G44" s="12" t="s">
        <v>20</v>
      </c>
      <c r="H44" s="12" t="s">
        <v>33</v>
      </c>
      <c r="I44" s="13">
        <v>45195.429328703707</v>
      </c>
      <c r="J44" s="12" t="s">
        <v>22</v>
      </c>
      <c r="K44" s="12"/>
      <c r="L44" s="12"/>
      <c r="M44" s="4" t="s">
        <v>23</v>
      </c>
      <c r="N44" s="12" t="str">
        <f t="shared" si="1"/>
        <v>057 - 04135051</v>
      </c>
      <c r="O44" s="9" t="s">
        <v>69</v>
      </c>
      <c r="P44" s="9" t="s">
        <v>25</v>
      </c>
      <c r="Q44" s="9"/>
      <c r="R44" s="9"/>
    </row>
    <row r="45" spans="2:18" ht="12.75" hidden="1" customHeight="1" thickBot="1">
      <c r="B45" s="6"/>
      <c r="C45" s="12" t="s">
        <v>80</v>
      </c>
      <c r="D45" s="12" t="s">
        <v>18</v>
      </c>
      <c r="E45" s="12" t="s">
        <v>19</v>
      </c>
      <c r="F45" s="12">
        <v>3</v>
      </c>
      <c r="G45" s="12" t="s">
        <v>20</v>
      </c>
      <c r="H45" s="12" t="s">
        <v>33</v>
      </c>
      <c r="I45" s="13">
        <v>45195.429305555554</v>
      </c>
      <c r="J45" s="12" t="s">
        <v>22</v>
      </c>
      <c r="K45" s="12"/>
      <c r="L45" s="12"/>
      <c r="M45" s="4" t="s">
        <v>23</v>
      </c>
      <c r="N45" s="12" t="str">
        <f t="shared" si="1"/>
        <v>057 - 47467195</v>
      </c>
      <c r="O45" s="9" t="s">
        <v>69</v>
      </c>
      <c r="P45" s="9" t="s">
        <v>25</v>
      </c>
      <c r="Q45" s="17" t="s">
        <v>81</v>
      </c>
      <c r="R45" s="9"/>
    </row>
    <row r="46" spans="2:18" ht="12.75" hidden="1" customHeight="1" thickBot="1">
      <c r="B46" s="5"/>
      <c r="C46" s="12" t="s">
        <v>82</v>
      </c>
      <c r="D46" s="12" t="s">
        <v>18</v>
      </c>
      <c r="E46" s="12" t="s">
        <v>19</v>
      </c>
      <c r="F46" s="12">
        <v>3</v>
      </c>
      <c r="G46" s="12" t="s">
        <v>20</v>
      </c>
      <c r="H46" s="12" t="s">
        <v>33</v>
      </c>
      <c r="I46" s="13">
        <v>45195.429270833331</v>
      </c>
      <c r="J46" s="12" t="s">
        <v>22</v>
      </c>
      <c r="K46" s="12"/>
      <c r="L46" s="12"/>
      <c r="M46" s="4" t="s">
        <v>23</v>
      </c>
      <c r="N46" s="12" t="str">
        <f t="shared" si="1"/>
        <v>057 - 46075190</v>
      </c>
      <c r="O46" s="9" t="s">
        <v>69</v>
      </c>
      <c r="P46" s="9" t="s">
        <v>25</v>
      </c>
      <c r="Q46" s="9"/>
      <c r="R46" s="9"/>
    </row>
    <row r="47" spans="2:18" ht="12.75" hidden="1" customHeight="1" thickBot="1">
      <c r="B47" s="6"/>
      <c r="C47" s="12" t="s">
        <v>83</v>
      </c>
      <c r="D47" s="12" t="s">
        <v>18</v>
      </c>
      <c r="E47" s="12" t="s">
        <v>19</v>
      </c>
      <c r="F47" s="12">
        <v>3</v>
      </c>
      <c r="G47" s="12" t="s">
        <v>20</v>
      </c>
      <c r="H47" s="12" t="s">
        <v>33</v>
      </c>
      <c r="I47" s="13">
        <v>45195.429236111115</v>
      </c>
      <c r="J47" s="12" t="s">
        <v>22</v>
      </c>
      <c r="K47" s="12"/>
      <c r="L47" s="12"/>
      <c r="M47" s="4" t="s">
        <v>23</v>
      </c>
      <c r="N47" s="12" t="str">
        <f t="shared" si="1"/>
        <v>057 - 04161872</v>
      </c>
      <c r="O47" s="9" t="s">
        <v>69</v>
      </c>
      <c r="P47" s="9" t="s">
        <v>25</v>
      </c>
      <c r="Q47" s="17"/>
      <c r="R47" s="9"/>
    </row>
    <row r="48" spans="2:18" ht="12.75" hidden="1" customHeight="1" thickBot="1">
      <c r="B48" s="5"/>
      <c r="C48" s="12" t="s">
        <v>84</v>
      </c>
      <c r="D48" s="12" t="s">
        <v>18</v>
      </c>
      <c r="E48" s="12" t="s">
        <v>19</v>
      </c>
      <c r="F48" s="12">
        <v>3</v>
      </c>
      <c r="G48" s="12" t="s">
        <v>20</v>
      </c>
      <c r="H48" s="12" t="s">
        <v>33</v>
      </c>
      <c r="I48" s="13">
        <v>45195.429189814815</v>
      </c>
      <c r="J48" s="12" t="s">
        <v>22</v>
      </c>
      <c r="K48" s="12"/>
      <c r="L48" s="12"/>
      <c r="M48" s="4" t="s">
        <v>23</v>
      </c>
      <c r="N48" s="12" t="str">
        <f t="shared" si="1"/>
        <v>057 - 46075186</v>
      </c>
      <c r="O48" s="9" t="s">
        <v>69</v>
      </c>
      <c r="P48" s="9" t="s">
        <v>25</v>
      </c>
      <c r="Q48" s="17" t="s">
        <v>85</v>
      </c>
      <c r="R48" s="9"/>
    </row>
    <row r="49" spans="2:18" ht="12.75" hidden="1" customHeight="1" thickBot="1">
      <c r="B49" s="6"/>
      <c r="C49" s="12" t="s">
        <v>86</v>
      </c>
      <c r="D49" s="12" t="s">
        <v>18</v>
      </c>
      <c r="E49" s="12" t="s">
        <v>19</v>
      </c>
      <c r="F49" s="12">
        <v>3</v>
      </c>
      <c r="G49" s="12" t="s">
        <v>20</v>
      </c>
      <c r="H49" s="12" t="s">
        <v>33</v>
      </c>
      <c r="I49" s="13">
        <v>45195.429120370369</v>
      </c>
      <c r="J49" s="12" t="s">
        <v>22</v>
      </c>
      <c r="K49" s="12"/>
      <c r="L49" s="12"/>
      <c r="M49" s="4" t="s">
        <v>23</v>
      </c>
      <c r="N49" s="12" t="str">
        <f t="shared" si="1"/>
        <v>057 - 90752491</v>
      </c>
      <c r="O49" s="9" t="s">
        <v>69</v>
      </c>
      <c r="P49" s="9" t="s">
        <v>25</v>
      </c>
      <c r="Q49" s="9"/>
      <c r="R49" s="9"/>
    </row>
    <row r="50" spans="2:18" ht="12.75" hidden="1" customHeight="1" thickBot="1">
      <c r="B50" s="5"/>
      <c r="C50" s="12" t="s">
        <v>87</v>
      </c>
      <c r="D50" s="12" t="s">
        <v>18</v>
      </c>
      <c r="E50" s="12" t="s">
        <v>19</v>
      </c>
      <c r="F50" s="12">
        <v>3</v>
      </c>
      <c r="G50" s="12" t="s">
        <v>20</v>
      </c>
      <c r="H50" s="12" t="s">
        <v>33</v>
      </c>
      <c r="I50" s="13">
        <v>45195.429039351853</v>
      </c>
      <c r="J50" s="12" t="s">
        <v>22</v>
      </c>
      <c r="K50" s="12"/>
      <c r="L50" s="12"/>
      <c r="M50" s="4" t="s">
        <v>23</v>
      </c>
      <c r="N50" s="12" t="str">
        <f t="shared" si="1"/>
        <v>057 - 48110576</v>
      </c>
      <c r="O50" s="9" t="s">
        <v>69</v>
      </c>
      <c r="P50" s="9" t="s">
        <v>25</v>
      </c>
      <c r="Q50" s="17" t="s">
        <v>88</v>
      </c>
      <c r="R50" s="9"/>
    </row>
    <row r="51" spans="2:18" ht="12.75" hidden="1" customHeight="1" thickBot="1">
      <c r="B51" s="7"/>
      <c r="C51" s="12" t="s">
        <v>89</v>
      </c>
      <c r="D51" s="12" t="s">
        <v>18</v>
      </c>
      <c r="E51" s="12" t="s">
        <v>19</v>
      </c>
      <c r="F51" s="12">
        <v>3</v>
      </c>
      <c r="G51" s="12" t="s">
        <v>20</v>
      </c>
      <c r="H51" s="12" t="s">
        <v>45</v>
      </c>
      <c r="I51" s="13">
        <v>45195.42895833333</v>
      </c>
      <c r="J51" s="12" t="s">
        <v>22</v>
      </c>
      <c r="K51" s="12"/>
      <c r="L51" s="12"/>
      <c r="M51" s="4" t="s">
        <v>23</v>
      </c>
      <c r="N51" s="12" t="str">
        <f t="shared" si="1"/>
        <v>057 - 04181365</v>
      </c>
      <c r="O51" s="9" t="s">
        <v>24</v>
      </c>
      <c r="P51" s="9"/>
      <c r="Q51" s="9" t="s">
        <v>43</v>
      </c>
      <c r="R51" s="9"/>
    </row>
    <row r="52" spans="2:18" ht="12.75" hidden="1" customHeight="1">
      <c r="C52" s="12" t="s">
        <v>89</v>
      </c>
      <c r="D52" s="12" t="s">
        <v>18</v>
      </c>
      <c r="E52" s="12" t="s">
        <v>19</v>
      </c>
      <c r="F52" s="12">
        <v>3</v>
      </c>
      <c r="G52" s="12" t="s">
        <v>20</v>
      </c>
      <c r="H52" s="12" t="s">
        <v>46</v>
      </c>
      <c r="I52" s="13">
        <v>45195.428888888891</v>
      </c>
      <c r="J52" s="12" t="s">
        <v>22</v>
      </c>
      <c r="K52" s="12"/>
      <c r="L52" s="12"/>
      <c r="M52" s="4" t="s">
        <v>23</v>
      </c>
      <c r="N52" s="12" t="str">
        <f>LEFT(C52,14)</f>
        <v>057 - 04181365</v>
      </c>
      <c r="O52" s="9" t="s">
        <v>24</v>
      </c>
      <c r="P52" s="9"/>
      <c r="Q52" s="9" t="s">
        <v>43</v>
      </c>
      <c r="R52" s="9"/>
    </row>
    <row r="53" spans="2:18" ht="12.75" hidden="1" customHeight="1" thickBot="1">
      <c r="B53" s="5"/>
      <c r="C53" s="12" t="s">
        <v>90</v>
      </c>
      <c r="D53" s="12" t="s">
        <v>18</v>
      </c>
      <c r="E53" s="12" t="s">
        <v>19</v>
      </c>
      <c r="F53" s="12">
        <v>3</v>
      </c>
      <c r="G53" s="12" t="s">
        <v>20</v>
      </c>
      <c r="H53" s="12" t="s">
        <v>33</v>
      </c>
      <c r="I53" s="13">
        <v>45195.428831018522</v>
      </c>
      <c r="J53" s="12" t="s">
        <v>22</v>
      </c>
      <c r="K53" s="12"/>
      <c r="L53" s="12"/>
      <c r="M53" s="4" t="s">
        <v>23</v>
      </c>
      <c r="N53" s="12" t="str">
        <f t="shared" ref="N53:N76" si="2">LEFT(C53,14)</f>
        <v>057 - 47988323</v>
      </c>
      <c r="O53" s="9" t="s">
        <v>24</v>
      </c>
      <c r="P53" s="9" t="s">
        <v>25</v>
      </c>
      <c r="Q53" s="9" t="s">
        <v>91</v>
      </c>
      <c r="R53" s="9" t="s">
        <v>52</v>
      </c>
    </row>
    <row r="54" spans="2:18" ht="12.75" customHeight="1" thickBot="1">
      <c r="B54" s="6"/>
      <c r="C54" s="12" t="s">
        <v>90</v>
      </c>
      <c r="D54" s="12" t="s">
        <v>18</v>
      </c>
      <c r="E54" s="12" t="s">
        <v>19</v>
      </c>
      <c r="F54" s="12">
        <v>3</v>
      </c>
      <c r="G54" s="12" t="s">
        <v>20</v>
      </c>
      <c r="H54" s="12" t="s">
        <v>33</v>
      </c>
      <c r="I54" s="13">
        <v>45195.428773148145</v>
      </c>
      <c r="J54" s="12" t="s">
        <v>22</v>
      </c>
      <c r="K54" s="12"/>
      <c r="L54" s="12"/>
      <c r="M54" s="4" t="s">
        <v>23</v>
      </c>
      <c r="N54" s="12" t="str">
        <f t="shared" si="2"/>
        <v>057 - 47988323</v>
      </c>
      <c r="O54" s="9" t="s">
        <v>29</v>
      </c>
      <c r="P54" s="9" t="s">
        <v>25</v>
      </c>
      <c r="Q54" s="9"/>
      <c r="R54" s="9" t="s">
        <v>35</v>
      </c>
    </row>
    <row r="55" spans="2:18" ht="12.75" customHeight="1" thickBot="1">
      <c r="B55" s="5"/>
      <c r="C55" s="12" t="s">
        <v>92</v>
      </c>
      <c r="D55" s="12" t="s">
        <v>18</v>
      </c>
      <c r="E55" s="12" t="s">
        <v>19</v>
      </c>
      <c r="F55" s="12">
        <v>3</v>
      </c>
      <c r="G55" s="12" t="s">
        <v>20</v>
      </c>
      <c r="H55" s="12" t="s">
        <v>33</v>
      </c>
      <c r="I55" s="13">
        <v>45195.428703703707</v>
      </c>
      <c r="J55" s="12" t="s">
        <v>22</v>
      </c>
      <c r="K55" s="12"/>
      <c r="L55" s="12"/>
      <c r="M55" s="4" t="s">
        <v>23</v>
      </c>
      <c r="N55" s="12" t="str">
        <f t="shared" si="2"/>
        <v>057 - 45853231</v>
      </c>
      <c r="O55" s="9" t="s">
        <v>29</v>
      </c>
      <c r="P55" s="9" t="s">
        <v>25</v>
      </c>
      <c r="Q55" s="9"/>
      <c r="R55" s="9" t="s">
        <v>35</v>
      </c>
    </row>
    <row r="56" spans="2:18" ht="12.75" hidden="1" customHeight="1" thickBot="1">
      <c r="B56" s="6"/>
      <c r="C56" s="12" t="s">
        <v>92</v>
      </c>
      <c r="D56" s="12" t="s">
        <v>18</v>
      </c>
      <c r="E56" s="12" t="s">
        <v>19</v>
      </c>
      <c r="F56" s="12">
        <v>3</v>
      </c>
      <c r="G56" s="12" t="s">
        <v>20</v>
      </c>
      <c r="H56" s="12" t="s">
        <v>93</v>
      </c>
      <c r="I56" s="13">
        <v>45195.42863425926</v>
      </c>
      <c r="J56" s="12" t="s">
        <v>22</v>
      </c>
      <c r="K56" s="12"/>
      <c r="L56" s="12"/>
      <c r="M56" s="4" t="s">
        <v>23</v>
      </c>
      <c r="N56" s="16" t="str">
        <f>LEFT(C56,14)</f>
        <v>057 - 45853231</v>
      </c>
      <c r="O56" s="9" t="s">
        <v>94</v>
      </c>
      <c r="P56" s="9" t="s">
        <v>25</v>
      </c>
      <c r="Q56" s="9"/>
      <c r="R56" s="9"/>
    </row>
    <row r="57" spans="2:18" ht="12.75" hidden="1" customHeight="1" thickBot="1">
      <c r="B57" s="5"/>
      <c r="C57" s="12" t="s">
        <v>90</v>
      </c>
      <c r="D57" s="12" t="s">
        <v>18</v>
      </c>
      <c r="E57" s="12" t="s">
        <v>19</v>
      </c>
      <c r="F57" s="12">
        <v>3</v>
      </c>
      <c r="G57" s="12" t="s">
        <v>20</v>
      </c>
      <c r="H57" s="12" t="s">
        <v>33</v>
      </c>
      <c r="I57" s="13">
        <v>45195.428576388891</v>
      </c>
      <c r="J57" s="12" t="s">
        <v>22</v>
      </c>
      <c r="K57" s="12"/>
      <c r="L57" s="12"/>
      <c r="M57" s="4" t="s">
        <v>23</v>
      </c>
      <c r="N57" s="16" t="str">
        <f t="shared" si="2"/>
        <v>057 - 47988323</v>
      </c>
      <c r="O57" s="9" t="s">
        <v>94</v>
      </c>
      <c r="P57" s="9" t="s">
        <v>67</v>
      </c>
      <c r="Q57" s="9"/>
      <c r="R57" s="9"/>
    </row>
    <row r="58" spans="2:18" ht="12.75" hidden="1" customHeight="1" thickBot="1">
      <c r="B58" s="6"/>
      <c r="C58" s="12" t="s">
        <v>70</v>
      </c>
      <c r="D58" s="12" t="s">
        <v>18</v>
      </c>
      <c r="E58" s="12" t="s">
        <v>19</v>
      </c>
      <c r="F58" s="12">
        <v>3</v>
      </c>
      <c r="G58" s="12" t="s">
        <v>20</v>
      </c>
      <c r="H58" s="12" t="s">
        <v>33</v>
      </c>
      <c r="I58" s="13">
        <v>45195.428229166668</v>
      </c>
      <c r="J58" s="12" t="s">
        <v>22</v>
      </c>
      <c r="K58" s="12"/>
      <c r="L58" s="12"/>
      <c r="M58" s="4" t="s">
        <v>23</v>
      </c>
      <c r="N58" s="12" t="str">
        <f t="shared" si="2"/>
        <v>057 - 10720485</v>
      </c>
      <c r="O58" s="9" t="s">
        <v>94</v>
      </c>
      <c r="P58" s="9" t="s">
        <v>67</v>
      </c>
      <c r="Q58" s="9"/>
      <c r="R58" s="9"/>
    </row>
    <row r="59" spans="2:18" ht="12.75" hidden="1" customHeight="1" thickBot="1">
      <c r="B59" s="5"/>
      <c r="C59" s="12" t="s">
        <v>70</v>
      </c>
      <c r="D59" s="12" t="s">
        <v>18</v>
      </c>
      <c r="E59" s="12" t="s">
        <v>19</v>
      </c>
      <c r="F59" s="12">
        <v>3</v>
      </c>
      <c r="G59" s="12" t="s">
        <v>20</v>
      </c>
      <c r="H59" s="12" t="s">
        <v>33</v>
      </c>
      <c r="I59" s="13">
        <v>45195.428136574075</v>
      </c>
      <c r="J59" s="12" t="s">
        <v>22</v>
      </c>
      <c r="K59" s="12"/>
      <c r="L59" s="12"/>
      <c r="M59" s="4" t="s">
        <v>23</v>
      </c>
      <c r="N59" s="12" t="str">
        <f t="shared" si="2"/>
        <v>057 - 10720485</v>
      </c>
      <c r="O59" s="9" t="s">
        <v>94</v>
      </c>
      <c r="P59" s="9" t="s">
        <v>67</v>
      </c>
      <c r="Q59" s="9"/>
      <c r="R59" s="9"/>
    </row>
    <row r="60" spans="2:18" ht="12.75" hidden="1" customHeight="1" thickBot="1">
      <c r="B60" s="6"/>
      <c r="C60" s="12" t="s">
        <v>70</v>
      </c>
      <c r="D60" s="12" t="s">
        <v>18</v>
      </c>
      <c r="E60" s="12" t="s">
        <v>19</v>
      </c>
      <c r="F60" s="12">
        <v>3</v>
      </c>
      <c r="G60" s="12" t="s">
        <v>20</v>
      </c>
      <c r="H60" s="12" t="s">
        <v>33</v>
      </c>
      <c r="I60" s="13">
        <v>45195.428078703706</v>
      </c>
      <c r="J60" s="12" t="s">
        <v>22</v>
      </c>
      <c r="K60" s="12"/>
      <c r="L60" s="12"/>
      <c r="M60" s="4" t="s">
        <v>23</v>
      </c>
      <c r="N60" s="12" t="str">
        <f t="shared" si="2"/>
        <v>057 - 10720485</v>
      </c>
      <c r="O60" s="9" t="s">
        <v>94</v>
      </c>
      <c r="P60" s="9" t="s">
        <v>67</v>
      </c>
      <c r="Q60" s="9"/>
      <c r="R60" s="9"/>
    </row>
    <row r="61" spans="2:18" ht="12.75" hidden="1" customHeight="1" thickBot="1">
      <c r="B61" s="5"/>
      <c r="C61" s="12" t="s">
        <v>95</v>
      </c>
      <c r="D61" s="12" t="s">
        <v>18</v>
      </c>
      <c r="E61" s="12" t="s">
        <v>19</v>
      </c>
      <c r="F61" s="12">
        <v>3</v>
      </c>
      <c r="G61" s="12" t="s">
        <v>20</v>
      </c>
      <c r="H61" s="12" t="s">
        <v>33</v>
      </c>
      <c r="I61" s="13">
        <v>45195.428020833337</v>
      </c>
      <c r="J61" s="12" t="s">
        <v>22</v>
      </c>
      <c r="K61" s="12"/>
      <c r="L61" s="12"/>
      <c r="M61" s="4" t="s">
        <v>23</v>
      </c>
      <c r="N61" s="12" t="str">
        <f t="shared" si="2"/>
        <v>057 - 47312646</v>
      </c>
      <c r="O61" s="9" t="s">
        <v>94</v>
      </c>
      <c r="P61" s="9" t="s">
        <v>25</v>
      </c>
      <c r="Q61" s="9"/>
      <c r="R61" s="9"/>
    </row>
    <row r="62" spans="2:18" ht="12.75" hidden="1" customHeight="1" thickBot="1">
      <c r="B62" s="6"/>
      <c r="C62" s="12" t="s">
        <v>95</v>
      </c>
      <c r="D62" s="12" t="s">
        <v>18</v>
      </c>
      <c r="E62" s="12" t="s">
        <v>19</v>
      </c>
      <c r="F62" s="12">
        <v>3</v>
      </c>
      <c r="G62" s="12" t="s">
        <v>20</v>
      </c>
      <c r="H62" s="12" t="s">
        <v>33</v>
      </c>
      <c r="I62" s="13">
        <v>45195.427939814814</v>
      </c>
      <c r="J62" s="12" t="s">
        <v>22</v>
      </c>
      <c r="K62" s="12"/>
      <c r="L62" s="12"/>
      <c r="M62" s="4" t="s">
        <v>23</v>
      </c>
      <c r="N62" s="12" t="str">
        <f t="shared" si="2"/>
        <v>057 - 47312646</v>
      </c>
      <c r="O62" s="9" t="s">
        <v>94</v>
      </c>
      <c r="P62" s="9" t="s">
        <v>67</v>
      </c>
      <c r="Q62" s="9"/>
      <c r="R62" s="9"/>
    </row>
    <row r="63" spans="2:18" ht="12.75" hidden="1" customHeight="1" thickBot="1">
      <c r="B63" s="5"/>
      <c r="C63" s="12" t="s">
        <v>95</v>
      </c>
      <c r="D63" s="12" t="s">
        <v>18</v>
      </c>
      <c r="E63" s="12" t="s">
        <v>19</v>
      </c>
      <c r="F63" s="12">
        <v>3</v>
      </c>
      <c r="G63" s="12" t="s">
        <v>20</v>
      </c>
      <c r="H63" s="12" t="s">
        <v>33</v>
      </c>
      <c r="I63" s="13">
        <v>45195.427893518521</v>
      </c>
      <c r="J63" s="12" t="s">
        <v>22</v>
      </c>
      <c r="K63" s="12"/>
      <c r="L63" s="12"/>
      <c r="M63" s="4" t="s">
        <v>23</v>
      </c>
      <c r="N63" s="12" t="str">
        <f t="shared" si="2"/>
        <v>057 - 47312646</v>
      </c>
      <c r="O63" s="9" t="s">
        <v>94</v>
      </c>
      <c r="P63" s="9" t="s">
        <v>67</v>
      </c>
      <c r="Q63" s="9"/>
      <c r="R63" s="9"/>
    </row>
    <row r="64" spans="2:18" ht="12.75" hidden="1" customHeight="1" thickBot="1">
      <c r="B64" s="6"/>
      <c r="C64" s="12" t="s">
        <v>70</v>
      </c>
      <c r="D64" s="12" t="s">
        <v>18</v>
      </c>
      <c r="E64" s="12" t="s">
        <v>19</v>
      </c>
      <c r="F64" s="12">
        <v>3</v>
      </c>
      <c r="G64" s="12" t="s">
        <v>20</v>
      </c>
      <c r="H64" s="12" t="s">
        <v>33</v>
      </c>
      <c r="I64" s="13">
        <v>45195.427847222221</v>
      </c>
      <c r="J64" s="12" t="s">
        <v>22</v>
      </c>
      <c r="K64" s="12"/>
      <c r="L64" s="12"/>
      <c r="M64" s="4" t="s">
        <v>23</v>
      </c>
      <c r="N64" s="12" t="str">
        <f t="shared" si="2"/>
        <v>057 - 10720485</v>
      </c>
      <c r="O64" s="9" t="s">
        <v>94</v>
      </c>
      <c r="P64" s="9" t="s">
        <v>67</v>
      </c>
      <c r="Q64" s="9"/>
      <c r="R64" s="9"/>
    </row>
    <row r="65" spans="2:18" ht="12.75" hidden="1" customHeight="1" thickBot="1">
      <c r="B65" s="5"/>
      <c r="C65" s="12" t="s">
        <v>96</v>
      </c>
      <c r="D65" s="12" t="s">
        <v>18</v>
      </c>
      <c r="E65" s="12" t="s">
        <v>19</v>
      </c>
      <c r="F65" s="12">
        <v>3</v>
      </c>
      <c r="G65" s="12" t="s">
        <v>20</v>
      </c>
      <c r="H65" s="12" t="s">
        <v>45</v>
      </c>
      <c r="I65" s="13">
        <v>45195.427789351852</v>
      </c>
      <c r="J65" s="12" t="s">
        <v>22</v>
      </c>
      <c r="K65" s="12"/>
      <c r="L65" s="12"/>
      <c r="M65" s="4" t="s">
        <v>23</v>
      </c>
      <c r="N65" s="12" t="str">
        <f t="shared" si="2"/>
        <v>057 - 04175032</v>
      </c>
      <c r="O65" s="9" t="s">
        <v>29</v>
      </c>
      <c r="P65" s="9" t="s">
        <v>25</v>
      </c>
      <c r="Q65" s="9" t="s">
        <v>43</v>
      </c>
      <c r="R65" s="9" t="s">
        <v>30</v>
      </c>
    </row>
    <row r="66" spans="2:18" ht="12.75" hidden="1" customHeight="1" thickBot="1">
      <c r="B66" s="6"/>
      <c r="C66" s="12" t="s">
        <v>96</v>
      </c>
      <c r="D66" s="12" t="s">
        <v>18</v>
      </c>
      <c r="E66" s="12" t="s">
        <v>19</v>
      </c>
      <c r="F66" s="12">
        <v>3</v>
      </c>
      <c r="G66" s="12" t="s">
        <v>20</v>
      </c>
      <c r="H66" s="12" t="s">
        <v>46</v>
      </c>
      <c r="I66" s="13">
        <v>45195.427754629629</v>
      </c>
      <c r="J66" s="12" t="s">
        <v>22</v>
      </c>
      <c r="K66" s="12"/>
      <c r="L66" s="12"/>
      <c r="M66" s="4" t="s">
        <v>23</v>
      </c>
      <c r="N66" s="12" t="str">
        <f t="shared" si="2"/>
        <v>057 - 04175032</v>
      </c>
      <c r="O66" s="9" t="s">
        <v>29</v>
      </c>
      <c r="P66" s="9" t="s">
        <v>25</v>
      </c>
      <c r="Q66" s="9" t="s">
        <v>43</v>
      </c>
      <c r="R66" s="9" t="s">
        <v>30</v>
      </c>
    </row>
    <row r="67" spans="2:18" ht="12.75" hidden="1" customHeight="1" thickBot="1">
      <c r="B67" s="5"/>
      <c r="C67" s="12" t="s">
        <v>70</v>
      </c>
      <c r="D67" s="12" t="s">
        <v>18</v>
      </c>
      <c r="E67" s="12" t="s">
        <v>19</v>
      </c>
      <c r="F67" s="12">
        <v>3</v>
      </c>
      <c r="G67" s="12" t="s">
        <v>20</v>
      </c>
      <c r="H67" s="12" t="s">
        <v>33</v>
      </c>
      <c r="I67" s="13">
        <v>45195.42769675926</v>
      </c>
      <c r="J67" s="12" t="s">
        <v>22</v>
      </c>
      <c r="K67" s="12"/>
      <c r="L67" s="12"/>
      <c r="M67" s="4" t="s">
        <v>23</v>
      </c>
      <c r="N67" s="12" t="str">
        <f t="shared" si="2"/>
        <v>057 - 10720485</v>
      </c>
      <c r="O67" s="9" t="s">
        <v>29</v>
      </c>
      <c r="P67" s="9" t="s">
        <v>25</v>
      </c>
      <c r="Q67" s="9"/>
      <c r="R67" s="9" t="s">
        <v>30</v>
      </c>
    </row>
    <row r="68" spans="2:18" ht="12.75" hidden="1" customHeight="1" thickBot="1">
      <c r="B68" s="6"/>
      <c r="C68" s="12" t="s">
        <v>70</v>
      </c>
      <c r="D68" s="12" t="s">
        <v>18</v>
      </c>
      <c r="E68" s="12" t="s">
        <v>19</v>
      </c>
      <c r="F68" s="12">
        <v>3</v>
      </c>
      <c r="G68" s="12" t="s">
        <v>20</v>
      </c>
      <c r="H68" s="12" t="s">
        <v>33</v>
      </c>
      <c r="I68" s="13">
        <v>45195.42763888889</v>
      </c>
      <c r="J68" s="12" t="s">
        <v>22</v>
      </c>
      <c r="K68" s="12"/>
      <c r="L68" s="12"/>
      <c r="M68" s="4" t="s">
        <v>23</v>
      </c>
      <c r="N68" s="12" t="str">
        <f t="shared" si="2"/>
        <v>057 - 10720485</v>
      </c>
      <c r="O68" s="9" t="s">
        <v>29</v>
      </c>
      <c r="P68" s="9" t="s">
        <v>25</v>
      </c>
      <c r="Q68" s="9"/>
      <c r="R68" s="9" t="s">
        <v>30</v>
      </c>
    </row>
    <row r="69" spans="2:18" ht="12.75" hidden="1" customHeight="1" thickBot="1">
      <c r="B69" s="5"/>
      <c r="C69" s="12" t="s">
        <v>97</v>
      </c>
      <c r="D69" s="12" t="s">
        <v>18</v>
      </c>
      <c r="E69" s="12" t="s">
        <v>19</v>
      </c>
      <c r="F69" s="12">
        <v>3</v>
      </c>
      <c r="G69" s="12" t="s">
        <v>20</v>
      </c>
      <c r="H69" s="12" t="s">
        <v>33</v>
      </c>
      <c r="I69" s="13">
        <v>45195.427581018521</v>
      </c>
      <c r="J69" s="12" t="s">
        <v>22</v>
      </c>
      <c r="K69" s="12"/>
      <c r="L69" s="12"/>
      <c r="M69" s="4" t="s">
        <v>23</v>
      </c>
      <c r="N69" s="12" t="str">
        <f t="shared" si="2"/>
        <v>057 - 48148424</v>
      </c>
      <c r="O69" s="9" t="s">
        <v>29</v>
      </c>
      <c r="P69" s="9" t="s">
        <v>25</v>
      </c>
      <c r="Q69" s="9"/>
      <c r="R69" s="9" t="s">
        <v>30</v>
      </c>
    </row>
    <row r="70" spans="2:18" ht="12.75" hidden="1" customHeight="1" thickBot="1">
      <c r="B70" s="6"/>
      <c r="C70" s="12" t="s">
        <v>98</v>
      </c>
      <c r="D70" s="12" t="s">
        <v>18</v>
      </c>
      <c r="E70" s="12" t="s">
        <v>19</v>
      </c>
      <c r="F70" s="12">
        <v>3</v>
      </c>
      <c r="G70" s="12" t="s">
        <v>20</v>
      </c>
      <c r="H70" s="12" t="s">
        <v>33</v>
      </c>
      <c r="I70" s="13">
        <v>45195.427523148152</v>
      </c>
      <c r="J70" s="12" t="s">
        <v>22</v>
      </c>
      <c r="K70" s="12"/>
      <c r="L70" s="12"/>
      <c r="M70" s="4" t="s">
        <v>23</v>
      </c>
      <c r="N70" s="12" t="str">
        <f t="shared" si="2"/>
        <v>057 - 12888282</v>
      </c>
      <c r="O70" s="9" t="s">
        <v>29</v>
      </c>
      <c r="P70" s="9" t="s">
        <v>25</v>
      </c>
      <c r="Q70" s="9"/>
      <c r="R70" s="9" t="s">
        <v>30</v>
      </c>
    </row>
    <row r="71" spans="2:18" ht="12.75" hidden="1" customHeight="1" thickBot="1">
      <c r="B71" s="5"/>
      <c r="C71" s="12" t="s">
        <v>70</v>
      </c>
      <c r="D71" s="12" t="s">
        <v>18</v>
      </c>
      <c r="E71" s="12" t="s">
        <v>19</v>
      </c>
      <c r="F71" s="12">
        <v>3</v>
      </c>
      <c r="G71" s="12" t="s">
        <v>20</v>
      </c>
      <c r="H71" s="12" t="s">
        <v>33</v>
      </c>
      <c r="I71" s="13">
        <v>45195.427372685182</v>
      </c>
      <c r="J71" s="12" t="s">
        <v>22</v>
      </c>
      <c r="K71" s="12"/>
      <c r="L71" s="12"/>
      <c r="M71" s="4" t="s">
        <v>23</v>
      </c>
      <c r="N71" s="12" t="str">
        <f t="shared" si="2"/>
        <v>057 - 10720485</v>
      </c>
      <c r="O71" s="9" t="s">
        <v>29</v>
      </c>
      <c r="P71" s="9" t="s">
        <v>25</v>
      </c>
      <c r="Q71" s="9"/>
      <c r="R71" s="9" t="s">
        <v>30</v>
      </c>
    </row>
    <row r="72" spans="2:18" ht="12.75" hidden="1" customHeight="1" thickBot="1">
      <c r="B72" s="6"/>
      <c r="C72" s="12" t="s">
        <v>70</v>
      </c>
      <c r="D72" s="12" t="s">
        <v>18</v>
      </c>
      <c r="E72" s="12" t="s">
        <v>19</v>
      </c>
      <c r="F72" s="12">
        <v>3</v>
      </c>
      <c r="G72" s="12" t="s">
        <v>20</v>
      </c>
      <c r="H72" s="12" t="s">
        <v>33</v>
      </c>
      <c r="I72" s="13">
        <v>45195.42728009259</v>
      </c>
      <c r="J72" s="12" t="s">
        <v>22</v>
      </c>
      <c r="K72" s="12"/>
      <c r="L72" s="12"/>
      <c r="M72" s="4" t="s">
        <v>23</v>
      </c>
      <c r="N72" s="12" t="str">
        <f t="shared" si="2"/>
        <v>057 - 10720485</v>
      </c>
      <c r="O72" s="9" t="s">
        <v>29</v>
      </c>
      <c r="P72" s="9" t="s">
        <v>25</v>
      </c>
      <c r="Q72" s="9"/>
      <c r="R72" s="9" t="s">
        <v>30</v>
      </c>
    </row>
    <row r="73" spans="2:18" ht="12.75" hidden="1" customHeight="1" thickBot="1">
      <c r="B73" s="5"/>
      <c r="C73" s="12" t="s">
        <v>98</v>
      </c>
      <c r="D73" s="12" t="s">
        <v>18</v>
      </c>
      <c r="E73" s="12" t="s">
        <v>19</v>
      </c>
      <c r="F73" s="12">
        <v>3</v>
      </c>
      <c r="G73" s="12" t="s">
        <v>20</v>
      </c>
      <c r="H73" s="12" t="s">
        <v>33</v>
      </c>
      <c r="I73" s="13">
        <v>45195.427233796298</v>
      </c>
      <c r="J73" s="12" t="s">
        <v>22</v>
      </c>
      <c r="K73" s="12"/>
      <c r="L73" s="12"/>
      <c r="M73" s="4" t="s">
        <v>23</v>
      </c>
      <c r="N73" s="12" t="str">
        <f t="shared" si="2"/>
        <v>057 - 12888282</v>
      </c>
      <c r="O73" s="9" t="s">
        <v>29</v>
      </c>
      <c r="P73" s="9" t="s">
        <v>25</v>
      </c>
      <c r="Q73" s="9"/>
      <c r="R73" s="9" t="s">
        <v>30</v>
      </c>
    </row>
    <row r="74" spans="2:18" ht="12.75" hidden="1" customHeight="1" thickBot="1">
      <c r="B74" s="6"/>
      <c r="C74" s="12" t="s">
        <v>99</v>
      </c>
      <c r="D74" s="12" t="s">
        <v>18</v>
      </c>
      <c r="E74" s="12" t="s">
        <v>19</v>
      </c>
      <c r="F74" s="12">
        <v>3</v>
      </c>
      <c r="G74" s="12" t="s">
        <v>20</v>
      </c>
      <c r="H74" s="12" t="s">
        <v>33</v>
      </c>
      <c r="I74" s="13">
        <v>45195.427164351851</v>
      </c>
      <c r="J74" s="12" t="s">
        <v>22</v>
      </c>
      <c r="K74" s="12"/>
      <c r="L74" s="12"/>
      <c r="M74" s="4" t="s">
        <v>23</v>
      </c>
      <c r="N74" s="12" t="str">
        <f t="shared" si="2"/>
        <v>057 - 04245441</v>
      </c>
      <c r="O74" s="9" t="s">
        <v>29</v>
      </c>
      <c r="P74" s="9" t="s">
        <v>25</v>
      </c>
      <c r="Q74" s="9"/>
      <c r="R74" s="9" t="s">
        <v>30</v>
      </c>
    </row>
    <row r="75" spans="2:18" ht="12.75" hidden="1" customHeight="1" thickBot="1">
      <c r="B75" s="5"/>
      <c r="C75" s="12" t="s">
        <v>98</v>
      </c>
      <c r="D75" s="12" t="s">
        <v>18</v>
      </c>
      <c r="E75" s="12" t="s">
        <v>19</v>
      </c>
      <c r="F75" s="12">
        <v>3</v>
      </c>
      <c r="G75" s="12" t="s">
        <v>20</v>
      </c>
      <c r="H75" s="12" t="s">
        <v>33</v>
      </c>
      <c r="I75" s="13">
        <v>45195.427129629628</v>
      </c>
      <c r="J75" s="12" t="s">
        <v>22</v>
      </c>
      <c r="K75" s="12"/>
      <c r="L75" s="12"/>
      <c r="M75" s="4" t="s">
        <v>23</v>
      </c>
      <c r="N75" s="12" t="str">
        <f t="shared" si="2"/>
        <v>057 - 12888282</v>
      </c>
      <c r="O75" s="9" t="s">
        <v>29</v>
      </c>
      <c r="P75" s="9" t="s">
        <v>25</v>
      </c>
      <c r="Q75" s="9"/>
      <c r="R75" s="9" t="s">
        <v>30</v>
      </c>
    </row>
    <row r="76" spans="2:18" ht="12.75" hidden="1" customHeight="1" thickBot="1">
      <c r="B76" s="7"/>
      <c r="C76" s="12" t="s">
        <v>98</v>
      </c>
      <c r="D76" s="12" t="s">
        <v>18</v>
      </c>
      <c r="E76" s="12" t="s">
        <v>19</v>
      </c>
      <c r="F76" s="12">
        <v>3</v>
      </c>
      <c r="G76" s="12" t="s">
        <v>20</v>
      </c>
      <c r="H76" s="12" t="s">
        <v>33</v>
      </c>
      <c r="I76" s="13">
        <v>45195.427083333336</v>
      </c>
      <c r="J76" s="12" t="s">
        <v>22</v>
      </c>
      <c r="K76" s="12"/>
      <c r="L76" s="12"/>
      <c r="M76" s="4" t="s">
        <v>23</v>
      </c>
      <c r="N76" s="12" t="str">
        <f t="shared" si="2"/>
        <v>057 - 12888282</v>
      </c>
      <c r="O76" s="9" t="s">
        <v>29</v>
      </c>
      <c r="P76" s="9" t="s">
        <v>25</v>
      </c>
      <c r="Q76" s="9"/>
      <c r="R76" s="9" t="s">
        <v>30</v>
      </c>
    </row>
    <row r="77" spans="2:18" ht="12.75" hidden="1" customHeight="1">
      <c r="C77" s="12" t="s">
        <v>70</v>
      </c>
      <c r="D77" s="12" t="s">
        <v>18</v>
      </c>
      <c r="E77" s="12" t="s">
        <v>19</v>
      </c>
      <c r="F77" s="12">
        <v>3</v>
      </c>
      <c r="G77" s="12" t="s">
        <v>20</v>
      </c>
      <c r="H77" s="12" t="s">
        <v>33</v>
      </c>
      <c r="I77" s="13">
        <v>45195.427025462966</v>
      </c>
      <c r="J77" s="12" t="s">
        <v>22</v>
      </c>
      <c r="K77" s="12"/>
      <c r="L77" s="12"/>
      <c r="M77" s="4" t="s">
        <v>23</v>
      </c>
      <c r="N77" s="12" t="str">
        <f>LEFT(C77,14)</f>
        <v>057 - 10720485</v>
      </c>
      <c r="O77" s="9" t="s">
        <v>29</v>
      </c>
      <c r="P77" s="9" t="s">
        <v>25</v>
      </c>
      <c r="Q77" s="9"/>
      <c r="R77" s="9" t="s">
        <v>30</v>
      </c>
    </row>
    <row r="78" spans="2:18" ht="12.75" hidden="1" customHeight="1" thickBot="1">
      <c r="B78" s="5"/>
      <c r="C78" s="12" t="s">
        <v>70</v>
      </c>
      <c r="D78" s="12" t="s">
        <v>18</v>
      </c>
      <c r="E78" s="12" t="s">
        <v>19</v>
      </c>
      <c r="F78" s="12">
        <v>3</v>
      </c>
      <c r="G78" s="12" t="s">
        <v>20</v>
      </c>
      <c r="H78" s="12" t="s">
        <v>33</v>
      </c>
      <c r="I78" s="13">
        <v>45195.426979166667</v>
      </c>
      <c r="J78" s="12" t="s">
        <v>22</v>
      </c>
      <c r="K78" s="12"/>
      <c r="L78" s="12"/>
      <c r="M78" s="4" t="s">
        <v>23</v>
      </c>
      <c r="N78" s="12" t="str">
        <f t="shared" ref="N78:N101" si="3">LEFT(C78,14)</f>
        <v>057 - 10720485</v>
      </c>
      <c r="O78" s="9" t="s">
        <v>29</v>
      </c>
      <c r="P78" s="9" t="s">
        <v>25</v>
      </c>
      <c r="Q78" s="9"/>
      <c r="R78" s="9" t="s">
        <v>30</v>
      </c>
    </row>
    <row r="79" spans="2:18" ht="12.75" hidden="1" customHeight="1" thickBot="1">
      <c r="B79" s="6"/>
      <c r="C79" s="12" t="s">
        <v>92</v>
      </c>
      <c r="D79" s="12" t="s">
        <v>18</v>
      </c>
      <c r="E79" s="12" t="s">
        <v>19</v>
      </c>
      <c r="F79" s="12">
        <v>3</v>
      </c>
      <c r="G79" s="12" t="s">
        <v>20</v>
      </c>
      <c r="H79" s="12" t="s">
        <v>33</v>
      </c>
      <c r="I79" s="13">
        <v>45195.426932870374</v>
      </c>
      <c r="J79" s="12" t="s">
        <v>22</v>
      </c>
      <c r="K79" s="12"/>
      <c r="L79" s="12"/>
      <c r="M79" s="4" t="s">
        <v>23</v>
      </c>
      <c r="N79" s="12" t="str">
        <f t="shared" si="3"/>
        <v>057 - 45853231</v>
      </c>
      <c r="O79" s="9" t="s">
        <v>29</v>
      </c>
      <c r="P79" s="9" t="s">
        <v>25</v>
      </c>
      <c r="Q79" s="9"/>
      <c r="R79" s="9" t="s">
        <v>30</v>
      </c>
    </row>
    <row r="80" spans="2:18" ht="12.75" hidden="1" customHeight="1" thickBot="1">
      <c r="B80" s="5"/>
      <c r="C80" s="12" t="s">
        <v>92</v>
      </c>
      <c r="D80" s="12" t="s">
        <v>18</v>
      </c>
      <c r="E80" s="12" t="s">
        <v>19</v>
      </c>
      <c r="F80" s="12">
        <v>3</v>
      </c>
      <c r="G80" s="12" t="s">
        <v>20</v>
      </c>
      <c r="H80" s="12" t="s">
        <v>33</v>
      </c>
      <c r="I80" s="13">
        <v>45195.426874999997</v>
      </c>
      <c r="J80" s="12" t="s">
        <v>22</v>
      </c>
      <c r="K80" s="12"/>
      <c r="L80" s="12"/>
      <c r="M80" s="4" t="s">
        <v>23</v>
      </c>
      <c r="N80" s="12" t="str">
        <f t="shared" si="3"/>
        <v>057 - 45853231</v>
      </c>
      <c r="O80" s="9" t="s">
        <v>29</v>
      </c>
      <c r="P80" s="9" t="s">
        <v>25</v>
      </c>
      <c r="Q80" s="9"/>
      <c r="R80" s="9" t="s">
        <v>30</v>
      </c>
    </row>
    <row r="81" spans="2:18" ht="12.75" hidden="1" customHeight="1" thickBot="1">
      <c r="B81" s="6"/>
      <c r="C81" s="12" t="s">
        <v>92</v>
      </c>
      <c r="D81" s="12" t="s">
        <v>18</v>
      </c>
      <c r="E81" s="12" t="s">
        <v>19</v>
      </c>
      <c r="F81" s="12">
        <v>3</v>
      </c>
      <c r="G81" s="12" t="s">
        <v>20</v>
      </c>
      <c r="H81" s="12" t="s">
        <v>33</v>
      </c>
      <c r="I81" s="13">
        <v>45195.426828703705</v>
      </c>
      <c r="J81" s="12" t="s">
        <v>22</v>
      </c>
      <c r="K81" s="12"/>
      <c r="L81" s="12"/>
      <c r="M81" s="4" t="s">
        <v>23</v>
      </c>
      <c r="N81" s="12" t="str">
        <f t="shared" si="3"/>
        <v>057 - 45853231</v>
      </c>
      <c r="O81" s="9" t="s">
        <v>29</v>
      </c>
      <c r="P81" s="9" t="s">
        <v>25</v>
      </c>
      <c r="Q81" s="9"/>
      <c r="R81" s="9" t="s">
        <v>30</v>
      </c>
    </row>
    <row r="82" spans="2:18" ht="12.75" hidden="1" customHeight="1" thickBot="1">
      <c r="B82" s="5"/>
      <c r="C82" s="12" t="s">
        <v>97</v>
      </c>
      <c r="D82" s="12" t="s">
        <v>18</v>
      </c>
      <c r="E82" s="12" t="s">
        <v>19</v>
      </c>
      <c r="F82" s="12">
        <v>3</v>
      </c>
      <c r="G82" s="12" t="s">
        <v>20</v>
      </c>
      <c r="H82" s="12" t="s">
        <v>33</v>
      </c>
      <c r="I82" s="13">
        <v>45195.426770833335</v>
      </c>
      <c r="J82" s="12" t="s">
        <v>22</v>
      </c>
      <c r="K82" s="12"/>
      <c r="L82" s="12"/>
      <c r="M82" s="4" t="s">
        <v>23</v>
      </c>
      <c r="N82" s="12" t="str">
        <f t="shared" si="3"/>
        <v>057 - 48148424</v>
      </c>
      <c r="O82" s="9" t="s">
        <v>29</v>
      </c>
      <c r="P82" s="9" t="s">
        <v>25</v>
      </c>
      <c r="Q82" s="9"/>
      <c r="R82" s="9" t="s">
        <v>30</v>
      </c>
    </row>
    <row r="83" spans="2:18" ht="12.75" hidden="1" customHeight="1" thickBot="1">
      <c r="B83" s="6"/>
      <c r="C83" s="12" t="s">
        <v>72</v>
      </c>
      <c r="D83" s="12" t="s">
        <v>18</v>
      </c>
      <c r="E83" s="12" t="s">
        <v>19</v>
      </c>
      <c r="F83" s="12">
        <v>3</v>
      </c>
      <c r="G83" s="12" t="s">
        <v>20</v>
      </c>
      <c r="H83" s="12" t="s">
        <v>33</v>
      </c>
      <c r="I83" s="13">
        <v>45195.426712962966</v>
      </c>
      <c r="J83" s="12" t="s">
        <v>22</v>
      </c>
      <c r="K83" s="12"/>
      <c r="L83" s="12"/>
      <c r="M83" s="4" t="s">
        <v>23</v>
      </c>
      <c r="N83" s="12" t="str">
        <f t="shared" si="3"/>
        <v>057 - 48110834</v>
      </c>
      <c r="O83" s="9" t="s">
        <v>29</v>
      </c>
      <c r="P83" s="9" t="s">
        <v>25</v>
      </c>
      <c r="Q83" s="9"/>
      <c r="R83" s="9" t="s">
        <v>30</v>
      </c>
    </row>
    <row r="84" spans="2:18" ht="12.75" hidden="1" customHeight="1" thickBot="1">
      <c r="B84" s="5"/>
      <c r="C84" s="12" t="s">
        <v>97</v>
      </c>
      <c r="D84" s="12" t="s">
        <v>18</v>
      </c>
      <c r="E84" s="12" t="s">
        <v>19</v>
      </c>
      <c r="F84" s="12">
        <v>3</v>
      </c>
      <c r="G84" s="12" t="s">
        <v>20</v>
      </c>
      <c r="H84" s="12" t="s">
        <v>33</v>
      </c>
      <c r="I84" s="13">
        <v>45195.426655092589</v>
      </c>
      <c r="J84" s="12" t="s">
        <v>22</v>
      </c>
      <c r="K84" s="12"/>
      <c r="L84" s="12"/>
      <c r="M84" s="4" t="s">
        <v>23</v>
      </c>
      <c r="N84" s="12" t="str">
        <f t="shared" si="3"/>
        <v>057 - 48148424</v>
      </c>
      <c r="O84" s="9" t="s">
        <v>29</v>
      </c>
      <c r="P84" s="9" t="s">
        <v>25</v>
      </c>
      <c r="Q84" s="9"/>
      <c r="R84" s="9" t="s">
        <v>30</v>
      </c>
    </row>
    <row r="85" spans="2:18" ht="12.75" hidden="1" customHeight="1" thickBot="1">
      <c r="B85" s="6"/>
      <c r="C85" s="12" t="s">
        <v>72</v>
      </c>
      <c r="D85" s="12" t="s">
        <v>18</v>
      </c>
      <c r="E85" s="12" t="s">
        <v>19</v>
      </c>
      <c r="F85" s="12">
        <v>3</v>
      </c>
      <c r="G85" s="12" t="s">
        <v>20</v>
      </c>
      <c r="H85" s="12" t="s">
        <v>33</v>
      </c>
      <c r="I85" s="13">
        <v>45195.426608796297</v>
      </c>
      <c r="J85" s="12" t="s">
        <v>22</v>
      </c>
      <c r="K85" s="12"/>
      <c r="L85" s="12"/>
      <c r="M85" s="4" t="s">
        <v>23</v>
      </c>
      <c r="N85" s="12" t="str">
        <f t="shared" si="3"/>
        <v>057 - 48110834</v>
      </c>
      <c r="O85" s="9" t="s">
        <v>29</v>
      </c>
      <c r="P85" s="9" t="s">
        <v>25</v>
      </c>
      <c r="Q85" s="9"/>
      <c r="R85" s="9" t="s">
        <v>30</v>
      </c>
    </row>
    <row r="86" spans="2:18" ht="12.75" hidden="1" customHeight="1" thickBot="1">
      <c r="B86" s="5"/>
      <c r="C86" s="12" t="s">
        <v>72</v>
      </c>
      <c r="D86" s="12" t="s">
        <v>18</v>
      </c>
      <c r="E86" s="12" t="s">
        <v>19</v>
      </c>
      <c r="F86" s="12">
        <v>3</v>
      </c>
      <c r="G86" s="12" t="s">
        <v>20</v>
      </c>
      <c r="H86" s="12" t="s">
        <v>33</v>
      </c>
      <c r="I86" s="13">
        <v>45195.426562499997</v>
      </c>
      <c r="J86" s="12" t="s">
        <v>22</v>
      </c>
      <c r="K86" s="12"/>
      <c r="L86" s="12"/>
      <c r="M86" s="4" t="s">
        <v>23</v>
      </c>
      <c r="N86" s="12" t="str">
        <f t="shared" si="3"/>
        <v>057 - 48110834</v>
      </c>
      <c r="O86" s="9" t="s">
        <v>29</v>
      </c>
      <c r="P86" s="9" t="s">
        <v>25</v>
      </c>
      <c r="Q86" s="9"/>
      <c r="R86" s="9" t="s">
        <v>30</v>
      </c>
    </row>
    <row r="87" spans="2:18" ht="12.75" hidden="1" customHeight="1" thickBot="1">
      <c r="B87" s="6"/>
      <c r="C87" s="12" t="s">
        <v>72</v>
      </c>
      <c r="D87" s="12" t="s">
        <v>18</v>
      </c>
      <c r="E87" s="12" t="s">
        <v>19</v>
      </c>
      <c r="F87" s="12">
        <v>3</v>
      </c>
      <c r="G87" s="12" t="s">
        <v>20</v>
      </c>
      <c r="H87" s="12" t="s">
        <v>33</v>
      </c>
      <c r="I87" s="13">
        <v>45195.426504629628</v>
      </c>
      <c r="J87" s="12" t="s">
        <v>22</v>
      </c>
      <c r="K87" s="12"/>
      <c r="L87" s="12"/>
      <c r="M87" s="4" t="s">
        <v>23</v>
      </c>
      <c r="N87" s="12" t="str">
        <f t="shared" si="3"/>
        <v>057 - 48110834</v>
      </c>
      <c r="O87" s="9" t="s">
        <v>29</v>
      </c>
      <c r="P87" s="9" t="s">
        <v>25</v>
      </c>
      <c r="Q87" s="9"/>
      <c r="R87" s="9" t="s">
        <v>30</v>
      </c>
    </row>
    <row r="88" spans="2:18" ht="12.75" hidden="1" customHeight="1" thickBot="1">
      <c r="B88" s="5"/>
      <c r="C88" s="12" t="s">
        <v>72</v>
      </c>
      <c r="D88" s="12" t="s">
        <v>18</v>
      </c>
      <c r="E88" s="12" t="s">
        <v>19</v>
      </c>
      <c r="F88" s="12">
        <v>3</v>
      </c>
      <c r="G88" s="12" t="s">
        <v>20</v>
      </c>
      <c r="H88" s="12" t="s">
        <v>33</v>
      </c>
      <c r="I88" s="13">
        <v>45195.426446759258</v>
      </c>
      <c r="J88" s="12" t="s">
        <v>22</v>
      </c>
      <c r="K88" s="12"/>
      <c r="L88" s="12"/>
      <c r="M88" s="4" t="s">
        <v>23</v>
      </c>
      <c r="N88" s="12" t="str">
        <f t="shared" si="3"/>
        <v>057 - 48110834</v>
      </c>
      <c r="O88" s="9" t="s">
        <v>29</v>
      </c>
      <c r="P88" s="9" t="s">
        <v>25</v>
      </c>
      <c r="Q88" s="9"/>
      <c r="R88" s="9" t="s">
        <v>30</v>
      </c>
    </row>
    <row r="89" spans="2:18" ht="12.75" hidden="1" customHeight="1" thickBot="1">
      <c r="B89" s="6"/>
      <c r="C89" s="12" t="s">
        <v>72</v>
      </c>
      <c r="D89" s="12" t="s">
        <v>18</v>
      </c>
      <c r="E89" s="12" t="s">
        <v>19</v>
      </c>
      <c r="F89" s="12">
        <v>3</v>
      </c>
      <c r="G89" s="12" t="s">
        <v>20</v>
      </c>
      <c r="H89" s="12" t="s">
        <v>33</v>
      </c>
      <c r="I89" s="13">
        <v>45195.426388888889</v>
      </c>
      <c r="J89" s="12" t="s">
        <v>22</v>
      </c>
      <c r="K89" s="12"/>
      <c r="L89" s="12"/>
      <c r="M89" s="4" t="s">
        <v>23</v>
      </c>
      <c r="N89" s="12" t="str">
        <f t="shared" si="3"/>
        <v>057 - 48110834</v>
      </c>
      <c r="O89" s="9" t="s">
        <v>29</v>
      </c>
      <c r="P89" s="9" t="s">
        <v>25</v>
      </c>
      <c r="Q89" s="9"/>
      <c r="R89" s="9" t="s">
        <v>30</v>
      </c>
    </row>
    <row r="90" spans="2:18" ht="12.75" hidden="1" customHeight="1" thickBot="1">
      <c r="B90" s="5"/>
      <c r="C90" s="12" t="s">
        <v>70</v>
      </c>
      <c r="D90" s="12" t="s">
        <v>18</v>
      </c>
      <c r="E90" s="12" t="s">
        <v>19</v>
      </c>
      <c r="F90" s="12">
        <v>3</v>
      </c>
      <c r="G90" s="12" t="s">
        <v>20</v>
      </c>
      <c r="H90" s="12" t="s">
        <v>33</v>
      </c>
      <c r="I90" s="13">
        <v>45195.426319444443</v>
      </c>
      <c r="J90" s="12" t="s">
        <v>22</v>
      </c>
      <c r="K90" s="12"/>
      <c r="L90" s="12"/>
      <c r="M90" s="4" t="s">
        <v>23</v>
      </c>
      <c r="N90" s="12" t="str">
        <f t="shared" si="3"/>
        <v>057 - 10720485</v>
      </c>
      <c r="O90" s="9" t="s">
        <v>29</v>
      </c>
      <c r="P90" s="9" t="s">
        <v>25</v>
      </c>
      <c r="Q90" s="9"/>
      <c r="R90" s="9" t="s">
        <v>30</v>
      </c>
    </row>
    <row r="91" spans="2:18" ht="12.75" hidden="1" customHeight="1" thickBot="1">
      <c r="B91" s="6"/>
      <c r="C91" s="12" t="s">
        <v>100</v>
      </c>
      <c r="D91" s="12" t="s">
        <v>18</v>
      </c>
      <c r="E91" s="12" t="s">
        <v>19</v>
      </c>
      <c r="F91" s="12">
        <v>3</v>
      </c>
      <c r="G91" s="12" t="s">
        <v>20</v>
      </c>
      <c r="H91" s="12" t="s">
        <v>33</v>
      </c>
      <c r="I91" s="13">
        <v>45195.426249999997</v>
      </c>
      <c r="J91" s="12" t="s">
        <v>22</v>
      </c>
      <c r="K91" s="12"/>
      <c r="L91" s="12"/>
      <c r="M91" s="4" t="s">
        <v>23</v>
      </c>
      <c r="N91" s="12" t="str">
        <f t="shared" si="3"/>
        <v>057 - 04184246</v>
      </c>
      <c r="O91" s="9" t="s">
        <v>29</v>
      </c>
      <c r="P91" s="9" t="s">
        <v>25</v>
      </c>
      <c r="Q91" s="9"/>
      <c r="R91" s="9" t="s">
        <v>30</v>
      </c>
    </row>
    <row r="92" spans="2:18" ht="12.75" hidden="1" customHeight="1" thickBot="1">
      <c r="B92" s="5"/>
      <c r="C92" s="12" t="s">
        <v>75</v>
      </c>
      <c r="D92" s="12" t="s">
        <v>18</v>
      </c>
      <c r="E92" s="12" t="s">
        <v>19</v>
      </c>
      <c r="F92" s="12">
        <v>3</v>
      </c>
      <c r="G92" s="12" t="s">
        <v>20</v>
      </c>
      <c r="H92" s="12" t="s">
        <v>33</v>
      </c>
      <c r="I92" s="13">
        <v>45195.426203703704</v>
      </c>
      <c r="J92" s="12" t="s">
        <v>22</v>
      </c>
      <c r="K92" s="12"/>
      <c r="L92" s="12"/>
      <c r="M92" s="4" t="s">
        <v>23</v>
      </c>
      <c r="N92" s="12" t="str">
        <f t="shared" si="3"/>
        <v>057 - 48313882</v>
      </c>
      <c r="O92" s="9" t="s">
        <v>101</v>
      </c>
      <c r="P92" s="9" t="s">
        <v>25</v>
      </c>
      <c r="Q92" s="9" t="s">
        <v>81</v>
      </c>
      <c r="R92" s="9"/>
    </row>
    <row r="93" spans="2:18" ht="12.75" hidden="1" customHeight="1" thickBot="1">
      <c r="B93" s="6"/>
      <c r="C93" s="12" t="s">
        <v>100</v>
      </c>
      <c r="D93" s="12" t="s">
        <v>18</v>
      </c>
      <c r="E93" s="12" t="s">
        <v>19</v>
      </c>
      <c r="F93" s="12">
        <v>3</v>
      </c>
      <c r="G93" s="12" t="s">
        <v>20</v>
      </c>
      <c r="H93" s="12" t="s">
        <v>33</v>
      </c>
      <c r="I93" s="13">
        <v>45195.426122685189</v>
      </c>
      <c r="J93" s="12" t="s">
        <v>22</v>
      </c>
      <c r="K93" s="12"/>
      <c r="L93" s="12"/>
      <c r="M93" s="4" t="s">
        <v>23</v>
      </c>
      <c r="N93" s="12" t="str">
        <f t="shared" si="3"/>
        <v>057 - 04184246</v>
      </c>
      <c r="O93" s="9" t="s">
        <v>29</v>
      </c>
      <c r="P93" s="9" t="s">
        <v>25</v>
      </c>
      <c r="Q93" s="9"/>
      <c r="R93" s="9" t="s">
        <v>30</v>
      </c>
    </row>
    <row r="94" spans="2:18" ht="12.75" hidden="1" customHeight="1" thickBot="1">
      <c r="B94" s="5"/>
      <c r="C94" s="12" t="s">
        <v>77</v>
      </c>
      <c r="D94" s="12" t="s">
        <v>18</v>
      </c>
      <c r="E94" s="12" t="s">
        <v>19</v>
      </c>
      <c r="F94" s="12">
        <v>3</v>
      </c>
      <c r="G94" s="12" t="s">
        <v>20</v>
      </c>
      <c r="H94" s="12" t="s">
        <v>33</v>
      </c>
      <c r="I94" s="13">
        <v>45195.426087962966</v>
      </c>
      <c r="J94" s="12" t="s">
        <v>22</v>
      </c>
      <c r="K94" s="12"/>
      <c r="L94" s="12"/>
      <c r="M94" s="4" t="s">
        <v>23</v>
      </c>
      <c r="N94" s="12" t="str">
        <f t="shared" si="3"/>
        <v>057 - 48313893</v>
      </c>
      <c r="O94" s="9" t="s">
        <v>29</v>
      </c>
      <c r="P94" s="9" t="s">
        <v>25</v>
      </c>
      <c r="Q94" s="9"/>
      <c r="R94" s="9" t="s">
        <v>30</v>
      </c>
    </row>
    <row r="95" spans="2:18" ht="12.75" hidden="1" customHeight="1" thickBot="1">
      <c r="B95" s="6"/>
      <c r="C95" s="12" t="s">
        <v>100</v>
      </c>
      <c r="D95" s="12" t="s">
        <v>18</v>
      </c>
      <c r="E95" s="12" t="s">
        <v>19</v>
      </c>
      <c r="F95" s="12">
        <v>3</v>
      </c>
      <c r="G95" s="12" t="s">
        <v>20</v>
      </c>
      <c r="H95" s="12" t="s">
        <v>33</v>
      </c>
      <c r="I95" s="13">
        <v>45195.426030092596</v>
      </c>
      <c r="J95" s="12" t="s">
        <v>22</v>
      </c>
      <c r="K95" s="12"/>
      <c r="L95" s="12"/>
      <c r="M95" s="4" t="s">
        <v>23</v>
      </c>
      <c r="N95" s="12" t="str">
        <f t="shared" si="3"/>
        <v>057 - 04184246</v>
      </c>
      <c r="O95" s="9" t="s">
        <v>29</v>
      </c>
      <c r="P95" s="9" t="s">
        <v>25</v>
      </c>
      <c r="Q95" s="9"/>
      <c r="R95" s="9" t="s">
        <v>30</v>
      </c>
    </row>
    <row r="96" spans="2:18" ht="12.75" hidden="1" customHeight="1" thickBot="1">
      <c r="B96" s="5"/>
      <c r="C96" s="12" t="s">
        <v>78</v>
      </c>
      <c r="D96" s="12" t="s">
        <v>18</v>
      </c>
      <c r="E96" s="12" t="s">
        <v>19</v>
      </c>
      <c r="F96" s="12">
        <v>3</v>
      </c>
      <c r="G96" s="12" t="s">
        <v>20</v>
      </c>
      <c r="H96" s="12" t="s">
        <v>33</v>
      </c>
      <c r="I96" s="13">
        <v>45195.425983796296</v>
      </c>
      <c r="J96" s="12" t="s">
        <v>22</v>
      </c>
      <c r="K96" s="12"/>
      <c r="L96" s="12"/>
      <c r="M96" s="4" t="s">
        <v>23</v>
      </c>
      <c r="N96" s="12" t="str">
        <f t="shared" si="3"/>
        <v>057 - 48313871</v>
      </c>
      <c r="O96" s="9" t="s">
        <v>29</v>
      </c>
      <c r="P96" s="9" t="s">
        <v>25</v>
      </c>
      <c r="Q96" s="9"/>
      <c r="R96" s="9" t="s">
        <v>30</v>
      </c>
    </row>
    <row r="97" spans="2:18" ht="12.75" hidden="1" customHeight="1" thickBot="1">
      <c r="B97" s="6"/>
      <c r="C97" s="12" t="s">
        <v>78</v>
      </c>
      <c r="D97" s="12" t="s">
        <v>18</v>
      </c>
      <c r="E97" s="12" t="s">
        <v>19</v>
      </c>
      <c r="F97" s="12">
        <v>3</v>
      </c>
      <c r="G97" s="12" t="s">
        <v>20</v>
      </c>
      <c r="H97" s="12" t="s">
        <v>33</v>
      </c>
      <c r="I97" s="13">
        <v>45195.425925925927</v>
      </c>
      <c r="J97" s="12" t="s">
        <v>22</v>
      </c>
      <c r="K97" s="12"/>
      <c r="L97" s="12"/>
      <c r="M97" s="4" t="s">
        <v>23</v>
      </c>
      <c r="N97" s="12" t="str">
        <f t="shared" si="3"/>
        <v>057 - 48313871</v>
      </c>
      <c r="O97" s="9" t="s">
        <v>29</v>
      </c>
      <c r="P97" s="9" t="s">
        <v>25</v>
      </c>
      <c r="Q97" s="9"/>
      <c r="R97" s="9" t="s">
        <v>30</v>
      </c>
    </row>
    <row r="98" spans="2:18" ht="12.75" hidden="1" customHeight="1" thickBot="1">
      <c r="B98" s="7"/>
      <c r="C98" s="12" t="s">
        <v>102</v>
      </c>
      <c r="D98" s="12" t="s">
        <v>18</v>
      </c>
      <c r="E98" s="12" t="s">
        <v>19</v>
      </c>
      <c r="F98" s="12">
        <v>3</v>
      </c>
      <c r="G98" s="12" t="s">
        <v>20</v>
      </c>
      <c r="H98" s="12" t="s">
        <v>33</v>
      </c>
      <c r="I98" s="13">
        <v>45195.425879629627</v>
      </c>
      <c r="J98" s="12" t="s">
        <v>22</v>
      </c>
      <c r="K98" s="12"/>
      <c r="L98" s="12"/>
      <c r="M98" s="4" t="s">
        <v>23</v>
      </c>
      <c r="N98" s="12" t="str">
        <f t="shared" si="3"/>
        <v>057 - 48120973</v>
      </c>
      <c r="O98" s="9" t="s">
        <v>29</v>
      </c>
      <c r="P98" s="9" t="s">
        <v>25</v>
      </c>
      <c r="Q98" s="9"/>
      <c r="R98" s="9" t="s">
        <v>30</v>
      </c>
    </row>
    <row r="99" spans="2:18" ht="12.75" hidden="1" customHeight="1" thickBot="1">
      <c r="B99" s="6"/>
      <c r="C99" s="12" t="s">
        <v>102</v>
      </c>
      <c r="D99" s="12" t="s">
        <v>18</v>
      </c>
      <c r="E99" s="12" t="s">
        <v>19</v>
      </c>
      <c r="F99" s="12">
        <v>3</v>
      </c>
      <c r="G99" s="12" t="s">
        <v>20</v>
      </c>
      <c r="H99" s="12" t="s">
        <v>33</v>
      </c>
      <c r="I99" s="13">
        <v>45195.425833333335</v>
      </c>
      <c r="J99" s="12" t="s">
        <v>22</v>
      </c>
      <c r="K99" s="12"/>
      <c r="L99" s="12"/>
      <c r="M99" s="4" t="s">
        <v>23</v>
      </c>
      <c r="N99" s="12" t="str">
        <f t="shared" si="3"/>
        <v>057 - 48120973</v>
      </c>
      <c r="O99" s="9" t="s">
        <v>29</v>
      </c>
      <c r="P99" s="9" t="s">
        <v>25</v>
      </c>
      <c r="Q99" s="9"/>
      <c r="R99" s="9" t="s">
        <v>30</v>
      </c>
    </row>
    <row r="100" spans="2:18" ht="12.75" hidden="1" customHeight="1" thickBot="1">
      <c r="B100" s="5"/>
      <c r="C100" s="12" t="s">
        <v>103</v>
      </c>
      <c r="D100" s="12" t="s">
        <v>18</v>
      </c>
      <c r="E100" s="12" t="s">
        <v>19</v>
      </c>
      <c r="F100" s="12">
        <v>3</v>
      </c>
      <c r="G100" s="12" t="s">
        <v>20</v>
      </c>
      <c r="H100" s="12" t="s">
        <v>33</v>
      </c>
      <c r="I100" s="13">
        <v>45195.425775462965</v>
      </c>
      <c r="J100" s="12" t="s">
        <v>22</v>
      </c>
      <c r="K100" s="12"/>
      <c r="L100" s="12"/>
      <c r="M100" s="4" t="s">
        <v>23</v>
      </c>
      <c r="N100" s="12" t="str">
        <f t="shared" si="3"/>
        <v>057 - 47708345</v>
      </c>
      <c r="O100" s="9" t="s">
        <v>29</v>
      </c>
      <c r="P100" s="9" t="s">
        <v>25</v>
      </c>
      <c r="Q100" s="9"/>
      <c r="R100" s="9" t="s">
        <v>30</v>
      </c>
    </row>
    <row r="101" spans="2:18" ht="12.75" hidden="1" customHeight="1" thickBot="1">
      <c r="B101" s="6"/>
      <c r="C101" s="12" t="s">
        <v>103</v>
      </c>
      <c r="D101" s="12" t="s">
        <v>18</v>
      </c>
      <c r="E101" s="12" t="s">
        <v>19</v>
      </c>
      <c r="F101" s="12">
        <v>3</v>
      </c>
      <c r="G101" s="12" t="s">
        <v>20</v>
      </c>
      <c r="H101" s="12" t="s">
        <v>33</v>
      </c>
      <c r="I101" s="13">
        <v>45195.425729166665</v>
      </c>
      <c r="J101" s="12" t="s">
        <v>22</v>
      </c>
      <c r="K101" s="12"/>
      <c r="L101" s="12"/>
      <c r="M101" s="4" t="s">
        <v>23</v>
      </c>
      <c r="N101" s="12" t="str">
        <f t="shared" si="3"/>
        <v>057 - 47708345</v>
      </c>
      <c r="O101" s="9" t="s">
        <v>29</v>
      </c>
      <c r="P101" s="9" t="s">
        <v>25</v>
      </c>
      <c r="Q101" s="9"/>
      <c r="R101" s="9" t="s">
        <v>30</v>
      </c>
    </row>
    <row r="102" spans="2:18" ht="12.75" hidden="1" customHeight="1">
      <c r="C102" s="12" t="s">
        <v>103</v>
      </c>
      <c r="D102" s="12" t="s">
        <v>18</v>
      </c>
      <c r="E102" s="12" t="s">
        <v>19</v>
      </c>
      <c r="F102" s="12">
        <v>3</v>
      </c>
      <c r="G102" s="12" t="s">
        <v>20</v>
      </c>
      <c r="H102" s="12" t="s">
        <v>33</v>
      </c>
      <c r="I102" s="13">
        <v>45195.425682870373</v>
      </c>
      <c r="J102" s="12" t="s">
        <v>22</v>
      </c>
      <c r="K102" s="12"/>
      <c r="L102" s="12"/>
      <c r="M102" s="4" t="s">
        <v>23</v>
      </c>
      <c r="N102" s="12" t="str">
        <f>LEFT(C102,14)</f>
        <v>057 - 47708345</v>
      </c>
      <c r="O102" s="9" t="s">
        <v>29</v>
      </c>
      <c r="P102" s="9" t="s">
        <v>25</v>
      </c>
      <c r="Q102" s="9"/>
      <c r="R102" s="9" t="s">
        <v>30</v>
      </c>
    </row>
    <row r="103" spans="2:18" ht="12.75" hidden="1" customHeight="1" thickBot="1">
      <c r="B103" s="5"/>
      <c r="C103" s="12" t="s">
        <v>104</v>
      </c>
      <c r="D103" s="12" t="s">
        <v>18</v>
      </c>
      <c r="E103" s="12" t="s">
        <v>19</v>
      </c>
      <c r="F103" s="12">
        <v>3</v>
      </c>
      <c r="G103" s="12" t="s">
        <v>20</v>
      </c>
      <c r="H103" s="12" t="s">
        <v>33</v>
      </c>
      <c r="I103" s="13">
        <v>45195.425543981481</v>
      </c>
      <c r="J103" s="12" t="s">
        <v>22</v>
      </c>
      <c r="K103" s="12"/>
      <c r="L103" s="12"/>
      <c r="M103" s="4" t="s">
        <v>23</v>
      </c>
      <c r="N103" s="12" t="str">
        <f t="shared" ref="N103:N134" si="4">LEFT(C103,14)</f>
        <v>057 - 48120844</v>
      </c>
      <c r="O103" s="9" t="s">
        <v>29</v>
      </c>
      <c r="P103" s="9" t="s">
        <v>25</v>
      </c>
      <c r="Q103" s="9"/>
      <c r="R103" s="9" t="s">
        <v>30</v>
      </c>
    </row>
    <row r="104" spans="2:18" ht="12.75" hidden="1" customHeight="1" thickBot="1">
      <c r="B104" s="6"/>
      <c r="C104" s="12" t="s">
        <v>104</v>
      </c>
      <c r="D104" s="12" t="s">
        <v>18</v>
      </c>
      <c r="E104" s="12" t="s">
        <v>19</v>
      </c>
      <c r="F104" s="12">
        <v>3</v>
      </c>
      <c r="G104" s="12" t="s">
        <v>20</v>
      </c>
      <c r="H104" s="12" t="s">
        <v>33</v>
      </c>
      <c r="I104" s="13">
        <v>45195.425509259258</v>
      </c>
      <c r="J104" s="12" t="s">
        <v>22</v>
      </c>
      <c r="K104" s="12"/>
      <c r="L104" s="12"/>
      <c r="M104" s="4" t="s">
        <v>23</v>
      </c>
      <c r="N104" s="12" t="str">
        <f t="shared" si="4"/>
        <v>057 - 48120844</v>
      </c>
      <c r="O104" s="9" t="s">
        <v>29</v>
      </c>
      <c r="P104" s="9" t="s">
        <v>25</v>
      </c>
      <c r="Q104" s="9"/>
      <c r="R104" s="9" t="s">
        <v>30</v>
      </c>
    </row>
    <row r="105" spans="2:18" ht="12.75" hidden="1" customHeight="1" thickBot="1">
      <c r="B105" s="5"/>
      <c r="C105" s="12" t="s">
        <v>105</v>
      </c>
      <c r="D105" s="12" t="s">
        <v>18</v>
      </c>
      <c r="E105" s="12" t="s">
        <v>19</v>
      </c>
      <c r="F105" s="12">
        <v>3</v>
      </c>
      <c r="G105" s="12" t="s">
        <v>20</v>
      </c>
      <c r="H105" s="12" t="s">
        <v>33</v>
      </c>
      <c r="I105" s="13">
        <v>45195.425462962965</v>
      </c>
      <c r="J105" s="12" t="s">
        <v>22</v>
      </c>
      <c r="K105" s="12"/>
      <c r="L105" s="12"/>
      <c r="M105" s="4" t="s">
        <v>23</v>
      </c>
      <c r="N105" s="12" t="str">
        <f t="shared" si="4"/>
        <v>057 - 04174391</v>
      </c>
      <c r="O105" s="9" t="s">
        <v>29</v>
      </c>
      <c r="P105" s="9" t="s">
        <v>25</v>
      </c>
      <c r="Q105" s="9"/>
      <c r="R105" s="9" t="s">
        <v>30</v>
      </c>
    </row>
    <row r="106" spans="2:18" ht="12.75" hidden="1" customHeight="1" thickBot="1">
      <c r="B106" s="6"/>
      <c r="C106" s="12" t="s">
        <v>105</v>
      </c>
      <c r="D106" s="12" t="s">
        <v>18</v>
      </c>
      <c r="E106" s="12" t="s">
        <v>19</v>
      </c>
      <c r="F106" s="12">
        <v>3</v>
      </c>
      <c r="G106" s="12" t="s">
        <v>20</v>
      </c>
      <c r="H106" s="12" t="s">
        <v>33</v>
      </c>
      <c r="I106" s="13">
        <v>45195.425416666665</v>
      </c>
      <c r="J106" s="12" t="s">
        <v>22</v>
      </c>
      <c r="K106" s="12"/>
      <c r="L106" s="12"/>
      <c r="M106" s="4" t="s">
        <v>23</v>
      </c>
      <c r="N106" s="12" t="str">
        <f t="shared" si="4"/>
        <v>057 - 04174391</v>
      </c>
      <c r="O106" s="9" t="s">
        <v>29</v>
      </c>
      <c r="P106" s="9" t="s">
        <v>25</v>
      </c>
      <c r="Q106" s="9"/>
      <c r="R106" s="9" t="s">
        <v>30</v>
      </c>
    </row>
    <row r="107" spans="2:18" ht="12.75" hidden="1" customHeight="1" thickBot="1">
      <c r="B107" s="5"/>
      <c r="C107" s="12" t="s">
        <v>105</v>
      </c>
      <c r="D107" s="12" t="s">
        <v>18</v>
      </c>
      <c r="E107" s="12" t="s">
        <v>19</v>
      </c>
      <c r="F107" s="12">
        <v>3</v>
      </c>
      <c r="G107" s="12" t="s">
        <v>20</v>
      </c>
      <c r="H107" s="12" t="s">
        <v>33</v>
      </c>
      <c r="I107" s="13">
        <v>45195.425081018519</v>
      </c>
      <c r="J107" s="12" t="s">
        <v>22</v>
      </c>
      <c r="K107" s="12"/>
      <c r="L107" s="12"/>
      <c r="M107" s="4" t="s">
        <v>23</v>
      </c>
      <c r="N107" s="12" t="str">
        <f t="shared" si="4"/>
        <v>057 - 04174391</v>
      </c>
      <c r="O107" s="9" t="s">
        <v>29</v>
      </c>
      <c r="P107" s="9" t="s">
        <v>25</v>
      </c>
      <c r="Q107" s="9"/>
      <c r="R107" s="9" t="s">
        <v>30</v>
      </c>
    </row>
    <row r="108" spans="2:18" ht="12.75" hidden="1" customHeight="1" thickBot="1">
      <c r="B108" s="6"/>
      <c r="C108" s="12" t="s">
        <v>105</v>
      </c>
      <c r="D108" s="12" t="s">
        <v>18</v>
      </c>
      <c r="E108" s="12" t="s">
        <v>19</v>
      </c>
      <c r="F108" s="12">
        <v>3</v>
      </c>
      <c r="G108" s="12" t="s">
        <v>20</v>
      </c>
      <c r="H108" s="12" t="s">
        <v>33</v>
      </c>
      <c r="I108" s="13">
        <v>45195.425023148149</v>
      </c>
      <c r="J108" s="12" t="s">
        <v>22</v>
      </c>
      <c r="K108" s="12"/>
      <c r="L108" s="12"/>
      <c r="M108" s="4" t="s">
        <v>23</v>
      </c>
      <c r="N108" s="12" t="str">
        <f t="shared" si="4"/>
        <v>057 - 04174391</v>
      </c>
      <c r="O108" s="9" t="s">
        <v>29</v>
      </c>
      <c r="P108" s="9" t="s">
        <v>25</v>
      </c>
      <c r="Q108" s="9"/>
      <c r="R108" s="9" t="s">
        <v>30</v>
      </c>
    </row>
    <row r="109" spans="2:18" ht="12.75" hidden="1" customHeight="1" thickBot="1">
      <c r="B109" s="5"/>
      <c r="C109" s="12" t="s">
        <v>106</v>
      </c>
      <c r="D109" s="12" t="s">
        <v>18</v>
      </c>
      <c r="E109" s="12" t="s">
        <v>19</v>
      </c>
      <c r="F109" s="12">
        <v>3</v>
      </c>
      <c r="G109" s="12" t="s">
        <v>20</v>
      </c>
      <c r="H109" s="12" t="s">
        <v>33</v>
      </c>
      <c r="I109" s="13">
        <v>45195.424976851849</v>
      </c>
      <c r="J109" s="12" t="s">
        <v>22</v>
      </c>
      <c r="K109" s="12"/>
      <c r="L109" s="12"/>
      <c r="M109" s="4" t="s">
        <v>23</v>
      </c>
      <c r="N109" s="12" t="str">
        <f t="shared" si="4"/>
        <v>057 - 47708474</v>
      </c>
      <c r="O109" s="9" t="s">
        <v>107</v>
      </c>
      <c r="P109" s="9" t="s">
        <v>25</v>
      </c>
      <c r="Q109" s="9" t="s">
        <v>108</v>
      </c>
      <c r="R109" s="9" t="s">
        <v>35</v>
      </c>
    </row>
    <row r="110" spans="2:18" ht="12.75" hidden="1" customHeight="1" thickBot="1">
      <c r="B110" s="6"/>
      <c r="C110" s="12" t="s">
        <v>106</v>
      </c>
      <c r="D110" s="12" t="s">
        <v>18</v>
      </c>
      <c r="E110" s="12" t="s">
        <v>19</v>
      </c>
      <c r="F110" s="12">
        <v>3</v>
      </c>
      <c r="G110" s="12" t="s">
        <v>20</v>
      </c>
      <c r="H110" s="12" t="s">
        <v>33</v>
      </c>
      <c r="I110" s="13">
        <v>45195.424907407411</v>
      </c>
      <c r="J110" s="12" t="s">
        <v>22</v>
      </c>
      <c r="K110" s="12"/>
      <c r="L110" s="12"/>
      <c r="M110" s="4" t="s">
        <v>23</v>
      </c>
      <c r="N110" s="12" t="str">
        <f t="shared" si="4"/>
        <v>057 - 47708474</v>
      </c>
      <c r="O110" s="9" t="s">
        <v>107</v>
      </c>
      <c r="P110" s="9" t="s">
        <v>25</v>
      </c>
      <c r="Q110" s="9" t="s">
        <v>108</v>
      </c>
      <c r="R110" s="9" t="s">
        <v>35</v>
      </c>
    </row>
    <row r="111" spans="2:18" ht="12.75" hidden="1" customHeight="1" thickBot="1">
      <c r="B111" s="5"/>
      <c r="C111" s="12" t="s">
        <v>105</v>
      </c>
      <c r="D111" s="12" t="s">
        <v>18</v>
      </c>
      <c r="E111" s="12" t="s">
        <v>19</v>
      </c>
      <c r="F111" s="12">
        <v>3</v>
      </c>
      <c r="G111" s="12" t="s">
        <v>20</v>
      </c>
      <c r="H111" s="12" t="s">
        <v>33</v>
      </c>
      <c r="I111" s="13">
        <v>45195.424861111111</v>
      </c>
      <c r="J111" s="12" t="s">
        <v>22</v>
      </c>
      <c r="K111" s="12"/>
      <c r="L111" s="12"/>
      <c r="M111" s="4" t="s">
        <v>23</v>
      </c>
      <c r="N111" s="12" t="str">
        <f t="shared" si="4"/>
        <v>057 - 04174391</v>
      </c>
      <c r="O111" s="9" t="s">
        <v>107</v>
      </c>
      <c r="P111" s="9" t="s">
        <v>25</v>
      </c>
      <c r="Q111" s="9" t="s">
        <v>109</v>
      </c>
      <c r="R111" s="9" t="s">
        <v>35</v>
      </c>
    </row>
    <row r="112" spans="2:18" ht="12.75" hidden="1" customHeight="1" thickBot="1">
      <c r="B112" s="6"/>
      <c r="C112" s="12" t="s">
        <v>110</v>
      </c>
      <c r="D112" s="12" t="s">
        <v>18</v>
      </c>
      <c r="E112" s="12" t="s">
        <v>19</v>
      </c>
      <c r="F112" s="12">
        <v>3</v>
      </c>
      <c r="G112" s="12" t="s">
        <v>20</v>
      </c>
      <c r="H112" s="12" t="s">
        <v>33</v>
      </c>
      <c r="I112" s="13">
        <v>45195.424814814818</v>
      </c>
      <c r="J112" s="12" t="s">
        <v>22</v>
      </c>
      <c r="K112" s="12"/>
      <c r="L112" s="12"/>
      <c r="M112" s="4" t="s">
        <v>23</v>
      </c>
      <c r="N112" s="12" t="str">
        <f t="shared" si="4"/>
        <v>057 - 47967625</v>
      </c>
      <c r="O112" s="9" t="s">
        <v>107</v>
      </c>
      <c r="P112" s="9" t="s">
        <v>25</v>
      </c>
      <c r="Q112" s="9" t="s">
        <v>108</v>
      </c>
      <c r="R112" s="9" t="s">
        <v>35</v>
      </c>
    </row>
    <row r="113" spans="2:18" ht="12.75" hidden="1" customHeight="1" thickBot="1">
      <c r="B113" s="5"/>
      <c r="C113" s="12" t="s">
        <v>110</v>
      </c>
      <c r="D113" s="12" t="s">
        <v>18</v>
      </c>
      <c r="E113" s="12" t="s">
        <v>19</v>
      </c>
      <c r="F113" s="12">
        <v>3</v>
      </c>
      <c r="G113" s="12" t="s">
        <v>20</v>
      </c>
      <c r="H113" s="12" t="s">
        <v>33</v>
      </c>
      <c r="I113" s="13">
        <v>45195.424768518518</v>
      </c>
      <c r="J113" s="12" t="s">
        <v>22</v>
      </c>
      <c r="K113" s="12"/>
      <c r="L113" s="12"/>
      <c r="M113" s="4" t="s">
        <v>23</v>
      </c>
      <c r="N113" s="12" t="str">
        <f t="shared" si="4"/>
        <v>057 - 47967625</v>
      </c>
      <c r="O113" s="9" t="s">
        <v>107</v>
      </c>
      <c r="P113" s="9" t="s">
        <v>25</v>
      </c>
      <c r="Q113" s="9" t="s">
        <v>108</v>
      </c>
      <c r="R113" s="9" t="s">
        <v>35</v>
      </c>
    </row>
    <row r="114" spans="2:18" ht="12.75" hidden="1" customHeight="1" thickBot="1">
      <c r="B114" s="6"/>
      <c r="C114" s="12" t="s">
        <v>110</v>
      </c>
      <c r="D114" s="12" t="s">
        <v>18</v>
      </c>
      <c r="E114" s="12" t="s">
        <v>19</v>
      </c>
      <c r="F114" s="12">
        <v>3</v>
      </c>
      <c r="G114" s="12" t="s">
        <v>20</v>
      </c>
      <c r="H114" s="12" t="s">
        <v>33</v>
      </c>
      <c r="I114" s="13">
        <v>45195.424745370372</v>
      </c>
      <c r="J114" s="12" t="s">
        <v>22</v>
      </c>
      <c r="K114" s="12"/>
      <c r="L114" s="12"/>
      <c r="M114" s="4" t="s">
        <v>23</v>
      </c>
      <c r="N114" s="12" t="str">
        <f t="shared" si="4"/>
        <v>057 - 47967625</v>
      </c>
      <c r="O114" s="9" t="s">
        <v>107</v>
      </c>
      <c r="P114" s="9" t="s">
        <v>25</v>
      </c>
      <c r="Q114" s="9" t="s">
        <v>108</v>
      </c>
      <c r="R114" s="9" t="s">
        <v>35</v>
      </c>
    </row>
    <row r="115" spans="2:18" ht="12.75" hidden="1" customHeight="1" thickBot="1">
      <c r="B115" s="5"/>
      <c r="C115" s="12" t="s">
        <v>106</v>
      </c>
      <c r="D115" s="12" t="s">
        <v>18</v>
      </c>
      <c r="E115" s="12" t="s">
        <v>19</v>
      </c>
      <c r="F115" s="12">
        <v>3</v>
      </c>
      <c r="G115" s="12" t="s">
        <v>20</v>
      </c>
      <c r="H115" s="12" t="s">
        <v>33</v>
      </c>
      <c r="I115" s="13">
        <v>45195.424722222226</v>
      </c>
      <c r="J115" s="12" t="s">
        <v>22</v>
      </c>
      <c r="K115" s="12"/>
      <c r="L115" s="12"/>
      <c r="M115" s="4" t="s">
        <v>23</v>
      </c>
      <c r="N115" s="12" t="str">
        <f t="shared" si="4"/>
        <v>057 - 47708474</v>
      </c>
      <c r="O115" s="9" t="s">
        <v>107</v>
      </c>
      <c r="P115" s="9" t="s">
        <v>25</v>
      </c>
      <c r="Q115" s="9" t="s">
        <v>108</v>
      </c>
      <c r="R115" s="9" t="s">
        <v>35</v>
      </c>
    </row>
    <row r="116" spans="2:18" ht="12.75" hidden="1" customHeight="1" thickBot="1">
      <c r="B116" s="6"/>
      <c r="C116" s="12" t="s">
        <v>110</v>
      </c>
      <c r="D116" s="12" t="s">
        <v>18</v>
      </c>
      <c r="E116" s="12" t="s">
        <v>19</v>
      </c>
      <c r="F116" s="12">
        <v>3</v>
      </c>
      <c r="G116" s="12" t="s">
        <v>20</v>
      </c>
      <c r="H116" s="12" t="s">
        <v>33</v>
      </c>
      <c r="I116" s="13">
        <v>45195.424699074072</v>
      </c>
      <c r="J116" s="12" t="s">
        <v>22</v>
      </c>
      <c r="K116" s="12"/>
      <c r="L116" s="12"/>
      <c r="M116" s="4" t="s">
        <v>23</v>
      </c>
      <c r="N116" s="12" t="str">
        <f t="shared" si="4"/>
        <v>057 - 47967625</v>
      </c>
      <c r="O116" s="9" t="s">
        <v>107</v>
      </c>
      <c r="P116" s="9" t="s">
        <v>25</v>
      </c>
      <c r="Q116" s="9" t="s">
        <v>108</v>
      </c>
      <c r="R116" s="9"/>
    </row>
    <row r="117" spans="2:18" ht="12.75" hidden="1" customHeight="1" thickBot="1">
      <c r="B117" s="7"/>
      <c r="C117" s="12" t="s">
        <v>110</v>
      </c>
      <c r="D117" s="12" t="s">
        <v>18</v>
      </c>
      <c r="E117" s="12" t="s">
        <v>19</v>
      </c>
      <c r="F117" s="12">
        <v>3</v>
      </c>
      <c r="G117" s="12" t="s">
        <v>20</v>
      </c>
      <c r="H117" s="12" t="s">
        <v>33</v>
      </c>
      <c r="I117" s="13">
        <v>45195.424675925926</v>
      </c>
      <c r="J117" s="12" t="s">
        <v>22</v>
      </c>
      <c r="K117" s="12"/>
      <c r="L117" s="12"/>
      <c r="M117" s="4" t="s">
        <v>23</v>
      </c>
      <c r="N117" s="12" t="str">
        <f t="shared" si="4"/>
        <v>057 - 47967625</v>
      </c>
      <c r="O117" s="9" t="s">
        <v>107</v>
      </c>
      <c r="P117" s="9" t="s">
        <v>25</v>
      </c>
      <c r="Q117" s="9" t="s">
        <v>108</v>
      </c>
      <c r="R117" s="9"/>
    </row>
    <row r="118" spans="2:18" ht="12.75" hidden="1" customHeight="1" thickBot="1">
      <c r="B118" s="6"/>
      <c r="C118" s="12" t="s">
        <v>110</v>
      </c>
      <c r="D118" s="12" t="s">
        <v>18</v>
      </c>
      <c r="E118" s="12" t="s">
        <v>19</v>
      </c>
      <c r="F118" s="12">
        <v>3</v>
      </c>
      <c r="G118" s="12" t="s">
        <v>20</v>
      </c>
      <c r="H118" s="12" t="s">
        <v>33</v>
      </c>
      <c r="I118" s="13">
        <v>45195.42465277778</v>
      </c>
      <c r="J118" s="12" t="s">
        <v>22</v>
      </c>
      <c r="K118" s="12"/>
      <c r="L118" s="12"/>
      <c r="M118" s="4" t="s">
        <v>23</v>
      </c>
      <c r="N118" s="12" t="str">
        <f t="shared" si="4"/>
        <v>057 - 47967625</v>
      </c>
      <c r="O118" s="9" t="s">
        <v>107</v>
      </c>
      <c r="P118" s="9" t="s">
        <v>25</v>
      </c>
      <c r="Q118" s="9" t="s">
        <v>108</v>
      </c>
      <c r="R118" s="9"/>
    </row>
    <row r="119" spans="2:18" ht="12.75" hidden="1" customHeight="1" thickBot="1">
      <c r="B119" s="5"/>
      <c r="C119" s="12" t="s">
        <v>110</v>
      </c>
      <c r="D119" s="12" t="s">
        <v>18</v>
      </c>
      <c r="E119" s="12" t="s">
        <v>19</v>
      </c>
      <c r="F119" s="12">
        <v>3</v>
      </c>
      <c r="G119" s="12" t="s">
        <v>20</v>
      </c>
      <c r="H119" s="12" t="s">
        <v>33</v>
      </c>
      <c r="I119" s="13">
        <v>45195.424629629626</v>
      </c>
      <c r="J119" s="12" t="s">
        <v>22</v>
      </c>
      <c r="K119" s="12"/>
      <c r="L119" s="12"/>
      <c r="M119" s="4" t="s">
        <v>23</v>
      </c>
      <c r="N119" s="12" t="str">
        <f t="shared" si="4"/>
        <v>057 - 47967625</v>
      </c>
      <c r="O119" s="9" t="s">
        <v>107</v>
      </c>
      <c r="P119" s="9" t="s">
        <v>25</v>
      </c>
      <c r="Q119" s="9" t="s">
        <v>108</v>
      </c>
      <c r="R119" s="9"/>
    </row>
    <row r="120" spans="2:18" ht="12.75" hidden="1" customHeight="1" thickBot="1">
      <c r="B120" s="6"/>
      <c r="C120" s="12" t="s">
        <v>110</v>
      </c>
      <c r="D120" s="12" t="s">
        <v>18</v>
      </c>
      <c r="E120" s="12" t="s">
        <v>19</v>
      </c>
      <c r="F120" s="12">
        <v>3</v>
      </c>
      <c r="G120" s="12" t="s">
        <v>20</v>
      </c>
      <c r="H120" s="12" t="s">
        <v>33</v>
      </c>
      <c r="I120" s="13">
        <v>45195.42459490741</v>
      </c>
      <c r="J120" s="12" t="s">
        <v>22</v>
      </c>
      <c r="K120" s="12"/>
      <c r="L120" s="12"/>
      <c r="M120" s="4" t="s">
        <v>23</v>
      </c>
      <c r="N120" s="12" t="str">
        <f t="shared" si="4"/>
        <v>057 - 47967625</v>
      </c>
      <c r="O120" s="9" t="s">
        <v>107</v>
      </c>
      <c r="P120" s="9" t="s">
        <v>25</v>
      </c>
      <c r="Q120" s="9" t="s">
        <v>108</v>
      </c>
      <c r="R120" s="9"/>
    </row>
    <row r="121" spans="2:18" ht="12.75" hidden="1" customHeight="1" thickBot="1">
      <c r="B121" s="5"/>
      <c r="C121" s="12" t="s">
        <v>106</v>
      </c>
      <c r="D121" s="12" t="s">
        <v>18</v>
      </c>
      <c r="E121" s="12" t="s">
        <v>19</v>
      </c>
      <c r="F121" s="12">
        <v>3</v>
      </c>
      <c r="G121" s="12" t="s">
        <v>20</v>
      </c>
      <c r="H121" s="12" t="s">
        <v>33</v>
      </c>
      <c r="I121" s="13">
        <v>45195.424560185187</v>
      </c>
      <c r="J121" s="12" t="s">
        <v>22</v>
      </c>
      <c r="K121" s="12"/>
      <c r="L121" s="12"/>
      <c r="M121" s="4" t="s">
        <v>23</v>
      </c>
      <c r="N121" s="12" t="str">
        <f t="shared" si="4"/>
        <v>057 - 47708474</v>
      </c>
      <c r="O121" s="9" t="s">
        <v>107</v>
      </c>
      <c r="P121" s="9" t="s">
        <v>25</v>
      </c>
      <c r="Q121" s="9" t="s">
        <v>108</v>
      </c>
      <c r="R121" s="9"/>
    </row>
    <row r="122" spans="2:18" ht="12.75" hidden="1" customHeight="1" thickBot="1">
      <c r="B122" s="6"/>
      <c r="C122" s="12" t="s">
        <v>106</v>
      </c>
      <c r="D122" s="12" t="s">
        <v>18</v>
      </c>
      <c r="E122" s="12" t="s">
        <v>19</v>
      </c>
      <c r="F122" s="12">
        <v>3</v>
      </c>
      <c r="G122" s="12" t="s">
        <v>20</v>
      </c>
      <c r="H122" s="12" t="s">
        <v>33</v>
      </c>
      <c r="I122" s="13">
        <v>45195.424537037034</v>
      </c>
      <c r="J122" s="12" t="s">
        <v>22</v>
      </c>
      <c r="K122" s="12"/>
      <c r="L122" s="12"/>
      <c r="M122" s="4" t="s">
        <v>23</v>
      </c>
      <c r="N122" s="12" t="str">
        <f t="shared" si="4"/>
        <v>057 - 47708474</v>
      </c>
      <c r="O122" s="9" t="s">
        <v>107</v>
      </c>
      <c r="P122" s="9" t="s">
        <v>25</v>
      </c>
      <c r="Q122" s="9" t="s">
        <v>108</v>
      </c>
      <c r="R122" s="9"/>
    </row>
    <row r="123" spans="2:18" ht="12.75" hidden="1" customHeight="1" thickBot="1">
      <c r="B123" s="5"/>
      <c r="C123" s="12" t="s">
        <v>111</v>
      </c>
      <c r="D123" s="12" t="s">
        <v>18</v>
      </c>
      <c r="E123" s="12" t="s">
        <v>19</v>
      </c>
      <c r="F123" s="12">
        <v>3</v>
      </c>
      <c r="G123" s="12" t="s">
        <v>20</v>
      </c>
      <c r="H123" s="12" t="s">
        <v>33</v>
      </c>
      <c r="I123" s="13">
        <v>45195.424513888887</v>
      </c>
      <c r="J123" s="12" t="s">
        <v>22</v>
      </c>
      <c r="K123" s="12"/>
      <c r="L123" s="12"/>
      <c r="M123" s="4" t="s">
        <v>23</v>
      </c>
      <c r="N123" s="12" t="str">
        <f t="shared" si="4"/>
        <v>057 - 04235906</v>
      </c>
      <c r="O123" s="9" t="s">
        <v>112</v>
      </c>
      <c r="P123" s="9" t="s">
        <v>25</v>
      </c>
      <c r="Q123" s="9"/>
      <c r="R123" s="9"/>
    </row>
    <row r="124" spans="2:18" ht="12.75" hidden="1" customHeight="1" thickBot="1">
      <c r="B124" s="6"/>
      <c r="C124" s="12" t="s">
        <v>111</v>
      </c>
      <c r="D124" s="12" t="s">
        <v>18</v>
      </c>
      <c r="E124" s="12" t="s">
        <v>19</v>
      </c>
      <c r="F124" s="12">
        <v>3</v>
      </c>
      <c r="G124" s="12" t="s">
        <v>20</v>
      </c>
      <c r="H124" s="12" t="s">
        <v>113</v>
      </c>
      <c r="I124" s="13">
        <v>45195.424490740741</v>
      </c>
      <c r="J124" s="12" t="s">
        <v>22</v>
      </c>
      <c r="K124" s="12"/>
      <c r="L124" s="12"/>
      <c r="M124" s="4" t="s">
        <v>23</v>
      </c>
      <c r="N124" s="12" t="str">
        <f t="shared" si="4"/>
        <v>057 - 04235906</v>
      </c>
      <c r="O124" s="9" t="s">
        <v>112</v>
      </c>
      <c r="P124" s="9" t="s">
        <v>25</v>
      </c>
      <c r="Q124" s="9"/>
      <c r="R124" s="9"/>
    </row>
    <row r="125" spans="2:18" ht="12.75" hidden="1" customHeight="1" thickBot="1">
      <c r="B125" s="5"/>
      <c r="C125" s="12" t="s">
        <v>114</v>
      </c>
      <c r="D125" s="12" t="s">
        <v>18</v>
      </c>
      <c r="E125" s="12" t="s">
        <v>19</v>
      </c>
      <c r="F125" s="12">
        <v>3</v>
      </c>
      <c r="G125" s="12" t="s">
        <v>20</v>
      </c>
      <c r="H125" s="12" t="s">
        <v>33</v>
      </c>
      <c r="I125" s="13">
        <v>45195.424456018518</v>
      </c>
      <c r="J125" s="12" t="s">
        <v>22</v>
      </c>
      <c r="K125" s="12"/>
      <c r="L125" s="12"/>
      <c r="M125" s="4" t="s">
        <v>23</v>
      </c>
      <c r="N125" s="12" t="str">
        <f t="shared" si="4"/>
        <v>057 - 47709406</v>
      </c>
      <c r="O125" s="9"/>
      <c r="P125" s="9" t="s">
        <v>25</v>
      </c>
      <c r="Q125" s="9"/>
      <c r="R125" s="9"/>
    </row>
    <row r="126" spans="2:18" ht="12.75" hidden="1" customHeight="1" thickBot="1">
      <c r="B126" s="6"/>
      <c r="C126" s="12" t="s">
        <v>114</v>
      </c>
      <c r="D126" s="12" t="s">
        <v>18</v>
      </c>
      <c r="E126" s="12" t="s">
        <v>19</v>
      </c>
      <c r="F126" s="12">
        <v>3</v>
      </c>
      <c r="G126" s="12" t="s">
        <v>20</v>
      </c>
      <c r="H126" s="12" t="s">
        <v>33</v>
      </c>
      <c r="I126" s="13">
        <v>45195.424444444441</v>
      </c>
      <c r="J126" s="12" t="s">
        <v>22</v>
      </c>
      <c r="K126" s="12"/>
      <c r="L126" s="12"/>
      <c r="M126" s="4" t="s">
        <v>23</v>
      </c>
      <c r="N126" s="12" t="str">
        <f t="shared" si="4"/>
        <v>057 - 47709406</v>
      </c>
      <c r="O126" s="9"/>
      <c r="P126" s="9" t="s">
        <v>25</v>
      </c>
      <c r="Q126" s="9"/>
      <c r="R126" s="9"/>
    </row>
    <row r="127" spans="2:18" ht="12.75" hidden="1" customHeight="1">
      <c r="C127" s="12" t="s">
        <v>115</v>
      </c>
      <c r="D127" s="12" t="s">
        <v>18</v>
      </c>
      <c r="E127" s="12" t="s">
        <v>19</v>
      </c>
      <c r="F127" s="12">
        <v>3</v>
      </c>
      <c r="G127" s="12" t="s">
        <v>20</v>
      </c>
      <c r="H127" s="12" t="s">
        <v>33</v>
      </c>
      <c r="I127" s="13">
        <v>45195.424421296295</v>
      </c>
      <c r="J127" s="12" t="s">
        <v>22</v>
      </c>
      <c r="K127" s="12"/>
      <c r="L127" s="12"/>
      <c r="M127" s="4" t="s">
        <v>23</v>
      </c>
      <c r="N127" s="12" t="str">
        <f t="shared" si="4"/>
        <v>057 - 47708802</v>
      </c>
      <c r="O127" s="9"/>
      <c r="P127" s="9" t="s">
        <v>25</v>
      </c>
      <c r="Q127" s="9"/>
      <c r="R127" s="9"/>
    </row>
    <row r="128" spans="2:18" ht="12.75" hidden="1" customHeight="1" thickBot="1">
      <c r="B128" s="5"/>
      <c r="C128" s="12" t="s">
        <v>111</v>
      </c>
      <c r="D128" s="12" t="s">
        <v>18</v>
      </c>
      <c r="E128" s="12" t="s">
        <v>19</v>
      </c>
      <c r="F128" s="12">
        <v>3</v>
      </c>
      <c r="G128" s="12" t="s">
        <v>20</v>
      </c>
      <c r="H128" s="12" t="s">
        <v>33</v>
      </c>
      <c r="I128" s="13">
        <v>45195.424375000002</v>
      </c>
      <c r="J128" s="12" t="s">
        <v>22</v>
      </c>
      <c r="K128" s="12"/>
      <c r="L128" s="12"/>
      <c r="M128" s="4" t="s">
        <v>23</v>
      </c>
      <c r="N128" s="12" t="str">
        <f t="shared" si="4"/>
        <v>057 - 04235906</v>
      </c>
      <c r="O128" s="9" t="s">
        <v>112</v>
      </c>
      <c r="P128" s="9" t="s">
        <v>25</v>
      </c>
      <c r="Q128" s="9"/>
      <c r="R128" s="9"/>
    </row>
    <row r="129" spans="2:18" ht="12.75" hidden="1" customHeight="1" thickBot="1">
      <c r="B129" s="6"/>
      <c r="C129" s="12" t="s">
        <v>111</v>
      </c>
      <c r="D129" s="12" t="s">
        <v>18</v>
      </c>
      <c r="E129" s="12" t="s">
        <v>19</v>
      </c>
      <c r="F129" s="12">
        <v>3</v>
      </c>
      <c r="G129" s="12" t="s">
        <v>20</v>
      </c>
      <c r="H129" s="12" t="s">
        <v>113</v>
      </c>
      <c r="I129" s="13">
        <v>45195.424351851849</v>
      </c>
      <c r="J129" s="12" t="s">
        <v>22</v>
      </c>
      <c r="K129" s="12"/>
      <c r="L129" s="12"/>
      <c r="M129" s="4" t="s">
        <v>23</v>
      </c>
      <c r="N129" s="12" t="str">
        <f t="shared" si="4"/>
        <v>057 - 04235906</v>
      </c>
      <c r="O129" s="9" t="s">
        <v>112</v>
      </c>
      <c r="P129" s="9" t="s">
        <v>25</v>
      </c>
      <c r="Q129" s="9"/>
      <c r="R129" s="9"/>
    </row>
    <row r="130" spans="2:18" ht="12.75" hidden="1" customHeight="1" thickBot="1">
      <c r="B130" s="5"/>
      <c r="C130" s="12" t="s">
        <v>116</v>
      </c>
      <c r="D130" s="12" t="s">
        <v>18</v>
      </c>
      <c r="E130" s="12" t="s">
        <v>19</v>
      </c>
      <c r="F130" s="12">
        <v>3</v>
      </c>
      <c r="G130" s="12" t="s">
        <v>20</v>
      </c>
      <c r="H130" s="12" t="s">
        <v>33</v>
      </c>
      <c r="I130" s="13">
        <v>45195.424328703702</v>
      </c>
      <c r="J130" s="12" t="s">
        <v>22</v>
      </c>
      <c r="K130" s="12"/>
      <c r="L130" s="12"/>
      <c r="M130" s="4" t="s">
        <v>23</v>
      </c>
      <c r="N130" s="12" t="str">
        <f t="shared" si="4"/>
        <v>057 - 47708920</v>
      </c>
      <c r="O130" s="9" t="s">
        <v>107</v>
      </c>
      <c r="P130" s="9" t="s">
        <v>25</v>
      </c>
      <c r="Q130" s="9" t="s">
        <v>108</v>
      </c>
      <c r="R130" s="9" t="s">
        <v>35</v>
      </c>
    </row>
    <row r="131" spans="2:18" ht="12.75" hidden="1" customHeight="1" thickBot="1">
      <c r="B131" s="6"/>
      <c r="C131" s="12" t="s">
        <v>116</v>
      </c>
      <c r="D131" s="12" t="s">
        <v>18</v>
      </c>
      <c r="E131" s="12" t="s">
        <v>19</v>
      </c>
      <c r="F131" s="12">
        <v>3</v>
      </c>
      <c r="G131" s="12" t="s">
        <v>20</v>
      </c>
      <c r="H131" s="12" t="s">
        <v>33</v>
      </c>
      <c r="I131" s="13">
        <v>45195.424305555556</v>
      </c>
      <c r="J131" s="12" t="s">
        <v>22</v>
      </c>
      <c r="K131" s="12"/>
      <c r="L131" s="12"/>
      <c r="M131" s="4" t="s">
        <v>23</v>
      </c>
      <c r="N131" s="12" t="str">
        <f>LEFT(C131,14)</f>
        <v>057 - 47708920</v>
      </c>
      <c r="O131" s="9" t="s">
        <v>65</v>
      </c>
      <c r="P131" s="9" t="s">
        <v>25</v>
      </c>
      <c r="Q131" s="9" t="s">
        <v>117</v>
      </c>
      <c r="R131" s="9" t="s">
        <v>52</v>
      </c>
    </row>
    <row r="132" spans="2:18" ht="12.75" hidden="1" customHeight="1" thickBot="1">
      <c r="B132" s="5"/>
      <c r="C132" s="12" t="s">
        <v>53</v>
      </c>
      <c r="D132" s="12" t="s">
        <v>18</v>
      </c>
      <c r="E132" s="12" t="s">
        <v>19</v>
      </c>
      <c r="F132" s="12">
        <v>3</v>
      </c>
      <c r="G132" s="12" t="s">
        <v>20</v>
      </c>
      <c r="H132" s="12" t="s">
        <v>33</v>
      </c>
      <c r="I132" s="13">
        <v>45195.42428240741</v>
      </c>
      <c r="J132" s="12" t="s">
        <v>22</v>
      </c>
      <c r="K132" s="12"/>
      <c r="L132" s="12"/>
      <c r="M132" s="4" t="s">
        <v>23</v>
      </c>
      <c r="N132" s="12" t="str">
        <f t="shared" si="4"/>
        <v>057 - 47542224</v>
      </c>
      <c r="O132" s="9" t="s">
        <v>65</v>
      </c>
      <c r="P132" s="9" t="s">
        <v>25</v>
      </c>
      <c r="Q132" s="9"/>
      <c r="R132" s="9" t="s">
        <v>52</v>
      </c>
    </row>
    <row r="133" spans="2:18" ht="12.75" hidden="1" customHeight="1" thickBot="1">
      <c r="B133" s="6"/>
      <c r="C133" s="12" t="s">
        <v>118</v>
      </c>
      <c r="D133" s="12" t="s">
        <v>18</v>
      </c>
      <c r="E133" s="12" t="s">
        <v>19</v>
      </c>
      <c r="F133" s="12">
        <v>3</v>
      </c>
      <c r="G133" s="12" t="s">
        <v>20</v>
      </c>
      <c r="H133" s="12" t="s">
        <v>33</v>
      </c>
      <c r="I133" s="13">
        <v>45195.424259259256</v>
      </c>
      <c r="J133" s="12" t="s">
        <v>22</v>
      </c>
      <c r="K133" s="12"/>
      <c r="L133" s="12"/>
      <c r="M133" s="4" t="s">
        <v>23</v>
      </c>
      <c r="N133" s="12" t="str">
        <f t="shared" si="4"/>
        <v>057 - 04221836</v>
      </c>
      <c r="O133" s="9" t="s">
        <v>65</v>
      </c>
      <c r="P133" s="9" t="s">
        <v>25</v>
      </c>
      <c r="Q133" s="9"/>
      <c r="R133" s="9" t="s">
        <v>52</v>
      </c>
    </row>
    <row r="134" spans="2:18" ht="12.75" hidden="1" customHeight="1" thickBot="1">
      <c r="B134" s="5"/>
      <c r="C134" s="12" t="s">
        <v>48</v>
      </c>
      <c r="D134" s="12" t="s">
        <v>18</v>
      </c>
      <c r="E134" s="12" t="s">
        <v>19</v>
      </c>
      <c r="F134" s="12">
        <v>3</v>
      </c>
      <c r="G134" s="12" t="s">
        <v>20</v>
      </c>
      <c r="H134" s="12" t="s">
        <v>33</v>
      </c>
      <c r="I134" s="13">
        <v>45195.424224537041</v>
      </c>
      <c r="J134" s="12" t="s">
        <v>22</v>
      </c>
      <c r="K134" s="12"/>
      <c r="L134" s="12"/>
      <c r="M134" s="4" t="s">
        <v>23</v>
      </c>
      <c r="N134" s="12" t="str">
        <f t="shared" si="4"/>
        <v>057 - 48323181</v>
      </c>
      <c r="O134" s="9" t="s">
        <v>65</v>
      </c>
      <c r="P134" s="9" t="s">
        <v>25</v>
      </c>
      <c r="Q134" s="9" t="s">
        <v>119</v>
      </c>
      <c r="R134" s="9" t="s">
        <v>52</v>
      </c>
    </row>
    <row r="135" spans="2:18" ht="12.75" hidden="1" customHeight="1" thickBot="1">
      <c r="B135" s="6"/>
      <c r="C135" s="12" t="s">
        <v>48</v>
      </c>
      <c r="D135" s="12" t="s">
        <v>18</v>
      </c>
      <c r="E135" s="12" t="s">
        <v>19</v>
      </c>
      <c r="F135" s="12">
        <v>3</v>
      </c>
      <c r="G135" s="12" t="s">
        <v>20</v>
      </c>
      <c r="H135" s="12" t="s">
        <v>33</v>
      </c>
      <c r="I135" s="13">
        <v>45195.424189814818</v>
      </c>
      <c r="J135" s="12" t="s">
        <v>22</v>
      </c>
      <c r="K135" s="12"/>
      <c r="L135" s="12"/>
      <c r="M135" s="4" t="s">
        <v>23</v>
      </c>
      <c r="N135" s="12" t="str">
        <f t="shared" ref="N135:N166" si="5">LEFT(C135,14)</f>
        <v>057 - 48323181</v>
      </c>
      <c r="O135" s="9" t="s">
        <v>65</v>
      </c>
      <c r="P135" s="9" t="s">
        <v>67</v>
      </c>
      <c r="Q135" s="9"/>
      <c r="R135" s="9"/>
    </row>
    <row r="136" spans="2:18" ht="12.75" hidden="1" customHeight="1" thickBot="1">
      <c r="B136" s="5"/>
      <c r="C136" s="12" t="s">
        <v>48</v>
      </c>
      <c r="D136" s="12" t="s">
        <v>18</v>
      </c>
      <c r="E136" s="12" t="s">
        <v>19</v>
      </c>
      <c r="F136" s="12">
        <v>3</v>
      </c>
      <c r="G136" s="12" t="s">
        <v>20</v>
      </c>
      <c r="H136" s="12" t="s">
        <v>33</v>
      </c>
      <c r="I136" s="13">
        <v>45195.424166666664</v>
      </c>
      <c r="J136" s="12" t="s">
        <v>22</v>
      </c>
      <c r="K136" s="12"/>
      <c r="L136" s="12"/>
      <c r="M136" s="4" t="s">
        <v>23</v>
      </c>
      <c r="N136" s="12" t="str">
        <f t="shared" si="5"/>
        <v>057 - 48323181</v>
      </c>
      <c r="O136" s="9" t="s">
        <v>65</v>
      </c>
      <c r="P136" s="9" t="s">
        <v>67</v>
      </c>
      <c r="Q136" s="9"/>
      <c r="R136" s="9"/>
    </row>
    <row r="137" spans="2:18" ht="15.75" hidden="1" thickBot="1">
      <c r="B137" s="6"/>
      <c r="C137" s="12" t="s">
        <v>120</v>
      </c>
      <c r="D137" s="12" t="s">
        <v>18</v>
      </c>
      <c r="E137" s="12" t="s">
        <v>19</v>
      </c>
      <c r="F137" s="12">
        <v>3</v>
      </c>
      <c r="G137" s="12" t="s">
        <v>20</v>
      </c>
      <c r="H137" s="12" t="s">
        <v>33</v>
      </c>
      <c r="I137" s="13">
        <v>45195.424143518518</v>
      </c>
      <c r="J137" s="12" t="s">
        <v>22</v>
      </c>
      <c r="K137" s="12"/>
      <c r="L137" s="12"/>
      <c r="M137" s="4" t="s">
        <v>23</v>
      </c>
      <c r="N137" s="12" t="str">
        <f t="shared" si="5"/>
        <v>057 - 12488582</v>
      </c>
      <c r="O137" s="9" t="s">
        <v>65</v>
      </c>
      <c r="P137" s="9" t="s">
        <v>25</v>
      </c>
      <c r="Q137" s="9" t="s">
        <v>121</v>
      </c>
      <c r="R137" s="9" t="s">
        <v>52</v>
      </c>
    </row>
    <row r="138" spans="2:18" ht="12.75" customHeight="1" thickBot="1">
      <c r="B138" s="5"/>
      <c r="C138" s="12" t="s">
        <v>122</v>
      </c>
      <c r="D138" s="12" t="s">
        <v>18</v>
      </c>
      <c r="E138" s="12" t="s">
        <v>19</v>
      </c>
      <c r="F138" s="12">
        <v>3</v>
      </c>
      <c r="G138" s="12" t="s">
        <v>20</v>
      </c>
      <c r="H138" s="12" t="s">
        <v>33</v>
      </c>
      <c r="I138" s="13">
        <v>45195.424108796295</v>
      </c>
      <c r="J138" s="12" t="s">
        <v>22</v>
      </c>
      <c r="K138" s="12"/>
      <c r="L138" s="12"/>
      <c r="M138" s="4" t="s">
        <v>23</v>
      </c>
      <c r="N138" s="12" t="str">
        <f>LEFT(C138,14)</f>
        <v>057 - 47036430</v>
      </c>
      <c r="O138" s="9" t="s">
        <v>29</v>
      </c>
      <c r="P138" s="9" t="s">
        <v>25</v>
      </c>
      <c r="Q138" s="9"/>
      <c r="R138" s="9" t="s">
        <v>35</v>
      </c>
    </row>
    <row r="139" spans="2:18" ht="12.75" hidden="1" customHeight="1" thickBot="1">
      <c r="B139" s="6"/>
      <c r="C139" s="12" t="s">
        <v>122</v>
      </c>
      <c r="D139" s="12" t="s">
        <v>18</v>
      </c>
      <c r="E139" s="12" t="s">
        <v>19</v>
      </c>
      <c r="F139" s="12">
        <v>3</v>
      </c>
      <c r="G139" s="12" t="s">
        <v>20</v>
      </c>
      <c r="H139" s="12" t="s">
        <v>33</v>
      </c>
      <c r="I139" s="13">
        <v>45195.424085648148</v>
      </c>
      <c r="J139" s="12" t="s">
        <v>22</v>
      </c>
      <c r="K139" s="12"/>
      <c r="L139" s="12"/>
      <c r="M139" s="4" t="s">
        <v>23</v>
      </c>
      <c r="N139" s="12" t="str">
        <f t="shared" si="5"/>
        <v>057 - 47036430</v>
      </c>
      <c r="O139" s="9" t="s">
        <v>24</v>
      </c>
      <c r="P139" s="9" t="s">
        <v>25</v>
      </c>
      <c r="Q139" s="9" t="s">
        <v>123</v>
      </c>
      <c r="R139" s="9" t="s">
        <v>52</v>
      </c>
    </row>
    <row r="140" spans="2:18" ht="12.75" hidden="1" customHeight="1" thickBot="1">
      <c r="B140" s="5"/>
      <c r="C140" s="12" t="s">
        <v>120</v>
      </c>
      <c r="D140" s="12" t="s">
        <v>18</v>
      </c>
      <c r="E140" s="12" t="s">
        <v>19</v>
      </c>
      <c r="F140" s="12">
        <v>3</v>
      </c>
      <c r="G140" s="12" t="s">
        <v>20</v>
      </c>
      <c r="H140" s="12" t="s">
        <v>33</v>
      </c>
      <c r="I140" s="13">
        <v>45195.424062500002</v>
      </c>
      <c r="J140" s="12" t="s">
        <v>22</v>
      </c>
      <c r="K140" s="12"/>
      <c r="L140" s="12"/>
      <c r="M140" s="4" t="s">
        <v>23</v>
      </c>
      <c r="N140" s="12" t="str">
        <f t="shared" si="5"/>
        <v>057 - 12488582</v>
      </c>
      <c r="O140" s="9" t="s">
        <v>24</v>
      </c>
      <c r="P140" s="9" t="s">
        <v>25</v>
      </c>
      <c r="Q140" s="9" t="s">
        <v>124</v>
      </c>
      <c r="R140" s="9" t="s">
        <v>52</v>
      </c>
    </row>
    <row r="141" spans="2:18" ht="12.75" hidden="1" customHeight="1" thickBot="1">
      <c r="B141" s="6"/>
      <c r="C141" s="12" t="s">
        <v>122</v>
      </c>
      <c r="D141" s="12" t="s">
        <v>18</v>
      </c>
      <c r="E141" s="12" t="s">
        <v>19</v>
      </c>
      <c r="F141" s="12">
        <v>3</v>
      </c>
      <c r="G141" s="12" t="s">
        <v>20</v>
      </c>
      <c r="H141" s="12" t="s">
        <v>33</v>
      </c>
      <c r="I141" s="13">
        <v>45195.424027777779</v>
      </c>
      <c r="J141" s="12" t="s">
        <v>22</v>
      </c>
      <c r="K141" s="12"/>
      <c r="L141" s="12"/>
      <c r="M141" s="4" t="s">
        <v>23</v>
      </c>
      <c r="N141" s="12" t="str">
        <f t="shared" si="5"/>
        <v>057 - 47036430</v>
      </c>
      <c r="O141" s="9" t="s">
        <v>24</v>
      </c>
      <c r="P141" s="9" t="s">
        <v>25</v>
      </c>
      <c r="Q141" s="9" t="s">
        <v>123</v>
      </c>
      <c r="R141" s="9"/>
    </row>
    <row r="142" spans="2:18" ht="12.75" hidden="1" customHeight="1" thickBot="1">
      <c r="B142" s="5"/>
      <c r="C142" s="12" t="s">
        <v>122</v>
      </c>
      <c r="D142" s="12" t="s">
        <v>18</v>
      </c>
      <c r="E142" s="12" t="s">
        <v>19</v>
      </c>
      <c r="F142" s="12">
        <v>3</v>
      </c>
      <c r="G142" s="12" t="s">
        <v>20</v>
      </c>
      <c r="H142" s="12" t="s">
        <v>33</v>
      </c>
      <c r="I142" s="13">
        <v>45195.423993055556</v>
      </c>
      <c r="J142" s="12" t="s">
        <v>22</v>
      </c>
      <c r="K142" s="12"/>
      <c r="L142" s="12"/>
      <c r="M142" s="4" t="s">
        <v>23</v>
      </c>
      <c r="N142" s="12" t="str">
        <f t="shared" si="5"/>
        <v>057 - 47036430</v>
      </c>
      <c r="O142" s="9" t="s">
        <v>24</v>
      </c>
      <c r="P142" s="9" t="s">
        <v>25</v>
      </c>
      <c r="Q142" s="9"/>
      <c r="R142" s="9" t="s">
        <v>52</v>
      </c>
    </row>
    <row r="143" spans="2:18" ht="12.75" hidden="1" customHeight="1" thickBot="1">
      <c r="B143" s="6"/>
      <c r="C143" s="12" t="s">
        <v>120</v>
      </c>
      <c r="D143" s="12" t="s">
        <v>18</v>
      </c>
      <c r="E143" s="12" t="s">
        <v>19</v>
      </c>
      <c r="F143" s="12">
        <v>3</v>
      </c>
      <c r="G143" s="12" t="s">
        <v>20</v>
      </c>
      <c r="H143" s="12" t="s">
        <v>33</v>
      </c>
      <c r="I143" s="13">
        <v>45195.423958333333</v>
      </c>
      <c r="J143" s="12" t="s">
        <v>22</v>
      </c>
      <c r="K143" s="12"/>
      <c r="L143" s="12"/>
      <c r="M143" s="4" t="s">
        <v>23</v>
      </c>
      <c r="N143" s="12" t="str">
        <f t="shared" si="5"/>
        <v>057 - 12488582</v>
      </c>
      <c r="O143" s="9" t="s">
        <v>24</v>
      </c>
      <c r="P143" s="9" t="s">
        <v>25</v>
      </c>
      <c r="Q143" s="9"/>
      <c r="R143" s="9" t="s">
        <v>52</v>
      </c>
    </row>
    <row r="144" spans="2:18" ht="12.75" hidden="1" customHeight="1" thickBot="1">
      <c r="B144" s="5"/>
      <c r="C144" s="12" t="s">
        <v>118</v>
      </c>
      <c r="D144" s="12" t="s">
        <v>18</v>
      </c>
      <c r="E144" s="12" t="s">
        <v>19</v>
      </c>
      <c r="F144" s="12">
        <v>3</v>
      </c>
      <c r="G144" s="12" t="s">
        <v>20</v>
      </c>
      <c r="H144" s="12" t="s">
        <v>33</v>
      </c>
      <c r="I144" s="13">
        <v>45195.423935185187</v>
      </c>
      <c r="J144" s="12" t="s">
        <v>22</v>
      </c>
      <c r="K144" s="12"/>
      <c r="L144" s="12"/>
      <c r="M144" s="4" t="s">
        <v>23</v>
      </c>
      <c r="N144" s="12" t="str">
        <f t="shared" si="5"/>
        <v>057 - 04221836</v>
      </c>
      <c r="O144" s="9" t="s">
        <v>24</v>
      </c>
      <c r="P144" s="9" t="s">
        <v>25</v>
      </c>
      <c r="Q144" s="9"/>
      <c r="R144" s="9" t="s">
        <v>52</v>
      </c>
    </row>
    <row r="145" spans="2:18" ht="12.75" hidden="1" customHeight="1" thickBot="1">
      <c r="B145" s="6"/>
      <c r="C145" s="12" t="s">
        <v>97</v>
      </c>
      <c r="D145" s="12" t="s">
        <v>18</v>
      </c>
      <c r="E145" s="12" t="s">
        <v>19</v>
      </c>
      <c r="F145" s="12">
        <v>3</v>
      </c>
      <c r="G145" s="12" t="s">
        <v>20</v>
      </c>
      <c r="H145" s="12" t="s">
        <v>33</v>
      </c>
      <c r="I145" s="13">
        <v>45195.42391203704</v>
      </c>
      <c r="J145" s="12" t="s">
        <v>22</v>
      </c>
      <c r="K145" s="12"/>
      <c r="L145" s="12"/>
      <c r="M145" s="4" t="s">
        <v>23</v>
      </c>
      <c r="N145" s="12" t="str">
        <f t="shared" si="5"/>
        <v>057 - 48148424</v>
      </c>
      <c r="O145" s="9" t="s">
        <v>125</v>
      </c>
      <c r="P145" s="9"/>
      <c r="Q145" s="9"/>
      <c r="R145" s="9"/>
    </row>
    <row r="146" spans="2:18" ht="12.75" hidden="1" customHeight="1" thickBot="1">
      <c r="B146" s="5"/>
      <c r="C146" s="12" t="s">
        <v>97</v>
      </c>
      <c r="D146" s="12" t="s">
        <v>18</v>
      </c>
      <c r="E146" s="12" t="s">
        <v>19</v>
      </c>
      <c r="F146" s="12">
        <v>3</v>
      </c>
      <c r="G146" s="12" t="s">
        <v>20</v>
      </c>
      <c r="H146" s="12" t="s">
        <v>33</v>
      </c>
      <c r="I146" s="13">
        <v>45195.423877314817</v>
      </c>
      <c r="J146" s="12" t="s">
        <v>22</v>
      </c>
      <c r="K146" s="12"/>
      <c r="L146" s="12"/>
      <c r="M146" s="4" t="s">
        <v>23</v>
      </c>
      <c r="N146" s="12" t="str">
        <f t="shared" si="5"/>
        <v>057 - 48148424</v>
      </c>
      <c r="O146" s="9" t="s">
        <v>125</v>
      </c>
      <c r="P146" s="9"/>
      <c r="Q146" s="9"/>
      <c r="R146" s="9"/>
    </row>
    <row r="147" spans="2:18" ht="12.75" hidden="1" customHeight="1" thickBot="1">
      <c r="B147" s="6"/>
      <c r="C147" s="12" t="s">
        <v>97</v>
      </c>
      <c r="D147" s="12" t="s">
        <v>18</v>
      </c>
      <c r="E147" s="12" t="s">
        <v>19</v>
      </c>
      <c r="F147" s="12">
        <v>3</v>
      </c>
      <c r="G147" s="12" t="s">
        <v>20</v>
      </c>
      <c r="H147" s="12" t="s">
        <v>33</v>
      </c>
      <c r="I147" s="13">
        <v>45195.423854166664</v>
      </c>
      <c r="J147" s="12" t="s">
        <v>22</v>
      </c>
      <c r="K147" s="12"/>
      <c r="L147" s="12"/>
      <c r="M147" s="4" t="s">
        <v>23</v>
      </c>
      <c r="N147" s="12" t="str">
        <f t="shared" si="5"/>
        <v>057 - 48148424</v>
      </c>
      <c r="O147" s="9" t="s">
        <v>125</v>
      </c>
      <c r="P147" s="9"/>
      <c r="Q147" s="9"/>
      <c r="R147" s="9"/>
    </row>
    <row r="148" spans="2:18" ht="12.75" hidden="1" customHeight="1" thickBot="1">
      <c r="B148" s="5"/>
      <c r="C148" s="12" t="s">
        <v>126</v>
      </c>
      <c r="D148" s="12" t="s">
        <v>18</v>
      </c>
      <c r="E148" s="12" t="s">
        <v>19</v>
      </c>
      <c r="F148" s="12">
        <v>3</v>
      </c>
      <c r="G148" s="12" t="s">
        <v>20</v>
      </c>
      <c r="H148" s="12" t="s">
        <v>33</v>
      </c>
      <c r="I148" s="13">
        <v>45195.423819444448</v>
      </c>
      <c r="J148" s="12" t="s">
        <v>22</v>
      </c>
      <c r="K148" s="12"/>
      <c r="L148" s="12"/>
      <c r="M148" s="4" t="s">
        <v>23</v>
      </c>
      <c r="N148" s="12" t="str">
        <f t="shared" si="5"/>
        <v>057 - 46801823</v>
      </c>
      <c r="O148" s="9" t="s">
        <v>24</v>
      </c>
      <c r="P148" s="9" t="s">
        <v>25</v>
      </c>
      <c r="Q148" s="9" t="s">
        <v>127</v>
      </c>
      <c r="R148" s="9" t="s">
        <v>52</v>
      </c>
    </row>
    <row r="149" spans="2:18" ht="12.75" hidden="1" customHeight="1" thickBot="1">
      <c r="B149" s="6"/>
      <c r="C149" s="12" t="s">
        <v>97</v>
      </c>
      <c r="D149" s="12" t="s">
        <v>18</v>
      </c>
      <c r="E149" s="12" t="s">
        <v>19</v>
      </c>
      <c r="F149" s="12">
        <v>3</v>
      </c>
      <c r="G149" s="12" t="s">
        <v>20</v>
      </c>
      <c r="H149" s="12" t="s">
        <v>33</v>
      </c>
      <c r="I149" s="13">
        <v>45195.423784722225</v>
      </c>
      <c r="J149" s="12" t="s">
        <v>22</v>
      </c>
      <c r="K149" s="12"/>
      <c r="L149" s="12"/>
      <c r="M149" s="4" t="s">
        <v>23</v>
      </c>
      <c r="N149" s="12" t="str">
        <f t="shared" si="5"/>
        <v>057 - 48148424</v>
      </c>
      <c r="O149" s="9" t="s">
        <v>125</v>
      </c>
      <c r="P149" s="9"/>
      <c r="Q149" s="9"/>
      <c r="R149" s="9"/>
    </row>
    <row r="150" spans="2:18" ht="12.75" hidden="1" customHeight="1" thickBot="1">
      <c r="B150" s="5"/>
      <c r="C150" s="12" t="s">
        <v>126</v>
      </c>
      <c r="D150" s="12" t="s">
        <v>18</v>
      </c>
      <c r="E150" s="12" t="s">
        <v>19</v>
      </c>
      <c r="F150" s="12">
        <v>3</v>
      </c>
      <c r="G150" s="12" t="s">
        <v>20</v>
      </c>
      <c r="H150" s="12" t="s">
        <v>33</v>
      </c>
      <c r="I150" s="13">
        <v>45195.423761574071</v>
      </c>
      <c r="J150" s="12" t="s">
        <v>22</v>
      </c>
      <c r="K150" s="12"/>
      <c r="L150" s="12"/>
      <c r="M150" s="4" t="s">
        <v>23</v>
      </c>
      <c r="N150" s="12" t="str">
        <f t="shared" si="5"/>
        <v>057 - 46801823</v>
      </c>
      <c r="O150" s="9" t="s">
        <v>125</v>
      </c>
      <c r="P150" s="9"/>
      <c r="Q150" s="9"/>
      <c r="R150" s="9"/>
    </row>
    <row r="151" spans="2:18" ht="12.75" hidden="1" customHeight="1" thickBot="1">
      <c r="B151" s="7"/>
      <c r="C151" s="12" t="s">
        <v>97</v>
      </c>
      <c r="D151" s="12" t="s">
        <v>18</v>
      </c>
      <c r="E151" s="12" t="s">
        <v>19</v>
      </c>
      <c r="F151" s="12">
        <v>3</v>
      </c>
      <c r="G151" s="12" t="s">
        <v>20</v>
      </c>
      <c r="H151" s="12" t="s">
        <v>33</v>
      </c>
      <c r="I151" s="13">
        <v>45195.423726851855</v>
      </c>
      <c r="J151" s="12" t="s">
        <v>22</v>
      </c>
      <c r="K151" s="12"/>
      <c r="L151" s="12"/>
      <c r="M151" s="4" t="s">
        <v>23</v>
      </c>
      <c r="N151" s="12" t="str">
        <f t="shared" si="5"/>
        <v>057 - 48148424</v>
      </c>
      <c r="O151" s="9" t="s">
        <v>125</v>
      </c>
      <c r="P151" s="9"/>
      <c r="Q151" s="9"/>
      <c r="R151" s="9"/>
    </row>
    <row r="152" spans="2:18" ht="12.75" hidden="1" customHeight="1">
      <c r="C152" s="12" t="s">
        <v>97</v>
      </c>
      <c r="D152" s="12" t="s">
        <v>18</v>
      </c>
      <c r="E152" s="12" t="s">
        <v>19</v>
      </c>
      <c r="F152" s="12">
        <v>3</v>
      </c>
      <c r="G152" s="12" t="s">
        <v>20</v>
      </c>
      <c r="H152" s="12" t="s">
        <v>33</v>
      </c>
      <c r="I152" s="13">
        <v>45195.423692129632</v>
      </c>
      <c r="J152" s="12" t="s">
        <v>22</v>
      </c>
      <c r="K152" s="12"/>
      <c r="L152" s="12"/>
      <c r="M152" s="4" t="s">
        <v>23</v>
      </c>
      <c r="N152" s="12" t="str">
        <f t="shared" si="5"/>
        <v>057 - 48148424</v>
      </c>
      <c r="O152" s="9" t="s">
        <v>125</v>
      </c>
      <c r="P152" s="9"/>
      <c r="Q152" s="9"/>
      <c r="R152" s="9"/>
    </row>
    <row r="153" spans="2:18" ht="12.75" hidden="1" customHeight="1" thickBot="1">
      <c r="B153" s="5"/>
      <c r="C153" s="12" t="s">
        <v>126</v>
      </c>
      <c r="D153" s="12" t="s">
        <v>18</v>
      </c>
      <c r="E153" s="12" t="s">
        <v>19</v>
      </c>
      <c r="F153" s="12">
        <v>3</v>
      </c>
      <c r="G153" s="12" t="s">
        <v>20</v>
      </c>
      <c r="H153" s="12" t="s">
        <v>33</v>
      </c>
      <c r="I153" s="13">
        <v>45195.423668981479</v>
      </c>
      <c r="J153" s="12" t="s">
        <v>22</v>
      </c>
      <c r="K153" s="12"/>
      <c r="L153" s="12"/>
      <c r="M153" s="4" t="s">
        <v>23</v>
      </c>
      <c r="N153" s="12" t="str">
        <f t="shared" si="5"/>
        <v>057 - 46801823</v>
      </c>
      <c r="O153" s="9" t="s">
        <v>125</v>
      </c>
      <c r="P153" s="9"/>
      <c r="Q153" s="9"/>
      <c r="R153" s="9"/>
    </row>
    <row r="154" spans="2:18" ht="12.75" hidden="1" customHeight="1" thickBot="1">
      <c r="B154" s="6"/>
      <c r="C154" s="12" t="s">
        <v>97</v>
      </c>
      <c r="D154" s="12" t="s">
        <v>18</v>
      </c>
      <c r="E154" s="12" t="s">
        <v>19</v>
      </c>
      <c r="F154" s="12">
        <v>3</v>
      </c>
      <c r="G154" s="12" t="s">
        <v>20</v>
      </c>
      <c r="H154" s="12" t="s">
        <v>33</v>
      </c>
      <c r="I154" s="13">
        <v>45195.423634259256</v>
      </c>
      <c r="J154" s="12" t="s">
        <v>22</v>
      </c>
      <c r="K154" s="12"/>
      <c r="L154" s="12"/>
      <c r="M154" s="4" t="s">
        <v>23</v>
      </c>
      <c r="N154" s="12" t="str">
        <f t="shared" si="5"/>
        <v>057 - 48148424</v>
      </c>
      <c r="O154" s="9" t="s">
        <v>125</v>
      </c>
      <c r="P154" s="9"/>
      <c r="Q154" s="9"/>
      <c r="R154" s="9"/>
    </row>
    <row r="155" spans="2:18" ht="12.75" hidden="1" customHeight="1" thickBot="1">
      <c r="B155" s="5"/>
      <c r="C155" s="12" t="s">
        <v>51</v>
      </c>
      <c r="D155" s="12" t="s">
        <v>18</v>
      </c>
      <c r="E155" s="12" t="s">
        <v>19</v>
      </c>
      <c r="F155" s="12">
        <v>3</v>
      </c>
      <c r="G155" s="12" t="s">
        <v>20</v>
      </c>
      <c r="H155" s="12" t="s">
        <v>33</v>
      </c>
      <c r="I155" s="13">
        <v>45195.423611111109</v>
      </c>
      <c r="J155" s="12" t="s">
        <v>22</v>
      </c>
      <c r="K155" s="12"/>
      <c r="L155" s="12"/>
      <c r="M155" s="4" t="s">
        <v>23</v>
      </c>
      <c r="N155" s="12" t="str">
        <f t="shared" si="5"/>
        <v>057 - 04247003</v>
      </c>
      <c r="O155" s="9" t="s">
        <v>125</v>
      </c>
      <c r="P155" s="9"/>
      <c r="Q155" s="9"/>
      <c r="R155" s="9"/>
    </row>
    <row r="156" spans="2:18" ht="12.75" hidden="1" customHeight="1" thickBot="1">
      <c r="B156" s="6"/>
      <c r="C156" s="12" t="s">
        <v>128</v>
      </c>
      <c r="D156" s="12" t="s">
        <v>18</v>
      </c>
      <c r="E156" s="12" t="s">
        <v>19</v>
      </c>
      <c r="F156" s="12">
        <v>3</v>
      </c>
      <c r="G156" s="12" t="s">
        <v>20</v>
      </c>
      <c r="H156" s="12" t="s">
        <v>42</v>
      </c>
      <c r="I156" s="13">
        <v>45195.423530092594</v>
      </c>
      <c r="J156" s="12" t="s">
        <v>22</v>
      </c>
      <c r="K156" s="12"/>
      <c r="L156" s="12"/>
      <c r="M156" s="4" t="s">
        <v>23</v>
      </c>
      <c r="N156" s="12" t="str">
        <f t="shared" si="5"/>
        <v>074 - 46583110</v>
      </c>
      <c r="O156" s="9" t="s">
        <v>24</v>
      </c>
      <c r="P156" s="9" t="s">
        <v>25</v>
      </c>
      <c r="Q156" s="9"/>
      <c r="R156" s="9" t="s">
        <v>52</v>
      </c>
    </row>
    <row r="157" spans="2:18" ht="12.75" hidden="1" customHeight="1" thickBot="1">
      <c r="B157" s="5"/>
      <c r="C157" s="12" t="s">
        <v>129</v>
      </c>
      <c r="D157" s="12" t="s">
        <v>18</v>
      </c>
      <c r="E157" s="12" t="s">
        <v>19</v>
      </c>
      <c r="F157" s="12">
        <v>3</v>
      </c>
      <c r="G157" s="12" t="s">
        <v>20</v>
      </c>
      <c r="H157" s="12" t="s">
        <v>33</v>
      </c>
      <c r="I157" s="13">
        <v>45195.423483796294</v>
      </c>
      <c r="J157" s="12" t="s">
        <v>22</v>
      </c>
      <c r="K157" s="12"/>
      <c r="L157" s="12"/>
      <c r="M157" s="4" t="s">
        <v>23</v>
      </c>
      <c r="N157" s="12" t="str">
        <f t="shared" si="5"/>
        <v>057 - 46967465</v>
      </c>
      <c r="O157" s="9" t="s">
        <v>24</v>
      </c>
      <c r="P157" s="9" t="s">
        <v>25</v>
      </c>
      <c r="Q157" s="9"/>
      <c r="R157" s="9" t="s">
        <v>52</v>
      </c>
    </row>
    <row r="158" spans="2:18" ht="12.75" hidden="1" customHeight="1" thickBot="1">
      <c r="B158" s="6"/>
      <c r="C158" s="12" t="s">
        <v>130</v>
      </c>
      <c r="D158" s="12" t="s">
        <v>18</v>
      </c>
      <c r="E158" s="12" t="s">
        <v>19</v>
      </c>
      <c r="F158" s="12">
        <v>3</v>
      </c>
      <c r="G158" s="12" t="s">
        <v>20</v>
      </c>
      <c r="H158" s="12" t="s">
        <v>33</v>
      </c>
      <c r="I158" s="13">
        <v>45195.423414351855</v>
      </c>
      <c r="J158" s="12" t="s">
        <v>22</v>
      </c>
      <c r="K158" s="12"/>
      <c r="L158" s="12"/>
      <c r="M158" s="4" t="s">
        <v>23</v>
      </c>
      <c r="N158" s="12" t="str">
        <f t="shared" si="5"/>
        <v>057 - 46545925</v>
      </c>
      <c r="O158" s="9" t="s">
        <v>24</v>
      </c>
      <c r="P158" s="9" t="s">
        <v>25</v>
      </c>
      <c r="Q158" s="9"/>
      <c r="R158" s="9" t="s">
        <v>52</v>
      </c>
    </row>
    <row r="159" spans="2:18" ht="12.75" hidden="1" customHeight="1" thickBot="1">
      <c r="B159" s="5"/>
      <c r="C159" s="12" t="s">
        <v>131</v>
      </c>
      <c r="D159" s="12" t="s">
        <v>18</v>
      </c>
      <c r="E159" s="12" t="s">
        <v>19</v>
      </c>
      <c r="F159" s="12">
        <v>3</v>
      </c>
      <c r="G159" s="12" t="s">
        <v>20</v>
      </c>
      <c r="H159" s="12" t="s">
        <v>33</v>
      </c>
      <c r="I159" s="13">
        <v>45195.423356481479</v>
      </c>
      <c r="J159" s="12" t="s">
        <v>22</v>
      </c>
      <c r="K159" s="12"/>
      <c r="L159" s="12"/>
      <c r="M159" s="4" t="s">
        <v>23</v>
      </c>
      <c r="N159" s="12" t="str">
        <f t="shared" si="5"/>
        <v>057 - 04164075</v>
      </c>
      <c r="O159" s="9" t="s">
        <v>24</v>
      </c>
      <c r="P159" s="9" t="s">
        <v>25</v>
      </c>
      <c r="Q159" s="9"/>
      <c r="R159" s="9" t="s">
        <v>52</v>
      </c>
    </row>
    <row r="160" spans="2:18" ht="12.75" hidden="1" customHeight="1" thickBot="1">
      <c r="B160" s="6"/>
      <c r="C160" s="12" t="s">
        <v>132</v>
      </c>
      <c r="D160" s="12" t="s">
        <v>18</v>
      </c>
      <c r="E160" s="12" t="s">
        <v>19</v>
      </c>
      <c r="F160" s="12">
        <v>3</v>
      </c>
      <c r="G160" s="12" t="s">
        <v>20</v>
      </c>
      <c r="H160" s="12" t="s">
        <v>33</v>
      </c>
      <c r="I160" s="13">
        <v>45195.42328703704</v>
      </c>
      <c r="J160" s="12" t="s">
        <v>22</v>
      </c>
      <c r="K160" s="12"/>
      <c r="L160" s="12"/>
      <c r="M160" s="4" t="s">
        <v>23</v>
      </c>
      <c r="N160" s="12" t="str">
        <f t="shared" si="5"/>
        <v>057 - 04109346</v>
      </c>
      <c r="O160" s="9" t="s">
        <v>24</v>
      </c>
      <c r="P160" s="9" t="s">
        <v>25</v>
      </c>
      <c r="Q160" s="9"/>
      <c r="R160" s="9" t="s">
        <v>52</v>
      </c>
    </row>
    <row r="161" spans="2:18" ht="12.75" hidden="1" customHeight="1" thickBot="1">
      <c r="B161" s="5"/>
      <c r="C161" s="12" t="s">
        <v>54</v>
      </c>
      <c r="D161" s="12" t="s">
        <v>18</v>
      </c>
      <c r="E161" s="12" t="s">
        <v>19</v>
      </c>
      <c r="F161" s="12">
        <v>3</v>
      </c>
      <c r="G161" s="12" t="s">
        <v>20</v>
      </c>
      <c r="H161" s="12" t="s">
        <v>33</v>
      </c>
      <c r="I161" s="13">
        <v>45195.423229166663</v>
      </c>
      <c r="J161" s="12" t="s">
        <v>22</v>
      </c>
      <c r="K161" s="12"/>
      <c r="L161" s="12"/>
      <c r="M161" s="4" t="s">
        <v>23</v>
      </c>
      <c r="N161" s="12" t="str">
        <f t="shared" si="5"/>
        <v>057 - 48110720</v>
      </c>
      <c r="O161" s="9" t="s">
        <v>125</v>
      </c>
      <c r="P161" s="9"/>
      <c r="Q161" s="9"/>
      <c r="R161" s="9"/>
    </row>
    <row r="162" spans="2:18" ht="12.75" hidden="1" customHeight="1" thickBot="1">
      <c r="B162" s="6"/>
      <c r="C162" s="12" t="s">
        <v>133</v>
      </c>
      <c r="D162" s="12" t="s">
        <v>18</v>
      </c>
      <c r="E162" s="12" t="s">
        <v>19</v>
      </c>
      <c r="F162" s="12">
        <v>3</v>
      </c>
      <c r="G162" s="12" t="s">
        <v>20</v>
      </c>
      <c r="H162" s="12" t="s">
        <v>33</v>
      </c>
      <c r="I162" s="13">
        <v>45195.423171296294</v>
      </c>
      <c r="J162" s="12" t="s">
        <v>22</v>
      </c>
      <c r="K162" s="12"/>
      <c r="L162" s="12"/>
      <c r="M162" s="4" t="s">
        <v>23</v>
      </c>
      <c r="N162" s="12" t="str">
        <f t="shared" si="5"/>
        <v>057 - 91459701</v>
      </c>
      <c r="O162" s="9" t="s">
        <v>24</v>
      </c>
      <c r="P162" s="9" t="s">
        <v>25</v>
      </c>
      <c r="Q162" s="9" t="s">
        <v>134</v>
      </c>
      <c r="R162" s="9" t="s">
        <v>52</v>
      </c>
    </row>
    <row r="163" spans="2:18" ht="12.75" hidden="1" customHeight="1" thickBot="1">
      <c r="B163" s="5"/>
      <c r="C163" s="12" t="s">
        <v>135</v>
      </c>
      <c r="D163" s="12" t="s">
        <v>18</v>
      </c>
      <c r="E163" s="12" t="s">
        <v>19</v>
      </c>
      <c r="F163" s="12">
        <v>3</v>
      </c>
      <c r="G163" s="12" t="s">
        <v>20</v>
      </c>
      <c r="H163" s="12" t="s">
        <v>33</v>
      </c>
      <c r="I163" s="13">
        <v>45195.423148148147</v>
      </c>
      <c r="J163" s="12" t="s">
        <v>22</v>
      </c>
      <c r="K163" s="12"/>
      <c r="L163" s="12"/>
      <c r="M163" s="4" t="s">
        <v>23</v>
      </c>
      <c r="N163" s="12" t="str">
        <f t="shared" si="5"/>
        <v>057 - 12488560</v>
      </c>
      <c r="O163" s="9" t="s">
        <v>24</v>
      </c>
      <c r="P163" s="9" t="s">
        <v>25</v>
      </c>
      <c r="Q163" s="9" t="s">
        <v>136</v>
      </c>
      <c r="R163" s="9" t="s">
        <v>52</v>
      </c>
    </row>
    <row r="164" spans="2:18" ht="12.75" hidden="1" customHeight="1" thickBot="1">
      <c r="B164" s="6"/>
      <c r="C164" s="12" t="s">
        <v>54</v>
      </c>
      <c r="D164" s="12" t="s">
        <v>18</v>
      </c>
      <c r="E164" s="12" t="s">
        <v>19</v>
      </c>
      <c r="F164" s="12">
        <v>3</v>
      </c>
      <c r="G164" s="12" t="s">
        <v>20</v>
      </c>
      <c r="H164" s="12" t="s">
        <v>33</v>
      </c>
      <c r="I164" s="13">
        <v>45195.423113425924</v>
      </c>
      <c r="J164" s="12" t="s">
        <v>22</v>
      </c>
      <c r="K164" s="12"/>
      <c r="L164" s="12"/>
      <c r="M164" s="4" t="s">
        <v>23</v>
      </c>
      <c r="N164" s="12" t="str">
        <f t="shared" si="5"/>
        <v>057 - 48110720</v>
      </c>
      <c r="O164" s="9" t="s">
        <v>125</v>
      </c>
      <c r="P164" s="9"/>
      <c r="Q164" s="9"/>
      <c r="R164" s="9"/>
    </row>
    <row r="165" spans="2:18" ht="12.75" hidden="1" customHeight="1" thickBot="1">
      <c r="B165" s="5"/>
      <c r="C165" s="12" t="s">
        <v>54</v>
      </c>
      <c r="D165" s="12" t="s">
        <v>18</v>
      </c>
      <c r="E165" s="12" t="s">
        <v>19</v>
      </c>
      <c r="F165" s="12">
        <v>3</v>
      </c>
      <c r="G165" s="12" t="s">
        <v>20</v>
      </c>
      <c r="H165" s="12" t="s">
        <v>33</v>
      </c>
      <c r="I165" s="13">
        <v>45195.423078703701</v>
      </c>
      <c r="J165" s="12" t="s">
        <v>22</v>
      </c>
      <c r="K165" s="12"/>
      <c r="L165" s="12"/>
      <c r="M165" s="4" t="s">
        <v>23</v>
      </c>
      <c r="N165" s="12" t="str">
        <f t="shared" si="5"/>
        <v>057 - 48110720</v>
      </c>
      <c r="O165" s="9" t="s">
        <v>125</v>
      </c>
      <c r="P165" s="9"/>
      <c r="Q165" s="9"/>
      <c r="R165" s="9"/>
    </row>
    <row r="166" spans="2:18" ht="12.75" hidden="1" customHeight="1" thickBot="1">
      <c r="B166" s="6"/>
      <c r="C166" s="12" t="s">
        <v>54</v>
      </c>
      <c r="D166" s="12" t="s">
        <v>18</v>
      </c>
      <c r="E166" s="12" t="s">
        <v>19</v>
      </c>
      <c r="F166" s="12">
        <v>3</v>
      </c>
      <c r="G166" s="12" t="s">
        <v>20</v>
      </c>
      <c r="H166" s="12" t="s">
        <v>33</v>
      </c>
      <c r="I166" s="13">
        <v>45195.423043981478</v>
      </c>
      <c r="J166" s="12" t="s">
        <v>22</v>
      </c>
      <c r="K166" s="12"/>
      <c r="L166" s="12"/>
      <c r="M166" s="4" t="s">
        <v>23</v>
      </c>
      <c r="N166" s="12" t="str">
        <f t="shared" si="5"/>
        <v>057 - 48110720</v>
      </c>
      <c r="O166" s="9" t="s">
        <v>125</v>
      </c>
      <c r="P166" s="9"/>
      <c r="Q166" s="9"/>
      <c r="R166" s="9"/>
    </row>
    <row r="167" spans="2:18" ht="12.75" hidden="1" customHeight="1" thickBot="1">
      <c r="B167" s="5"/>
      <c r="C167" s="12" t="s">
        <v>54</v>
      </c>
      <c r="D167" s="12" t="s">
        <v>18</v>
      </c>
      <c r="E167" s="12" t="s">
        <v>19</v>
      </c>
      <c r="F167" s="12">
        <v>3</v>
      </c>
      <c r="G167" s="12" t="s">
        <v>20</v>
      </c>
      <c r="H167" s="12" t="s">
        <v>33</v>
      </c>
      <c r="I167" s="13">
        <v>45195.423020833332</v>
      </c>
      <c r="J167" s="12" t="s">
        <v>22</v>
      </c>
      <c r="K167" s="12"/>
      <c r="L167" s="12"/>
      <c r="M167" s="4" t="s">
        <v>23</v>
      </c>
      <c r="N167" s="12" t="str">
        <f t="shared" ref="N167:N198" si="6">LEFT(C167,14)</f>
        <v>057 - 48110720</v>
      </c>
      <c r="O167" s="9" t="s">
        <v>125</v>
      </c>
      <c r="P167" s="9"/>
      <c r="Q167" s="9"/>
      <c r="R167" s="9"/>
    </row>
    <row r="168" spans="2:18" ht="12.75" hidden="1" customHeight="1" thickBot="1">
      <c r="B168" s="6"/>
      <c r="C168" s="12" t="s">
        <v>133</v>
      </c>
      <c r="D168" s="12" t="s">
        <v>18</v>
      </c>
      <c r="E168" s="12" t="s">
        <v>19</v>
      </c>
      <c r="F168" s="12">
        <v>3</v>
      </c>
      <c r="G168" s="12" t="s">
        <v>20</v>
      </c>
      <c r="H168" s="12" t="s">
        <v>33</v>
      </c>
      <c r="I168" s="13">
        <v>45195.422974537039</v>
      </c>
      <c r="J168" s="12" t="s">
        <v>22</v>
      </c>
      <c r="K168" s="12"/>
      <c r="L168" s="12"/>
      <c r="M168" s="4" t="s">
        <v>23</v>
      </c>
      <c r="N168" s="12" t="str">
        <f t="shared" si="6"/>
        <v>057 - 91459701</v>
      </c>
      <c r="O168" s="9" t="s">
        <v>125</v>
      </c>
      <c r="P168" s="9"/>
      <c r="Q168" s="9"/>
      <c r="R168" s="9"/>
    </row>
    <row r="169" spans="2:18" ht="12.75" hidden="1" customHeight="1" thickBot="1">
      <c r="B169" s="5"/>
      <c r="C169" s="12" t="s">
        <v>133</v>
      </c>
      <c r="D169" s="12" t="s">
        <v>18</v>
      </c>
      <c r="E169" s="12" t="s">
        <v>19</v>
      </c>
      <c r="F169" s="12">
        <v>3</v>
      </c>
      <c r="G169" s="12" t="s">
        <v>20</v>
      </c>
      <c r="H169" s="12" t="s">
        <v>33</v>
      </c>
      <c r="I169" s="13">
        <v>45195.42292824074</v>
      </c>
      <c r="J169" s="12" t="s">
        <v>22</v>
      </c>
      <c r="K169" s="12"/>
      <c r="L169" s="12"/>
      <c r="M169" s="4" t="s">
        <v>23</v>
      </c>
      <c r="N169" s="12" t="str">
        <f t="shared" si="6"/>
        <v>057 - 91459701</v>
      </c>
      <c r="O169" s="9" t="s">
        <v>125</v>
      </c>
      <c r="P169" s="9"/>
      <c r="Q169" s="9"/>
      <c r="R169" s="9"/>
    </row>
    <row r="170" spans="2:18" ht="12.75" hidden="1" customHeight="1" thickBot="1">
      <c r="B170" s="6"/>
      <c r="C170" s="12" t="s">
        <v>137</v>
      </c>
      <c r="D170" s="12" t="s">
        <v>18</v>
      </c>
      <c r="E170" s="12" t="s">
        <v>19</v>
      </c>
      <c r="F170" s="12">
        <v>3</v>
      </c>
      <c r="G170" s="12" t="s">
        <v>20</v>
      </c>
      <c r="H170" s="12" t="s">
        <v>33</v>
      </c>
      <c r="I170" s="13">
        <v>45195.42287037037</v>
      </c>
      <c r="J170" s="12" t="s">
        <v>22</v>
      </c>
      <c r="K170" s="12"/>
      <c r="L170" s="12"/>
      <c r="M170" s="4" t="s">
        <v>23</v>
      </c>
      <c r="N170" s="12" t="str">
        <f t="shared" si="6"/>
        <v>057 - 03525911</v>
      </c>
      <c r="O170" s="9" t="s">
        <v>24</v>
      </c>
      <c r="P170" s="9" t="s">
        <v>25</v>
      </c>
      <c r="Q170" s="9" t="s">
        <v>138</v>
      </c>
      <c r="R170" s="9" t="s">
        <v>139</v>
      </c>
    </row>
    <row r="171" spans="2:18" ht="12.75" hidden="1" customHeight="1" thickBot="1">
      <c r="B171" s="5"/>
      <c r="C171" s="12" t="s">
        <v>137</v>
      </c>
      <c r="D171" s="12" t="s">
        <v>18</v>
      </c>
      <c r="E171" s="12" t="s">
        <v>19</v>
      </c>
      <c r="F171" s="12">
        <v>3</v>
      </c>
      <c r="G171" s="12" t="s">
        <v>20</v>
      </c>
      <c r="H171" s="12" t="s">
        <v>33</v>
      </c>
      <c r="I171" s="13">
        <v>45195.422835648147</v>
      </c>
      <c r="J171" s="12" t="s">
        <v>22</v>
      </c>
      <c r="K171" s="12"/>
      <c r="L171" s="12"/>
      <c r="M171" s="4" t="s">
        <v>23</v>
      </c>
      <c r="N171" s="12" t="str">
        <f t="shared" si="6"/>
        <v>057 - 03525911</v>
      </c>
      <c r="O171" s="9" t="s">
        <v>125</v>
      </c>
      <c r="P171" s="9"/>
      <c r="Q171" s="9"/>
      <c r="R171" s="9"/>
    </row>
    <row r="172" spans="2:18" ht="12.75" hidden="1" customHeight="1" thickBot="1">
      <c r="B172" s="6"/>
      <c r="C172" s="12" t="s">
        <v>140</v>
      </c>
      <c r="D172" s="12" t="s">
        <v>18</v>
      </c>
      <c r="E172" s="12" t="s">
        <v>19</v>
      </c>
      <c r="F172" s="12">
        <v>3</v>
      </c>
      <c r="G172" s="12" t="s">
        <v>20</v>
      </c>
      <c r="H172" s="12" t="s">
        <v>33</v>
      </c>
      <c r="I172" s="13">
        <v>45195.422800925924</v>
      </c>
      <c r="J172" s="12" t="s">
        <v>22</v>
      </c>
      <c r="K172" s="12"/>
      <c r="L172" s="12"/>
      <c r="M172" s="4" t="s">
        <v>23</v>
      </c>
      <c r="N172" s="12" t="str">
        <f>LEFT(C172,14)</f>
        <v>057 - 46737821</v>
      </c>
      <c r="O172" s="9" t="s">
        <v>24</v>
      </c>
      <c r="P172" s="9" t="s">
        <v>25</v>
      </c>
      <c r="Q172" s="9" t="s">
        <v>141</v>
      </c>
      <c r="R172" s="9" t="s">
        <v>52</v>
      </c>
    </row>
    <row r="173" spans="2:18" ht="12.75" hidden="1" customHeight="1" thickBot="1">
      <c r="B173" s="5"/>
      <c r="C173" s="12" t="s">
        <v>140</v>
      </c>
      <c r="D173" s="12" t="s">
        <v>18</v>
      </c>
      <c r="E173" s="12" t="s">
        <v>19</v>
      </c>
      <c r="F173" s="12">
        <v>3</v>
      </c>
      <c r="G173" s="12" t="s">
        <v>20</v>
      </c>
      <c r="H173" s="12" t="s">
        <v>33</v>
      </c>
      <c r="I173" s="13">
        <v>45195.422777777778</v>
      </c>
      <c r="J173" s="12" t="s">
        <v>22</v>
      </c>
      <c r="K173" s="12"/>
      <c r="L173" s="12"/>
      <c r="M173" s="4" t="s">
        <v>23</v>
      </c>
      <c r="N173" s="12" t="str">
        <f t="shared" si="6"/>
        <v>057 - 46737821</v>
      </c>
      <c r="O173" s="9" t="s">
        <v>125</v>
      </c>
      <c r="P173" s="9"/>
      <c r="Q173" s="9"/>
      <c r="R173" s="9"/>
    </row>
    <row r="174" spans="2:18" ht="12.75" hidden="1" customHeight="1" thickBot="1">
      <c r="B174" s="6"/>
      <c r="C174" s="12" t="s">
        <v>140</v>
      </c>
      <c r="D174" s="12" t="s">
        <v>18</v>
      </c>
      <c r="E174" s="12" t="s">
        <v>19</v>
      </c>
      <c r="F174" s="12">
        <v>3</v>
      </c>
      <c r="G174" s="12" t="s">
        <v>20</v>
      </c>
      <c r="H174" s="12" t="s">
        <v>33</v>
      </c>
      <c r="I174" s="13">
        <v>45195.422731481478</v>
      </c>
      <c r="J174" s="12" t="s">
        <v>22</v>
      </c>
      <c r="K174" s="12"/>
      <c r="L174" s="12"/>
      <c r="M174" s="4" t="s">
        <v>23</v>
      </c>
      <c r="N174" s="12" t="str">
        <f t="shared" si="6"/>
        <v>057 - 46737821</v>
      </c>
      <c r="O174" s="9" t="s">
        <v>125</v>
      </c>
      <c r="P174" s="9"/>
      <c r="Q174" s="9"/>
      <c r="R174" s="9"/>
    </row>
    <row r="175" spans="2:18" ht="12.75" hidden="1" customHeight="1" thickBot="1">
      <c r="B175" s="5"/>
      <c r="C175" s="12" t="s">
        <v>142</v>
      </c>
      <c r="D175" s="12" t="s">
        <v>18</v>
      </c>
      <c r="E175" s="12" t="s">
        <v>19</v>
      </c>
      <c r="F175" s="12">
        <v>3</v>
      </c>
      <c r="G175" s="12" t="s">
        <v>20</v>
      </c>
      <c r="H175" s="12" t="s">
        <v>45</v>
      </c>
      <c r="I175" s="13">
        <v>45195.422696759262</v>
      </c>
      <c r="J175" s="12" t="s">
        <v>22</v>
      </c>
      <c r="K175" s="12"/>
      <c r="L175" s="12"/>
      <c r="M175" s="4" t="s">
        <v>23</v>
      </c>
      <c r="N175" s="12" t="str">
        <f t="shared" si="6"/>
        <v>057 - 47777553</v>
      </c>
      <c r="O175" s="9" t="s">
        <v>24</v>
      </c>
      <c r="P175" s="9"/>
      <c r="Q175" s="9" t="s">
        <v>43</v>
      </c>
      <c r="R175" s="9"/>
    </row>
    <row r="176" spans="2:18" ht="12.75" hidden="1" customHeight="1" thickBot="1">
      <c r="B176" s="6"/>
      <c r="C176" s="12" t="s">
        <v>142</v>
      </c>
      <c r="D176" s="12" t="s">
        <v>18</v>
      </c>
      <c r="E176" s="12" t="s">
        <v>19</v>
      </c>
      <c r="F176" s="12">
        <v>3</v>
      </c>
      <c r="G176" s="12" t="s">
        <v>20</v>
      </c>
      <c r="H176" s="12" t="s">
        <v>46</v>
      </c>
      <c r="I176" s="13">
        <v>45195.422662037039</v>
      </c>
      <c r="J176" s="12" t="s">
        <v>22</v>
      </c>
      <c r="K176" s="12"/>
      <c r="L176" s="12"/>
      <c r="M176" s="4" t="s">
        <v>23</v>
      </c>
      <c r="N176" s="12" t="str">
        <f t="shared" si="6"/>
        <v>057 - 47777553</v>
      </c>
      <c r="O176" s="9" t="s">
        <v>125</v>
      </c>
      <c r="P176" s="9"/>
      <c r="Q176" s="9"/>
      <c r="R176" s="9"/>
    </row>
    <row r="177" spans="2:18" ht="12.75" hidden="1" customHeight="1">
      <c r="C177" s="12" t="s">
        <v>143</v>
      </c>
      <c r="D177" s="12" t="s">
        <v>18</v>
      </c>
      <c r="E177" s="12" t="s">
        <v>19</v>
      </c>
      <c r="F177" s="12">
        <v>3</v>
      </c>
      <c r="G177" s="12" t="s">
        <v>20</v>
      </c>
      <c r="H177" s="12" t="s">
        <v>45</v>
      </c>
      <c r="I177" s="13">
        <v>45195.422615740739</v>
      </c>
      <c r="J177" s="12" t="s">
        <v>22</v>
      </c>
      <c r="K177" s="12"/>
      <c r="L177" s="12"/>
      <c r="M177" s="4" t="s">
        <v>23</v>
      </c>
      <c r="N177" s="12" t="str">
        <f t="shared" si="6"/>
        <v>057 - 45788691</v>
      </c>
      <c r="O177" s="9" t="s">
        <v>24</v>
      </c>
      <c r="P177" s="9"/>
      <c r="Q177" s="9" t="s">
        <v>43</v>
      </c>
      <c r="R177" s="9" t="s">
        <v>52</v>
      </c>
    </row>
    <row r="178" spans="2:18" ht="12.75" hidden="1" customHeight="1" thickBot="1">
      <c r="B178" s="5"/>
      <c r="C178" s="12" t="s">
        <v>143</v>
      </c>
      <c r="D178" s="12" t="s">
        <v>18</v>
      </c>
      <c r="E178" s="12" t="s">
        <v>19</v>
      </c>
      <c r="F178" s="12">
        <v>3</v>
      </c>
      <c r="G178" s="12" t="s">
        <v>20</v>
      </c>
      <c r="H178" s="12" t="s">
        <v>46</v>
      </c>
      <c r="I178" s="13">
        <v>45195.422569444447</v>
      </c>
      <c r="J178" s="12" t="s">
        <v>22</v>
      </c>
      <c r="K178" s="12"/>
      <c r="L178" s="12"/>
      <c r="M178" s="4" t="s">
        <v>23</v>
      </c>
      <c r="N178" s="12" t="str">
        <f t="shared" si="6"/>
        <v>057 - 45788691</v>
      </c>
      <c r="O178" s="9" t="s">
        <v>125</v>
      </c>
      <c r="P178" s="9"/>
      <c r="Q178" s="9"/>
      <c r="R178" s="9"/>
    </row>
    <row r="179" spans="2:18" ht="12.75" hidden="1" customHeight="1" thickBot="1">
      <c r="B179" s="6"/>
      <c r="C179" s="12" t="s">
        <v>144</v>
      </c>
      <c r="D179" s="12" t="s">
        <v>18</v>
      </c>
      <c r="E179" s="12" t="s">
        <v>19</v>
      </c>
      <c r="F179" s="12">
        <v>3</v>
      </c>
      <c r="G179" s="12" t="s">
        <v>20</v>
      </c>
      <c r="H179" s="12" t="s">
        <v>33</v>
      </c>
      <c r="I179" s="13">
        <v>45195.422546296293</v>
      </c>
      <c r="J179" s="12" t="s">
        <v>22</v>
      </c>
      <c r="K179" s="12"/>
      <c r="L179" s="12"/>
      <c r="M179" s="4" t="s">
        <v>23</v>
      </c>
      <c r="N179" s="12" t="str">
        <f t="shared" si="6"/>
        <v>057 - 04250960</v>
      </c>
      <c r="O179" s="9" t="s">
        <v>24</v>
      </c>
      <c r="P179" s="9" t="s">
        <v>25</v>
      </c>
      <c r="Q179" s="9"/>
      <c r="R179" s="9" t="s">
        <v>52</v>
      </c>
    </row>
    <row r="180" spans="2:18" ht="12.75" hidden="1" customHeight="1" thickBot="1">
      <c r="B180" s="5"/>
      <c r="C180" s="12" t="s">
        <v>145</v>
      </c>
      <c r="D180" s="12" t="s">
        <v>18</v>
      </c>
      <c r="E180" s="12" t="s">
        <v>19</v>
      </c>
      <c r="F180" s="12">
        <v>3</v>
      </c>
      <c r="G180" s="12" t="s">
        <v>20</v>
      </c>
      <c r="H180" s="12" t="s">
        <v>33</v>
      </c>
      <c r="I180" s="13">
        <v>45195.422500000001</v>
      </c>
      <c r="J180" s="12" t="s">
        <v>22</v>
      </c>
      <c r="K180" s="12"/>
      <c r="L180" s="12"/>
      <c r="M180" s="4" t="s">
        <v>23</v>
      </c>
      <c r="N180" s="12" t="str">
        <f t="shared" si="6"/>
        <v>057 - 04254714</v>
      </c>
      <c r="O180" s="9" t="s">
        <v>24</v>
      </c>
      <c r="P180" s="9" t="s">
        <v>25</v>
      </c>
      <c r="Q180" s="9" t="s">
        <v>146</v>
      </c>
      <c r="R180" s="9" t="s">
        <v>52</v>
      </c>
    </row>
    <row r="181" spans="2:18" ht="12.75" hidden="1" customHeight="1" thickBot="1">
      <c r="B181" s="6"/>
      <c r="C181" s="12" t="s">
        <v>147</v>
      </c>
      <c r="D181" s="12" t="s">
        <v>18</v>
      </c>
      <c r="E181" s="12" t="s">
        <v>19</v>
      </c>
      <c r="F181" s="12">
        <v>3</v>
      </c>
      <c r="G181" s="12" t="s">
        <v>20</v>
      </c>
      <c r="H181" s="12" t="s">
        <v>33</v>
      </c>
      <c r="I181" s="13">
        <v>45195.422442129631</v>
      </c>
      <c r="J181" s="12" t="s">
        <v>22</v>
      </c>
      <c r="K181" s="12"/>
      <c r="L181" s="12"/>
      <c r="M181" s="4" t="s">
        <v>23</v>
      </c>
      <c r="N181" s="12" t="str">
        <f t="shared" si="6"/>
        <v>057 - 08554302</v>
      </c>
      <c r="O181" s="9" t="s">
        <v>24</v>
      </c>
      <c r="P181" s="9" t="s">
        <v>25</v>
      </c>
      <c r="Q181" s="9"/>
      <c r="R181" s="9" t="s">
        <v>52</v>
      </c>
    </row>
    <row r="182" spans="2:18" ht="12.75" hidden="1" customHeight="1" thickBot="1">
      <c r="B182" s="5"/>
      <c r="C182" s="12" t="s">
        <v>148</v>
      </c>
      <c r="D182" s="12" t="s">
        <v>18</v>
      </c>
      <c r="E182" s="12" t="s">
        <v>19</v>
      </c>
      <c r="F182" s="12">
        <v>3</v>
      </c>
      <c r="G182" s="12" t="s">
        <v>20</v>
      </c>
      <c r="H182" s="12" t="s">
        <v>33</v>
      </c>
      <c r="I182" s="13">
        <v>45195.422395833331</v>
      </c>
      <c r="J182" s="12" t="s">
        <v>22</v>
      </c>
      <c r="K182" s="12"/>
      <c r="L182" s="12"/>
      <c r="M182" s="4" t="s">
        <v>23</v>
      </c>
      <c r="N182" s="12" t="str">
        <f t="shared" si="6"/>
        <v>057 - 46045591</v>
      </c>
      <c r="O182" s="9" t="s">
        <v>24</v>
      </c>
      <c r="P182" s="9" t="s">
        <v>25</v>
      </c>
      <c r="Q182" s="9" t="s">
        <v>37</v>
      </c>
      <c r="R182" s="9" t="s">
        <v>52</v>
      </c>
    </row>
    <row r="183" spans="2:18" ht="12.75" hidden="1" customHeight="1" thickBot="1">
      <c r="B183" s="6"/>
      <c r="C183" s="12" t="s">
        <v>149</v>
      </c>
      <c r="D183" s="12" t="s">
        <v>18</v>
      </c>
      <c r="E183" s="12" t="s">
        <v>19</v>
      </c>
      <c r="F183" s="12">
        <v>3</v>
      </c>
      <c r="G183" s="12" t="s">
        <v>20</v>
      </c>
      <c r="H183" s="12" t="s">
        <v>33</v>
      </c>
      <c r="I183" s="13">
        <v>45195.422349537039</v>
      </c>
      <c r="J183" s="12" t="s">
        <v>22</v>
      </c>
      <c r="K183" s="12"/>
      <c r="L183" s="12"/>
      <c r="M183" s="4" t="s">
        <v>23</v>
      </c>
      <c r="N183" s="12" t="str">
        <f>LEFT(C183,14)</f>
        <v>057 - 47863023</v>
      </c>
      <c r="O183" s="9" t="s">
        <v>24</v>
      </c>
      <c r="P183" s="9" t="s">
        <v>25</v>
      </c>
      <c r="Q183" s="9" t="s">
        <v>37</v>
      </c>
      <c r="R183" s="9" t="s">
        <v>52</v>
      </c>
    </row>
    <row r="184" spans="2:18" ht="12.75" hidden="1" customHeight="1" thickBot="1">
      <c r="B184" s="5"/>
      <c r="C184" s="12" t="s">
        <v>150</v>
      </c>
      <c r="D184" s="12" t="s">
        <v>18</v>
      </c>
      <c r="E184" s="12" t="s">
        <v>19</v>
      </c>
      <c r="F184" s="12">
        <v>3</v>
      </c>
      <c r="G184" s="12" t="s">
        <v>20</v>
      </c>
      <c r="H184" s="12" t="s">
        <v>33</v>
      </c>
      <c r="I184" s="13">
        <v>45195.422303240739</v>
      </c>
      <c r="J184" s="12" t="s">
        <v>22</v>
      </c>
      <c r="K184" s="12"/>
      <c r="L184" s="12"/>
      <c r="M184" s="4" t="s">
        <v>23</v>
      </c>
      <c r="N184" s="12" t="str">
        <f t="shared" si="6"/>
        <v>057 - 04250304</v>
      </c>
      <c r="O184" s="9" t="s">
        <v>24</v>
      </c>
      <c r="P184" s="9" t="s">
        <v>25</v>
      </c>
      <c r="Q184" s="9"/>
      <c r="R184" s="9" t="s">
        <v>52</v>
      </c>
    </row>
    <row r="185" spans="2:18" ht="12.75" hidden="1" customHeight="1" thickBot="1">
      <c r="B185" s="6"/>
      <c r="C185" s="12" t="s">
        <v>38</v>
      </c>
      <c r="D185" s="12" t="s">
        <v>18</v>
      </c>
      <c r="E185" s="12" t="s">
        <v>19</v>
      </c>
      <c r="F185" s="12">
        <v>3</v>
      </c>
      <c r="G185" s="12" t="s">
        <v>20</v>
      </c>
      <c r="H185" s="12" t="s">
        <v>33</v>
      </c>
      <c r="I185" s="13">
        <v>45195.422233796293</v>
      </c>
      <c r="J185" s="12" t="s">
        <v>22</v>
      </c>
      <c r="K185" s="12"/>
      <c r="L185" s="12"/>
      <c r="M185" s="4" t="s">
        <v>23</v>
      </c>
      <c r="N185" s="12" t="str">
        <f t="shared" si="6"/>
        <v>057 - 46907313</v>
      </c>
      <c r="O185" s="9" t="s">
        <v>125</v>
      </c>
      <c r="P185" s="9"/>
      <c r="Q185" s="9"/>
      <c r="R185" s="9"/>
    </row>
    <row r="186" spans="2:18" ht="12.75" hidden="1" customHeight="1" thickBot="1">
      <c r="B186" s="5"/>
      <c r="C186" s="12" t="s">
        <v>36</v>
      </c>
      <c r="D186" s="12" t="s">
        <v>18</v>
      </c>
      <c r="E186" s="12" t="s">
        <v>19</v>
      </c>
      <c r="F186" s="12">
        <v>3</v>
      </c>
      <c r="G186" s="12" t="s">
        <v>20</v>
      </c>
      <c r="H186" s="12" t="s">
        <v>33</v>
      </c>
      <c r="I186" s="13">
        <v>45195.4221875</v>
      </c>
      <c r="J186" s="12" t="s">
        <v>22</v>
      </c>
      <c r="K186" s="12"/>
      <c r="L186" s="12"/>
      <c r="M186" s="4" t="s">
        <v>23</v>
      </c>
      <c r="N186" s="12" t="str">
        <f t="shared" si="6"/>
        <v>057 - 46907464</v>
      </c>
      <c r="O186" s="9" t="s">
        <v>125</v>
      </c>
      <c r="P186" s="9"/>
      <c r="Q186" s="9"/>
      <c r="R186" s="9"/>
    </row>
    <row r="187" spans="2:18" ht="12.75" hidden="1" customHeight="1" thickBot="1">
      <c r="B187" s="6"/>
      <c r="C187" s="12" t="s">
        <v>151</v>
      </c>
      <c r="D187" s="12" t="s">
        <v>18</v>
      </c>
      <c r="E187" s="12" t="s">
        <v>19</v>
      </c>
      <c r="F187" s="12">
        <v>3</v>
      </c>
      <c r="G187" s="12" t="s">
        <v>20</v>
      </c>
      <c r="H187" s="12" t="s">
        <v>33</v>
      </c>
      <c r="I187" s="13">
        <v>45195.422118055554</v>
      </c>
      <c r="J187" s="12" t="s">
        <v>22</v>
      </c>
      <c r="K187" s="12"/>
      <c r="L187" s="12"/>
      <c r="M187" s="4" t="s">
        <v>23</v>
      </c>
      <c r="N187" s="12" t="str">
        <f t="shared" si="6"/>
        <v>057 - 47518962</v>
      </c>
      <c r="O187" s="9" t="s">
        <v>94</v>
      </c>
      <c r="P187" s="9" t="s">
        <v>25</v>
      </c>
      <c r="Q187" s="9" t="s">
        <v>152</v>
      </c>
      <c r="R187" s="9"/>
    </row>
    <row r="188" spans="2:18" ht="12.75" hidden="1" customHeight="1" thickBot="1">
      <c r="B188" s="5"/>
      <c r="C188" s="12" t="s">
        <v>153</v>
      </c>
      <c r="D188" s="12" t="s">
        <v>18</v>
      </c>
      <c r="E188" s="12" t="s">
        <v>19</v>
      </c>
      <c r="F188" s="12">
        <v>3</v>
      </c>
      <c r="G188" s="12" t="s">
        <v>20</v>
      </c>
      <c r="H188" s="12" t="s">
        <v>33</v>
      </c>
      <c r="I188" s="13">
        <v>45195.422071759262</v>
      </c>
      <c r="J188" s="12" t="s">
        <v>22</v>
      </c>
      <c r="K188" s="12"/>
      <c r="L188" s="12"/>
      <c r="M188" s="4" t="s">
        <v>23</v>
      </c>
      <c r="N188" s="12" t="str">
        <f t="shared" si="6"/>
        <v>057 - 04195612</v>
      </c>
      <c r="O188" s="9" t="s">
        <v>94</v>
      </c>
      <c r="P188" s="9" t="s">
        <v>25</v>
      </c>
      <c r="Q188" s="9"/>
      <c r="R188" s="9"/>
    </row>
    <row r="189" spans="2:18" ht="12.75" hidden="1" customHeight="1" thickBot="1">
      <c r="B189" s="6"/>
      <c r="C189" s="12" t="s">
        <v>154</v>
      </c>
      <c r="D189" s="12" t="s">
        <v>18</v>
      </c>
      <c r="E189" s="12" t="s">
        <v>19</v>
      </c>
      <c r="F189" s="12">
        <v>3</v>
      </c>
      <c r="G189" s="12" t="s">
        <v>20</v>
      </c>
      <c r="H189" s="12" t="s">
        <v>33</v>
      </c>
      <c r="I189" s="13">
        <v>45195.422025462962</v>
      </c>
      <c r="J189" s="12" t="s">
        <v>22</v>
      </c>
      <c r="K189" s="12"/>
      <c r="L189" s="12"/>
      <c r="M189" s="4" t="s">
        <v>23</v>
      </c>
      <c r="N189" s="12" t="str">
        <f t="shared" si="6"/>
        <v>057 - 04155896</v>
      </c>
      <c r="O189" s="9" t="s">
        <v>94</v>
      </c>
      <c r="P189" s="9" t="s">
        <v>25</v>
      </c>
      <c r="Q189" s="9"/>
      <c r="R189" s="9"/>
    </row>
    <row r="190" spans="2:18" ht="12.75" hidden="1" customHeight="1" thickBot="1">
      <c r="B190" s="5"/>
      <c r="C190" s="12" t="s">
        <v>155</v>
      </c>
      <c r="D190" s="12" t="s">
        <v>18</v>
      </c>
      <c r="E190" s="12" t="s">
        <v>19</v>
      </c>
      <c r="F190" s="12">
        <v>3</v>
      </c>
      <c r="G190" s="12" t="s">
        <v>20</v>
      </c>
      <c r="H190" s="12" t="s">
        <v>33</v>
      </c>
      <c r="I190" s="13">
        <v>45195.421979166669</v>
      </c>
      <c r="J190" s="12" t="s">
        <v>22</v>
      </c>
      <c r="K190" s="12"/>
      <c r="L190" s="12"/>
      <c r="M190" s="4" t="s">
        <v>23</v>
      </c>
      <c r="N190" s="12" t="str">
        <f t="shared" si="6"/>
        <v>057 - 04185392</v>
      </c>
      <c r="O190" s="9" t="s">
        <v>94</v>
      </c>
      <c r="P190" s="9" t="s">
        <v>25</v>
      </c>
      <c r="Q190" s="9"/>
      <c r="R190" s="9"/>
    </row>
    <row r="191" spans="2:18" ht="12.75" hidden="1" customHeight="1" thickBot="1">
      <c r="B191" s="6"/>
      <c r="C191" s="12" t="s">
        <v>156</v>
      </c>
      <c r="D191" s="12" t="s">
        <v>18</v>
      </c>
      <c r="E191" s="12" t="s">
        <v>19</v>
      </c>
      <c r="F191" s="12">
        <v>3</v>
      </c>
      <c r="G191" s="12" t="s">
        <v>20</v>
      </c>
      <c r="H191" s="12" t="s">
        <v>33</v>
      </c>
      <c r="I191" s="13">
        <v>45195.421932870369</v>
      </c>
      <c r="J191" s="12" t="s">
        <v>22</v>
      </c>
      <c r="K191" s="12"/>
      <c r="L191" s="12"/>
      <c r="M191" s="4" t="s">
        <v>23</v>
      </c>
      <c r="N191" s="12" t="str">
        <f t="shared" si="6"/>
        <v>057 - 04121110</v>
      </c>
      <c r="O191" s="9" t="s">
        <v>94</v>
      </c>
      <c r="P191" s="9" t="s">
        <v>25</v>
      </c>
      <c r="Q191" s="9"/>
      <c r="R191" s="9"/>
    </row>
    <row r="192" spans="2:18" ht="12.75" hidden="1" customHeight="1" thickBot="1">
      <c r="B192" s="5"/>
      <c r="C192" s="12" t="s">
        <v>145</v>
      </c>
      <c r="D192" s="12" t="s">
        <v>18</v>
      </c>
      <c r="E192" s="12" t="s">
        <v>19</v>
      </c>
      <c r="F192" s="12">
        <v>3</v>
      </c>
      <c r="G192" s="12" t="s">
        <v>20</v>
      </c>
      <c r="H192" s="12" t="s">
        <v>33</v>
      </c>
      <c r="I192" s="13">
        <v>45195.421909722223</v>
      </c>
      <c r="J192" s="12" t="s">
        <v>22</v>
      </c>
      <c r="K192" s="12"/>
      <c r="L192" s="12"/>
      <c r="M192" s="4" t="s">
        <v>23</v>
      </c>
      <c r="N192" s="12" t="str">
        <f t="shared" si="6"/>
        <v>057 - 04254714</v>
      </c>
      <c r="O192" s="9" t="s">
        <v>94</v>
      </c>
      <c r="P192" s="9" t="s">
        <v>25</v>
      </c>
      <c r="Q192" s="17" t="s">
        <v>152</v>
      </c>
      <c r="R192" s="9"/>
    </row>
    <row r="193" spans="2:18" ht="12.75" hidden="1" customHeight="1" thickBot="1">
      <c r="B193" s="6"/>
      <c r="C193" s="12" t="s">
        <v>157</v>
      </c>
      <c r="D193" s="12" t="s">
        <v>18</v>
      </c>
      <c r="E193" s="12" t="s">
        <v>19</v>
      </c>
      <c r="F193" s="12">
        <v>3</v>
      </c>
      <c r="G193" s="12" t="s">
        <v>20</v>
      </c>
      <c r="H193" s="12" t="s">
        <v>33</v>
      </c>
      <c r="I193" s="13">
        <v>45195.421747685185</v>
      </c>
      <c r="J193" s="12" t="s">
        <v>22</v>
      </c>
      <c r="K193" s="12"/>
      <c r="L193" s="12"/>
      <c r="M193" s="4" t="s">
        <v>23</v>
      </c>
      <c r="N193" s="12" t="str">
        <f t="shared" si="6"/>
        <v>057 - 04236293</v>
      </c>
      <c r="O193" s="9" t="s">
        <v>94</v>
      </c>
      <c r="P193" s="9" t="s">
        <v>25</v>
      </c>
      <c r="Q193" s="17" t="s">
        <v>158</v>
      </c>
      <c r="R193" s="9"/>
    </row>
    <row r="194" spans="2:18" ht="12.75" hidden="1" customHeight="1" thickBot="1">
      <c r="B194" s="5"/>
      <c r="C194" s="12" t="s">
        <v>159</v>
      </c>
      <c r="D194" s="12" t="s">
        <v>18</v>
      </c>
      <c r="E194" s="12" t="s">
        <v>19</v>
      </c>
      <c r="F194" s="12">
        <v>3</v>
      </c>
      <c r="G194" s="12" t="s">
        <v>20</v>
      </c>
      <c r="H194" s="12" t="s">
        <v>33</v>
      </c>
      <c r="I194" s="13">
        <v>45195.421712962961</v>
      </c>
      <c r="J194" s="12" t="s">
        <v>22</v>
      </c>
      <c r="K194" s="12"/>
      <c r="L194" s="12"/>
      <c r="M194" s="4" t="s">
        <v>23</v>
      </c>
      <c r="N194" s="12" t="str">
        <f t="shared" si="6"/>
        <v>057 - 04236304</v>
      </c>
      <c r="O194" s="9" t="s">
        <v>94</v>
      </c>
      <c r="P194" s="9" t="s">
        <v>25</v>
      </c>
      <c r="Q194" s="17" t="s">
        <v>158</v>
      </c>
      <c r="R194" s="9"/>
    </row>
    <row r="195" spans="2:18" ht="12.75" hidden="1" customHeight="1" thickBot="1">
      <c r="B195" s="6"/>
      <c r="C195" s="12" t="s">
        <v>160</v>
      </c>
      <c r="D195" s="12" t="s">
        <v>18</v>
      </c>
      <c r="E195" s="12" t="s">
        <v>19</v>
      </c>
      <c r="F195" s="12">
        <v>3</v>
      </c>
      <c r="G195" s="12" t="s">
        <v>20</v>
      </c>
      <c r="H195" s="12" t="s">
        <v>33</v>
      </c>
      <c r="I195" s="13">
        <v>45195.421678240738</v>
      </c>
      <c r="J195" s="12" t="s">
        <v>22</v>
      </c>
      <c r="K195" s="12"/>
      <c r="L195" s="12"/>
      <c r="M195" s="4" t="s">
        <v>23</v>
      </c>
      <c r="N195" s="12" t="str">
        <f t="shared" si="6"/>
        <v>057 - 48113936</v>
      </c>
      <c r="O195" s="9" t="s">
        <v>94</v>
      </c>
      <c r="P195" s="9" t="s">
        <v>25</v>
      </c>
      <c r="Q195" s="17" t="s">
        <v>161</v>
      </c>
      <c r="R195" s="9"/>
    </row>
    <row r="196" spans="2:18" ht="12.75" hidden="1" customHeight="1" thickBot="1">
      <c r="B196" s="5"/>
      <c r="C196" s="12" t="s">
        <v>160</v>
      </c>
      <c r="D196" s="12" t="s">
        <v>18</v>
      </c>
      <c r="E196" s="12" t="s">
        <v>19</v>
      </c>
      <c r="F196" s="12">
        <v>3</v>
      </c>
      <c r="G196" s="12" t="s">
        <v>20</v>
      </c>
      <c r="H196" s="12" t="s">
        <v>33</v>
      </c>
      <c r="I196" s="13">
        <v>45195.421655092592</v>
      </c>
      <c r="J196" s="12" t="s">
        <v>22</v>
      </c>
      <c r="K196" s="12"/>
      <c r="L196" s="12"/>
      <c r="M196" s="4" t="s">
        <v>23</v>
      </c>
      <c r="N196" s="12" t="str">
        <f t="shared" si="6"/>
        <v>057 - 48113936</v>
      </c>
      <c r="O196" s="9" t="s">
        <v>94</v>
      </c>
      <c r="P196" s="9" t="s">
        <v>25</v>
      </c>
      <c r="Q196" s="9"/>
      <c r="R196" s="9"/>
    </row>
    <row r="197" spans="2:18" ht="12.75" hidden="1" customHeight="1" thickBot="1">
      <c r="B197" s="6"/>
      <c r="C197" s="12" t="s">
        <v>162</v>
      </c>
      <c r="D197" s="12" t="s">
        <v>18</v>
      </c>
      <c r="E197" s="12" t="s">
        <v>19</v>
      </c>
      <c r="F197" s="12">
        <v>3</v>
      </c>
      <c r="G197" s="12" t="s">
        <v>20</v>
      </c>
      <c r="H197" s="12" t="s">
        <v>33</v>
      </c>
      <c r="I197" s="13">
        <v>45195.421620370369</v>
      </c>
      <c r="J197" s="12" t="s">
        <v>22</v>
      </c>
      <c r="K197" s="12"/>
      <c r="L197" s="12"/>
      <c r="M197" s="4" t="s">
        <v>23</v>
      </c>
      <c r="N197" s="12" t="str">
        <f t="shared" si="6"/>
        <v>057 - 48132114</v>
      </c>
      <c r="O197" s="9" t="s">
        <v>94</v>
      </c>
      <c r="P197" s="9" t="s">
        <v>25</v>
      </c>
      <c r="Q197" s="9"/>
      <c r="R197" s="9"/>
    </row>
    <row r="198" spans="2:18" ht="12.75" hidden="1" customHeight="1" thickBot="1">
      <c r="B198" s="5"/>
      <c r="C198" s="12" t="s">
        <v>162</v>
      </c>
      <c r="D198" s="12" t="s">
        <v>18</v>
      </c>
      <c r="E198" s="12" t="s">
        <v>19</v>
      </c>
      <c r="F198" s="12">
        <v>3</v>
      </c>
      <c r="G198" s="12" t="s">
        <v>20</v>
      </c>
      <c r="H198" s="12" t="s">
        <v>33</v>
      </c>
      <c r="I198" s="13">
        <v>45195.421585648146</v>
      </c>
      <c r="J198" s="12" t="s">
        <v>22</v>
      </c>
      <c r="K198" s="12"/>
      <c r="L198" s="12"/>
      <c r="M198" s="4" t="s">
        <v>23</v>
      </c>
      <c r="N198" s="12" t="str">
        <f t="shared" si="6"/>
        <v>057 - 48132114</v>
      </c>
      <c r="O198" s="9" t="s">
        <v>94</v>
      </c>
      <c r="P198" s="9" t="s">
        <v>163</v>
      </c>
      <c r="Q198" s="9"/>
      <c r="R198" s="9"/>
    </row>
    <row r="199" spans="2:18" ht="12.75" hidden="1" customHeight="1" thickBot="1">
      <c r="B199" s="6"/>
      <c r="C199" s="12" t="s">
        <v>162</v>
      </c>
      <c r="D199" s="12" t="s">
        <v>18</v>
      </c>
      <c r="E199" s="12" t="s">
        <v>19</v>
      </c>
      <c r="F199" s="12">
        <v>3</v>
      </c>
      <c r="G199" s="12" t="s">
        <v>20</v>
      </c>
      <c r="H199" s="12" t="s">
        <v>33</v>
      </c>
      <c r="I199" s="13">
        <v>45195.4215625</v>
      </c>
      <c r="J199" s="12" t="s">
        <v>22</v>
      </c>
      <c r="K199" s="12"/>
      <c r="L199" s="12"/>
      <c r="M199" s="4" t="s">
        <v>23</v>
      </c>
      <c r="N199" s="12" t="str">
        <f t="shared" ref="N199:N230" si="7">LEFT(C199,14)</f>
        <v>057 - 48132114</v>
      </c>
      <c r="O199" s="9" t="s">
        <v>94</v>
      </c>
      <c r="P199" s="9" t="s">
        <v>163</v>
      </c>
      <c r="Q199" s="9"/>
      <c r="R199" s="9"/>
    </row>
    <row r="200" spans="2:18" ht="12.75" hidden="1" customHeight="1" thickBot="1">
      <c r="B200" s="5"/>
      <c r="C200" s="12" t="s">
        <v>162</v>
      </c>
      <c r="D200" s="12" t="s">
        <v>18</v>
      </c>
      <c r="E200" s="12" t="s">
        <v>19</v>
      </c>
      <c r="F200" s="12">
        <v>3</v>
      </c>
      <c r="G200" s="12" t="s">
        <v>20</v>
      </c>
      <c r="H200" s="12" t="s">
        <v>33</v>
      </c>
      <c r="I200" s="13">
        <v>45195.421527777777</v>
      </c>
      <c r="J200" s="12" t="s">
        <v>22</v>
      </c>
      <c r="K200" s="12"/>
      <c r="L200" s="12"/>
      <c r="M200" s="4" t="s">
        <v>23</v>
      </c>
      <c r="N200" s="12" t="str">
        <f t="shared" si="7"/>
        <v>057 - 48132114</v>
      </c>
      <c r="O200" s="9" t="s">
        <v>94</v>
      </c>
      <c r="P200" s="9" t="s">
        <v>163</v>
      </c>
      <c r="Q200" s="9"/>
      <c r="R200" s="9"/>
    </row>
    <row r="201" spans="2:18" ht="12.75" hidden="1" customHeight="1" thickBot="1">
      <c r="B201" s="7"/>
      <c r="C201" s="12" t="s">
        <v>164</v>
      </c>
      <c r="D201" s="12" t="s">
        <v>18</v>
      </c>
      <c r="E201" s="12" t="s">
        <v>19</v>
      </c>
      <c r="F201" s="12">
        <v>3</v>
      </c>
      <c r="G201" s="12" t="s">
        <v>20</v>
      </c>
      <c r="H201" s="12" t="s">
        <v>33</v>
      </c>
      <c r="I201" s="13">
        <v>45195.421493055554</v>
      </c>
      <c r="J201" s="12" t="s">
        <v>22</v>
      </c>
      <c r="K201" s="12"/>
      <c r="L201" s="12"/>
      <c r="M201" s="4" t="s">
        <v>23</v>
      </c>
      <c r="N201" s="12" t="str">
        <f t="shared" si="7"/>
        <v>057 - 47650245</v>
      </c>
      <c r="O201" s="9" t="s">
        <v>94</v>
      </c>
      <c r="P201" s="9" t="s">
        <v>25</v>
      </c>
      <c r="Q201" s="9"/>
      <c r="R201" s="9"/>
    </row>
    <row r="202" spans="2:18" ht="12.75" hidden="1" customHeight="1">
      <c r="C202" s="12" t="s">
        <v>165</v>
      </c>
      <c r="D202" s="12" t="s">
        <v>18</v>
      </c>
      <c r="E202" s="12" t="s">
        <v>19</v>
      </c>
      <c r="F202" s="12">
        <v>3</v>
      </c>
      <c r="G202" s="12" t="s">
        <v>20</v>
      </c>
      <c r="H202" s="12" t="s">
        <v>33</v>
      </c>
      <c r="I202" s="13">
        <v>45195.421446759261</v>
      </c>
      <c r="J202" s="12" t="s">
        <v>22</v>
      </c>
      <c r="K202" s="12"/>
      <c r="L202" s="12"/>
      <c r="M202" s="4" t="s">
        <v>23</v>
      </c>
      <c r="N202" s="12" t="str">
        <f t="shared" si="7"/>
        <v>057 - 45128436</v>
      </c>
      <c r="O202" s="9" t="s">
        <v>94</v>
      </c>
      <c r="P202" s="9" t="s">
        <v>25</v>
      </c>
      <c r="Q202" s="17" t="s">
        <v>166</v>
      </c>
      <c r="R202" s="9"/>
    </row>
    <row r="203" spans="2:18" ht="12.75" hidden="1" customHeight="1" thickBot="1">
      <c r="B203" s="5"/>
      <c r="C203" s="12" t="s">
        <v>165</v>
      </c>
      <c r="D203" s="12" t="s">
        <v>18</v>
      </c>
      <c r="E203" s="12" t="s">
        <v>19</v>
      </c>
      <c r="F203" s="12">
        <v>3</v>
      </c>
      <c r="G203" s="12" t="s">
        <v>20</v>
      </c>
      <c r="H203" s="12" t="s">
        <v>33</v>
      </c>
      <c r="I203" s="13">
        <v>45195.421400462961</v>
      </c>
      <c r="J203" s="12" t="s">
        <v>22</v>
      </c>
      <c r="K203" s="12"/>
      <c r="L203" s="12"/>
      <c r="M203" s="4" t="s">
        <v>23</v>
      </c>
      <c r="N203" s="12" t="str">
        <f t="shared" si="7"/>
        <v>057 - 45128436</v>
      </c>
      <c r="O203" s="9" t="s">
        <v>94</v>
      </c>
      <c r="P203" s="9" t="s">
        <v>163</v>
      </c>
      <c r="Q203" s="9"/>
      <c r="R203" s="9"/>
    </row>
    <row r="204" spans="2:18" ht="12.75" hidden="1" customHeight="1" thickBot="1">
      <c r="B204" s="6"/>
      <c r="C204" s="12" t="s">
        <v>150</v>
      </c>
      <c r="D204" s="12" t="s">
        <v>18</v>
      </c>
      <c r="E204" s="12" t="s">
        <v>19</v>
      </c>
      <c r="F204" s="12">
        <v>3</v>
      </c>
      <c r="G204" s="12" t="s">
        <v>20</v>
      </c>
      <c r="H204" s="12" t="s">
        <v>33</v>
      </c>
      <c r="I204" s="13">
        <v>45195.421365740738</v>
      </c>
      <c r="J204" s="12" t="s">
        <v>22</v>
      </c>
      <c r="K204" s="12"/>
      <c r="L204" s="12"/>
      <c r="M204" s="4" t="s">
        <v>23</v>
      </c>
      <c r="N204" s="12" t="str">
        <f t="shared" si="7"/>
        <v>057 - 04250304</v>
      </c>
      <c r="O204" s="9" t="s">
        <v>94</v>
      </c>
      <c r="P204" s="9" t="s">
        <v>25</v>
      </c>
      <c r="Q204" s="9"/>
      <c r="R204" s="9"/>
    </row>
    <row r="205" spans="2:18" ht="12.75" hidden="1" customHeight="1" thickBot="1">
      <c r="B205" s="5"/>
      <c r="C205" s="12" t="s">
        <v>150</v>
      </c>
      <c r="D205" s="12" t="s">
        <v>18</v>
      </c>
      <c r="E205" s="12" t="s">
        <v>19</v>
      </c>
      <c r="F205" s="12">
        <v>3</v>
      </c>
      <c r="G205" s="12" t="s">
        <v>20</v>
      </c>
      <c r="H205" s="12" t="s">
        <v>33</v>
      </c>
      <c r="I205" s="13">
        <v>45195.421319444446</v>
      </c>
      <c r="J205" s="12" t="s">
        <v>22</v>
      </c>
      <c r="K205" s="12"/>
      <c r="L205" s="12"/>
      <c r="M205" s="4" t="s">
        <v>23</v>
      </c>
      <c r="N205" s="12" t="str">
        <f t="shared" si="7"/>
        <v>057 - 04250304</v>
      </c>
      <c r="O205" s="9" t="s">
        <v>94</v>
      </c>
      <c r="P205" s="9" t="s">
        <v>163</v>
      </c>
      <c r="Q205" s="9"/>
      <c r="R205" s="9"/>
    </row>
    <row r="206" spans="2:18" ht="12.75" hidden="1" customHeight="1" thickBot="1">
      <c r="B206" s="6"/>
      <c r="C206" s="12" t="s">
        <v>150</v>
      </c>
      <c r="D206" s="12" t="s">
        <v>18</v>
      </c>
      <c r="E206" s="12" t="s">
        <v>19</v>
      </c>
      <c r="F206" s="12">
        <v>3</v>
      </c>
      <c r="G206" s="12" t="s">
        <v>20</v>
      </c>
      <c r="H206" s="12" t="s">
        <v>33</v>
      </c>
      <c r="I206" s="13">
        <v>45195.421284722222</v>
      </c>
      <c r="J206" s="12" t="s">
        <v>22</v>
      </c>
      <c r="K206" s="12"/>
      <c r="L206" s="12"/>
      <c r="M206" s="4" t="s">
        <v>23</v>
      </c>
      <c r="N206" s="12" t="str">
        <f t="shared" si="7"/>
        <v>057 - 04250304</v>
      </c>
      <c r="O206" s="9" t="s">
        <v>94</v>
      </c>
      <c r="P206" s="9" t="s">
        <v>163</v>
      </c>
      <c r="Q206" s="9"/>
      <c r="R206" s="9"/>
    </row>
    <row r="207" spans="2:18" ht="12.75" hidden="1" customHeight="1" thickBot="1">
      <c r="B207" s="5"/>
      <c r="C207" s="12" t="s">
        <v>164</v>
      </c>
      <c r="D207" s="12" t="s">
        <v>18</v>
      </c>
      <c r="E207" s="12" t="s">
        <v>19</v>
      </c>
      <c r="F207" s="12">
        <v>3</v>
      </c>
      <c r="G207" s="12" t="s">
        <v>20</v>
      </c>
      <c r="H207" s="12" t="s">
        <v>33</v>
      </c>
      <c r="I207" s="13">
        <v>45195.421226851853</v>
      </c>
      <c r="J207" s="12" t="s">
        <v>22</v>
      </c>
      <c r="K207" s="12"/>
      <c r="L207" s="12"/>
      <c r="M207" s="4" t="s">
        <v>23</v>
      </c>
      <c r="N207" s="12" t="str">
        <f t="shared" si="7"/>
        <v>057 - 47650245</v>
      </c>
      <c r="O207" s="9" t="s">
        <v>94</v>
      </c>
      <c r="P207" s="9" t="s">
        <v>25</v>
      </c>
      <c r="Q207" s="9"/>
      <c r="R207" s="9"/>
    </row>
    <row r="208" spans="2:18" ht="12.75" hidden="1" customHeight="1" thickBot="1">
      <c r="B208" s="6"/>
      <c r="C208" s="12" t="s">
        <v>164</v>
      </c>
      <c r="D208" s="12" t="s">
        <v>18</v>
      </c>
      <c r="E208" s="12" t="s">
        <v>19</v>
      </c>
      <c r="F208" s="12">
        <v>3</v>
      </c>
      <c r="G208" s="12" t="s">
        <v>20</v>
      </c>
      <c r="H208" s="12" t="s">
        <v>33</v>
      </c>
      <c r="I208" s="13">
        <v>45195.42119212963</v>
      </c>
      <c r="J208" s="12" t="s">
        <v>22</v>
      </c>
      <c r="K208" s="12"/>
      <c r="L208" s="12"/>
      <c r="M208" s="4" t="s">
        <v>23</v>
      </c>
      <c r="N208" s="12" t="str">
        <f t="shared" si="7"/>
        <v>057 - 47650245</v>
      </c>
      <c r="O208" s="9" t="s">
        <v>94</v>
      </c>
      <c r="P208" s="9" t="s">
        <v>163</v>
      </c>
      <c r="Q208" s="9"/>
      <c r="R208" s="9"/>
    </row>
    <row r="209" spans="2:18" ht="12.75" hidden="1" customHeight="1" thickBot="1">
      <c r="B209" s="5"/>
      <c r="C209" s="12" t="s">
        <v>80</v>
      </c>
      <c r="D209" s="12" t="s">
        <v>18</v>
      </c>
      <c r="E209" s="12" t="s">
        <v>19</v>
      </c>
      <c r="F209" s="12">
        <v>3</v>
      </c>
      <c r="G209" s="12" t="s">
        <v>20</v>
      </c>
      <c r="H209" s="12" t="s">
        <v>33</v>
      </c>
      <c r="I209" s="13">
        <v>45195.421134259261</v>
      </c>
      <c r="J209" s="12" t="s">
        <v>22</v>
      </c>
      <c r="K209" s="12"/>
      <c r="L209" s="12"/>
      <c r="M209" s="4" t="s">
        <v>23</v>
      </c>
      <c r="N209" s="12" t="str">
        <f>LEFT(C209,14)</f>
        <v>057 - 47467195</v>
      </c>
      <c r="O209" s="9" t="s">
        <v>94</v>
      </c>
      <c r="P209" s="9" t="s">
        <v>25</v>
      </c>
      <c r="Q209" s="9"/>
      <c r="R209" s="9"/>
    </row>
    <row r="210" spans="2:18" ht="12.75" hidden="1" customHeight="1" thickBot="1">
      <c r="B210" s="6"/>
      <c r="C210" s="12" t="s">
        <v>167</v>
      </c>
      <c r="D210" s="12" t="s">
        <v>18</v>
      </c>
      <c r="E210" s="12" t="s">
        <v>19</v>
      </c>
      <c r="F210" s="12">
        <v>3</v>
      </c>
      <c r="G210" s="12" t="s">
        <v>20</v>
      </c>
      <c r="H210" s="12" t="s">
        <v>45</v>
      </c>
      <c r="I210" s="13">
        <v>45195.421087962961</v>
      </c>
      <c r="J210" s="12" t="s">
        <v>22</v>
      </c>
      <c r="K210" s="12"/>
      <c r="L210" s="12"/>
      <c r="M210" s="4" t="s">
        <v>23</v>
      </c>
      <c r="N210" s="12" t="str">
        <f t="shared" si="7"/>
        <v>057 - 47443141</v>
      </c>
      <c r="O210" s="9" t="s">
        <v>94</v>
      </c>
      <c r="P210" s="9" t="s">
        <v>25</v>
      </c>
      <c r="Q210" s="9"/>
      <c r="R210" s="9"/>
    </row>
    <row r="211" spans="2:18" ht="12.75" hidden="1" customHeight="1" thickBot="1">
      <c r="B211" s="5"/>
      <c r="C211" s="12" t="s">
        <v>80</v>
      </c>
      <c r="D211" s="12" t="s">
        <v>18</v>
      </c>
      <c r="E211" s="12" t="s">
        <v>19</v>
      </c>
      <c r="F211" s="12">
        <v>3</v>
      </c>
      <c r="G211" s="12" t="s">
        <v>20</v>
      </c>
      <c r="H211" s="12" t="s">
        <v>33</v>
      </c>
      <c r="I211" s="13">
        <v>45195.421053240738</v>
      </c>
      <c r="J211" s="12" t="s">
        <v>22</v>
      </c>
      <c r="K211" s="12"/>
      <c r="L211" s="12"/>
      <c r="M211" s="4" t="s">
        <v>23</v>
      </c>
      <c r="N211" s="12" t="str">
        <f t="shared" si="7"/>
        <v>057 - 47467195</v>
      </c>
      <c r="O211" s="9" t="s">
        <v>94</v>
      </c>
      <c r="P211" s="9" t="s">
        <v>163</v>
      </c>
      <c r="Q211" s="17" t="s">
        <v>81</v>
      </c>
      <c r="R211" s="9"/>
    </row>
    <row r="212" spans="2:18" ht="12.75" hidden="1" customHeight="1" thickBot="1">
      <c r="B212" s="6"/>
      <c r="C212" s="12" t="s">
        <v>80</v>
      </c>
      <c r="D212" s="12" t="s">
        <v>18</v>
      </c>
      <c r="E212" s="12" t="s">
        <v>19</v>
      </c>
      <c r="F212" s="12">
        <v>3</v>
      </c>
      <c r="G212" s="12" t="s">
        <v>20</v>
      </c>
      <c r="H212" s="12" t="s">
        <v>33</v>
      </c>
      <c r="I212" s="13">
        <v>45195.421018518522</v>
      </c>
      <c r="J212" s="12" t="s">
        <v>22</v>
      </c>
      <c r="K212" s="12"/>
      <c r="L212" s="12"/>
      <c r="M212" s="4" t="s">
        <v>23</v>
      </c>
      <c r="N212" s="12" t="str">
        <f t="shared" si="7"/>
        <v>057 - 47467195</v>
      </c>
      <c r="O212" s="9" t="s">
        <v>94</v>
      </c>
      <c r="P212" s="9" t="s">
        <v>163</v>
      </c>
      <c r="Q212" s="17" t="s">
        <v>81</v>
      </c>
      <c r="R212" s="9"/>
    </row>
    <row r="213" spans="2:18" ht="12.75" hidden="1" customHeight="1" thickBot="1">
      <c r="B213" s="5"/>
      <c r="C213" s="12" t="s">
        <v>36</v>
      </c>
      <c r="D213" s="12" t="s">
        <v>18</v>
      </c>
      <c r="E213" s="12" t="s">
        <v>19</v>
      </c>
      <c r="F213" s="12">
        <v>3</v>
      </c>
      <c r="G213" s="12" t="s">
        <v>20</v>
      </c>
      <c r="H213" s="12" t="s">
        <v>33</v>
      </c>
      <c r="I213" s="13">
        <v>45195.420960648145</v>
      </c>
      <c r="J213" s="12" t="s">
        <v>22</v>
      </c>
      <c r="K213" s="12"/>
      <c r="L213" s="12"/>
      <c r="M213" s="4" t="s">
        <v>23</v>
      </c>
      <c r="N213" s="12" t="str">
        <f t="shared" si="7"/>
        <v>057 - 46907464</v>
      </c>
      <c r="O213" s="9" t="s">
        <v>94</v>
      </c>
      <c r="P213" s="9" t="s">
        <v>25</v>
      </c>
      <c r="Q213" s="17" t="s">
        <v>152</v>
      </c>
      <c r="R213" s="9"/>
    </row>
    <row r="214" spans="2:18" ht="12.75" hidden="1" customHeight="1" thickBot="1">
      <c r="B214" s="6"/>
      <c r="C214" s="12" t="s">
        <v>168</v>
      </c>
      <c r="D214" s="12" t="s">
        <v>18</v>
      </c>
      <c r="E214" s="12" t="s">
        <v>19</v>
      </c>
      <c r="F214" s="12">
        <v>3</v>
      </c>
      <c r="G214" s="12" t="s">
        <v>20</v>
      </c>
      <c r="H214" s="12" t="s">
        <v>33</v>
      </c>
      <c r="I214" s="13">
        <v>45195.420902777776</v>
      </c>
      <c r="J214" s="12" t="s">
        <v>22</v>
      </c>
      <c r="K214" s="12"/>
      <c r="L214" s="12"/>
      <c r="M214" s="4" t="s">
        <v>23</v>
      </c>
      <c r="N214" s="12" t="str">
        <f t="shared" si="7"/>
        <v>057 - 47862301</v>
      </c>
      <c r="O214" s="9" t="s">
        <v>69</v>
      </c>
      <c r="P214" s="9" t="s">
        <v>25</v>
      </c>
      <c r="Q214" s="17" t="s">
        <v>169</v>
      </c>
      <c r="R214" s="9"/>
    </row>
    <row r="215" spans="2:18" ht="12.75" hidden="1" customHeight="1" thickBot="1">
      <c r="B215" s="5"/>
      <c r="C215" s="12" t="s">
        <v>168</v>
      </c>
      <c r="D215" s="12" t="s">
        <v>18</v>
      </c>
      <c r="E215" s="12" t="s">
        <v>19</v>
      </c>
      <c r="F215" s="12">
        <v>3</v>
      </c>
      <c r="G215" s="12" t="s">
        <v>20</v>
      </c>
      <c r="H215" s="12" t="s">
        <v>33</v>
      </c>
      <c r="I215" s="13">
        <v>45195.420856481483</v>
      </c>
      <c r="J215" s="12" t="s">
        <v>22</v>
      </c>
      <c r="K215" s="12"/>
      <c r="L215" s="12"/>
      <c r="M215" s="4" t="s">
        <v>23</v>
      </c>
      <c r="N215" s="12" t="str">
        <f t="shared" si="7"/>
        <v>057 - 47862301</v>
      </c>
      <c r="O215" s="9" t="s">
        <v>69</v>
      </c>
      <c r="P215" s="9" t="s">
        <v>163</v>
      </c>
      <c r="Q215" s="9"/>
      <c r="R215" s="9"/>
    </row>
    <row r="216" spans="2:18" ht="12.75" hidden="1" customHeight="1" thickBot="1">
      <c r="B216" s="6"/>
      <c r="C216" s="12" t="s">
        <v>168</v>
      </c>
      <c r="D216" s="12" t="s">
        <v>18</v>
      </c>
      <c r="E216" s="12" t="s">
        <v>19</v>
      </c>
      <c r="F216" s="12">
        <v>3</v>
      </c>
      <c r="G216" s="12" t="s">
        <v>20</v>
      </c>
      <c r="H216" s="12" t="s">
        <v>33</v>
      </c>
      <c r="I216" s="13">
        <v>45195.420810185184</v>
      </c>
      <c r="J216" s="12" t="s">
        <v>22</v>
      </c>
      <c r="K216" s="12"/>
      <c r="L216" s="12"/>
      <c r="M216" s="4" t="s">
        <v>23</v>
      </c>
      <c r="N216" s="12" t="str">
        <f t="shared" si="7"/>
        <v>057 - 47862301</v>
      </c>
      <c r="O216" s="9" t="s">
        <v>69</v>
      </c>
      <c r="P216" s="9" t="s">
        <v>163</v>
      </c>
      <c r="Q216" s="9"/>
      <c r="R216" s="9"/>
    </row>
    <row r="217" spans="2:18" ht="12.75" hidden="1" customHeight="1" thickBot="1">
      <c r="B217" s="5"/>
      <c r="C217" s="12" t="s">
        <v>170</v>
      </c>
      <c r="D217" s="12" t="s">
        <v>18</v>
      </c>
      <c r="E217" s="12" t="s">
        <v>19</v>
      </c>
      <c r="F217" s="12">
        <v>3</v>
      </c>
      <c r="G217" s="12" t="s">
        <v>20</v>
      </c>
      <c r="H217" s="12" t="s">
        <v>33</v>
      </c>
      <c r="I217" s="13">
        <v>45195.420717592591</v>
      </c>
      <c r="J217" s="12" t="s">
        <v>22</v>
      </c>
      <c r="K217" s="12"/>
      <c r="L217" s="12"/>
      <c r="M217" s="4" t="s">
        <v>23</v>
      </c>
      <c r="N217" s="12" t="str">
        <f t="shared" si="7"/>
        <v>057 - 47862290</v>
      </c>
      <c r="O217" s="9" t="s">
        <v>69</v>
      </c>
      <c r="P217" s="9" t="s">
        <v>25</v>
      </c>
      <c r="Q217" s="17" t="s">
        <v>171</v>
      </c>
      <c r="R217" s="9"/>
    </row>
    <row r="218" spans="2:18" ht="12.75" hidden="1" customHeight="1" thickBot="1">
      <c r="B218" s="6"/>
      <c r="C218" s="12" t="s">
        <v>170</v>
      </c>
      <c r="D218" s="12" t="s">
        <v>18</v>
      </c>
      <c r="E218" s="12" t="s">
        <v>19</v>
      </c>
      <c r="F218" s="12">
        <v>3</v>
      </c>
      <c r="G218" s="12" t="s">
        <v>20</v>
      </c>
      <c r="H218" s="12" t="s">
        <v>33</v>
      </c>
      <c r="I218" s="13">
        <v>45195.420682870368</v>
      </c>
      <c r="J218" s="12" t="s">
        <v>22</v>
      </c>
      <c r="K218" s="12"/>
      <c r="L218" s="12"/>
      <c r="M218" s="4" t="s">
        <v>23</v>
      </c>
      <c r="N218" s="12" t="str">
        <f t="shared" si="7"/>
        <v>057 - 47862290</v>
      </c>
      <c r="O218" s="9" t="s">
        <v>69</v>
      </c>
      <c r="P218" s="9" t="s">
        <v>163</v>
      </c>
      <c r="Q218" s="9"/>
      <c r="R218" s="9"/>
    </row>
    <row r="219" spans="2:18" ht="12.75" hidden="1" customHeight="1" thickBot="1">
      <c r="B219" s="5"/>
      <c r="C219" s="12" t="s">
        <v>170</v>
      </c>
      <c r="D219" s="12" t="s">
        <v>18</v>
      </c>
      <c r="E219" s="12" t="s">
        <v>19</v>
      </c>
      <c r="F219" s="12">
        <v>3</v>
      </c>
      <c r="G219" s="12" t="s">
        <v>20</v>
      </c>
      <c r="H219" s="12" t="s">
        <v>33</v>
      </c>
      <c r="I219" s="13">
        <v>45195.420636574076</v>
      </c>
      <c r="J219" s="12" t="s">
        <v>22</v>
      </c>
      <c r="K219" s="12"/>
      <c r="L219" s="12"/>
      <c r="M219" s="4" t="s">
        <v>23</v>
      </c>
      <c r="N219" s="12" t="str">
        <f t="shared" si="7"/>
        <v>057 - 47862290</v>
      </c>
      <c r="O219" s="9" t="s">
        <v>69</v>
      </c>
      <c r="P219" s="9" t="s">
        <v>163</v>
      </c>
      <c r="Q219" s="9"/>
      <c r="R219" s="9"/>
    </row>
    <row r="220" spans="2:18" ht="12.75" hidden="1" customHeight="1" thickBot="1">
      <c r="B220" s="6"/>
      <c r="C220" s="12" t="s">
        <v>172</v>
      </c>
      <c r="D220" s="12" t="s">
        <v>18</v>
      </c>
      <c r="E220" s="12" t="s">
        <v>19</v>
      </c>
      <c r="F220" s="12">
        <v>3</v>
      </c>
      <c r="G220" s="12" t="s">
        <v>20</v>
      </c>
      <c r="H220" s="12" t="s">
        <v>33</v>
      </c>
      <c r="I220" s="13">
        <v>45195.420601851853</v>
      </c>
      <c r="J220" s="12" t="s">
        <v>22</v>
      </c>
      <c r="K220" s="12"/>
      <c r="L220" s="12"/>
      <c r="M220" s="4" t="s">
        <v>23</v>
      </c>
      <c r="N220" s="12" t="str">
        <f t="shared" si="7"/>
        <v>057 - 04243411</v>
      </c>
      <c r="O220" s="9" t="s">
        <v>69</v>
      </c>
      <c r="P220" s="9" t="s">
        <v>25</v>
      </c>
      <c r="Q220" s="9"/>
      <c r="R220" s="9"/>
    </row>
    <row r="221" spans="2:18" ht="12.75" hidden="1" customHeight="1" thickBot="1">
      <c r="B221" s="5"/>
      <c r="C221" s="12" t="s">
        <v>143</v>
      </c>
      <c r="D221" s="12" t="s">
        <v>18</v>
      </c>
      <c r="E221" s="12" t="s">
        <v>19</v>
      </c>
      <c r="F221" s="12">
        <v>3</v>
      </c>
      <c r="G221" s="12" t="s">
        <v>20</v>
      </c>
      <c r="H221" s="12" t="s">
        <v>45</v>
      </c>
      <c r="I221" s="13">
        <v>45195.420567129629</v>
      </c>
      <c r="J221" s="12" t="s">
        <v>22</v>
      </c>
      <c r="K221" s="12"/>
      <c r="L221" s="12"/>
      <c r="M221" s="4" t="s">
        <v>23</v>
      </c>
      <c r="N221" s="12" t="str">
        <f t="shared" si="7"/>
        <v>057 - 45788691</v>
      </c>
      <c r="O221" s="9" t="s">
        <v>69</v>
      </c>
      <c r="P221" s="9" t="s">
        <v>173</v>
      </c>
      <c r="Q221" s="9"/>
      <c r="R221" s="9"/>
    </row>
    <row r="222" spans="2:18" ht="12.75" hidden="1" customHeight="1" thickBot="1">
      <c r="B222" s="6"/>
      <c r="C222" s="12" t="s">
        <v>172</v>
      </c>
      <c r="D222" s="12" t="s">
        <v>18</v>
      </c>
      <c r="E222" s="12" t="s">
        <v>19</v>
      </c>
      <c r="F222" s="12">
        <v>3</v>
      </c>
      <c r="G222" s="12" t="s">
        <v>20</v>
      </c>
      <c r="H222" s="12" t="s">
        <v>33</v>
      </c>
      <c r="I222" s="13">
        <v>45195.420520833337</v>
      </c>
      <c r="J222" s="12" t="s">
        <v>22</v>
      </c>
      <c r="K222" s="12"/>
      <c r="L222" s="12"/>
      <c r="M222" s="4" t="s">
        <v>23</v>
      </c>
      <c r="N222" s="12" t="str">
        <f t="shared" si="7"/>
        <v>057 - 04243411</v>
      </c>
      <c r="O222" s="9" t="s">
        <v>69</v>
      </c>
      <c r="P222" s="9" t="s">
        <v>25</v>
      </c>
      <c r="Q222" s="9"/>
      <c r="R222" s="9"/>
    </row>
    <row r="223" spans="2:18" ht="12.75" hidden="1" customHeight="1" thickBot="1">
      <c r="B223" s="5"/>
      <c r="C223" s="12" t="s">
        <v>172</v>
      </c>
      <c r="D223" s="12" t="s">
        <v>18</v>
      </c>
      <c r="E223" s="12" t="s">
        <v>19</v>
      </c>
      <c r="F223" s="12">
        <v>3</v>
      </c>
      <c r="G223" s="12" t="s">
        <v>20</v>
      </c>
      <c r="H223" s="12" t="s">
        <v>33</v>
      </c>
      <c r="I223" s="13">
        <v>45195.420497685183</v>
      </c>
      <c r="J223" s="12" t="s">
        <v>22</v>
      </c>
      <c r="K223" s="12"/>
      <c r="L223" s="12"/>
      <c r="M223" s="4" t="s">
        <v>23</v>
      </c>
      <c r="N223" s="12" t="str">
        <f t="shared" si="7"/>
        <v>057 - 04243411</v>
      </c>
      <c r="O223" s="9" t="s">
        <v>69</v>
      </c>
      <c r="P223" s="9" t="s">
        <v>163</v>
      </c>
      <c r="Q223" s="9"/>
      <c r="R223" s="9"/>
    </row>
    <row r="224" spans="2:18" ht="12.75" hidden="1" customHeight="1" thickBot="1">
      <c r="B224" s="6"/>
      <c r="C224" s="12" t="s">
        <v>172</v>
      </c>
      <c r="D224" s="12" t="s">
        <v>18</v>
      </c>
      <c r="E224" s="12" t="s">
        <v>19</v>
      </c>
      <c r="F224" s="12">
        <v>3</v>
      </c>
      <c r="G224" s="12" t="s">
        <v>20</v>
      </c>
      <c r="H224" s="12" t="s">
        <v>33</v>
      </c>
      <c r="I224" s="13">
        <v>45195.420474537037</v>
      </c>
      <c r="J224" s="12" t="s">
        <v>22</v>
      </c>
      <c r="K224" s="12"/>
      <c r="L224" s="12"/>
      <c r="M224" s="4" t="s">
        <v>23</v>
      </c>
      <c r="N224" s="12" t="str">
        <f t="shared" si="7"/>
        <v>057 - 04243411</v>
      </c>
      <c r="O224" s="9" t="s">
        <v>69</v>
      </c>
      <c r="P224" s="9" t="s">
        <v>163</v>
      </c>
      <c r="Q224" s="9"/>
      <c r="R224" s="9"/>
    </row>
    <row r="225" spans="2:18" ht="12.75" hidden="1" customHeight="1" thickBot="1">
      <c r="B225" s="5"/>
      <c r="C225" s="12" t="s">
        <v>172</v>
      </c>
      <c r="D225" s="12" t="s">
        <v>18</v>
      </c>
      <c r="E225" s="12" t="s">
        <v>19</v>
      </c>
      <c r="F225" s="12">
        <v>3</v>
      </c>
      <c r="G225" s="12" t="s">
        <v>20</v>
      </c>
      <c r="H225" s="12" t="s">
        <v>33</v>
      </c>
      <c r="I225" s="13">
        <v>45195.420439814814</v>
      </c>
      <c r="J225" s="12" t="s">
        <v>22</v>
      </c>
      <c r="K225" s="12"/>
      <c r="L225" s="12"/>
      <c r="M225" s="4" t="s">
        <v>23</v>
      </c>
      <c r="N225" s="12" t="str">
        <f t="shared" si="7"/>
        <v>057 - 04243411</v>
      </c>
      <c r="O225" s="9" t="s">
        <v>69</v>
      </c>
      <c r="P225" s="9" t="s">
        <v>163</v>
      </c>
      <c r="Q225" s="9"/>
      <c r="R225" s="9"/>
    </row>
    <row r="226" spans="2:18" ht="12.75" hidden="1" customHeight="1" thickBot="1">
      <c r="B226" s="7"/>
      <c r="C226" s="12" t="s">
        <v>174</v>
      </c>
      <c r="D226" s="12" t="s">
        <v>18</v>
      </c>
      <c r="E226" s="12" t="s">
        <v>19</v>
      </c>
      <c r="F226" s="12">
        <v>3</v>
      </c>
      <c r="G226" s="12" t="s">
        <v>20</v>
      </c>
      <c r="H226" s="12" t="s">
        <v>33</v>
      </c>
      <c r="I226" s="13">
        <v>45195.420393518521</v>
      </c>
      <c r="J226" s="12" t="s">
        <v>22</v>
      </c>
      <c r="K226" s="12"/>
      <c r="L226" s="12"/>
      <c r="M226" s="4" t="s">
        <v>23</v>
      </c>
      <c r="N226" s="12" t="str">
        <f t="shared" si="7"/>
        <v>057 - 47516556</v>
      </c>
      <c r="O226" s="9" t="s">
        <v>29</v>
      </c>
      <c r="P226" s="9" t="s">
        <v>25</v>
      </c>
      <c r="Q226" s="9"/>
      <c r="R226" s="9"/>
    </row>
    <row r="227" spans="2:18" ht="12.75" hidden="1" customHeight="1">
      <c r="C227" s="12" t="s">
        <v>175</v>
      </c>
      <c r="D227" s="12" t="s">
        <v>18</v>
      </c>
      <c r="E227" s="12" t="s">
        <v>19</v>
      </c>
      <c r="F227" s="12">
        <v>3</v>
      </c>
      <c r="G227" s="12" t="s">
        <v>20</v>
      </c>
      <c r="H227" s="12" t="s">
        <v>176</v>
      </c>
      <c r="I227" s="13">
        <v>45195.420347222222</v>
      </c>
      <c r="J227" s="12" t="s">
        <v>22</v>
      </c>
      <c r="K227" s="12"/>
      <c r="L227" s="12"/>
      <c r="M227" s="4" t="s">
        <v>23</v>
      </c>
      <c r="N227" s="12" t="str">
        <f t="shared" si="7"/>
        <v>057 - 04184014</v>
      </c>
      <c r="O227" s="9" t="s">
        <v>29</v>
      </c>
      <c r="P227" s="9" t="s">
        <v>25</v>
      </c>
      <c r="Q227" s="9"/>
      <c r="R227" s="9"/>
    </row>
    <row r="228" spans="2:18" ht="12.75" hidden="1" customHeight="1" thickBot="1">
      <c r="B228" s="5"/>
      <c r="C228" s="12" t="s">
        <v>36</v>
      </c>
      <c r="D228" s="12" t="s">
        <v>18</v>
      </c>
      <c r="E228" s="12" t="s">
        <v>19</v>
      </c>
      <c r="F228" s="12">
        <v>3</v>
      </c>
      <c r="G228" s="12" t="s">
        <v>20</v>
      </c>
      <c r="H228" s="12" t="s">
        <v>33</v>
      </c>
      <c r="I228" s="13">
        <v>45195.420324074075</v>
      </c>
      <c r="J228" s="12" t="s">
        <v>22</v>
      </c>
      <c r="K228" s="12"/>
      <c r="L228" s="12"/>
      <c r="M228" s="4" t="s">
        <v>23</v>
      </c>
      <c r="N228" s="12" t="str">
        <f t="shared" si="7"/>
        <v>057 - 46907464</v>
      </c>
      <c r="O228" s="9" t="s">
        <v>29</v>
      </c>
      <c r="P228" s="9" t="s">
        <v>25</v>
      </c>
      <c r="Q228" s="9"/>
      <c r="R228" s="9"/>
    </row>
    <row r="229" spans="2:18" ht="12.75" hidden="1" customHeight="1" thickBot="1">
      <c r="B229" s="6"/>
      <c r="C229" s="12" t="s">
        <v>38</v>
      </c>
      <c r="D229" s="12" t="s">
        <v>18</v>
      </c>
      <c r="E229" s="12" t="s">
        <v>19</v>
      </c>
      <c r="F229" s="12">
        <v>3</v>
      </c>
      <c r="G229" s="12" t="s">
        <v>20</v>
      </c>
      <c r="H229" s="12" t="s">
        <v>33</v>
      </c>
      <c r="I229" s="13">
        <v>45195.420289351852</v>
      </c>
      <c r="J229" s="12" t="s">
        <v>22</v>
      </c>
      <c r="K229" s="12"/>
      <c r="L229" s="12"/>
      <c r="M229" s="4" t="s">
        <v>23</v>
      </c>
      <c r="N229" s="12" t="str">
        <f t="shared" si="7"/>
        <v>057 - 46907313</v>
      </c>
      <c r="O229" s="9" t="s">
        <v>29</v>
      </c>
      <c r="P229" s="9" t="s">
        <v>25</v>
      </c>
      <c r="Q229" s="9"/>
      <c r="R229" s="9"/>
    </row>
    <row r="230" spans="2:18" ht="12.75" hidden="1" customHeight="1" thickBot="1">
      <c r="B230" s="5"/>
      <c r="C230" s="12" t="s">
        <v>38</v>
      </c>
      <c r="D230" s="12" t="s">
        <v>18</v>
      </c>
      <c r="E230" s="12" t="s">
        <v>19</v>
      </c>
      <c r="F230" s="12">
        <v>3</v>
      </c>
      <c r="G230" s="12" t="s">
        <v>20</v>
      </c>
      <c r="H230" s="12" t="s">
        <v>33</v>
      </c>
      <c r="I230" s="13">
        <v>45195.420254629629</v>
      </c>
      <c r="J230" s="12" t="s">
        <v>22</v>
      </c>
      <c r="K230" s="12"/>
      <c r="L230" s="12"/>
      <c r="M230" s="4" t="s">
        <v>23</v>
      </c>
      <c r="N230" s="12" t="str">
        <f t="shared" si="7"/>
        <v>057 - 46907313</v>
      </c>
      <c r="O230" s="9" t="s">
        <v>29</v>
      </c>
      <c r="P230" s="9" t="s">
        <v>25</v>
      </c>
      <c r="Q230" s="9"/>
      <c r="R230" s="9"/>
    </row>
    <row r="231" spans="2:18" ht="12.75" hidden="1" customHeight="1" thickBot="1">
      <c r="B231" s="6"/>
      <c r="C231" s="12" t="s">
        <v>38</v>
      </c>
      <c r="D231" s="12" t="s">
        <v>18</v>
      </c>
      <c r="E231" s="12" t="s">
        <v>19</v>
      </c>
      <c r="F231" s="12">
        <v>3</v>
      </c>
      <c r="G231" s="12" t="s">
        <v>20</v>
      </c>
      <c r="H231" s="12" t="s">
        <v>33</v>
      </c>
      <c r="I231" s="13">
        <v>45195.420219907406</v>
      </c>
      <c r="J231" s="12" t="s">
        <v>22</v>
      </c>
      <c r="K231" s="12"/>
      <c r="L231" s="12"/>
      <c r="M231" s="4" t="s">
        <v>23</v>
      </c>
      <c r="N231" s="12" t="str">
        <f t="shared" ref="N231:N262" si="8">LEFT(C231,14)</f>
        <v>057 - 46907313</v>
      </c>
      <c r="O231" s="9" t="s">
        <v>29</v>
      </c>
      <c r="P231" s="9" t="s">
        <v>25</v>
      </c>
      <c r="Q231" s="9"/>
      <c r="R231" s="9"/>
    </row>
    <row r="232" spans="2:18" ht="12.75" hidden="1" customHeight="1" thickBot="1">
      <c r="B232" s="5"/>
      <c r="C232" s="12" t="s">
        <v>177</v>
      </c>
      <c r="D232" s="12" t="s">
        <v>18</v>
      </c>
      <c r="E232" s="12" t="s">
        <v>19</v>
      </c>
      <c r="F232" s="12">
        <v>3</v>
      </c>
      <c r="G232" s="12" t="s">
        <v>20</v>
      </c>
      <c r="H232" s="12" t="s">
        <v>176</v>
      </c>
      <c r="I232" s="13">
        <v>45195.420173611114</v>
      </c>
      <c r="J232" s="12" t="s">
        <v>22</v>
      </c>
      <c r="K232" s="12"/>
      <c r="L232" s="12"/>
      <c r="M232" s="4" t="s">
        <v>23</v>
      </c>
      <c r="N232" s="12" t="str">
        <f t="shared" si="8"/>
        <v>057 - 47449522</v>
      </c>
      <c r="O232" s="9" t="s">
        <v>29</v>
      </c>
      <c r="P232" s="9" t="s">
        <v>25</v>
      </c>
      <c r="Q232" s="9"/>
      <c r="R232" s="9"/>
    </row>
    <row r="233" spans="2:18" ht="12.75" hidden="1" customHeight="1" thickBot="1">
      <c r="B233" s="6"/>
      <c r="C233" s="12" t="s">
        <v>177</v>
      </c>
      <c r="D233" s="12" t="s">
        <v>18</v>
      </c>
      <c r="E233" s="12" t="s">
        <v>19</v>
      </c>
      <c r="F233" s="12">
        <v>3</v>
      </c>
      <c r="G233" s="12" t="s">
        <v>20</v>
      </c>
      <c r="H233" s="12" t="s">
        <v>176</v>
      </c>
      <c r="I233" s="13">
        <v>45195.420127314814</v>
      </c>
      <c r="J233" s="12" t="s">
        <v>22</v>
      </c>
      <c r="K233" s="12"/>
      <c r="L233" s="12"/>
      <c r="M233" s="4" t="s">
        <v>23</v>
      </c>
      <c r="N233" s="12" t="str">
        <f t="shared" si="8"/>
        <v>057 - 47449522</v>
      </c>
      <c r="O233" s="9" t="s">
        <v>29</v>
      </c>
      <c r="P233" s="9" t="s">
        <v>25</v>
      </c>
      <c r="Q233" s="9"/>
      <c r="R233" s="9" t="s">
        <v>35</v>
      </c>
    </row>
    <row r="234" spans="2:18" ht="15.75" hidden="1" thickBot="1">
      <c r="B234" s="5"/>
      <c r="C234" s="12" t="s">
        <v>178</v>
      </c>
      <c r="D234" s="12" t="s">
        <v>18</v>
      </c>
      <c r="E234" s="12" t="s">
        <v>19</v>
      </c>
      <c r="F234" s="12">
        <v>3</v>
      </c>
      <c r="G234" s="12" t="s">
        <v>20</v>
      </c>
      <c r="H234" s="12" t="s">
        <v>33</v>
      </c>
      <c r="I234" s="13">
        <v>45195.420069444444</v>
      </c>
      <c r="J234" s="12" t="s">
        <v>22</v>
      </c>
      <c r="K234" s="12"/>
      <c r="L234" s="12"/>
      <c r="M234" s="4" t="s">
        <v>23</v>
      </c>
      <c r="N234" s="12" t="str">
        <f t="shared" si="8"/>
        <v>057 - 04136274</v>
      </c>
      <c r="O234" s="9" t="s">
        <v>65</v>
      </c>
      <c r="P234" s="9" t="s">
        <v>25</v>
      </c>
      <c r="Q234" s="9"/>
      <c r="R234" s="9" t="s">
        <v>52</v>
      </c>
    </row>
    <row r="235" spans="2:18" ht="15.75" hidden="1" thickBot="1">
      <c r="B235" s="6"/>
      <c r="C235" s="12" t="s">
        <v>179</v>
      </c>
      <c r="D235" s="12" t="s">
        <v>18</v>
      </c>
      <c r="E235" s="12" t="s">
        <v>19</v>
      </c>
      <c r="F235" s="12">
        <v>3</v>
      </c>
      <c r="G235" s="12" t="s">
        <v>20</v>
      </c>
      <c r="H235" s="12" t="s">
        <v>33</v>
      </c>
      <c r="I235" s="13">
        <v>45195.420011574075</v>
      </c>
      <c r="J235" s="12" t="s">
        <v>22</v>
      </c>
      <c r="K235" s="12"/>
      <c r="L235" s="12"/>
      <c r="M235" s="4" t="s">
        <v>23</v>
      </c>
      <c r="N235" s="12" t="str">
        <f t="shared" si="8"/>
        <v>057 - 04210986</v>
      </c>
      <c r="O235" s="9" t="s">
        <v>65</v>
      </c>
      <c r="P235" s="9" t="s">
        <v>25</v>
      </c>
      <c r="Q235" s="9"/>
      <c r="R235" s="9" t="s">
        <v>52</v>
      </c>
    </row>
    <row r="236" spans="2:18" ht="15.75" hidden="1" thickBot="1">
      <c r="B236" s="5"/>
      <c r="C236" s="12" t="s">
        <v>180</v>
      </c>
      <c r="D236" s="12" t="s">
        <v>18</v>
      </c>
      <c r="E236" s="12" t="s">
        <v>19</v>
      </c>
      <c r="F236" s="12">
        <v>3</v>
      </c>
      <c r="G236" s="12" t="s">
        <v>20</v>
      </c>
      <c r="H236" s="12" t="s">
        <v>33</v>
      </c>
      <c r="I236" s="13">
        <v>45195.419953703706</v>
      </c>
      <c r="J236" s="12" t="s">
        <v>22</v>
      </c>
      <c r="K236" s="12"/>
      <c r="L236" s="12"/>
      <c r="M236" s="4" t="s">
        <v>23</v>
      </c>
      <c r="N236" s="12" t="str">
        <f t="shared" si="8"/>
        <v>057 - 03934733</v>
      </c>
      <c r="O236" s="9" t="s">
        <v>65</v>
      </c>
      <c r="P236" s="9" t="s">
        <v>25</v>
      </c>
      <c r="Q236" s="9"/>
      <c r="R236" s="9" t="s">
        <v>52</v>
      </c>
    </row>
    <row r="237" spans="2:18" ht="15.75" hidden="1" thickBot="1">
      <c r="B237" s="6"/>
      <c r="C237" s="12" t="s">
        <v>181</v>
      </c>
      <c r="D237" s="12" t="s">
        <v>18</v>
      </c>
      <c r="E237" s="12" t="s">
        <v>19</v>
      </c>
      <c r="F237" s="12">
        <v>3</v>
      </c>
      <c r="G237" s="12" t="s">
        <v>20</v>
      </c>
      <c r="H237" s="12" t="s">
        <v>33</v>
      </c>
      <c r="I237" s="13">
        <v>45195.41988425926</v>
      </c>
      <c r="J237" s="12" t="s">
        <v>22</v>
      </c>
      <c r="K237" s="12"/>
      <c r="L237" s="12"/>
      <c r="M237" s="4" t="s">
        <v>23</v>
      </c>
      <c r="N237" s="12" t="str">
        <f t="shared" si="8"/>
        <v>057 - 47967220</v>
      </c>
      <c r="O237" s="9" t="s">
        <v>65</v>
      </c>
      <c r="P237" s="9" t="s">
        <v>25</v>
      </c>
      <c r="Q237" s="9"/>
      <c r="R237" s="9" t="s">
        <v>52</v>
      </c>
    </row>
    <row r="238" spans="2:18" ht="15.75" hidden="1" thickBot="1">
      <c r="B238" s="5"/>
      <c r="C238" s="12" t="s">
        <v>182</v>
      </c>
      <c r="D238" s="12" t="s">
        <v>18</v>
      </c>
      <c r="E238" s="12" t="s">
        <v>19</v>
      </c>
      <c r="F238" s="12">
        <v>3</v>
      </c>
      <c r="G238" s="12" t="s">
        <v>20</v>
      </c>
      <c r="H238" s="12" t="s">
        <v>33</v>
      </c>
      <c r="I238" s="13">
        <v>45195.41982638889</v>
      </c>
      <c r="J238" s="12" t="s">
        <v>22</v>
      </c>
      <c r="K238" s="12"/>
      <c r="L238" s="12"/>
      <c r="M238" s="4" t="s">
        <v>23</v>
      </c>
      <c r="N238" s="12" t="str">
        <f t="shared" si="8"/>
        <v>057 - 04162771</v>
      </c>
      <c r="O238" s="9" t="s">
        <v>65</v>
      </c>
      <c r="P238" s="9" t="s">
        <v>25</v>
      </c>
      <c r="Q238" s="9"/>
      <c r="R238" s="9" t="s">
        <v>52</v>
      </c>
    </row>
    <row r="239" spans="2:18" ht="15.75" hidden="1" thickBot="1">
      <c r="B239" s="6"/>
      <c r="C239" s="12" t="s">
        <v>183</v>
      </c>
      <c r="D239" s="12" t="s">
        <v>18</v>
      </c>
      <c r="E239" s="12" t="s">
        <v>19</v>
      </c>
      <c r="F239" s="12">
        <v>3</v>
      </c>
      <c r="G239" s="12" t="s">
        <v>20</v>
      </c>
      <c r="H239" s="12" t="s">
        <v>33</v>
      </c>
      <c r="I239" s="13">
        <v>45195.419722222221</v>
      </c>
      <c r="J239" s="12" t="s">
        <v>22</v>
      </c>
      <c r="K239" s="12"/>
      <c r="L239" s="12"/>
      <c r="M239" s="4" t="s">
        <v>23</v>
      </c>
      <c r="N239" s="12" t="str">
        <f t="shared" si="8"/>
        <v>057 - 04159120</v>
      </c>
      <c r="O239" s="9" t="s">
        <v>65</v>
      </c>
      <c r="P239" s="9" t="s">
        <v>25</v>
      </c>
      <c r="Q239" s="9"/>
      <c r="R239" s="9" t="s">
        <v>52</v>
      </c>
    </row>
    <row r="240" spans="2:18" ht="15.75" hidden="1" thickBot="1">
      <c r="B240" s="5"/>
      <c r="C240" s="12" t="s">
        <v>184</v>
      </c>
      <c r="D240" s="12" t="s">
        <v>18</v>
      </c>
      <c r="E240" s="12" t="s">
        <v>19</v>
      </c>
      <c r="F240" s="12">
        <v>3</v>
      </c>
      <c r="G240" s="12" t="s">
        <v>20</v>
      </c>
      <c r="H240" s="12" t="s">
        <v>33</v>
      </c>
      <c r="I240" s="13">
        <v>45195.419652777775</v>
      </c>
      <c r="J240" s="12" t="s">
        <v>22</v>
      </c>
      <c r="K240" s="12"/>
      <c r="L240" s="12"/>
      <c r="M240" s="4" t="s">
        <v>23</v>
      </c>
      <c r="N240" s="12" t="str">
        <f t="shared" si="8"/>
        <v>057 - 47135620</v>
      </c>
      <c r="O240" s="9" t="s">
        <v>65</v>
      </c>
      <c r="P240" s="9" t="s">
        <v>25</v>
      </c>
      <c r="Q240" s="9"/>
      <c r="R240" s="9" t="s">
        <v>52</v>
      </c>
    </row>
    <row r="241" spans="2:18" ht="15.75" hidden="1" thickBot="1">
      <c r="B241" s="6"/>
      <c r="C241" s="12" t="s">
        <v>185</v>
      </c>
      <c r="D241" s="12" t="s">
        <v>18</v>
      </c>
      <c r="E241" s="12" t="s">
        <v>19</v>
      </c>
      <c r="F241" s="12">
        <v>3</v>
      </c>
      <c r="G241" s="12" t="s">
        <v>20</v>
      </c>
      <c r="H241" s="12" t="s">
        <v>186</v>
      </c>
      <c r="I241" s="13">
        <v>45195.419606481482</v>
      </c>
      <c r="J241" s="12" t="s">
        <v>22</v>
      </c>
      <c r="K241" s="12"/>
      <c r="L241" s="12"/>
      <c r="M241" s="4" t="s">
        <v>23</v>
      </c>
      <c r="N241" s="12" t="str">
        <f t="shared" si="8"/>
        <v>074 - 46584322</v>
      </c>
      <c r="O241" s="9" t="s">
        <v>65</v>
      </c>
      <c r="P241" s="9"/>
      <c r="Q241" s="9"/>
      <c r="R241" s="9"/>
    </row>
    <row r="242" spans="2:18" ht="15.75" hidden="1" thickBot="1">
      <c r="B242" s="5"/>
      <c r="C242" s="12" t="s">
        <v>187</v>
      </c>
      <c r="D242" s="12" t="s">
        <v>18</v>
      </c>
      <c r="E242" s="12" t="s">
        <v>19</v>
      </c>
      <c r="F242" s="12">
        <v>3</v>
      </c>
      <c r="G242" s="12" t="s">
        <v>20</v>
      </c>
      <c r="H242" s="12" t="s">
        <v>33</v>
      </c>
      <c r="I242" s="13">
        <v>45195.419537037036</v>
      </c>
      <c r="J242" s="12" t="s">
        <v>22</v>
      </c>
      <c r="K242" s="12"/>
      <c r="L242" s="12"/>
      <c r="M242" s="4" t="s">
        <v>23</v>
      </c>
      <c r="N242" s="12" t="str">
        <f t="shared" si="8"/>
        <v>057 - 87993743</v>
      </c>
      <c r="O242" s="9" t="s">
        <v>24</v>
      </c>
      <c r="P242" s="9" t="s">
        <v>188</v>
      </c>
      <c r="Q242" s="9"/>
      <c r="R242" s="9" t="s">
        <v>52</v>
      </c>
    </row>
    <row r="243" spans="2:18" ht="15.75" hidden="1" thickBot="1">
      <c r="B243" s="6"/>
      <c r="C243" s="12" t="s">
        <v>149</v>
      </c>
      <c r="D243" s="12" t="s">
        <v>18</v>
      </c>
      <c r="E243" s="12" t="s">
        <v>19</v>
      </c>
      <c r="F243" s="12">
        <v>3</v>
      </c>
      <c r="G243" s="12" t="s">
        <v>20</v>
      </c>
      <c r="H243" s="12" t="s">
        <v>33</v>
      </c>
      <c r="I243" s="13">
        <v>45195.419502314813</v>
      </c>
      <c r="J243" s="12" t="s">
        <v>22</v>
      </c>
      <c r="K243" s="12"/>
      <c r="L243" s="12"/>
      <c r="M243" s="4" t="s">
        <v>23</v>
      </c>
      <c r="N243" s="12" t="str">
        <f t="shared" si="8"/>
        <v>057 - 47863023</v>
      </c>
      <c r="O243" s="9" t="s">
        <v>125</v>
      </c>
      <c r="P243" s="9"/>
      <c r="Q243" s="9"/>
      <c r="R243" s="9"/>
    </row>
    <row r="244" spans="2:18" ht="15.75" hidden="1" thickBot="1">
      <c r="B244" s="5"/>
      <c r="C244" s="12" t="s">
        <v>189</v>
      </c>
      <c r="D244" s="12" t="s">
        <v>18</v>
      </c>
      <c r="E244" s="12" t="s">
        <v>19</v>
      </c>
      <c r="F244" s="12">
        <v>3</v>
      </c>
      <c r="G244" s="12" t="s">
        <v>20</v>
      </c>
      <c r="H244" s="12" t="s">
        <v>33</v>
      </c>
      <c r="I244" s="13">
        <v>45195.41946759259</v>
      </c>
      <c r="J244" s="12" t="s">
        <v>22</v>
      </c>
      <c r="K244" s="12"/>
      <c r="L244" s="12"/>
      <c r="M244" s="4" t="s">
        <v>23</v>
      </c>
      <c r="N244" s="12" t="str">
        <f t="shared" si="8"/>
        <v>057 - 48418801</v>
      </c>
      <c r="O244" s="9" t="s">
        <v>24</v>
      </c>
      <c r="P244" s="9" t="s">
        <v>188</v>
      </c>
      <c r="Q244" s="9"/>
      <c r="R244" s="9" t="s">
        <v>52</v>
      </c>
    </row>
    <row r="245" spans="2:18" ht="15.75" hidden="1" thickBot="1">
      <c r="B245" s="6"/>
      <c r="C245" s="12" t="s">
        <v>189</v>
      </c>
      <c r="D245" s="12" t="s">
        <v>18</v>
      </c>
      <c r="E245" s="12" t="s">
        <v>19</v>
      </c>
      <c r="F245" s="12">
        <v>3</v>
      </c>
      <c r="G245" s="12" t="s">
        <v>20</v>
      </c>
      <c r="H245" s="12" t="s">
        <v>33</v>
      </c>
      <c r="I245" s="13">
        <v>45195.419421296298</v>
      </c>
      <c r="J245" s="12" t="s">
        <v>22</v>
      </c>
      <c r="K245" s="12"/>
      <c r="L245" s="12"/>
      <c r="M245" s="4" t="s">
        <v>23</v>
      </c>
      <c r="N245" s="12" t="str">
        <f t="shared" si="8"/>
        <v>057 - 48418801</v>
      </c>
      <c r="O245" s="9" t="s">
        <v>125</v>
      </c>
      <c r="P245" s="9"/>
      <c r="Q245" s="9"/>
      <c r="R245" s="9"/>
    </row>
    <row r="246" spans="2:18" ht="15.75" hidden="1" thickBot="1">
      <c r="B246" s="5"/>
      <c r="C246" s="12" t="s">
        <v>190</v>
      </c>
      <c r="D246" s="12" t="s">
        <v>18</v>
      </c>
      <c r="E246" s="12" t="s">
        <v>19</v>
      </c>
      <c r="F246" s="12">
        <v>3</v>
      </c>
      <c r="G246" s="12" t="s">
        <v>20</v>
      </c>
      <c r="H246" s="12" t="s">
        <v>186</v>
      </c>
      <c r="I246" s="13">
        <v>45195.419351851851</v>
      </c>
      <c r="J246" s="12" t="s">
        <v>22</v>
      </c>
      <c r="K246" s="12"/>
      <c r="L246" s="12"/>
      <c r="M246" s="4" t="s">
        <v>23</v>
      </c>
      <c r="N246" s="12" t="str">
        <f t="shared" si="8"/>
        <v>074 - 62262056</v>
      </c>
      <c r="O246" s="9" t="s">
        <v>24</v>
      </c>
      <c r="P246" s="9" t="s">
        <v>188</v>
      </c>
      <c r="Q246" s="9"/>
      <c r="R246" s="9" t="s">
        <v>52</v>
      </c>
    </row>
    <row r="247" spans="2:18" ht="15.75" hidden="1" thickBot="1">
      <c r="B247" s="6"/>
      <c r="C247" s="12" t="s">
        <v>190</v>
      </c>
      <c r="D247" s="12" t="s">
        <v>18</v>
      </c>
      <c r="E247" s="12" t="s">
        <v>19</v>
      </c>
      <c r="F247" s="12">
        <v>3</v>
      </c>
      <c r="G247" s="12" t="s">
        <v>20</v>
      </c>
      <c r="H247" s="12" t="s">
        <v>186</v>
      </c>
      <c r="I247" s="13">
        <v>45195.419282407405</v>
      </c>
      <c r="J247" s="12" t="s">
        <v>22</v>
      </c>
      <c r="K247" s="12"/>
      <c r="L247" s="12"/>
      <c r="M247" s="4" t="s">
        <v>23</v>
      </c>
      <c r="N247" s="12" t="str">
        <f t="shared" si="8"/>
        <v>074 - 62262056</v>
      </c>
      <c r="O247" s="9" t="s">
        <v>125</v>
      </c>
      <c r="P247" s="9"/>
      <c r="Q247" s="9"/>
      <c r="R247" s="9"/>
    </row>
    <row r="248" spans="2:18" ht="15.75" hidden="1" thickBot="1">
      <c r="B248" s="5"/>
      <c r="C248" s="12" t="s">
        <v>190</v>
      </c>
      <c r="D248" s="12" t="s">
        <v>18</v>
      </c>
      <c r="E248" s="12" t="s">
        <v>19</v>
      </c>
      <c r="F248" s="12">
        <v>3</v>
      </c>
      <c r="G248" s="12" t="s">
        <v>20</v>
      </c>
      <c r="H248" s="12" t="s">
        <v>186</v>
      </c>
      <c r="I248" s="13">
        <v>45195.41920138889</v>
      </c>
      <c r="J248" s="12" t="s">
        <v>22</v>
      </c>
      <c r="K248" s="12"/>
      <c r="L248" s="12"/>
      <c r="M248" s="4" t="s">
        <v>23</v>
      </c>
      <c r="N248" s="12" t="str">
        <f t="shared" si="8"/>
        <v>074 - 62262056</v>
      </c>
      <c r="O248" s="9" t="s">
        <v>125</v>
      </c>
      <c r="P248" s="9"/>
      <c r="Q248" s="9"/>
      <c r="R248" s="9"/>
    </row>
    <row r="249" spans="2:18" ht="15.75" hidden="1" thickBot="1">
      <c r="B249" s="6"/>
      <c r="C249" s="12" t="s">
        <v>130</v>
      </c>
      <c r="D249" s="12" t="s">
        <v>18</v>
      </c>
      <c r="E249" s="12" t="s">
        <v>19</v>
      </c>
      <c r="F249" s="12">
        <v>3</v>
      </c>
      <c r="G249" s="12" t="s">
        <v>20</v>
      </c>
      <c r="H249" s="12" t="s">
        <v>33</v>
      </c>
      <c r="I249" s="13">
        <v>45195.419108796297</v>
      </c>
      <c r="J249" s="12" t="s">
        <v>22</v>
      </c>
      <c r="K249" s="12"/>
      <c r="L249" s="12"/>
      <c r="M249" s="4" t="s">
        <v>23</v>
      </c>
      <c r="N249" s="12" t="str">
        <f>LEFT(C249,14)</f>
        <v>057 - 46545925</v>
      </c>
      <c r="O249" s="9" t="s">
        <v>24</v>
      </c>
      <c r="P249" s="9" t="s">
        <v>188</v>
      </c>
      <c r="Q249" s="9"/>
      <c r="R249" s="9" t="s">
        <v>52</v>
      </c>
    </row>
    <row r="250" spans="2:18" ht="15.75" hidden="1" thickBot="1">
      <c r="B250" s="5"/>
      <c r="C250" s="12" t="s">
        <v>129</v>
      </c>
      <c r="D250" s="12" t="s">
        <v>18</v>
      </c>
      <c r="E250" s="12" t="s">
        <v>19</v>
      </c>
      <c r="F250" s="12">
        <v>3</v>
      </c>
      <c r="G250" s="12" t="s">
        <v>20</v>
      </c>
      <c r="H250" s="12" t="s">
        <v>33</v>
      </c>
      <c r="I250" s="13">
        <v>45195.419039351851</v>
      </c>
      <c r="J250" s="12" t="s">
        <v>22</v>
      </c>
      <c r="K250" s="12"/>
      <c r="L250" s="12"/>
      <c r="M250" s="4" t="s">
        <v>23</v>
      </c>
      <c r="N250" s="12" t="str">
        <f t="shared" si="8"/>
        <v>057 - 46967465</v>
      </c>
      <c r="O250" s="9" t="s">
        <v>125</v>
      </c>
      <c r="P250" s="9"/>
      <c r="Q250" s="9"/>
      <c r="R250" s="9"/>
    </row>
    <row r="251" spans="2:18" ht="15.75" hidden="1" thickBot="1">
      <c r="B251" s="7"/>
      <c r="C251" s="12" t="s">
        <v>131</v>
      </c>
      <c r="D251" s="12" t="s">
        <v>18</v>
      </c>
      <c r="E251" s="12" t="s">
        <v>19</v>
      </c>
      <c r="F251" s="12">
        <v>3</v>
      </c>
      <c r="G251" s="12" t="s">
        <v>20</v>
      </c>
      <c r="H251" s="12" t="s">
        <v>33</v>
      </c>
      <c r="I251" s="13">
        <v>45195.418981481482</v>
      </c>
      <c r="J251" s="12" t="s">
        <v>22</v>
      </c>
      <c r="K251" s="12"/>
      <c r="L251" s="12"/>
      <c r="M251" s="4" t="s">
        <v>23</v>
      </c>
      <c r="N251" s="12" t="str">
        <f t="shared" si="8"/>
        <v>057 - 04164075</v>
      </c>
      <c r="O251" s="9" t="s">
        <v>125</v>
      </c>
      <c r="P251" s="9"/>
      <c r="Q251" s="9"/>
      <c r="R251" s="9"/>
    </row>
    <row r="252" spans="2:18" hidden="1">
      <c r="C252" s="12" t="s">
        <v>132</v>
      </c>
      <c r="D252" s="12" t="s">
        <v>18</v>
      </c>
      <c r="E252" s="12" t="s">
        <v>19</v>
      </c>
      <c r="F252" s="12">
        <v>3</v>
      </c>
      <c r="G252" s="12" t="s">
        <v>20</v>
      </c>
      <c r="H252" s="12" t="s">
        <v>33</v>
      </c>
      <c r="I252" s="13">
        <v>45195.418923611112</v>
      </c>
      <c r="J252" s="12" t="s">
        <v>22</v>
      </c>
      <c r="K252" s="12"/>
      <c r="L252" s="12"/>
      <c r="M252" s="4" t="s">
        <v>23</v>
      </c>
      <c r="N252" s="12" t="str">
        <f t="shared" si="8"/>
        <v>057 - 04109346</v>
      </c>
      <c r="O252" s="9" t="s">
        <v>125</v>
      </c>
      <c r="P252" s="9"/>
      <c r="Q252" s="9"/>
      <c r="R252" s="9"/>
    </row>
    <row r="253" spans="2:18" ht="15.75" hidden="1" thickBot="1">
      <c r="B253" s="5"/>
      <c r="C253" s="12" t="s">
        <v>191</v>
      </c>
      <c r="D253" s="12" t="s">
        <v>18</v>
      </c>
      <c r="E253" s="12" t="s">
        <v>19</v>
      </c>
      <c r="F253" s="12">
        <v>3</v>
      </c>
      <c r="G253" s="12" t="s">
        <v>20</v>
      </c>
      <c r="H253" s="12" t="s">
        <v>176</v>
      </c>
      <c r="I253" s="13">
        <v>45195.418865740743</v>
      </c>
      <c r="J253" s="12" t="s">
        <v>22</v>
      </c>
      <c r="K253" s="12"/>
      <c r="L253" s="12"/>
      <c r="M253" s="4" t="s">
        <v>23</v>
      </c>
      <c r="N253" s="12" t="str">
        <f t="shared" si="8"/>
        <v>057 - 04206296</v>
      </c>
      <c r="O253" s="9" t="s">
        <v>24</v>
      </c>
      <c r="P253" s="9" t="s">
        <v>188</v>
      </c>
      <c r="Q253" s="9"/>
      <c r="R253" s="9" t="s">
        <v>52</v>
      </c>
    </row>
    <row r="254" spans="2:18" ht="12.75" hidden="1" customHeight="1" thickBot="1">
      <c r="B254" s="6"/>
      <c r="C254" s="12" t="s">
        <v>147</v>
      </c>
      <c r="D254" s="12" t="s">
        <v>18</v>
      </c>
      <c r="E254" s="12" t="s">
        <v>19</v>
      </c>
      <c r="F254" s="12">
        <v>3</v>
      </c>
      <c r="G254" s="12" t="s">
        <v>20</v>
      </c>
      <c r="H254" s="12" t="s">
        <v>33</v>
      </c>
      <c r="I254" s="13">
        <v>45195.418807870374</v>
      </c>
      <c r="J254" s="12" t="s">
        <v>22</v>
      </c>
      <c r="K254" s="12"/>
      <c r="L254" s="12"/>
      <c r="M254" s="4" t="s">
        <v>23</v>
      </c>
      <c r="N254" s="12" t="str">
        <f t="shared" si="8"/>
        <v>057 - 08554302</v>
      </c>
      <c r="O254" s="9"/>
      <c r="P254" s="9" t="s">
        <v>163</v>
      </c>
      <c r="Q254" s="9"/>
      <c r="R254" s="9"/>
    </row>
    <row r="255" spans="2:18" ht="12.75" hidden="1" customHeight="1" thickBot="1">
      <c r="B255" s="5"/>
      <c r="C255" s="12" t="s">
        <v>147</v>
      </c>
      <c r="D255" s="12" t="s">
        <v>18</v>
      </c>
      <c r="E255" s="12" t="s">
        <v>19</v>
      </c>
      <c r="F255" s="12">
        <v>3</v>
      </c>
      <c r="G255" s="12" t="s">
        <v>20</v>
      </c>
      <c r="H255" s="12" t="s">
        <v>33</v>
      </c>
      <c r="I255" s="13">
        <v>45195.418761574074</v>
      </c>
      <c r="J255" s="12" t="s">
        <v>22</v>
      </c>
      <c r="K255" s="12"/>
      <c r="L255" s="12"/>
      <c r="M255" s="4" t="s">
        <v>23</v>
      </c>
      <c r="N255" s="12" t="str">
        <f t="shared" si="8"/>
        <v>057 - 08554302</v>
      </c>
      <c r="O255" s="9" t="s">
        <v>69</v>
      </c>
      <c r="P255" s="9" t="s">
        <v>25</v>
      </c>
      <c r="Q255" s="9"/>
      <c r="R255" s="9"/>
    </row>
    <row r="256" spans="2:18" ht="12.75" hidden="1" customHeight="1" thickBot="1">
      <c r="B256" s="6"/>
      <c r="C256" s="12" t="s">
        <v>148</v>
      </c>
      <c r="D256" s="12" t="s">
        <v>18</v>
      </c>
      <c r="E256" s="12" t="s">
        <v>19</v>
      </c>
      <c r="F256" s="12">
        <v>3</v>
      </c>
      <c r="G256" s="12" t="s">
        <v>20</v>
      </c>
      <c r="H256" s="12" t="s">
        <v>33</v>
      </c>
      <c r="I256" s="13">
        <v>45195.418703703705</v>
      </c>
      <c r="J256" s="12" t="s">
        <v>22</v>
      </c>
      <c r="K256" s="12"/>
      <c r="L256" s="12"/>
      <c r="M256" s="4" t="s">
        <v>23</v>
      </c>
      <c r="N256" s="12" t="str">
        <f t="shared" si="8"/>
        <v>057 - 46045591</v>
      </c>
      <c r="O256" s="9" t="s">
        <v>69</v>
      </c>
      <c r="P256" s="9" t="s">
        <v>25</v>
      </c>
      <c r="Q256" s="17" t="s">
        <v>152</v>
      </c>
      <c r="R256" s="9"/>
    </row>
    <row r="257" spans="2:18" ht="12.75" hidden="1" customHeight="1" thickBot="1">
      <c r="B257" s="5"/>
      <c r="C257" s="12" t="s">
        <v>148</v>
      </c>
      <c r="D257" s="12" t="s">
        <v>18</v>
      </c>
      <c r="E257" s="12" t="s">
        <v>19</v>
      </c>
      <c r="F257" s="12">
        <v>3</v>
      </c>
      <c r="G257" s="12" t="s">
        <v>20</v>
      </c>
      <c r="H257" s="12" t="s">
        <v>33</v>
      </c>
      <c r="I257" s="13">
        <v>45195.418634259258</v>
      </c>
      <c r="J257" s="12" t="s">
        <v>22</v>
      </c>
      <c r="K257" s="12"/>
      <c r="L257" s="12"/>
      <c r="M257" s="4" t="s">
        <v>23</v>
      </c>
      <c r="N257" s="12" t="str">
        <f t="shared" si="8"/>
        <v>057 - 46045591</v>
      </c>
      <c r="O257" s="9"/>
      <c r="P257" s="9" t="s">
        <v>163</v>
      </c>
      <c r="Q257" s="9"/>
      <c r="R257" s="9"/>
    </row>
    <row r="258" spans="2:18" ht="12.75" hidden="1" customHeight="1" thickBot="1">
      <c r="B258" s="6"/>
      <c r="C258" s="12" t="s">
        <v>179</v>
      </c>
      <c r="D258" s="12" t="s">
        <v>18</v>
      </c>
      <c r="E258" s="12" t="s">
        <v>19</v>
      </c>
      <c r="F258" s="12">
        <v>3</v>
      </c>
      <c r="G258" s="12" t="s">
        <v>20</v>
      </c>
      <c r="H258" s="12" t="s">
        <v>33</v>
      </c>
      <c r="I258" s="13">
        <v>45195.418587962966</v>
      </c>
      <c r="J258" s="12" t="s">
        <v>22</v>
      </c>
      <c r="K258" s="12"/>
      <c r="L258" s="12"/>
      <c r="M258" s="4" t="s">
        <v>23</v>
      </c>
      <c r="N258" s="12" t="str">
        <f t="shared" si="8"/>
        <v>057 - 04210986</v>
      </c>
      <c r="O258" s="9"/>
      <c r="P258" s="9" t="s">
        <v>163</v>
      </c>
      <c r="Q258" s="9"/>
      <c r="R258" s="9"/>
    </row>
    <row r="259" spans="2:18" ht="12.75" hidden="1" customHeight="1" thickBot="1">
      <c r="B259" s="5"/>
      <c r="C259" s="12" t="s">
        <v>179</v>
      </c>
      <c r="D259" s="12" t="s">
        <v>18</v>
      </c>
      <c r="E259" s="12" t="s">
        <v>19</v>
      </c>
      <c r="F259" s="12">
        <v>3</v>
      </c>
      <c r="G259" s="12" t="s">
        <v>20</v>
      </c>
      <c r="H259" s="12" t="s">
        <v>33</v>
      </c>
      <c r="I259" s="13">
        <v>45195.418541666666</v>
      </c>
      <c r="J259" s="12" t="s">
        <v>22</v>
      </c>
      <c r="K259" s="12"/>
      <c r="L259" s="12"/>
      <c r="M259" s="4" t="s">
        <v>23</v>
      </c>
      <c r="N259" s="12" t="str">
        <f t="shared" si="8"/>
        <v>057 - 04210986</v>
      </c>
      <c r="O259" s="9" t="s">
        <v>69</v>
      </c>
      <c r="P259" s="9" t="s">
        <v>25</v>
      </c>
      <c r="Q259" s="9"/>
      <c r="R259" s="9"/>
    </row>
    <row r="260" spans="2:18" ht="12.75" hidden="1" customHeight="1" thickBot="1">
      <c r="B260" s="6"/>
      <c r="C260" s="12" t="s">
        <v>192</v>
      </c>
      <c r="D260" s="12" t="s">
        <v>18</v>
      </c>
      <c r="E260" s="12" t="s">
        <v>19</v>
      </c>
      <c r="F260" s="12">
        <v>3</v>
      </c>
      <c r="G260" s="12" t="s">
        <v>20</v>
      </c>
      <c r="H260" s="12" t="s">
        <v>45</v>
      </c>
      <c r="I260" s="13">
        <v>45195.41846064815</v>
      </c>
      <c r="J260" s="12" t="s">
        <v>22</v>
      </c>
      <c r="K260" s="12"/>
      <c r="L260" s="12"/>
      <c r="M260" s="4" t="s">
        <v>23</v>
      </c>
      <c r="N260" s="12" t="str">
        <f t="shared" si="8"/>
        <v>057 - 46621735</v>
      </c>
      <c r="O260" s="9" t="s">
        <v>69</v>
      </c>
      <c r="P260" s="9" t="s">
        <v>25</v>
      </c>
      <c r="Q260" s="9"/>
      <c r="R260" s="9"/>
    </row>
    <row r="261" spans="2:18" ht="12.75" hidden="1" customHeight="1" thickBot="1">
      <c r="B261" s="5"/>
      <c r="C261" s="12" t="s">
        <v>192</v>
      </c>
      <c r="D261" s="12" t="s">
        <v>18</v>
      </c>
      <c r="E261" s="12" t="s">
        <v>19</v>
      </c>
      <c r="F261" s="12">
        <v>3</v>
      </c>
      <c r="G261" s="12" t="s">
        <v>20</v>
      </c>
      <c r="H261" s="12" t="s">
        <v>46</v>
      </c>
      <c r="I261" s="13">
        <v>45195.418391203704</v>
      </c>
      <c r="J261" s="12" t="s">
        <v>22</v>
      </c>
      <c r="K261" s="12"/>
      <c r="L261" s="12"/>
      <c r="M261" s="4" t="s">
        <v>23</v>
      </c>
      <c r="N261" s="12" t="str">
        <f t="shared" si="8"/>
        <v>057 - 46621735</v>
      </c>
      <c r="O261" s="9"/>
      <c r="P261" s="9" t="s">
        <v>163</v>
      </c>
      <c r="Q261" s="9"/>
      <c r="R261" s="9"/>
    </row>
    <row r="262" spans="2:18" ht="12.75" hidden="1" customHeight="1" thickBot="1">
      <c r="B262" s="6"/>
      <c r="C262" s="12" t="s">
        <v>193</v>
      </c>
      <c r="D262" s="12" t="s">
        <v>18</v>
      </c>
      <c r="E262" s="12" t="s">
        <v>19</v>
      </c>
      <c r="F262" s="12">
        <v>3</v>
      </c>
      <c r="G262" s="12" t="s">
        <v>20</v>
      </c>
      <c r="H262" s="12" t="s">
        <v>33</v>
      </c>
      <c r="I262" s="13">
        <v>45195.418321759258</v>
      </c>
      <c r="J262" s="12" t="s">
        <v>22</v>
      </c>
      <c r="K262" s="12"/>
      <c r="L262" s="12"/>
      <c r="M262" s="4" t="s">
        <v>23</v>
      </c>
      <c r="N262" s="12" t="str">
        <f t="shared" si="8"/>
        <v>057 - 04236746</v>
      </c>
      <c r="O262" s="9" t="s">
        <v>69</v>
      </c>
      <c r="P262" s="9" t="s">
        <v>25</v>
      </c>
      <c r="Q262" s="9"/>
      <c r="R262" s="9"/>
    </row>
    <row r="263" spans="2:18" ht="12.75" hidden="1" customHeight="1" thickBot="1">
      <c r="B263" s="5"/>
      <c r="C263" s="12" t="s">
        <v>194</v>
      </c>
      <c r="D263" s="12" t="s">
        <v>18</v>
      </c>
      <c r="E263" s="12" t="s">
        <v>19</v>
      </c>
      <c r="F263" s="12">
        <v>3</v>
      </c>
      <c r="G263" s="12" t="s">
        <v>20</v>
      </c>
      <c r="H263" s="12" t="s">
        <v>33</v>
      </c>
      <c r="I263" s="13">
        <v>45195.418252314812</v>
      </c>
      <c r="J263" s="12" t="s">
        <v>22</v>
      </c>
      <c r="K263" s="12"/>
      <c r="L263" s="12"/>
      <c r="M263" s="4" t="s">
        <v>23</v>
      </c>
      <c r="N263" s="12" t="str">
        <f t="shared" ref="N263:N282" si="9">LEFT(C263,14)</f>
        <v>057 - 48183704</v>
      </c>
      <c r="O263" s="9" t="s">
        <v>69</v>
      </c>
      <c r="P263" s="9" t="s">
        <v>25</v>
      </c>
      <c r="Q263" s="17" t="s">
        <v>195</v>
      </c>
      <c r="R263" s="9"/>
    </row>
    <row r="264" spans="2:18" ht="12.75" hidden="1" customHeight="1" thickBot="1">
      <c r="B264" s="6"/>
      <c r="C264" s="12" t="s">
        <v>174</v>
      </c>
      <c r="D264" s="12" t="s">
        <v>18</v>
      </c>
      <c r="E264" s="12" t="s">
        <v>19</v>
      </c>
      <c r="F264" s="12">
        <v>3</v>
      </c>
      <c r="G264" s="12" t="s">
        <v>20</v>
      </c>
      <c r="H264" s="12" t="s">
        <v>33</v>
      </c>
      <c r="I264" s="13">
        <v>45195.418206018519</v>
      </c>
      <c r="J264" s="12" t="s">
        <v>22</v>
      </c>
      <c r="K264" s="12"/>
      <c r="L264" s="12"/>
      <c r="M264" s="4" t="s">
        <v>23</v>
      </c>
      <c r="N264" s="12" t="str">
        <f t="shared" si="9"/>
        <v>057 - 47516556</v>
      </c>
      <c r="O264" s="9"/>
      <c r="P264" s="9" t="s">
        <v>25</v>
      </c>
      <c r="Q264" s="9"/>
      <c r="R264" s="9"/>
    </row>
    <row r="265" spans="2:18" ht="12.75" hidden="1" customHeight="1" thickBot="1">
      <c r="B265" s="5"/>
      <c r="C265" s="12" t="s">
        <v>174</v>
      </c>
      <c r="D265" s="12" t="s">
        <v>18</v>
      </c>
      <c r="E265" s="12" t="s">
        <v>19</v>
      </c>
      <c r="F265" s="12">
        <v>3</v>
      </c>
      <c r="G265" s="12" t="s">
        <v>20</v>
      </c>
      <c r="H265" s="12" t="s">
        <v>33</v>
      </c>
      <c r="I265" s="13">
        <v>45195.418136574073</v>
      </c>
      <c r="J265" s="12" t="s">
        <v>22</v>
      </c>
      <c r="K265" s="12"/>
      <c r="L265" s="12"/>
      <c r="M265" s="4" t="s">
        <v>23</v>
      </c>
      <c r="N265" s="12" t="str">
        <f t="shared" si="9"/>
        <v>057 - 47516556</v>
      </c>
      <c r="O265" s="9"/>
      <c r="P265" s="9" t="s">
        <v>163</v>
      </c>
      <c r="Q265" s="9"/>
      <c r="R265" s="9"/>
    </row>
    <row r="266" spans="2:18" ht="12.75" hidden="1" customHeight="1" thickBot="1">
      <c r="B266" s="6"/>
      <c r="C266" s="12" t="s">
        <v>174</v>
      </c>
      <c r="D266" s="12" t="s">
        <v>18</v>
      </c>
      <c r="E266" s="12" t="s">
        <v>19</v>
      </c>
      <c r="F266" s="12">
        <v>3</v>
      </c>
      <c r="G266" s="12" t="s">
        <v>20</v>
      </c>
      <c r="H266" s="12" t="s">
        <v>33</v>
      </c>
      <c r="I266" s="13">
        <v>45195.418020833335</v>
      </c>
      <c r="J266" s="12" t="s">
        <v>22</v>
      </c>
      <c r="K266" s="12"/>
      <c r="L266" s="12"/>
      <c r="M266" s="4" t="s">
        <v>23</v>
      </c>
      <c r="N266" s="12" t="str">
        <f t="shared" si="9"/>
        <v>057 - 47516556</v>
      </c>
      <c r="O266" s="9"/>
      <c r="P266" s="9" t="s">
        <v>163</v>
      </c>
      <c r="Q266" s="9"/>
      <c r="R266" s="9"/>
    </row>
    <row r="267" spans="2:18" ht="12.75" hidden="1" customHeight="1" thickBot="1">
      <c r="B267" s="5"/>
      <c r="C267" s="12" t="s">
        <v>174</v>
      </c>
      <c r="D267" s="12" t="s">
        <v>18</v>
      </c>
      <c r="E267" s="12" t="s">
        <v>19</v>
      </c>
      <c r="F267" s="12">
        <v>3</v>
      </c>
      <c r="G267" s="12" t="s">
        <v>20</v>
      </c>
      <c r="H267" s="12" t="s">
        <v>33</v>
      </c>
      <c r="I267" s="13">
        <v>45195.417962962965</v>
      </c>
      <c r="J267" s="12" t="s">
        <v>22</v>
      </c>
      <c r="K267" s="12"/>
      <c r="L267" s="12"/>
      <c r="M267" s="4" t="s">
        <v>23</v>
      </c>
      <c r="N267" s="12" t="str">
        <f t="shared" si="9"/>
        <v>057 - 47516556</v>
      </c>
      <c r="O267" s="9"/>
      <c r="P267" s="9" t="s">
        <v>163</v>
      </c>
      <c r="Q267" s="9"/>
      <c r="R267" s="9"/>
    </row>
    <row r="268" spans="2:18" ht="12.75" hidden="1" customHeight="1" thickBot="1">
      <c r="B268" s="6"/>
      <c r="C268" s="12" t="s">
        <v>174</v>
      </c>
      <c r="D268" s="12" t="s">
        <v>18</v>
      </c>
      <c r="E268" s="12" t="s">
        <v>19</v>
      </c>
      <c r="F268" s="12">
        <v>3</v>
      </c>
      <c r="G268" s="12" t="s">
        <v>20</v>
      </c>
      <c r="H268" s="12" t="s">
        <v>33</v>
      </c>
      <c r="I268" s="13">
        <v>45195.417916666665</v>
      </c>
      <c r="J268" s="12" t="s">
        <v>22</v>
      </c>
      <c r="K268" s="12"/>
      <c r="L268" s="12"/>
      <c r="M268" s="4" t="s">
        <v>23</v>
      </c>
      <c r="N268" s="12" t="str">
        <f t="shared" si="9"/>
        <v>057 - 47516556</v>
      </c>
      <c r="O268" s="9"/>
      <c r="P268" s="9" t="s">
        <v>163</v>
      </c>
      <c r="Q268" s="9"/>
      <c r="R268" s="9"/>
    </row>
    <row r="269" spans="2:18" ht="12.75" hidden="1" customHeight="1" thickBot="1">
      <c r="B269" s="5"/>
      <c r="C269" s="12" t="s">
        <v>174</v>
      </c>
      <c r="D269" s="12" t="s">
        <v>18</v>
      </c>
      <c r="E269" s="12" t="s">
        <v>19</v>
      </c>
      <c r="F269" s="12">
        <v>3</v>
      </c>
      <c r="G269" s="12" t="s">
        <v>20</v>
      </c>
      <c r="H269" s="12" t="s">
        <v>33</v>
      </c>
      <c r="I269" s="13">
        <v>45195.417858796296</v>
      </c>
      <c r="J269" s="12" t="s">
        <v>22</v>
      </c>
      <c r="K269" s="12"/>
      <c r="L269" s="12"/>
      <c r="M269" s="4" t="s">
        <v>23</v>
      </c>
      <c r="N269" s="12" t="str">
        <f t="shared" si="9"/>
        <v>057 - 47516556</v>
      </c>
      <c r="O269" s="9"/>
      <c r="P269" s="9" t="s">
        <v>163</v>
      </c>
      <c r="Q269" s="9"/>
      <c r="R269" s="9"/>
    </row>
    <row r="270" spans="2:18" ht="12.75" hidden="1" customHeight="1" thickBot="1">
      <c r="B270" s="6"/>
      <c r="C270" s="12" t="s">
        <v>174</v>
      </c>
      <c r="D270" s="12" t="s">
        <v>18</v>
      </c>
      <c r="E270" s="12" t="s">
        <v>19</v>
      </c>
      <c r="F270" s="12">
        <v>3</v>
      </c>
      <c r="G270" s="12" t="s">
        <v>20</v>
      </c>
      <c r="H270" s="12" t="s">
        <v>33</v>
      </c>
      <c r="I270" s="13">
        <v>45195.417800925927</v>
      </c>
      <c r="J270" s="12" t="s">
        <v>22</v>
      </c>
      <c r="K270" s="12"/>
      <c r="L270" s="12"/>
      <c r="M270" s="4" t="s">
        <v>23</v>
      </c>
      <c r="N270" s="12" t="str">
        <f t="shared" si="9"/>
        <v>057 - 47516556</v>
      </c>
      <c r="O270" s="9"/>
      <c r="P270" s="9" t="s">
        <v>163</v>
      </c>
      <c r="Q270" s="9"/>
      <c r="R270" s="9"/>
    </row>
    <row r="271" spans="2:18" ht="12.75" hidden="1" customHeight="1" thickBot="1">
      <c r="B271" s="5"/>
      <c r="C271" s="12" t="s">
        <v>174</v>
      </c>
      <c r="D271" s="12" t="s">
        <v>18</v>
      </c>
      <c r="E271" s="12" t="s">
        <v>19</v>
      </c>
      <c r="F271" s="12">
        <v>3</v>
      </c>
      <c r="G271" s="12" t="s">
        <v>20</v>
      </c>
      <c r="H271" s="12" t="s">
        <v>33</v>
      </c>
      <c r="I271" s="13">
        <v>45195.417743055557</v>
      </c>
      <c r="J271" s="12" t="s">
        <v>22</v>
      </c>
      <c r="K271" s="12"/>
      <c r="L271" s="12"/>
      <c r="M271" s="4" t="s">
        <v>23</v>
      </c>
      <c r="N271" s="12" t="str">
        <f t="shared" si="9"/>
        <v>057 - 47516556</v>
      </c>
      <c r="O271" s="9"/>
      <c r="P271" s="9" t="s">
        <v>163</v>
      </c>
      <c r="Q271" s="9"/>
      <c r="R271" s="9"/>
    </row>
    <row r="272" spans="2:18" ht="12.75" hidden="1" customHeight="1" thickBot="1">
      <c r="B272" s="6"/>
      <c r="C272" s="12" t="s">
        <v>174</v>
      </c>
      <c r="D272" s="12" t="s">
        <v>18</v>
      </c>
      <c r="E272" s="12" t="s">
        <v>19</v>
      </c>
      <c r="F272" s="12">
        <v>3</v>
      </c>
      <c r="G272" s="12" t="s">
        <v>20</v>
      </c>
      <c r="H272" s="12" t="s">
        <v>33</v>
      </c>
      <c r="I272" s="13">
        <v>45195.417696759258</v>
      </c>
      <c r="J272" s="12" t="s">
        <v>22</v>
      </c>
      <c r="K272" s="12"/>
      <c r="L272" s="12"/>
      <c r="M272" s="4" t="s">
        <v>23</v>
      </c>
      <c r="N272" s="12" t="str">
        <f t="shared" si="9"/>
        <v>057 - 47516556</v>
      </c>
      <c r="O272" s="9"/>
      <c r="P272" s="9" t="s">
        <v>163</v>
      </c>
      <c r="Q272" s="9"/>
      <c r="R272" s="9"/>
    </row>
    <row r="273" spans="2:18" ht="12.75" hidden="1" customHeight="1" thickBot="1">
      <c r="B273" s="5"/>
      <c r="C273" s="12" t="s">
        <v>151</v>
      </c>
      <c r="D273" s="12" t="s">
        <v>18</v>
      </c>
      <c r="E273" s="12" t="s">
        <v>19</v>
      </c>
      <c r="F273" s="12">
        <v>3</v>
      </c>
      <c r="G273" s="12" t="s">
        <v>20</v>
      </c>
      <c r="H273" s="12" t="s">
        <v>33</v>
      </c>
      <c r="I273" s="13">
        <v>45195.417569444442</v>
      </c>
      <c r="J273" s="12" t="s">
        <v>22</v>
      </c>
      <c r="K273" s="12"/>
      <c r="L273" s="12"/>
      <c r="M273" s="4" t="s">
        <v>23</v>
      </c>
      <c r="N273" s="12" t="str">
        <f t="shared" si="9"/>
        <v>057 - 47518962</v>
      </c>
      <c r="O273" s="9"/>
      <c r="P273" s="9" t="s">
        <v>25</v>
      </c>
      <c r="Q273" s="17" t="s">
        <v>152</v>
      </c>
      <c r="R273" s="9"/>
    </row>
    <row r="274" spans="2:18" ht="12.75" hidden="1" customHeight="1" thickBot="1">
      <c r="B274" s="6"/>
      <c r="C274" s="12" t="s">
        <v>151</v>
      </c>
      <c r="D274" s="12" t="s">
        <v>18</v>
      </c>
      <c r="E274" s="12" t="s">
        <v>19</v>
      </c>
      <c r="F274" s="12">
        <v>3</v>
      </c>
      <c r="G274" s="12" t="s">
        <v>20</v>
      </c>
      <c r="H274" s="12" t="s">
        <v>33</v>
      </c>
      <c r="I274" s="13">
        <v>45195.417534722219</v>
      </c>
      <c r="J274" s="12" t="s">
        <v>22</v>
      </c>
      <c r="K274" s="12"/>
      <c r="L274" s="12"/>
      <c r="M274" s="4" t="s">
        <v>23</v>
      </c>
      <c r="N274" s="12" t="str">
        <f t="shared" si="9"/>
        <v>057 - 47518962</v>
      </c>
      <c r="O274" s="9"/>
      <c r="P274" s="9" t="s">
        <v>163</v>
      </c>
      <c r="Q274" s="9"/>
      <c r="R274" s="9"/>
    </row>
    <row r="275" spans="2:18" ht="12.75" hidden="1" customHeight="1" thickBot="1">
      <c r="B275" s="5"/>
      <c r="C275" s="12" t="s">
        <v>151</v>
      </c>
      <c r="D275" s="12" t="s">
        <v>18</v>
      </c>
      <c r="E275" s="12" t="s">
        <v>19</v>
      </c>
      <c r="F275" s="12">
        <v>3</v>
      </c>
      <c r="G275" s="12" t="s">
        <v>20</v>
      </c>
      <c r="H275" s="12" t="s">
        <v>33</v>
      </c>
      <c r="I275" s="13">
        <v>45195.417500000003</v>
      </c>
      <c r="J275" s="12" t="s">
        <v>22</v>
      </c>
      <c r="K275" s="12"/>
      <c r="L275" s="12"/>
      <c r="M275" s="4" t="s">
        <v>23</v>
      </c>
      <c r="N275" s="12" t="str">
        <f t="shared" si="9"/>
        <v>057 - 47518962</v>
      </c>
      <c r="O275" s="9"/>
      <c r="P275" s="9" t="s">
        <v>163</v>
      </c>
      <c r="Q275" s="9"/>
      <c r="R275" s="9"/>
    </row>
    <row r="276" spans="2:18" ht="12.75" customHeight="1" thickBot="1">
      <c r="B276" s="7"/>
      <c r="C276" s="12" t="s">
        <v>196</v>
      </c>
      <c r="D276" s="12" t="s">
        <v>18</v>
      </c>
      <c r="E276" s="12" t="s">
        <v>19</v>
      </c>
      <c r="F276" s="12">
        <v>3</v>
      </c>
      <c r="G276" s="12" t="s">
        <v>20</v>
      </c>
      <c r="H276" s="12" t="s">
        <v>33</v>
      </c>
      <c r="I276" s="13">
        <v>45195.417442129627</v>
      </c>
      <c r="J276" s="12" t="s">
        <v>22</v>
      </c>
      <c r="K276" s="12"/>
      <c r="L276" s="12"/>
      <c r="M276" s="4" t="s">
        <v>23</v>
      </c>
      <c r="N276" s="12" t="str">
        <f t="shared" si="9"/>
        <v>057 - 48294341</v>
      </c>
      <c r="O276" s="9" t="s">
        <v>29</v>
      </c>
      <c r="P276" s="9" t="s">
        <v>25</v>
      </c>
      <c r="Q276" s="9"/>
      <c r="R276" s="9" t="s">
        <v>59</v>
      </c>
    </row>
    <row r="277" spans="2:18" ht="12.75" hidden="1" customHeight="1">
      <c r="C277" s="12" t="s">
        <v>197</v>
      </c>
      <c r="D277" s="12" t="s">
        <v>18</v>
      </c>
      <c r="E277" s="12" t="s">
        <v>19</v>
      </c>
      <c r="F277" s="12">
        <v>3</v>
      </c>
      <c r="G277" s="12" t="s">
        <v>20</v>
      </c>
      <c r="H277" s="12" t="s">
        <v>33</v>
      </c>
      <c r="I277" s="13">
        <v>45195.417187500003</v>
      </c>
      <c r="J277" s="12" t="s">
        <v>22</v>
      </c>
      <c r="K277" s="12"/>
      <c r="L277" s="12"/>
      <c r="M277" s="4" t="s">
        <v>23</v>
      </c>
      <c r="N277" s="12" t="str">
        <f t="shared" si="9"/>
        <v>057 - 48252514</v>
      </c>
      <c r="O277" s="9" t="s">
        <v>24</v>
      </c>
      <c r="P277" s="9" t="s">
        <v>188</v>
      </c>
      <c r="Q277" s="9"/>
      <c r="R277" s="9" t="s">
        <v>52</v>
      </c>
    </row>
    <row r="278" spans="2:18" ht="12.75" hidden="1" customHeight="1" thickBot="1">
      <c r="B278" s="5"/>
      <c r="C278" s="12" t="s">
        <v>197</v>
      </c>
      <c r="D278" s="12" t="s">
        <v>18</v>
      </c>
      <c r="E278" s="12" t="s">
        <v>19</v>
      </c>
      <c r="F278" s="12">
        <v>3</v>
      </c>
      <c r="G278" s="12" t="s">
        <v>20</v>
      </c>
      <c r="H278" s="12" t="s">
        <v>33</v>
      </c>
      <c r="I278" s="13">
        <v>45195.417094907411</v>
      </c>
      <c r="J278" s="12" t="s">
        <v>22</v>
      </c>
      <c r="K278" s="12"/>
      <c r="L278" s="12"/>
      <c r="M278" s="4" t="s">
        <v>23</v>
      </c>
      <c r="N278" s="12" t="str">
        <f t="shared" si="9"/>
        <v>057 - 48252514</v>
      </c>
      <c r="O278" s="9" t="s">
        <v>125</v>
      </c>
      <c r="P278" s="9"/>
      <c r="Q278" s="9"/>
      <c r="R278" s="9"/>
    </row>
    <row r="279" spans="2:18" ht="12.75" hidden="1" customHeight="1" thickBot="1">
      <c r="B279" s="6"/>
      <c r="C279" s="12" t="s">
        <v>197</v>
      </c>
      <c r="D279" s="12" t="s">
        <v>18</v>
      </c>
      <c r="E279" s="12" t="s">
        <v>19</v>
      </c>
      <c r="F279" s="12">
        <v>3</v>
      </c>
      <c r="G279" s="12" t="s">
        <v>20</v>
      </c>
      <c r="H279" s="12" t="s">
        <v>33</v>
      </c>
      <c r="I279" s="13">
        <v>45195.416863425926</v>
      </c>
      <c r="J279" s="12" t="s">
        <v>22</v>
      </c>
      <c r="K279" s="12"/>
      <c r="L279" s="12"/>
      <c r="M279" s="4" t="s">
        <v>23</v>
      </c>
      <c r="N279" s="12" t="str">
        <f t="shared" si="9"/>
        <v>057 - 48252514</v>
      </c>
      <c r="O279" s="9" t="s">
        <v>125</v>
      </c>
      <c r="P279" s="9"/>
      <c r="Q279" s="9"/>
      <c r="R279" s="9"/>
    </row>
    <row r="280" spans="2:18" ht="12.75" hidden="1" customHeight="1" thickBot="1">
      <c r="B280" s="5"/>
      <c r="C280" s="12" t="s">
        <v>198</v>
      </c>
      <c r="D280" s="12" t="s">
        <v>18</v>
      </c>
      <c r="E280" s="12" t="s">
        <v>19</v>
      </c>
      <c r="F280" s="12">
        <v>3</v>
      </c>
      <c r="G280" s="12" t="s">
        <v>20</v>
      </c>
      <c r="H280" s="12" t="s">
        <v>21</v>
      </c>
      <c r="I280" s="13">
        <v>45195.407777777778</v>
      </c>
      <c r="J280" s="12" t="s">
        <v>22</v>
      </c>
      <c r="K280" s="12"/>
      <c r="L280" s="12"/>
      <c r="M280" s="4" t="s">
        <v>23</v>
      </c>
      <c r="N280" s="12" t="str">
        <f t="shared" si="9"/>
        <v>057 - 37221682</v>
      </c>
      <c r="O280" s="9" t="s">
        <v>24</v>
      </c>
      <c r="P280" s="9" t="s">
        <v>199</v>
      </c>
      <c r="Q280" s="9"/>
      <c r="R280" s="9"/>
    </row>
    <row r="281" spans="2:18" ht="12.75" hidden="1" customHeight="1" thickBot="1">
      <c r="B281" s="6"/>
      <c r="C281" s="12" t="s">
        <v>200</v>
      </c>
      <c r="D281" s="12" t="s">
        <v>18</v>
      </c>
      <c r="E281" s="12" t="s">
        <v>19</v>
      </c>
      <c r="F281" s="12">
        <v>3</v>
      </c>
      <c r="G281" s="12" t="s">
        <v>20</v>
      </c>
      <c r="H281" s="12" t="s">
        <v>21</v>
      </c>
      <c r="I281" s="13">
        <v>45195.34170138889</v>
      </c>
      <c r="J281" s="12" t="s">
        <v>22</v>
      </c>
      <c r="K281" s="12"/>
      <c r="L281" s="12"/>
      <c r="M281" s="4" t="s">
        <v>23</v>
      </c>
      <c r="N281" s="12" t="str">
        <f t="shared" si="9"/>
        <v>057 - 33489400</v>
      </c>
      <c r="O281" s="9" t="s">
        <v>24</v>
      </c>
      <c r="P281" s="9" t="s">
        <v>199</v>
      </c>
      <c r="Q281" s="9"/>
      <c r="R281" s="9"/>
    </row>
    <row r="282" spans="2:18" ht="12.75" hidden="1" customHeight="1" thickBot="1">
      <c r="B282" s="7"/>
      <c r="C282" s="12" t="s">
        <v>201</v>
      </c>
      <c r="D282" s="12" t="s">
        <v>18</v>
      </c>
      <c r="E282" s="12" t="s">
        <v>19</v>
      </c>
      <c r="F282" s="12">
        <v>3</v>
      </c>
      <c r="G282" s="12" t="s">
        <v>20</v>
      </c>
      <c r="H282" s="12" t="s">
        <v>21</v>
      </c>
      <c r="I282" s="13">
        <v>45195.333333333336</v>
      </c>
      <c r="J282" s="12" t="s">
        <v>22</v>
      </c>
      <c r="K282" s="12"/>
      <c r="L282" s="12"/>
      <c r="M282" s="4" t="s">
        <v>23</v>
      </c>
      <c r="N282" s="12" t="str">
        <f t="shared" si="9"/>
        <v>057 - 97397311</v>
      </c>
      <c r="O282" s="9" t="s">
        <v>24</v>
      </c>
      <c r="P282" s="9" t="s">
        <v>199</v>
      </c>
      <c r="Q282" s="9"/>
      <c r="R282" s="9"/>
    </row>
    <row r="283" spans="2:18" ht="12.75" hidden="1" customHeight="1">
      <c r="C283" s="12" t="s">
        <v>202</v>
      </c>
      <c r="D283" s="12" t="s">
        <v>18</v>
      </c>
      <c r="E283" s="12" t="s">
        <v>19</v>
      </c>
      <c r="F283" s="12">
        <v>3</v>
      </c>
      <c r="G283" s="12" t="s">
        <v>20</v>
      </c>
      <c r="H283" s="12" t="s">
        <v>33</v>
      </c>
      <c r="I283" s="13">
        <v>45196.401817129627</v>
      </c>
      <c r="J283" s="12" t="s">
        <v>22</v>
      </c>
      <c r="K283" s="12"/>
      <c r="L283" s="12"/>
      <c r="M283" s="4" t="s">
        <v>23</v>
      </c>
      <c r="N283" s="8" t="str">
        <f>LEFT(C283,14)</f>
        <v>057 - 04297510</v>
      </c>
      <c r="O283" s="9" t="s">
        <v>24</v>
      </c>
      <c r="P283" s="9" t="s">
        <v>199</v>
      </c>
      <c r="Q283" s="9"/>
      <c r="R283" s="9"/>
    </row>
    <row r="284" spans="2:18" ht="12.75" customHeight="1" thickBot="1">
      <c r="B284" s="5"/>
      <c r="C284" s="12" t="s">
        <v>203</v>
      </c>
      <c r="D284" s="12" t="s">
        <v>18</v>
      </c>
      <c r="E284" s="12" t="s">
        <v>19</v>
      </c>
      <c r="F284" s="12">
        <v>3</v>
      </c>
      <c r="G284" s="12" t="s">
        <v>20</v>
      </c>
      <c r="H284" s="12" t="s">
        <v>33</v>
      </c>
      <c r="I284" s="13">
        <v>45196.401041666664</v>
      </c>
      <c r="J284" s="12" t="s">
        <v>22</v>
      </c>
      <c r="K284" s="12"/>
      <c r="L284" s="12"/>
      <c r="M284" s="4" t="s">
        <v>23</v>
      </c>
      <c r="N284" s="8" t="str">
        <f t="shared" ref="N284:N315" si="10">LEFT(C284,14)</f>
        <v>057 - 48367664</v>
      </c>
      <c r="O284" s="9" t="s">
        <v>29</v>
      </c>
      <c r="P284" s="9" t="s">
        <v>59</v>
      </c>
      <c r="Q284" s="9"/>
      <c r="R284" s="9" t="s">
        <v>59</v>
      </c>
    </row>
    <row r="285" spans="2:18" ht="12.75" customHeight="1" thickBot="1">
      <c r="B285" s="6"/>
      <c r="C285" s="12" t="s">
        <v>204</v>
      </c>
      <c r="D285" s="12" t="s">
        <v>18</v>
      </c>
      <c r="E285" s="12" t="s">
        <v>19</v>
      </c>
      <c r="F285" s="12">
        <v>3</v>
      </c>
      <c r="G285" s="12" t="s">
        <v>20</v>
      </c>
      <c r="H285" s="12" t="s">
        <v>33</v>
      </c>
      <c r="I285" s="13">
        <v>45196.400439814817</v>
      </c>
      <c r="J285" s="12" t="s">
        <v>22</v>
      </c>
      <c r="K285" s="12"/>
      <c r="L285" s="12"/>
      <c r="M285" s="4" t="s">
        <v>23</v>
      </c>
      <c r="N285" s="8" t="str">
        <f t="shared" si="10"/>
        <v>057 - 47655635</v>
      </c>
      <c r="O285" s="9" t="s">
        <v>29</v>
      </c>
      <c r="P285" s="9" t="s">
        <v>25</v>
      </c>
      <c r="Q285" s="9"/>
      <c r="R285" s="9" t="s">
        <v>35</v>
      </c>
    </row>
    <row r="286" spans="2:18" ht="12.75" hidden="1" customHeight="1" thickBot="1">
      <c r="B286" s="5"/>
      <c r="C286" s="12" t="s">
        <v>205</v>
      </c>
      <c r="D286" s="12" t="s">
        <v>18</v>
      </c>
      <c r="E286" s="12" t="s">
        <v>19</v>
      </c>
      <c r="F286" s="12">
        <v>3</v>
      </c>
      <c r="G286" s="12" t="s">
        <v>20</v>
      </c>
      <c r="H286" s="12" t="s">
        <v>46</v>
      </c>
      <c r="I286" s="13">
        <v>45196.399965277778</v>
      </c>
      <c r="J286" s="12" t="s">
        <v>22</v>
      </c>
      <c r="K286" s="12"/>
      <c r="L286" s="12"/>
      <c r="M286" s="4" t="s">
        <v>23</v>
      </c>
      <c r="N286" s="8" t="str">
        <f t="shared" si="10"/>
        <v>057 - 47654891</v>
      </c>
      <c r="O286" s="9" t="s">
        <v>69</v>
      </c>
      <c r="P286" s="9" t="s">
        <v>25</v>
      </c>
      <c r="Q286" s="17" t="s">
        <v>206</v>
      </c>
      <c r="R286" s="9"/>
    </row>
    <row r="287" spans="2:18" ht="12.75" hidden="1" customHeight="1" thickBot="1">
      <c r="B287" s="6"/>
      <c r="C287" s="12" t="s">
        <v>207</v>
      </c>
      <c r="D287" s="12" t="s">
        <v>18</v>
      </c>
      <c r="E287" s="12" t="s">
        <v>19</v>
      </c>
      <c r="F287" s="12">
        <v>3</v>
      </c>
      <c r="G287" s="12" t="s">
        <v>20</v>
      </c>
      <c r="H287" s="12" t="s">
        <v>46</v>
      </c>
      <c r="I287" s="13">
        <v>45196.399513888886</v>
      </c>
      <c r="J287" s="12" t="s">
        <v>22</v>
      </c>
      <c r="K287" s="12"/>
      <c r="L287" s="12"/>
      <c r="M287" s="4" t="s">
        <v>23</v>
      </c>
      <c r="N287" s="8" t="str">
        <f t="shared" si="10"/>
        <v>057 - 47855231</v>
      </c>
      <c r="O287" s="9" t="s">
        <v>69</v>
      </c>
      <c r="P287" s="9" t="s">
        <v>25</v>
      </c>
      <c r="Q287" s="17" t="s">
        <v>208</v>
      </c>
      <c r="R287" s="9"/>
    </row>
    <row r="288" spans="2:18" ht="12.75" hidden="1" customHeight="1" thickBot="1">
      <c r="B288" s="5"/>
      <c r="C288" s="12" t="s">
        <v>209</v>
      </c>
      <c r="D288" s="12" t="s">
        <v>18</v>
      </c>
      <c r="E288" s="12" t="s">
        <v>19</v>
      </c>
      <c r="F288" s="12">
        <v>3</v>
      </c>
      <c r="G288" s="12" t="s">
        <v>20</v>
      </c>
      <c r="H288" s="12" t="s">
        <v>33</v>
      </c>
      <c r="I288" s="13">
        <v>45196.399039351854</v>
      </c>
      <c r="J288" s="12" t="s">
        <v>22</v>
      </c>
      <c r="K288" s="12"/>
      <c r="L288" s="12"/>
      <c r="M288" s="4" t="s">
        <v>23</v>
      </c>
      <c r="N288" s="8" t="str">
        <f t="shared" si="10"/>
        <v>057 - 48120660</v>
      </c>
      <c r="O288" s="9" t="s">
        <v>69</v>
      </c>
      <c r="P288" s="9" t="s">
        <v>25</v>
      </c>
      <c r="Q288" s="9"/>
      <c r="R288" s="9"/>
    </row>
    <row r="289" spans="2:18" ht="12.75" hidden="1" customHeight="1" thickBot="1">
      <c r="B289" s="6"/>
      <c r="C289" s="12" t="s">
        <v>159</v>
      </c>
      <c r="D289" s="12" t="s">
        <v>18</v>
      </c>
      <c r="E289" s="12" t="s">
        <v>19</v>
      </c>
      <c r="F289" s="12">
        <v>3</v>
      </c>
      <c r="G289" s="12" t="s">
        <v>20</v>
      </c>
      <c r="H289" s="12" t="s">
        <v>33</v>
      </c>
      <c r="I289" s="13">
        <v>45196.398981481485</v>
      </c>
      <c r="J289" s="12" t="s">
        <v>22</v>
      </c>
      <c r="K289" s="12"/>
      <c r="L289" s="12"/>
      <c r="M289" s="4" t="s">
        <v>23</v>
      </c>
      <c r="N289" s="8" t="str">
        <f t="shared" si="10"/>
        <v>057 - 04236304</v>
      </c>
      <c r="O289" s="9" t="s">
        <v>69</v>
      </c>
      <c r="P289" s="9" t="s">
        <v>25</v>
      </c>
      <c r="Q289" s="17" t="s">
        <v>158</v>
      </c>
      <c r="R289" s="9"/>
    </row>
    <row r="290" spans="2:18" ht="12.75" hidden="1" customHeight="1" thickBot="1">
      <c r="B290" s="5"/>
      <c r="C290" s="12" t="s">
        <v>210</v>
      </c>
      <c r="D290" s="12" t="s">
        <v>18</v>
      </c>
      <c r="E290" s="12" t="s">
        <v>19</v>
      </c>
      <c r="F290" s="12">
        <v>3</v>
      </c>
      <c r="G290" s="12" t="s">
        <v>20</v>
      </c>
      <c r="H290" s="12" t="s">
        <v>33</v>
      </c>
      <c r="I290" s="13">
        <v>45196.398923611108</v>
      </c>
      <c r="J290" s="12" t="s">
        <v>22</v>
      </c>
      <c r="K290" s="12"/>
      <c r="L290" s="12"/>
      <c r="M290" s="4" t="s">
        <v>23</v>
      </c>
      <c r="N290" s="8" t="str">
        <f t="shared" si="10"/>
        <v>057 - 47646992</v>
      </c>
      <c r="O290" s="9" t="s">
        <v>69</v>
      </c>
      <c r="P290" s="9" t="s">
        <v>25</v>
      </c>
      <c r="Q290" s="17" t="s">
        <v>211</v>
      </c>
      <c r="R290" s="9"/>
    </row>
    <row r="291" spans="2:18" ht="12.75" hidden="1" customHeight="1" thickBot="1">
      <c r="B291" s="6"/>
      <c r="C291" s="12" t="s">
        <v>212</v>
      </c>
      <c r="D291" s="12" t="s">
        <v>18</v>
      </c>
      <c r="E291" s="12" t="s">
        <v>19</v>
      </c>
      <c r="F291" s="12">
        <v>3</v>
      </c>
      <c r="G291" s="12" t="s">
        <v>20</v>
      </c>
      <c r="H291" s="12" t="s">
        <v>33</v>
      </c>
      <c r="I291" s="13">
        <v>45196.398819444446</v>
      </c>
      <c r="J291" s="12" t="s">
        <v>22</v>
      </c>
      <c r="K291" s="12"/>
      <c r="L291" s="12"/>
      <c r="M291" s="4" t="s">
        <v>23</v>
      </c>
      <c r="N291" s="8" t="str">
        <f t="shared" si="10"/>
        <v>057 - 47855216</v>
      </c>
      <c r="O291" s="9" t="s">
        <v>69</v>
      </c>
      <c r="P291" s="9" t="s">
        <v>25</v>
      </c>
      <c r="Q291" s="9"/>
      <c r="R291" s="9"/>
    </row>
    <row r="292" spans="2:18" ht="12.75" hidden="1" customHeight="1" thickBot="1">
      <c r="B292" s="5"/>
      <c r="C292" s="12" t="s">
        <v>213</v>
      </c>
      <c r="D292" s="12" t="s">
        <v>18</v>
      </c>
      <c r="E292" s="12" t="s">
        <v>19</v>
      </c>
      <c r="F292" s="12">
        <v>3</v>
      </c>
      <c r="G292" s="12" t="s">
        <v>20</v>
      </c>
      <c r="H292" s="12" t="s">
        <v>33</v>
      </c>
      <c r="I292" s="13">
        <v>45196.39880787037</v>
      </c>
      <c r="J292" s="12" t="s">
        <v>22</v>
      </c>
      <c r="K292" s="12"/>
      <c r="L292" s="12"/>
      <c r="M292" s="4" t="s">
        <v>23</v>
      </c>
      <c r="N292" s="8" t="str">
        <f t="shared" si="10"/>
        <v>057 - 48110790</v>
      </c>
      <c r="O292" s="9" t="s">
        <v>69</v>
      </c>
      <c r="P292" s="9" t="s">
        <v>25</v>
      </c>
      <c r="Q292" s="9"/>
      <c r="R292" s="9"/>
    </row>
    <row r="293" spans="2:18" ht="12.75" hidden="1" customHeight="1" thickBot="1">
      <c r="B293" s="6"/>
      <c r="C293" s="12" t="s">
        <v>214</v>
      </c>
      <c r="D293" s="12" t="s">
        <v>18</v>
      </c>
      <c r="E293" s="12" t="s">
        <v>19</v>
      </c>
      <c r="F293" s="12">
        <v>3</v>
      </c>
      <c r="G293" s="12" t="s">
        <v>20</v>
      </c>
      <c r="H293" s="12" t="s">
        <v>33</v>
      </c>
      <c r="I293" s="13">
        <v>45196.398796296293</v>
      </c>
      <c r="J293" s="12" t="s">
        <v>22</v>
      </c>
      <c r="K293" s="12"/>
      <c r="L293" s="12"/>
      <c r="M293" s="4" t="s">
        <v>23</v>
      </c>
      <c r="N293" s="8" t="str">
        <f t="shared" si="10"/>
        <v>057 - 45358843</v>
      </c>
      <c r="O293" s="9" t="s">
        <v>69</v>
      </c>
      <c r="P293" s="9" t="s">
        <v>25</v>
      </c>
      <c r="Q293" s="17" t="s">
        <v>206</v>
      </c>
      <c r="R293" s="9"/>
    </row>
    <row r="294" spans="2:18" ht="12.75" hidden="1" customHeight="1" thickBot="1">
      <c r="B294" s="5"/>
      <c r="C294" s="12" t="s">
        <v>172</v>
      </c>
      <c r="D294" s="12" t="s">
        <v>18</v>
      </c>
      <c r="E294" s="12" t="s">
        <v>19</v>
      </c>
      <c r="F294" s="12">
        <v>3</v>
      </c>
      <c r="G294" s="12" t="s">
        <v>20</v>
      </c>
      <c r="H294" s="12" t="s">
        <v>33</v>
      </c>
      <c r="I294" s="13">
        <v>45196.398773148147</v>
      </c>
      <c r="J294" s="12" t="s">
        <v>22</v>
      </c>
      <c r="K294" s="12"/>
      <c r="L294" s="12"/>
      <c r="M294" s="4" t="s">
        <v>23</v>
      </c>
      <c r="N294" s="8" t="str">
        <f t="shared" si="10"/>
        <v>057 - 04243411</v>
      </c>
      <c r="O294" s="9" t="s">
        <v>69</v>
      </c>
      <c r="P294" s="9" t="s">
        <v>25</v>
      </c>
      <c r="Q294" s="9"/>
      <c r="R294" s="9"/>
    </row>
    <row r="295" spans="2:18" ht="12.75" hidden="1" customHeight="1" thickBot="1">
      <c r="B295" s="6"/>
      <c r="C295" s="12" t="s">
        <v>215</v>
      </c>
      <c r="D295" s="12" t="s">
        <v>18</v>
      </c>
      <c r="E295" s="12" t="s">
        <v>19</v>
      </c>
      <c r="F295" s="12">
        <v>3</v>
      </c>
      <c r="G295" s="12" t="s">
        <v>20</v>
      </c>
      <c r="H295" s="12" t="s">
        <v>33</v>
      </c>
      <c r="I295" s="13">
        <v>45196.39875</v>
      </c>
      <c r="J295" s="12" t="s">
        <v>22</v>
      </c>
      <c r="K295" s="12"/>
      <c r="L295" s="12"/>
      <c r="M295" s="4" t="s">
        <v>23</v>
      </c>
      <c r="N295" s="8" t="str">
        <f t="shared" si="10"/>
        <v>057 - 48110436</v>
      </c>
      <c r="O295" s="9" t="s">
        <v>69</v>
      </c>
      <c r="P295" s="9" t="s">
        <v>25</v>
      </c>
      <c r="Q295" s="9"/>
      <c r="R295" s="9" t="s">
        <v>15</v>
      </c>
    </row>
    <row r="296" spans="2:18" ht="12.75" hidden="1" customHeight="1" thickBot="1">
      <c r="B296" s="5"/>
      <c r="C296" s="12" t="s">
        <v>216</v>
      </c>
      <c r="D296" s="12" t="s">
        <v>18</v>
      </c>
      <c r="E296" s="12" t="s">
        <v>19</v>
      </c>
      <c r="F296" s="12">
        <v>3</v>
      </c>
      <c r="G296" s="12" t="s">
        <v>20</v>
      </c>
      <c r="H296" s="12" t="s">
        <v>33</v>
      </c>
      <c r="I296" s="13">
        <v>45196.398738425924</v>
      </c>
      <c r="J296" s="12" t="s">
        <v>22</v>
      </c>
      <c r="K296" s="12"/>
      <c r="L296" s="12"/>
      <c r="M296" s="4" t="s">
        <v>23</v>
      </c>
      <c r="N296" s="8" t="str">
        <f t="shared" si="10"/>
        <v>057 - 48185045</v>
      </c>
      <c r="O296" s="9" t="s">
        <v>69</v>
      </c>
      <c r="P296" s="9" t="s">
        <v>25</v>
      </c>
      <c r="Q296" s="17" t="s">
        <v>158</v>
      </c>
      <c r="R296" s="9" t="s">
        <v>15</v>
      </c>
    </row>
    <row r="297" spans="2:18" ht="12.75" hidden="1" customHeight="1" thickBot="1">
      <c r="B297" s="6"/>
      <c r="C297" s="12" t="s">
        <v>212</v>
      </c>
      <c r="D297" s="12" t="s">
        <v>18</v>
      </c>
      <c r="E297" s="12" t="s">
        <v>19</v>
      </c>
      <c r="F297" s="12">
        <v>3</v>
      </c>
      <c r="G297" s="12" t="s">
        <v>20</v>
      </c>
      <c r="H297" s="12" t="s">
        <v>33</v>
      </c>
      <c r="I297" s="13">
        <v>45196.398738425924</v>
      </c>
      <c r="J297" s="12" t="s">
        <v>22</v>
      </c>
      <c r="K297" s="12"/>
      <c r="L297" s="12"/>
      <c r="M297" s="4" t="s">
        <v>23</v>
      </c>
      <c r="N297" s="8" t="str">
        <f t="shared" si="10"/>
        <v>057 - 47855216</v>
      </c>
      <c r="O297" s="9" t="s">
        <v>94</v>
      </c>
      <c r="P297" s="9" t="s">
        <v>25</v>
      </c>
      <c r="Q297" s="9"/>
      <c r="R297" s="9"/>
    </row>
    <row r="298" spans="2:18" ht="12.75" hidden="1" customHeight="1" thickBot="1">
      <c r="B298" s="5"/>
      <c r="C298" s="12" t="s">
        <v>217</v>
      </c>
      <c r="D298" s="12" t="s">
        <v>18</v>
      </c>
      <c r="E298" s="12" t="s">
        <v>19</v>
      </c>
      <c r="F298" s="12">
        <v>3</v>
      </c>
      <c r="G298" s="12" t="s">
        <v>20</v>
      </c>
      <c r="H298" s="12" t="s">
        <v>33</v>
      </c>
      <c r="I298" s="13">
        <v>45196.398715277777</v>
      </c>
      <c r="J298" s="12" t="s">
        <v>22</v>
      </c>
      <c r="K298" s="12"/>
      <c r="L298" s="12"/>
      <c r="M298" s="4" t="s">
        <v>23</v>
      </c>
      <c r="N298" s="8" t="str">
        <f t="shared" si="10"/>
        <v>057 - 04130195</v>
      </c>
      <c r="O298" s="9" t="s">
        <v>94</v>
      </c>
      <c r="P298" s="9" t="s">
        <v>25</v>
      </c>
      <c r="Q298" s="9"/>
      <c r="R298" s="9"/>
    </row>
    <row r="299" spans="2:18" ht="12.75" hidden="1" customHeight="1" thickBot="1">
      <c r="B299" s="6"/>
      <c r="C299" s="12" t="s">
        <v>218</v>
      </c>
      <c r="D299" s="12" t="s">
        <v>18</v>
      </c>
      <c r="E299" s="12" t="s">
        <v>19</v>
      </c>
      <c r="F299" s="12">
        <v>3</v>
      </c>
      <c r="G299" s="12" t="s">
        <v>20</v>
      </c>
      <c r="H299" s="12" t="s">
        <v>33</v>
      </c>
      <c r="I299" s="13">
        <v>45196.3987037037</v>
      </c>
      <c r="J299" s="12" t="s">
        <v>22</v>
      </c>
      <c r="K299" s="12"/>
      <c r="L299" s="12"/>
      <c r="M299" s="4" t="s">
        <v>23</v>
      </c>
      <c r="N299" s="8" t="str">
        <f t="shared" si="10"/>
        <v>057 - 46075201</v>
      </c>
      <c r="O299" s="9" t="s">
        <v>94</v>
      </c>
      <c r="P299" s="9" t="s">
        <v>25</v>
      </c>
      <c r="Q299" s="9"/>
      <c r="R299" s="9"/>
    </row>
    <row r="300" spans="2:18" ht="12.75" hidden="1" customHeight="1" thickBot="1">
      <c r="B300" s="5"/>
      <c r="C300" s="12" t="s">
        <v>219</v>
      </c>
      <c r="D300" s="12" t="s">
        <v>18</v>
      </c>
      <c r="E300" s="12" t="s">
        <v>19</v>
      </c>
      <c r="F300" s="12">
        <v>3</v>
      </c>
      <c r="G300" s="12" t="s">
        <v>20</v>
      </c>
      <c r="H300" s="12" t="s">
        <v>33</v>
      </c>
      <c r="I300" s="13">
        <v>45196.398692129631</v>
      </c>
      <c r="J300" s="12" t="s">
        <v>22</v>
      </c>
      <c r="K300" s="12"/>
      <c r="L300" s="12"/>
      <c r="M300" s="4" t="s">
        <v>23</v>
      </c>
      <c r="N300" s="8" t="str">
        <f t="shared" si="10"/>
        <v>057 - 04021846</v>
      </c>
      <c r="O300" s="9" t="s">
        <v>94</v>
      </c>
      <c r="P300" s="9" t="s">
        <v>25</v>
      </c>
      <c r="Q300" s="9"/>
      <c r="R300" s="9" t="s">
        <v>52</v>
      </c>
    </row>
    <row r="301" spans="2:18" ht="12.75" hidden="1" customHeight="1" thickBot="1">
      <c r="B301" s="6"/>
      <c r="C301" s="12" t="s">
        <v>220</v>
      </c>
      <c r="D301" s="12" t="s">
        <v>18</v>
      </c>
      <c r="E301" s="12" t="s">
        <v>19</v>
      </c>
      <c r="F301" s="12">
        <v>3</v>
      </c>
      <c r="G301" s="12" t="s">
        <v>20</v>
      </c>
      <c r="H301" s="12" t="s">
        <v>33</v>
      </c>
      <c r="I301" s="13">
        <v>45196.398680555554</v>
      </c>
      <c r="J301" s="12" t="s">
        <v>22</v>
      </c>
      <c r="K301" s="12"/>
      <c r="L301" s="12"/>
      <c r="M301" s="4" t="s">
        <v>23</v>
      </c>
      <c r="N301" s="8" t="str">
        <f t="shared" si="10"/>
        <v>057 - 04096971</v>
      </c>
      <c r="O301" s="9" t="s">
        <v>94</v>
      </c>
      <c r="P301" s="9" t="s">
        <v>25</v>
      </c>
      <c r="Q301" s="9"/>
      <c r="R301" s="9" t="s">
        <v>52</v>
      </c>
    </row>
    <row r="302" spans="2:18" ht="12.75" hidden="1" customHeight="1" thickBot="1">
      <c r="B302" s="5"/>
      <c r="C302" s="12" t="s">
        <v>221</v>
      </c>
      <c r="D302" s="12" t="s">
        <v>18</v>
      </c>
      <c r="E302" s="12" t="s">
        <v>19</v>
      </c>
      <c r="F302" s="12">
        <v>3</v>
      </c>
      <c r="G302" s="12" t="s">
        <v>20</v>
      </c>
      <c r="H302" s="12" t="s">
        <v>33</v>
      </c>
      <c r="I302" s="13">
        <v>45196.398611111108</v>
      </c>
      <c r="J302" s="12" t="s">
        <v>22</v>
      </c>
      <c r="K302" s="12"/>
      <c r="L302" s="12"/>
      <c r="M302" s="4" t="s">
        <v>23</v>
      </c>
      <c r="N302" s="8" t="str">
        <f t="shared" si="10"/>
        <v>057 - 47830683</v>
      </c>
      <c r="O302" s="9" t="s">
        <v>94</v>
      </c>
      <c r="P302" s="9" t="s">
        <v>25</v>
      </c>
      <c r="Q302" s="9"/>
      <c r="R302" s="9" t="s">
        <v>52</v>
      </c>
    </row>
    <row r="303" spans="2:18" ht="12.75" hidden="1" customHeight="1" thickBot="1">
      <c r="B303" s="6"/>
      <c r="C303" s="12" t="s">
        <v>212</v>
      </c>
      <c r="D303" s="12" t="s">
        <v>18</v>
      </c>
      <c r="E303" s="12" t="s">
        <v>19</v>
      </c>
      <c r="F303" s="12">
        <v>3</v>
      </c>
      <c r="G303" s="12" t="s">
        <v>20</v>
      </c>
      <c r="H303" s="12" t="s">
        <v>33</v>
      </c>
      <c r="I303" s="13">
        <v>45196.398599537039</v>
      </c>
      <c r="J303" s="12" t="s">
        <v>22</v>
      </c>
      <c r="K303" s="12"/>
      <c r="L303" s="12"/>
      <c r="M303" s="4" t="s">
        <v>23</v>
      </c>
      <c r="N303" s="8" t="str">
        <f t="shared" si="10"/>
        <v>057 - 47855216</v>
      </c>
      <c r="O303" s="9" t="s">
        <v>94</v>
      </c>
      <c r="P303" s="9" t="s">
        <v>25</v>
      </c>
      <c r="Q303" s="9"/>
      <c r="R303" s="9" t="s">
        <v>52</v>
      </c>
    </row>
    <row r="304" spans="2:18" ht="12.75" hidden="1" customHeight="1" thickBot="1">
      <c r="B304" s="5"/>
      <c r="C304" s="12" t="s">
        <v>222</v>
      </c>
      <c r="D304" s="12" t="s">
        <v>18</v>
      </c>
      <c r="E304" s="12" t="s">
        <v>19</v>
      </c>
      <c r="F304" s="12">
        <v>3</v>
      </c>
      <c r="G304" s="12" t="s">
        <v>20</v>
      </c>
      <c r="H304" s="12" t="s">
        <v>33</v>
      </c>
      <c r="I304" s="13">
        <v>45196.398599537039</v>
      </c>
      <c r="J304" s="12" t="s">
        <v>22</v>
      </c>
      <c r="K304" s="12"/>
      <c r="L304" s="12"/>
      <c r="M304" s="4" t="s">
        <v>23</v>
      </c>
      <c r="N304" s="8" t="str">
        <f t="shared" si="10"/>
        <v>057 - 47855183</v>
      </c>
      <c r="O304" s="9" t="s">
        <v>94</v>
      </c>
      <c r="P304" s="9" t="s">
        <v>163</v>
      </c>
      <c r="Q304" s="9"/>
      <c r="R304" s="9" t="s">
        <v>52</v>
      </c>
    </row>
    <row r="305" spans="2:18" ht="12.75" hidden="1" customHeight="1" thickBot="1">
      <c r="B305" s="6"/>
      <c r="C305" s="12" t="s">
        <v>212</v>
      </c>
      <c r="D305" s="12" t="s">
        <v>18</v>
      </c>
      <c r="E305" s="12" t="s">
        <v>19</v>
      </c>
      <c r="F305" s="12">
        <v>3</v>
      </c>
      <c r="G305" s="12" t="s">
        <v>20</v>
      </c>
      <c r="H305" s="12" t="s">
        <v>33</v>
      </c>
      <c r="I305" s="13">
        <v>45196.398587962962</v>
      </c>
      <c r="J305" s="12" t="s">
        <v>22</v>
      </c>
      <c r="K305" s="12"/>
      <c r="L305" s="12"/>
      <c r="M305" s="4" t="s">
        <v>23</v>
      </c>
      <c r="N305" s="8" t="str">
        <f t="shared" si="10"/>
        <v>057 - 47855216</v>
      </c>
      <c r="O305" s="9" t="s">
        <v>94</v>
      </c>
      <c r="P305" s="9" t="s">
        <v>163</v>
      </c>
      <c r="Q305" s="9"/>
      <c r="R305" s="9" t="s">
        <v>52</v>
      </c>
    </row>
    <row r="306" spans="2:18" ht="12.75" hidden="1" customHeight="1" thickBot="1">
      <c r="B306" s="5"/>
      <c r="C306" s="12" t="s">
        <v>222</v>
      </c>
      <c r="D306" s="12" t="s">
        <v>18</v>
      </c>
      <c r="E306" s="12" t="s">
        <v>19</v>
      </c>
      <c r="F306" s="12">
        <v>3</v>
      </c>
      <c r="G306" s="12" t="s">
        <v>20</v>
      </c>
      <c r="H306" s="12" t="s">
        <v>33</v>
      </c>
      <c r="I306" s="13">
        <v>45196.398587962962</v>
      </c>
      <c r="J306" s="12" t="s">
        <v>22</v>
      </c>
      <c r="K306" s="12"/>
      <c r="L306" s="12"/>
      <c r="M306" s="4" t="s">
        <v>23</v>
      </c>
      <c r="N306" s="8" t="str">
        <f t="shared" si="10"/>
        <v>057 - 47855183</v>
      </c>
      <c r="O306" s="9" t="s">
        <v>94</v>
      </c>
      <c r="P306" s="9" t="s">
        <v>163</v>
      </c>
      <c r="Q306" s="9"/>
      <c r="R306" s="9" t="s">
        <v>52</v>
      </c>
    </row>
    <row r="307" spans="2:18" ht="12.75" hidden="1" customHeight="1" thickBot="1">
      <c r="B307" s="7"/>
      <c r="C307" s="12" t="s">
        <v>223</v>
      </c>
      <c r="D307" s="12" t="s">
        <v>18</v>
      </c>
      <c r="E307" s="12" t="s">
        <v>19</v>
      </c>
      <c r="F307" s="12">
        <v>3</v>
      </c>
      <c r="G307" s="12" t="s">
        <v>20</v>
      </c>
      <c r="H307" s="12" t="s">
        <v>33</v>
      </c>
      <c r="I307" s="13">
        <v>45196.398576388892</v>
      </c>
      <c r="J307" s="12" t="s">
        <v>22</v>
      </c>
      <c r="K307" s="12"/>
      <c r="L307" s="12"/>
      <c r="M307" s="4" t="s">
        <v>23</v>
      </c>
      <c r="N307" s="8" t="str">
        <f t="shared" si="10"/>
        <v>057 - 47919653</v>
      </c>
      <c r="O307" s="9" t="s">
        <v>94</v>
      </c>
      <c r="P307" s="9" t="s">
        <v>25</v>
      </c>
      <c r="Q307" s="9"/>
      <c r="R307" s="9" t="s">
        <v>52</v>
      </c>
    </row>
    <row r="308" spans="2:18" ht="12.75" hidden="1" customHeight="1">
      <c r="C308" s="12" t="s">
        <v>224</v>
      </c>
      <c r="D308" s="12" t="s">
        <v>18</v>
      </c>
      <c r="E308" s="12" t="s">
        <v>19</v>
      </c>
      <c r="F308" s="12">
        <v>3</v>
      </c>
      <c r="G308" s="12" t="s">
        <v>20</v>
      </c>
      <c r="H308" s="12" t="s">
        <v>33</v>
      </c>
      <c r="I308" s="13">
        <v>45196.398564814815</v>
      </c>
      <c r="J308" s="12" t="s">
        <v>22</v>
      </c>
      <c r="K308" s="12"/>
      <c r="L308" s="12"/>
      <c r="M308" s="4" t="s">
        <v>23</v>
      </c>
      <c r="N308" s="8" t="str">
        <f t="shared" si="10"/>
        <v>057 - 04287286</v>
      </c>
      <c r="O308" s="9" t="s">
        <v>94</v>
      </c>
      <c r="P308" s="9" t="s">
        <v>25</v>
      </c>
      <c r="Q308" s="9"/>
      <c r="R308" s="9" t="s">
        <v>52</v>
      </c>
    </row>
    <row r="309" spans="2:18" ht="12.75" hidden="1" customHeight="1" thickBot="1">
      <c r="B309" s="5"/>
      <c r="C309" s="12" t="s">
        <v>225</v>
      </c>
      <c r="D309" s="12" t="s">
        <v>18</v>
      </c>
      <c r="E309" s="12" t="s">
        <v>19</v>
      </c>
      <c r="F309" s="12">
        <v>3</v>
      </c>
      <c r="G309" s="12" t="s">
        <v>20</v>
      </c>
      <c r="H309" s="12" t="s">
        <v>33</v>
      </c>
      <c r="I309" s="13">
        <v>45196.398553240739</v>
      </c>
      <c r="J309" s="12" t="s">
        <v>22</v>
      </c>
      <c r="K309" s="12"/>
      <c r="L309" s="12"/>
      <c r="M309" s="4" t="s">
        <v>23</v>
      </c>
      <c r="N309" s="8" t="str">
        <f t="shared" si="10"/>
        <v>057 - 04308765</v>
      </c>
      <c r="O309" s="9" t="s">
        <v>94</v>
      </c>
      <c r="P309" s="9" t="s">
        <v>25</v>
      </c>
      <c r="Q309" s="9"/>
      <c r="R309" s="9" t="s">
        <v>52</v>
      </c>
    </row>
    <row r="310" spans="2:18" ht="12.75" hidden="1" customHeight="1" thickBot="1">
      <c r="B310" s="6"/>
      <c r="C310" s="12" t="s">
        <v>226</v>
      </c>
      <c r="D310" s="12" t="s">
        <v>18</v>
      </c>
      <c r="E310" s="12" t="s">
        <v>19</v>
      </c>
      <c r="F310" s="12">
        <v>3</v>
      </c>
      <c r="G310" s="12" t="s">
        <v>20</v>
      </c>
      <c r="H310" s="12" t="s">
        <v>33</v>
      </c>
      <c r="I310" s="13">
        <v>45196.398541666669</v>
      </c>
      <c r="J310" s="12" t="s">
        <v>22</v>
      </c>
      <c r="K310" s="12"/>
      <c r="L310" s="12"/>
      <c r="M310" s="4" t="s">
        <v>23</v>
      </c>
      <c r="N310" s="8" t="str">
        <f t="shared" si="10"/>
        <v>057 - 48274866</v>
      </c>
      <c r="O310" s="9" t="s">
        <v>94</v>
      </c>
      <c r="P310" s="9" t="s">
        <v>25</v>
      </c>
      <c r="Q310" s="9"/>
      <c r="R310" s="9" t="s">
        <v>52</v>
      </c>
    </row>
    <row r="311" spans="2:18" ht="12.75" hidden="1" customHeight="1" thickBot="1">
      <c r="B311" s="5"/>
      <c r="C311" s="12" t="s">
        <v>227</v>
      </c>
      <c r="D311" s="12" t="s">
        <v>18</v>
      </c>
      <c r="E311" s="12" t="s">
        <v>19</v>
      </c>
      <c r="F311" s="12">
        <v>3</v>
      </c>
      <c r="G311" s="12" t="s">
        <v>20</v>
      </c>
      <c r="H311" s="12" t="s">
        <v>33</v>
      </c>
      <c r="I311" s="13">
        <v>45196.398541666669</v>
      </c>
      <c r="J311" s="12" t="s">
        <v>22</v>
      </c>
      <c r="K311" s="12"/>
      <c r="L311" s="12"/>
      <c r="M311" s="4" t="s">
        <v>23</v>
      </c>
      <c r="N311" s="8" t="str">
        <f t="shared" si="10"/>
        <v>057 - 46971363</v>
      </c>
      <c r="O311" s="9" t="s">
        <v>94</v>
      </c>
      <c r="P311" s="9" t="s">
        <v>25</v>
      </c>
      <c r="Q311" s="9"/>
      <c r="R311" s="9" t="s">
        <v>52</v>
      </c>
    </row>
    <row r="312" spans="2:18" ht="12.75" hidden="1" customHeight="1" thickBot="1">
      <c r="B312" s="6"/>
      <c r="C312" s="12" t="s">
        <v>228</v>
      </c>
      <c r="D312" s="12" t="s">
        <v>18</v>
      </c>
      <c r="E312" s="12" t="s">
        <v>19</v>
      </c>
      <c r="F312" s="12">
        <v>3</v>
      </c>
      <c r="G312" s="12" t="s">
        <v>20</v>
      </c>
      <c r="H312" s="12" t="s">
        <v>33</v>
      </c>
      <c r="I312" s="13">
        <v>45196.398530092592</v>
      </c>
      <c r="J312" s="12" t="s">
        <v>22</v>
      </c>
      <c r="K312" s="12"/>
      <c r="L312" s="12"/>
      <c r="M312" s="4" t="s">
        <v>23</v>
      </c>
      <c r="N312" s="8" t="str">
        <f t="shared" si="10"/>
        <v>057 - 04246244</v>
      </c>
      <c r="O312" s="9" t="s">
        <v>94</v>
      </c>
      <c r="P312" s="9" t="s">
        <v>25</v>
      </c>
      <c r="Q312" s="9"/>
      <c r="R312" s="9" t="s">
        <v>52</v>
      </c>
    </row>
    <row r="313" spans="2:18" ht="12.75" hidden="1" customHeight="1" thickBot="1">
      <c r="B313" s="5"/>
      <c r="C313" s="12" t="s">
        <v>229</v>
      </c>
      <c r="D313" s="12" t="s">
        <v>18</v>
      </c>
      <c r="E313" s="12" t="s">
        <v>19</v>
      </c>
      <c r="F313" s="12">
        <v>3</v>
      </c>
      <c r="G313" s="12" t="s">
        <v>20</v>
      </c>
      <c r="H313" s="12" t="s">
        <v>33</v>
      </c>
      <c r="I313" s="13">
        <v>45196.398518518516</v>
      </c>
      <c r="J313" s="12" t="s">
        <v>22</v>
      </c>
      <c r="K313" s="12"/>
      <c r="L313" s="12"/>
      <c r="M313" s="4" t="s">
        <v>23</v>
      </c>
      <c r="N313" s="8" t="str">
        <f t="shared" si="10"/>
        <v>057 - 48182945</v>
      </c>
      <c r="O313" s="9" t="s">
        <v>94</v>
      </c>
      <c r="P313" s="9" t="s">
        <v>25</v>
      </c>
      <c r="Q313" s="9"/>
      <c r="R313" s="9" t="s">
        <v>52</v>
      </c>
    </row>
    <row r="314" spans="2:18" ht="12.75" hidden="1" customHeight="1" thickBot="1">
      <c r="B314" s="6"/>
      <c r="C314" s="12" t="s">
        <v>212</v>
      </c>
      <c r="D314" s="12" t="s">
        <v>18</v>
      </c>
      <c r="E314" s="12" t="s">
        <v>19</v>
      </c>
      <c r="F314" s="12">
        <v>3</v>
      </c>
      <c r="G314" s="12" t="s">
        <v>20</v>
      </c>
      <c r="H314" s="12" t="s">
        <v>33</v>
      </c>
      <c r="I314" s="13">
        <v>45196.398506944446</v>
      </c>
      <c r="J314" s="12" t="s">
        <v>22</v>
      </c>
      <c r="K314" s="12"/>
      <c r="L314" s="12"/>
      <c r="M314" s="4" t="s">
        <v>23</v>
      </c>
      <c r="N314" s="8" t="str">
        <f t="shared" si="10"/>
        <v>057 - 47855216</v>
      </c>
      <c r="O314" s="9" t="s">
        <v>94</v>
      </c>
      <c r="P314" s="9" t="s">
        <v>163</v>
      </c>
      <c r="Q314" s="9"/>
      <c r="R314" s="9" t="s">
        <v>52</v>
      </c>
    </row>
    <row r="315" spans="2:18" ht="12.75" hidden="1" customHeight="1" thickBot="1">
      <c r="B315" s="5"/>
      <c r="C315" s="12" t="s">
        <v>230</v>
      </c>
      <c r="D315" s="12" t="s">
        <v>18</v>
      </c>
      <c r="E315" s="12" t="s">
        <v>19</v>
      </c>
      <c r="F315" s="12">
        <v>3</v>
      </c>
      <c r="G315" s="12" t="s">
        <v>20</v>
      </c>
      <c r="H315" s="12" t="s">
        <v>33</v>
      </c>
      <c r="I315" s="13">
        <v>45196.398506944446</v>
      </c>
      <c r="J315" s="12" t="s">
        <v>22</v>
      </c>
      <c r="K315" s="12"/>
      <c r="L315" s="12"/>
      <c r="M315" s="4" t="s">
        <v>23</v>
      </c>
      <c r="N315" s="8" t="str">
        <f t="shared" si="10"/>
        <v>057 - 48083501</v>
      </c>
      <c r="O315" s="9" t="s">
        <v>94</v>
      </c>
      <c r="P315" s="18" t="s">
        <v>231</v>
      </c>
      <c r="Q315" s="9"/>
      <c r="R315" s="9"/>
    </row>
    <row r="316" spans="2:18" ht="12.75" hidden="1" customHeight="1" thickBot="1">
      <c r="B316" s="6"/>
      <c r="C316" s="12" t="s">
        <v>232</v>
      </c>
      <c r="D316" s="12" t="s">
        <v>18</v>
      </c>
      <c r="E316" s="12" t="s">
        <v>19</v>
      </c>
      <c r="F316" s="12">
        <v>3</v>
      </c>
      <c r="G316" s="12" t="s">
        <v>20</v>
      </c>
      <c r="H316" s="12" t="s">
        <v>33</v>
      </c>
      <c r="I316" s="13">
        <v>45196.398495370369</v>
      </c>
      <c r="J316" s="12" t="s">
        <v>22</v>
      </c>
      <c r="K316" s="12"/>
      <c r="L316" s="12"/>
      <c r="M316" s="4" t="s">
        <v>23</v>
      </c>
      <c r="N316" s="8" t="str">
        <f t="shared" ref="N316:N347" si="11">LEFT(C316,14)</f>
        <v>057 - 48356641</v>
      </c>
      <c r="O316" s="9" t="s">
        <v>94</v>
      </c>
      <c r="P316" s="9" t="s">
        <v>25</v>
      </c>
      <c r="Q316" s="9"/>
      <c r="R316" s="9" t="s">
        <v>52</v>
      </c>
    </row>
    <row r="317" spans="2:18" ht="12.75" hidden="1" customHeight="1" thickBot="1">
      <c r="B317" s="5"/>
      <c r="C317" s="12" t="s">
        <v>233</v>
      </c>
      <c r="D317" s="12" t="s">
        <v>18</v>
      </c>
      <c r="E317" s="12" t="s">
        <v>19</v>
      </c>
      <c r="F317" s="12">
        <v>3</v>
      </c>
      <c r="G317" s="12" t="s">
        <v>20</v>
      </c>
      <c r="H317" s="12" t="s">
        <v>33</v>
      </c>
      <c r="I317" s="13">
        <v>45196.398495370369</v>
      </c>
      <c r="J317" s="12" t="s">
        <v>22</v>
      </c>
      <c r="K317" s="12"/>
      <c r="L317" s="12"/>
      <c r="M317" s="4" t="s">
        <v>23</v>
      </c>
      <c r="N317" s="8" t="str">
        <f t="shared" si="11"/>
        <v>057 - 04169631</v>
      </c>
      <c r="O317" s="9" t="s">
        <v>94</v>
      </c>
      <c r="P317" s="9" t="s">
        <v>25</v>
      </c>
      <c r="Q317" s="9"/>
      <c r="R317" s="9" t="s">
        <v>52</v>
      </c>
    </row>
    <row r="318" spans="2:18" ht="12.75" hidden="1" customHeight="1" thickBot="1">
      <c r="B318" s="6"/>
      <c r="C318" s="12" t="s">
        <v>234</v>
      </c>
      <c r="D318" s="12" t="s">
        <v>18</v>
      </c>
      <c r="E318" s="12" t="s">
        <v>19</v>
      </c>
      <c r="F318" s="12">
        <v>3</v>
      </c>
      <c r="G318" s="12" t="s">
        <v>20</v>
      </c>
      <c r="H318" s="12" t="s">
        <v>33</v>
      </c>
      <c r="I318" s="13">
        <v>45196.3984837963</v>
      </c>
      <c r="J318" s="12" t="s">
        <v>22</v>
      </c>
      <c r="K318" s="12"/>
      <c r="L318" s="12"/>
      <c r="M318" s="4" t="s">
        <v>23</v>
      </c>
      <c r="N318" s="8" t="str">
        <f t="shared" si="11"/>
        <v>057 - 48113984</v>
      </c>
      <c r="O318" s="9" t="s">
        <v>94</v>
      </c>
      <c r="P318" s="9" t="s">
        <v>25</v>
      </c>
      <c r="Q318" s="9"/>
      <c r="R318" s="9" t="s">
        <v>52</v>
      </c>
    </row>
    <row r="319" spans="2:18" ht="12.75" hidden="1" customHeight="1" thickBot="1">
      <c r="B319" s="5"/>
      <c r="C319" s="12" t="s">
        <v>235</v>
      </c>
      <c r="D319" s="12" t="s">
        <v>18</v>
      </c>
      <c r="E319" s="12" t="s">
        <v>19</v>
      </c>
      <c r="F319" s="12">
        <v>3</v>
      </c>
      <c r="G319" s="12" t="s">
        <v>20</v>
      </c>
      <c r="H319" s="12" t="s">
        <v>33</v>
      </c>
      <c r="I319" s="13">
        <v>45196.398472222223</v>
      </c>
      <c r="J319" s="12" t="s">
        <v>22</v>
      </c>
      <c r="K319" s="12"/>
      <c r="L319" s="12"/>
      <c r="M319" s="4" t="s">
        <v>23</v>
      </c>
      <c r="N319" s="8" t="str">
        <f t="shared" si="11"/>
        <v>057 - 04177434</v>
      </c>
      <c r="O319" s="9" t="s">
        <v>94</v>
      </c>
      <c r="P319" s="9" t="s">
        <v>25</v>
      </c>
      <c r="Q319" s="9"/>
      <c r="R319" s="9" t="s">
        <v>52</v>
      </c>
    </row>
    <row r="320" spans="2:18" ht="12.75" hidden="1" customHeight="1" thickBot="1">
      <c r="B320" s="6"/>
      <c r="C320" s="12" t="s">
        <v>236</v>
      </c>
      <c r="D320" s="12" t="s">
        <v>18</v>
      </c>
      <c r="E320" s="12" t="s">
        <v>19</v>
      </c>
      <c r="F320" s="12">
        <v>3</v>
      </c>
      <c r="G320" s="12" t="s">
        <v>20</v>
      </c>
      <c r="H320" s="12" t="s">
        <v>33</v>
      </c>
      <c r="I320" s="13">
        <v>45196.398414351854</v>
      </c>
      <c r="J320" s="12" t="s">
        <v>22</v>
      </c>
      <c r="K320" s="12"/>
      <c r="L320" s="12"/>
      <c r="M320" s="4" t="s">
        <v>23</v>
      </c>
      <c r="N320" s="8" t="str">
        <f t="shared" si="11"/>
        <v>057 - 04020004</v>
      </c>
      <c r="O320" s="9" t="s">
        <v>94</v>
      </c>
      <c r="P320" s="9" t="s">
        <v>163</v>
      </c>
      <c r="Q320" s="9"/>
      <c r="R320" s="9" t="s">
        <v>52</v>
      </c>
    </row>
    <row r="321" spans="2:18" ht="12.75" hidden="1" customHeight="1" thickBot="1">
      <c r="B321" s="5"/>
      <c r="C321" s="12" t="s">
        <v>237</v>
      </c>
      <c r="D321" s="12" t="s">
        <v>18</v>
      </c>
      <c r="E321" s="12" t="s">
        <v>19</v>
      </c>
      <c r="F321" s="12">
        <v>3</v>
      </c>
      <c r="G321" s="12" t="s">
        <v>20</v>
      </c>
      <c r="H321" s="12" t="s">
        <v>33</v>
      </c>
      <c r="I321" s="13">
        <v>45196.398414351854</v>
      </c>
      <c r="J321" s="12" t="s">
        <v>22</v>
      </c>
      <c r="K321" s="12"/>
      <c r="L321" s="12"/>
      <c r="M321" s="4" t="s">
        <v>23</v>
      </c>
      <c r="N321" s="8" t="str">
        <f t="shared" si="11"/>
        <v>057 - 47246334</v>
      </c>
      <c r="O321" s="9" t="s">
        <v>94</v>
      </c>
      <c r="P321" s="9" t="s">
        <v>163</v>
      </c>
      <c r="Q321" s="9"/>
      <c r="R321" s="9" t="s">
        <v>52</v>
      </c>
    </row>
    <row r="322" spans="2:18" ht="12.75" hidden="1" customHeight="1" thickBot="1">
      <c r="B322" s="6"/>
      <c r="C322" s="12" t="s">
        <v>222</v>
      </c>
      <c r="D322" s="12" t="s">
        <v>18</v>
      </c>
      <c r="E322" s="12" t="s">
        <v>19</v>
      </c>
      <c r="F322" s="12">
        <v>3</v>
      </c>
      <c r="G322" s="12" t="s">
        <v>20</v>
      </c>
      <c r="H322" s="12" t="s">
        <v>33</v>
      </c>
      <c r="I322" s="13">
        <v>45196.398402777777</v>
      </c>
      <c r="J322" s="12" t="s">
        <v>22</v>
      </c>
      <c r="K322" s="12"/>
      <c r="L322" s="12"/>
      <c r="M322" s="4" t="s">
        <v>23</v>
      </c>
      <c r="N322" s="8" t="str">
        <f t="shared" si="11"/>
        <v>057 - 47855183</v>
      </c>
      <c r="O322" s="9" t="s">
        <v>94</v>
      </c>
      <c r="P322" s="9" t="s">
        <v>163</v>
      </c>
      <c r="Q322" s="9"/>
      <c r="R322" s="9" t="s">
        <v>52</v>
      </c>
    </row>
    <row r="323" spans="2:18" ht="12.75" hidden="1" customHeight="1" thickBot="1">
      <c r="B323" s="5"/>
      <c r="C323" s="12" t="s">
        <v>202</v>
      </c>
      <c r="D323" s="12" t="s">
        <v>18</v>
      </c>
      <c r="E323" s="12" t="s">
        <v>19</v>
      </c>
      <c r="F323" s="12">
        <v>3</v>
      </c>
      <c r="G323" s="12" t="s">
        <v>20</v>
      </c>
      <c r="H323" s="12" t="s">
        <v>33</v>
      </c>
      <c r="I323" s="13">
        <v>45196.3983912037</v>
      </c>
      <c r="J323" s="12" t="s">
        <v>22</v>
      </c>
      <c r="K323" s="12"/>
      <c r="L323" s="12"/>
      <c r="M323" s="4" t="s">
        <v>23</v>
      </c>
      <c r="N323" s="8" t="str">
        <f t="shared" si="11"/>
        <v>057 - 04297510</v>
      </c>
      <c r="O323" s="9" t="s">
        <v>94</v>
      </c>
      <c r="P323" s="9" t="s">
        <v>163</v>
      </c>
      <c r="Q323" s="9"/>
      <c r="R323" s="9" t="s">
        <v>52</v>
      </c>
    </row>
    <row r="324" spans="2:18" ht="12.75" hidden="1" customHeight="1" thickBot="1">
      <c r="B324" s="6"/>
      <c r="C324" s="12" t="s">
        <v>238</v>
      </c>
      <c r="D324" s="12" t="s">
        <v>18</v>
      </c>
      <c r="E324" s="12" t="s">
        <v>19</v>
      </c>
      <c r="F324" s="12">
        <v>3</v>
      </c>
      <c r="G324" s="12" t="s">
        <v>20</v>
      </c>
      <c r="H324" s="12" t="s">
        <v>33</v>
      </c>
      <c r="I324" s="13">
        <v>45196.398379629631</v>
      </c>
      <c r="J324" s="12" t="s">
        <v>22</v>
      </c>
      <c r="K324" s="12"/>
      <c r="L324" s="12"/>
      <c r="M324" s="4" t="s">
        <v>23</v>
      </c>
      <c r="N324" s="8" t="str">
        <f t="shared" si="11"/>
        <v>057 - 48274855</v>
      </c>
      <c r="O324" s="9" t="s">
        <v>94</v>
      </c>
      <c r="P324" s="9" t="s">
        <v>25</v>
      </c>
      <c r="Q324" s="9"/>
      <c r="R324" s="9" t="s">
        <v>52</v>
      </c>
    </row>
    <row r="325" spans="2:18" ht="12.75" hidden="1" customHeight="1" thickBot="1">
      <c r="B325" s="5"/>
      <c r="C325" s="12" t="s">
        <v>239</v>
      </c>
      <c r="D325" s="12" t="s">
        <v>18</v>
      </c>
      <c r="E325" s="12" t="s">
        <v>19</v>
      </c>
      <c r="F325" s="12">
        <v>3</v>
      </c>
      <c r="G325" s="12" t="s">
        <v>20</v>
      </c>
      <c r="H325" s="12" t="s">
        <v>33</v>
      </c>
      <c r="I325" s="13">
        <v>45196.398368055554</v>
      </c>
      <c r="J325" s="12" t="s">
        <v>22</v>
      </c>
      <c r="K325" s="12"/>
      <c r="L325" s="12"/>
      <c r="M325" s="4" t="s">
        <v>23</v>
      </c>
      <c r="N325" s="8" t="str">
        <f t="shared" si="11"/>
        <v>057 - 47036242</v>
      </c>
      <c r="O325" s="9" t="s">
        <v>94</v>
      </c>
      <c r="P325" s="9" t="s">
        <v>240</v>
      </c>
      <c r="Q325" s="9"/>
      <c r="R325" s="9" t="s">
        <v>52</v>
      </c>
    </row>
    <row r="326" spans="2:18" ht="12.75" hidden="1" customHeight="1" thickBot="1">
      <c r="B326" s="6"/>
      <c r="C326" s="12" t="s">
        <v>241</v>
      </c>
      <c r="D326" s="12" t="s">
        <v>18</v>
      </c>
      <c r="E326" s="12" t="s">
        <v>19</v>
      </c>
      <c r="F326" s="12">
        <v>3</v>
      </c>
      <c r="G326" s="12" t="s">
        <v>20</v>
      </c>
      <c r="H326" s="12" t="s">
        <v>33</v>
      </c>
      <c r="I326" s="13">
        <v>45196.398356481484</v>
      </c>
      <c r="J326" s="12" t="s">
        <v>22</v>
      </c>
      <c r="K326" s="12"/>
      <c r="L326" s="12"/>
      <c r="M326" s="4" t="s">
        <v>23</v>
      </c>
      <c r="N326" s="8" t="str">
        <f t="shared" si="11"/>
        <v>057 - 47538993</v>
      </c>
      <c r="O326" s="9" t="s">
        <v>94</v>
      </c>
      <c r="P326" s="9" t="s">
        <v>242</v>
      </c>
      <c r="Q326" s="9"/>
      <c r="R326" s="9"/>
    </row>
    <row r="327" spans="2:18" ht="12.75" hidden="1" customHeight="1" thickBot="1">
      <c r="B327" s="5"/>
      <c r="C327" s="12" t="s">
        <v>243</v>
      </c>
      <c r="D327" s="12" t="s">
        <v>18</v>
      </c>
      <c r="E327" s="12" t="s">
        <v>19</v>
      </c>
      <c r="F327" s="12">
        <v>3</v>
      </c>
      <c r="G327" s="12" t="s">
        <v>20</v>
      </c>
      <c r="H327" s="12" t="s">
        <v>33</v>
      </c>
      <c r="I327" s="13">
        <v>45196.398344907408</v>
      </c>
      <c r="J327" s="12" t="s">
        <v>22</v>
      </c>
      <c r="K327" s="12"/>
      <c r="L327" s="12"/>
      <c r="M327" s="4" t="s">
        <v>23</v>
      </c>
      <c r="N327" s="8" t="str">
        <f t="shared" si="11"/>
        <v>057 - 04213506</v>
      </c>
      <c r="O327" s="9" t="s">
        <v>94</v>
      </c>
      <c r="P327" s="9" t="s">
        <v>240</v>
      </c>
      <c r="Q327" s="9"/>
      <c r="R327" s="9" t="s">
        <v>139</v>
      </c>
    </row>
    <row r="328" spans="2:18" ht="12.75" hidden="1" customHeight="1" thickBot="1">
      <c r="B328" s="6"/>
      <c r="C328" s="12" t="s">
        <v>244</v>
      </c>
      <c r="D328" s="12" t="s">
        <v>18</v>
      </c>
      <c r="E328" s="12" t="s">
        <v>19</v>
      </c>
      <c r="F328" s="12">
        <v>3</v>
      </c>
      <c r="G328" s="12" t="s">
        <v>20</v>
      </c>
      <c r="H328" s="12" t="s">
        <v>33</v>
      </c>
      <c r="I328" s="13">
        <v>45196.398344907408</v>
      </c>
      <c r="J328" s="12" t="s">
        <v>22</v>
      </c>
      <c r="K328" s="12"/>
      <c r="L328" s="12"/>
      <c r="M328" s="4" t="s">
        <v>23</v>
      </c>
      <c r="N328" s="8" t="str">
        <f t="shared" si="11"/>
        <v>057 - 04203323</v>
      </c>
      <c r="O328" s="9" t="s">
        <v>94</v>
      </c>
      <c r="P328" s="9" t="s">
        <v>242</v>
      </c>
      <c r="Q328" s="9"/>
      <c r="R328" s="9" t="s">
        <v>52</v>
      </c>
    </row>
    <row r="329" spans="2:18" ht="12.75" hidden="1" customHeight="1" thickBot="1">
      <c r="B329" s="5"/>
      <c r="C329" s="12" t="s">
        <v>245</v>
      </c>
      <c r="D329" s="12" t="s">
        <v>18</v>
      </c>
      <c r="E329" s="12" t="s">
        <v>19</v>
      </c>
      <c r="F329" s="12">
        <v>3</v>
      </c>
      <c r="G329" s="12" t="s">
        <v>20</v>
      </c>
      <c r="H329" s="12" t="s">
        <v>33</v>
      </c>
      <c r="I329" s="13">
        <v>45196.398333333331</v>
      </c>
      <c r="J329" s="12" t="s">
        <v>22</v>
      </c>
      <c r="K329" s="12"/>
      <c r="L329" s="12"/>
      <c r="M329" s="4" t="s">
        <v>23</v>
      </c>
      <c r="N329" s="8" t="str">
        <f t="shared" si="11"/>
        <v>057 - 47919690</v>
      </c>
      <c r="O329" s="9" t="s">
        <v>94</v>
      </c>
      <c r="P329" s="9" t="s">
        <v>163</v>
      </c>
      <c r="Q329" s="9"/>
      <c r="R329" s="9" t="s">
        <v>52</v>
      </c>
    </row>
    <row r="330" spans="2:18" ht="12.75" hidden="1" customHeight="1" thickBot="1">
      <c r="B330" s="6"/>
      <c r="C330" s="12" t="s">
        <v>245</v>
      </c>
      <c r="D330" s="12" t="s">
        <v>18</v>
      </c>
      <c r="E330" s="12" t="s">
        <v>19</v>
      </c>
      <c r="F330" s="12">
        <v>3</v>
      </c>
      <c r="G330" s="12" t="s">
        <v>20</v>
      </c>
      <c r="H330" s="12" t="s">
        <v>33</v>
      </c>
      <c r="I330" s="13">
        <v>45196.398321759261</v>
      </c>
      <c r="J330" s="12" t="s">
        <v>22</v>
      </c>
      <c r="K330" s="12"/>
      <c r="L330" s="12"/>
      <c r="M330" s="4" t="s">
        <v>23</v>
      </c>
      <c r="N330" s="8" t="str">
        <f t="shared" si="11"/>
        <v>057 - 47919690</v>
      </c>
      <c r="O330" s="9" t="s">
        <v>69</v>
      </c>
      <c r="P330" s="9" t="s">
        <v>25</v>
      </c>
      <c r="Q330" s="9"/>
      <c r="R330" s="9" t="s">
        <v>15</v>
      </c>
    </row>
    <row r="331" spans="2:18" ht="12.75" hidden="1" customHeight="1" thickBot="1">
      <c r="B331" s="5"/>
      <c r="C331" s="12" t="s">
        <v>246</v>
      </c>
      <c r="D331" s="12" t="s">
        <v>18</v>
      </c>
      <c r="E331" s="12" t="s">
        <v>19</v>
      </c>
      <c r="F331" s="12">
        <v>3</v>
      </c>
      <c r="G331" s="12" t="s">
        <v>20</v>
      </c>
      <c r="H331" s="12" t="s">
        <v>33</v>
      </c>
      <c r="I331" s="13">
        <v>45196.398310185185</v>
      </c>
      <c r="J331" s="12" t="s">
        <v>22</v>
      </c>
      <c r="K331" s="12"/>
      <c r="L331" s="12"/>
      <c r="M331" s="4" t="s">
        <v>23</v>
      </c>
      <c r="N331" s="8" t="str">
        <f t="shared" si="11"/>
        <v>057 - 48294363</v>
      </c>
      <c r="O331" s="9" t="s">
        <v>69</v>
      </c>
      <c r="P331" s="9" t="s">
        <v>25</v>
      </c>
      <c r="Q331" s="9"/>
      <c r="R331" s="9" t="s">
        <v>15</v>
      </c>
    </row>
    <row r="332" spans="2:18" ht="12.75" hidden="1" customHeight="1" thickBot="1">
      <c r="B332" s="7"/>
      <c r="C332" s="12" t="s">
        <v>247</v>
      </c>
      <c r="D332" s="12" t="s">
        <v>18</v>
      </c>
      <c r="E332" s="12" t="s">
        <v>19</v>
      </c>
      <c r="F332" s="12">
        <v>3</v>
      </c>
      <c r="G332" s="12" t="s">
        <v>20</v>
      </c>
      <c r="H332" s="12" t="s">
        <v>33</v>
      </c>
      <c r="I332" s="13">
        <v>45196.398298611108</v>
      </c>
      <c r="J332" s="12" t="s">
        <v>22</v>
      </c>
      <c r="K332" s="12"/>
      <c r="L332" s="12"/>
      <c r="M332" s="4" t="s">
        <v>23</v>
      </c>
      <c r="N332" s="8" t="str">
        <f t="shared" si="11"/>
        <v>057 - 03993371</v>
      </c>
      <c r="O332" s="9" t="s">
        <v>69</v>
      </c>
      <c r="P332" s="9" t="s">
        <v>25</v>
      </c>
      <c r="Q332" s="9"/>
      <c r="R332" s="9" t="s">
        <v>15</v>
      </c>
    </row>
    <row r="333" spans="2:18" ht="12.75" hidden="1" customHeight="1">
      <c r="C333" s="12" t="s">
        <v>248</v>
      </c>
      <c r="D333" s="12" t="s">
        <v>18</v>
      </c>
      <c r="E333" s="12" t="s">
        <v>19</v>
      </c>
      <c r="F333" s="12">
        <v>3</v>
      </c>
      <c r="G333" s="12" t="s">
        <v>20</v>
      </c>
      <c r="H333" s="12" t="s">
        <v>33</v>
      </c>
      <c r="I333" s="13">
        <v>45196.398287037038</v>
      </c>
      <c r="J333" s="12" t="s">
        <v>22</v>
      </c>
      <c r="K333" s="12"/>
      <c r="L333" s="12"/>
      <c r="M333" s="4" t="s">
        <v>23</v>
      </c>
      <c r="N333" s="8" t="str">
        <f t="shared" si="11"/>
        <v>057 - 47919675</v>
      </c>
      <c r="O333" s="9" t="s">
        <v>69</v>
      </c>
      <c r="P333" s="9" t="s">
        <v>25</v>
      </c>
      <c r="Q333" s="9"/>
      <c r="R333" s="9" t="s">
        <v>15</v>
      </c>
    </row>
    <row r="334" spans="2:18" ht="12.75" hidden="1" customHeight="1" thickBot="1">
      <c r="B334" s="5"/>
      <c r="C334" s="12" t="s">
        <v>249</v>
      </c>
      <c r="D334" s="12" t="s">
        <v>18</v>
      </c>
      <c r="E334" s="12" t="s">
        <v>19</v>
      </c>
      <c r="F334" s="12">
        <v>3</v>
      </c>
      <c r="G334" s="12" t="s">
        <v>20</v>
      </c>
      <c r="H334" s="12" t="s">
        <v>33</v>
      </c>
      <c r="I334" s="13">
        <v>45196.398275462961</v>
      </c>
      <c r="J334" s="12" t="s">
        <v>22</v>
      </c>
      <c r="K334" s="12"/>
      <c r="L334" s="12"/>
      <c r="M334" s="4" t="s">
        <v>23</v>
      </c>
      <c r="N334" s="8" t="str">
        <f t="shared" si="11"/>
        <v>057 - 47987870</v>
      </c>
      <c r="O334" s="9" t="s">
        <v>69</v>
      </c>
      <c r="P334" s="9" t="s">
        <v>25</v>
      </c>
      <c r="Q334" s="9"/>
      <c r="R334" s="9" t="s">
        <v>15</v>
      </c>
    </row>
    <row r="335" spans="2:18" ht="12.75" hidden="1" customHeight="1" thickBot="1">
      <c r="B335" s="6"/>
      <c r="C335" s="12" t="s">
        <v>250</v>
      </c>
      <c r="D335" s="12" t="s">
        <v>18</v>
      </c>
      <c r="E335" s="12" t="s">
        <v>19</v>
      </c>
      <c r="F335" s="12">
        <v>3</v>
      </c>
      <c r="G335" s="12" t="s">
        <v>20</v>
      </c>
      <c r="H335" s="12" t="s">
        <v>33</v>
      </c>
      <c r="I335" s="13">
        <v>45196.398263888892</v>
      </c>
      <c r="J335" s="12" t="s">
        <v>22</v>
      </c>
      <c r="K335" s="12"/>
      <c r="L335" s="12"/>
      <c r="M335" s="4" t="s">
        <v>23</v>
      </c>
      <c r="N335" s="8" t="str">
        <f t="shared" si="11"/>
        <v>057 - 47987903</v>
      </c>
      <c r="O335" s="9" t="s">
        <v>69</v>
      </c>
      <c r="P335" s="9" t="s">
        <v>25</v>
      </c>
      <c r="Q335" s="9"/>
      <c r="R335" s="9" t="s">
        <v>15</v>
      </c>
    </row>
    <row r="336" spans="2:18" ht="12.75" hidden="1" customHeight="1" thickBot="1">
      <c r="B336" s="5"/>
      <c r="C336" s="12" t="s">
        <v>251</v>
      </c>
      <c r="D336" s="12" t="s">
        <v>18</v>
      </c>
      <c r="E336" s="12" t="s">
        <v>19</v>
      </c>
      <c r="F336" s="12">
        <v>3</v>
      </c>
      <c r="G336" s="12" t="s">
        <v>20</v>
      </c>
      <c r="H336" s="12" t="s">
        <v>33</v>
      </c>
      <c r="I336" s="13">
        <v>45196.398252314815</v>
      </c>
      <c r="J336" s="12" t="s">
        <v>22</v>
      </c>
      <c r="K336" s="12"/>
      <c r="L336" s="12"/>
      <c r="M336" s="4" t="s">
        <v>23</v>
      </c>
      <c r="N336" s="8" t="str">
        <f t="shared" si="11"/>
        <v>057 - 47855150</v>
      </c>
      <c r="O336" s="9" t="s">
        <v>69</v>
      </c>
      <c r="P336" s="9" t="s">
        <v>25</v>
      </c>
      <c r="Q336" s="9"/>
      <c r="R336" s="9" t="s">
        <v>15</v>
      </c>
    </row>
    <row r="337" spans="2:18" ht="12.75" hidden="1" customHeight="1" thickBot="1">
      <c r="B337" s="6"/>
      <c r="C337" s="12" t="s">
        <v>236</v>
      </c>
      <c r="D337" s="12" t="s">
        <v>18</v>
      </c>
      <c r="E337" s="12" t="s">
        <v>19</v>
      </c>
      <c r="F337" s="12">
        <v>3</v>
      </c>
      <c r="G337" s="12" t="s">
        <v>20</v>
      </c>
      <c r="H337" s="12" t="s">
        <v>33</v>
      </c>
      <c r="I337" s="13">
        <v>45196.398240740738</v>
      </c>
      <c r="J337" s="12" t="s">
        <v>22</v>
      </c>
      <c r="K337" s="12"/>
      <c r="L337" s="12"/>
      <c r="M337" s="4" t="s">
        <v>23</v>
      </c>
      <c r="N337" s="8" t="str">
        <f t="shared" si="11"/>
        <v>057 - 04020004</v>
      </c>
      <c r="O337" s="9" t="s">
        <v>69</v>
      </c>
      <c r="P337" s="9" t="s">
        <v>25</v>
      </c>
      <c r="Q337" s="9"/>
      <c r="R337" s="9" t="s">
        <v>15</v>
      </c>
    </row>
    <row r="338" spans="2:18" ht="12.75" hidden="1" customHeight="1" thickBot="1">
      <c r="B338" s="5"/>
      <c r="C338" s="12" t="s">
        <v>251</v>
      </c>
      <c r="D338" s="12" t="s">
        <v>18</v>
      </c>
      <c r="E338" s="12" t="s">
        <v>19</v>
      </c>
      <c r="F338" s="12">
        <v>3</v>
      </c>
      <c r="G338" s="12" t="s">
        <v>20</v>
      </c>
      <c r="H338" s="12" t="s">
        <v>33</v>
      </c>
      <c r="I338" s="13">
        <v>45196.398240740738</v>
      </c>
      <c r="J338" s="12" t="s">
        <v>22</v>
      </c>
      <c r="K338" s="12"/>
      <c r="L338" s="12"/>
      <c r="M338" s="4" t="s">
        <v>23</v>
      </c>
      <c r="N338" s="8" t="str">
        <f t="shared" si="11"/>
        <v>057 - 47855150</v>
      </c>
      <c r="O338" s="9"/>
      <c r="P338" s="9" t="s">
        <v>25</v>
      </c>
      <c r="Q338" s="9"/>
      <c r="R338" s="9"/>
    </row>
    <row r="339" spans="2:18" ht="12.75" hidden="1" customHeight="1" thickBot="1">
      <c r="B339" s="6"/>
      <c r="C339" s="12" t="s">
        <v>252</v>
      </c>
      <c r="D339" s="12" t="s">
        <v>18</v>
      </c>
      <c r="E339" s="12" t="s">
        <v>19</v>
      </c>
      <c r="F339" s="12">
        <v>3</v>
      </c>
      <c r="G339" s="12" t="s">
        <v>20</v>
      </c>
      <c r="H339" s="12" t="s">
        <v>93</v>
      </c>
      <c r="I339" s="13">
        <v>45196.398229166669</v>
      </c>
      <c r="J339" s="12" t="s">
        <v>22</v>
      </c>
      <c r="K339" s="12"/>
      <c r="L339" s="12"/>
      <c r="M339" s="4" t="s">
        <v>23</v>
      </c>
      <c r="N339" s="8" t="str">
        <f t="shared" si="11"/>
        <v>057 - 47967231</v>
      </c>
      <c r="O339" s="9" t="s">
        <v>69</v>
      </c>
      <c r="P339" s="9" t="s">
        <v>25</v>
      </c>
      <c r="Q339" s="9"/>
      <c r="R339" s="9" t="s">
        <v>15</v>
      </c>
    </row>
    <row r="340" spans="2:18" ht="12.75" hidden="1" customHeight="1" thickBot="1">
      <c r="B340" s="5"/>
      <c r="C340" s="12" t="s">
        <v>202</v>
      </c>
      <c r="D340" s="12" t="s">
        <v>18</v>
      </c>
      <c r="E340" s="12" t="s">
        <v>19</v>
      </c>
      <c r="F340" s="12">
        <v>3</v>
      </c>
      <c r="G340" s="12" t="s">
        <v>20</v>
      </c>
      <c r="H340" s="12" t="s">
        <v>93</v>
      </c>
      <c r="I340" s="13">
        <v>45196.398229166669</v>
      </c>
      <c r="J340" s="12" t="s">
        <v>22</v>
      </c>
      <c r="K340" s="12"/>
      <c r="L340" s="12"/>
      <c r="M340" s="4" t="s">
        <v>23</v>
      </c>
      <c r="N340" s="8" t="str">
        <f t="shared" si="11"/>
        <v>057 - 04297510</v>
      </c>
      <c r="O340" s="9"/>
      <c r="P340" s="9" t="s">
        <v>25</v>
      </c>
      <c r="Q340" s="9"/>
      <c r="R340" s="9" t="s">
        <v>15</v>
      </c>
    </row>
    <row r="341" spans="2:18" ht="12.75" hidden="1" customHeight="1" thickBot="1">
      <c r="B341" s="6"/>
      <c r="C341" s="12" t="s">
        <v>253</v>
      </c>
      <c r="D341" s="12" t="s">
        <v>18</v>
      </c>
      <c r="E341" s="12" t="s">
        <v>19</v>
      </c>
      <c r="F341" s="12">
        <v>3</v>
      </c>
      <c r="G341" s="12" t="s">
        <v>20</v>
      </c>
      <c r="H341" s="12" t="s">
        <v>33</v>
      </c>
      <c r="I341" s="13">
        <v>45196.398217592592</v>
      </c>
      <c r="J341" s="12" t="s">
        <v>22</v>
      </c>
      <c r="K341" s="12"/>
      <c r="L341" s="12"/>
      <c r="M341" s="4" t="s">
        <v>23</v>
      </c>
      <c r="N341" s="8" t="str">
        <f t="shared" si="11"/>
        <v>057 - 04324386</v>
      </c>
      <c r="O341" s="9" t="s">
        <v>69</v>
      </c>
      <c r="P341" s="9" t="s">
        <v>25</v>
      </c>
      <c r="Q341" s="9"/>
      <c r="R341" s="9" t="s">
        <v>15</v>
      </c>
    </row>
    <row r="342" spans="2:18" ht="12.75" hidden="1" customHeight="1" thickBot="1">
      <c r="B342" s="5"/>
      <c r="C342" s="12" t="s">
        <v>253</v>
      </c>
      <c r="D342" s="12" t="s">
        <v>18</v>
      </c>
      <c r="E342" s="12" t="s">
        <v>19</v>
      </c>
      <c r="F342" s="12">
        <v>3</v>
      </c>
      <c r="G342" s="12" t="s">
        <v>20</v>
      </c>
      <c r="H342" s="12" t="s">
        <v>33</v>
      </c>
      <c r="I342" s="13">
        <v>45196.398206018515</v>
      </c>
      <c r="J342" s="12" t="s">
        <v>22</v>
      </c>
      <c r="K342" s="12"/>
      <c r="L342" s="12"/>
      <c r="M342" s="4" t="s">
        <v>23</v>
      </c>
      <c r="N342" s="8" t="str">
        <f t="shared" si="11"/>
        <v>057 - 04324386</v>
      </c>
      <c r="O342" s="9"/>
      <c r="P342" s="9" t="s">
        <v>25</v>
      </c>
      <c r="Q342" s="9"/>
      <c r="R342" s="9"/>
    </row>
    <row r="343" spans="2:18" ht="12.75" hidden="1" customHeight="1" thickBot="1">
      <c r="B343" s="6"/>
      <c r="C343" s="12" t="s">
        <v>254</v>
      </c>
      <c r="D343" s="12" t="s">
        <v>18</v>
      </c>
      <c r="E343" s="12" t="s">
        <v>19</v>
      </c>
      <c r="F343" s="12">
        <v>3</v>
      </c>
      <c r="G343" s="12" t="s">
        <v>20</v>
      </c>
      <c r="H343" s="12" t="s">
        <v>42</v>
      </c>
      <c r="I343" s="13">
        <v>45196.398194444446</v>
      </c>
      <c r="J343" s="12" t="s">
        <v>22</v>
      </c>
      <c r="K343" s="12"/>
      <c r="L343" s="12"/>
      <c r="M343" s="4" t="s">
        <v>23</v>
      </c>
      <c r="N343" s="8" t="str">
        <f t="shared" si="11"/>
        <v>074 - 00701201</v>
      </c>
      <c r="O343" s="9" t="s">
        <v>69</v>
      </c>
      <c r="P343" s="9" t="s">
        <v>242</v>
      </c>
      <c r="Q343" s="9"/>
      <c r="R343" s="9" t="s">
        <v>15</v>
      </c>
    </row>
    <row r="344" spans="2:18" ht="12.75" hidden="1" customHeight="1" thickBot="1">
      <c r="B344" s="5"/>
      <c r="C344" s="12" t="s">
        <v>255</v>
      </c>
      <c r="D344" s="12" t="s">
        <v>18</v>
      </c>
      <c r="E344" s="12" t="s">
        <v>19</v>
      </c>
      <c r="F344" s="12">
        <v>3</v>
      </c>
      <c r="G344" s="12" t="s">
        <v>20</v>
      </c>
      <c r="H344" s="12" t="s">
        <v>33</v>
      </c>
      <c r="I344" s="13">
        <v>45196.398194444446</v>
      </c>
      <c r="J344" s="12" t="s">
        <v>22</v>
      </c>
      <c r="K344" s="12"/>
      <c r="L344" s="12"/>
      <c r="M344" s="4" t="s">
        <v>23</v>
      </c>
      <c r="N344" s="8" t="str">
        <f t="shared" si="11"/>
        <v>057 - 47907296</v>
      </c>
      <c r="O344" s="9" t="s">
        <v>69</v>
      </c>
      <c r="P344" s="9" t="s">
        <v>25</v>
      </c>
      <c r="Q344" s="9"/>
      <c r="R344" s="9" t="s">
        <v>15</v>
      </c>
    </row>
    <row r="345" spans="2:18" ht="12.75" hidden="1" customHeight="1" thickBot="1">
      <c r="B345" s="6"/>
      <c r="C345" s="12" t="s">
        <v>256</v>
      </c>
      <c r="D345" s="12" t="s">
        <v>18</v>
      </c>
      <c r="E345" s="12" t="s">
        <v>19</v>
      </c>
      <c r="F345" s="12">
        <v>3</v>
      </c>
      <c r="G345" s="12" t="s">
        <v>20</v>
      </c>
      <c r="H345" s="12" t="s">
        <v>33</v>
      </c>
      <c r="I345" s="13">
        <v>45196.398182870369</v>
      </c>
      <c r="J345" s="12" t="s">
        <v>22</v>
      </c>
      <c r="K345" s="12"/>
      <c r="L345" s="12"/>
      <c r="M345" s="4" t="s">
        <v>23</v>
      </c>
      <c r="N345" s="8" t="str">
        <f t="shared" si="11"/>
        <v>057 - 47855113</v>
      </c>
      <c r="O345" s="9" t="s">
        <v>69</v>
      </c>
      <c r="P345" s="9" t="s">
        <v>242</v>
      </c>
      <c r="Q345" s="9"/>
      <c r="R345" s="9" t="s">
        <v>15</v>
      </c>
    </row>
    <row r="346" spans="2:18" ht="12.75" hidden="1" customHeight="1" thickBot="1">
      <c r="B346" s="5"/>
      <c r="C346" s="12" t="s">
        <v>257</v>
      </c>
      <c r="D346" s="12" t="s">
        <v>18</v>
      </c>
      <c r="E346" s="12" t="s">
        <v>19</v>
      </c>
      <c r="F346" s="12">
        <v>3</v>
      </c>
      <c r="G346" s="12" t="s">
        <v>20</v>
      </c>
      <c r="H346" s="12" t="s">
        <v>46</v>
      </c>
      <c r="I346" s="13">
        <v>45196.398182870369</v>
      </c>
      <c r="J346" s="12" t="s">
        <v>22</v>
      </c>
      <c r="K346" s="12"/>
      <c r="L346" s="12"/>
      <c r="M346" s="4" t="s">
        <v>23</v>
      </c>
      <c r="N346" s="8" t="str">
        <f t="shared" si="11"/>
        <v>057 - 04219692</v>
      </c>
      <c r="O346" s="9" t="s">
        <v>69</v>
      </c>
      <c r="P346" s="9" t="s">
        <v>25</v>
      </c>
      <c r="Q346" s="9"/>
      <c r="R346" s="9" t="s">
        <v>15</v>
      </c>
    </row>
    <row r="347" spans="2:18" ht="12.75" hidden="1" customHeight="1" thickBot="1">
      <c r="B347" s="6"/>
      <c r="C347" s="12" t="s">
        <v>258</v>
      </c>
      <c r="D347" s="12" t="s">
        <v>18</v>
      </c>
      <c r="E347" s="12" t="s">
        <v>19</v>
      </c>
      <c r="F347" s="12">
        <v>3</v>
      </c>
      <c r="G347" s="12" t="s">
        <v>20</v>
      </c>
      <c r="H347" s="12" t="s">
        <v>33</v>
      </c>
      <c r="I347" s="13">
        <v>45196.398159722223</v>
      </c>
      <c r="J347" s="12" t="s">
        <v>22</v>
      </c>
      <c r="K347" s="12"/>
      <c r="L347" s="12"/>
      <c r="M347" s="4" t="s">
        <v>23</v>
      </c>
      <c r="N347" s="8" t="str">
        <f t="shared" si="11"/>
        <v>057 - 04245253</v>
      </c>
      <c r="O347" s="9" t="s">
        <v>69</v>
      </c>
      <c r="P347" s="9" t="s">
        <v>25</v>
      </c>
      <c r="Q347" s="9"/>
      <c r="R347" s="9" t="s">
        <v>15</v>
      </c>
    </row>
    <row r="348" spans="2:18" ht="12.75" hidden="1" customHeight="1" thickBot="1">
      <c r="B348" s="5"/>
      <c r="C348" s="12" t="s">
        <v>259</v>
      </c>
      <c r="D348" s="12" t="s">
        <v>18</v>
      </c>
      <c r="E348" s="12" t="s">
        <v>19</v>
      </c>
      <c r="F348" s="12">
        <v>3</v>
      </c>
      <c r="G348" s="12" t="s">
        <v>20</v>
      </c>
      <c r="H348" s="12" t="s">
        <v>33</v>
      </c>
      <c r="I348" s="13">
        <v>45196.398159722223</v>
      </c>
      <c r="J348" s="12" t="s">
        <v>22</v>
      </c>
      <c r="K348" s="12"/>
      <c r="L348" s="12"/>
      <c r="M348" s="4" t="s">
        <v>23</v>
      </c>
      <c r="N348" s="8" t="str">
        <f t="shared" ref="N348:N379" si="12">LEFT(C348,14)</f>
        <v>057 - 47987343</v>
      </c>
      <c r="O348" s="9" t="s">
        <v>69</v>
      </c>
      <c r="P348" s="9" t="s">
        <v>25</v>
      </c>
      <c r="Q348" s="9" t="s">
        <v>260</v>
      </c>
      <c r="R348" s="9" t="s">
        <v>15</v>
      </c>
    </row>
    <row r="349" spans="2:18" ht="12.75" hidden="1" customHeight="1" thickBot="1">
      <c r="B349" s="6"/>
      <c r="C349" s="12" t="s">
        <v>247</v>
      </c>
      <c r="D349" s="12" t="s">
        <v>18</v>
      </c>
      <c r="E349" s="12" t="s">
        <v>19</v>
      </c>
      <c r="F349" s="12">
        <v>3</v>
      </c>
      <c r="G349" s="12" t="s">
        <v>20</v>
      </c>
      <c r="H349" s="12" t="s">
        <v>33</v>
      </c>
      <c r="I349" s="13">
        <v>45196.398159722223</v>
      </c>
      <c r="J349" s="12" t="s">
        <v>22</v>
      </c>
      <c r="K349" s="12"/>
      <c r="L349" s="12"/>
      <c r="M349" s="4" t="s">
        <v>23</v>
      </c>
      <c r="N349" s="8" t="str">
        <f t="shared" si="12"/>
        <v>057 - 03993371</v>
      </c>
      <c r="O349" s="9" t="s">
        <v>261</v>
      </c>
      <c r="P349" s="9" t="s">
        <v>25</v>
      </c>
      <c r="Q349" s="9"/>
      <c r="R349" s="9" t="s">
        <v>52</v>
      </c>
    </row>
    <row r="350" spans="2:18" ht="12.75" hidden="1" customHeight="1" thickBot="1">
      <c r="B350" s="5"/>
      <c r="C350" s="12" t="s">
        <v>262</v>
      </c>
      <c r="D350" s="12" t="s">
        <v>18</v>
      </c>
      <c r="E350" s="12" t="s">
        <v>19</v>
      </c>
      <c r="F350" s="12">
        <v>3</v>
      </c>
      <c r="G350" s="12" t="s">
        <v>20</v>
      </c>
      <c r="H350" s="12" t="s">
        <v>33</v>
      </c>
      <c r="I350" s="13">
        <v>45196.398148148146</v>
      </c>
      <c r="J350" s="12" t="s">
        <v>22</v>
      </c>
      <c r="K350" s="12"/>
      <c r="L350" s="12"/>
      <c r="M350" s="4" t="s">
        <v>23</v>
      </c>
      <c r="N350" s="8" t="str">
        <f t="shared" si="12"/>
        <v>057 - 47987925</v>
      </c>
      <c r="O350" s="9" t="s">
        <v>261</v>
      </c>
      <c r="P350" s="9" t="s">
        <v>25</v>
      </c>
      <c r="Q350" s="17" t="s">
        <v>263</v>
      </c>
      <c r="R350" s="9" t="s">
        <v>52</v>
      </c>
    </row>
    <row r="351" spans="2:18" ht="12.75" hidden="1" customHeight="1" thickBot="1">
      <c r="B351" s="6"/>
      <c r="C351" s="12" t="s">
        <v>246</v>
      </c>
      <c r="D351" s="12" t="s">
        <v>18</v>
      </c>
      <c r="E351" s="12" t="s">
        <v>19</v>
      </c>
      <c r="F351" s="12">
        <v>3</v>
      </c>
      <c r="G351" s="12" t="s">
        <v>20</v>
      </c>
      <c r="H351" s="12" t="s">
        <v>33</v>
      </c>
      <c r="I351" s="13">
        <v>45196.398148148146</v>
      </c>
      <c r="J351" s="12" t="s">
        <v>22</v>
      </c>
      <c r="K351" s="12"/>
      <c r="L351" s="12"/>
      <c r="M351" s="4" t="s">
        <v>23</v>
      </c>
      <c r="N351" s="8" t="str">
        <f t="shared" si="12"/>
        <v>057 - 48294363</v>
      </c>
      <c r="O351" s="9" t="s">
        <v>261</v>
      </c>
      <c r="P351" s="9" t="s">
        <v>25</v>
      </c>
      <c r="Q351" s="9"/>
      <c r="R351" s="9" t="s">
        <v>52</v>
      </c>
    </row>
    <row r="352" spans="2:18" ht="12.75" hidden="1" customHeight="1" thickBot="1">
      <c r="B352" s="5"/>
      <c r="C352" s="12" t="s">
        <v>264</v>
      </c>
      <c r="D352" s="12" t="s">
        <v>18</v>
      </c>
      <c r="E352" s="12" t="s">
        <v>19</v>
      </c>
      <c r="F352" s="12">
        <v>3</v>
      </c>
      <c r="G352" s="12" t="s">
        <v>20</v>
      </c>
      <c r="H352" s="12" t="s">
        <v>33</v>
      </c>
      <c r="I352" s="13">
        <v>45196.398136574076</v>
      </c>
      <c r="J352" s="12" t="s">
        <v>22</v>
      </c>
      <c r="K352" s="12"/>
      <c r="L352" s="12"/>
      <c r="M352" s="4" t="s">
        <v>23</v>
      </c>
      <c r="N352" s="8" t="str">
        <f t="shared" si="12"/>
        <v>057 - 48313941</v>
      </c>
      <c r="O352" s="9" t="s">
        <v>261</v>
      </c>
      <c r="P352" s="9" t="s">
        <v>25</v>
      </c>
      <c r="Q352" s="9"/>
      <c r="R352" s="9" t="s">
        <v>52</v>
      </c>
    </row>
    <row r="353" spans="2:18" ht="12.75" hidden="1" customHeight="1" thickBot="1">
      <c r="B353" s="6"/>
      <c r="C353" s="12" t="s">
        <v>247</v>
      </c>
      <c r="D353" s="12" t="s">
        <v>18</v>
      </c>
      <c r="E353" s="12" t="s">
        <v>19</v>
      </c>
      <c r="F353" s="12">
        <v>3</v>
      </c>
      <c r="G353" s="12" t="s">
        <v>20</v>
      </c>
      <c r="H353" s="12" t="s">
        <v>33</v>
      </c>
      <c r="I353" s="13">
        <v>45196.398113425923</v>
      </c>
      <c r="J353" s="12" t="s">
        <v>22</v>
      </c>
      <c r="K353" s="12"/>
      <c r="L353" s="12"/>
      <c r="M353" s="4" t="s">
        <v>23</v>
      </c>
      <c r="N353" s="8" t="str">
        <f t="shared" si="12"/>
        <v>057 - 03993371</v>
      </c>
      <c r="O353" s="9" t="s">
        <v>261</v>
      </c>
      <c r="P353" s="9" t="s">
        <v>25</v>
      </c>
      <c r="Q353" s="9"/>
      <c r="R353" s="9" t="s">
        <v>52</v>
      </c>
    </row>
    <row r="354" spans="2:18" ht="12.75" hidden="1" customHeight="1" thickBot="1">
      <c r="B354" s="5"/>
      <c r="C354" s="12" t="s">
        <v>265</v>
      </c>
      <c r="D354" s="12" t="s">
        <v>18</v>
      </c>
      <c r="E354" s="12" t="s">
        <v>19</v>
      </c>
      <c r="F354" s="12">
        <v>3</v>
      </c>
      <c r="G354" s="12" t="s">
        <v>20</v>
      </c>
      <c r="H354" s="12" t="s">
        <v>33</v>
      </c>
      <c r="I354" s="13">
        <v>45196.398113425923</v>
      </c>
      <c r="J354" s="12" t="s">
        <v>22</v>
      </c>
      <c r="K354" s="12"/>
      <c r="L354" s="12"/>
      <c r="M354" s="4" t="s">
        <v>23</v>
      </c>
      <c r="N354" s="8" t="str">
        <f t="shared" si="12"/>
        <v>057 - 48313930</v>
      </c>
      <c r="O354" s="9" t="s">
        <v>261</v>
      </c>
      <c r="P354" s="9" t="s">
        <v>25</v>
      </c>
      <c r="Q354" s="9"/>
      <c r="R354" s="9" t="s">
        <v>52</v>
      </c>
    </row>
    <row r="355" spans="2:18" ht="12.75" customHeight="1" thickBot="1">
      <c r="B355" s="6"/>
      <c r="C355" s="12" t="s">
        <v>248</v>
      </c>
      <c r="D355" s="12" t="s">
        <v>18</v>
      </c>
      <c r="E355" s="12" t="s">
        <v>19</v>
      </c>
      <c r="F355" s="12">
        <v>3</v>
      </c>
      <c r="G355" s="12" t="s">
        <v>20</v>
      </c>
      <c r="H355" s="12" t="s">
        <v>33</v>
      </c>
      <c r="I355" s="13">
        <v>45196.398113425923</v>
      </c>
      <c r="J355" s="12" t="s">
        <v>22</v>
      </c>
      <c r="K355" s="12"/>
      <c r="L355" s="12"/>
      <c r="M355" s="4" t="s">
        <v>23</v>
      </c>
      <c r="N355" s="8" t="str">
        <f t="shared" si="12"/>
        <v>057 - 47919675</v>
      </c>
      <c r="O355" s="9" t="s">
        <v>29</v>
      </c>
      <c r="P355" s="9" t="s">
        <v>25</v>
      </c>
      <c r="Q355" s="9"/>
      <c r="R355" s="9" t="s">
        <v>35</v>
      </c>
    </row>
    <row r="356" spans="2:18" ht="12.75" customHeight="1" thickBot="1">
      <c r="B356" s="5"/>
      <c r="C356" s="12" t="s">
        <v>266</v>
      </c>
      <c r="D356" s="12" t="s">
        <v>18</v>
      </c>
      <c r="E356" s="12" t="s">
        <v>19</v>
      </c>
      <c r="F356" s="12">
        <v>3</v>
      </c>
      <c r="G356" s="12" t="s">
        <v>20</v>
      </c>
      <c r="H356" s="12" t="s">
        <v>33</v>
      </c>
      <c r="I356" s="13">
        <v>45196.398101851853</v>
      </c>
      <c r="J356" s="12" t="s">
        <v>22</v>
      </c>
      <c r="K356" s="12"/>
      <c r="L356" s="12"/>
      <c r="M356" s="4" t="s">
        <v>23</v>
      </c>
      <c r="N356" s="8" t="str">
        <f t="shared" si="12"/>
        <v>057 - 45359436</v>
      </c>
      <c r="O356" s="9" t="s">
        <v>29</v>
      </c>
      <c r="P356" s="9" t="s">
        <v>59</v>
      </c>
      <c r="Q356" s="20" t="s">
        <v>260</v>
      </c>
      <c r="R356" s="9" t="s">
        <v>59</v>
      </c>
    </row>
    <row r="357" spans="2:18" ht="12.75" hidden="1" customHeight="1" thickBot="1">
      <c r="B357" s="7"/>
      <c r="C357" s="12" t="s">
        <v>249</v>
      </c>
      <c r="D357" s="12" t="s">
        <v>18</v>
      </c>
      <c r="E357" s="12" t="s">
        <v>19</v>
      </c>
      <c r="F357" s="12">
        <v>3</v>
      </c>
      <c r="G357" s="12" t="s">
        <v>20</v>
      </c>
      <c r="H357" s="12" t="s">
        <v>33</v>
      </c>
      <c r="I357" s="13">
        <v>45196.398090277777</v>
      </c>
      <c r="J357" s="12" t="s">
        <v>22</v>
      </c>
      <c r="K357" s="12"/>
      <c r="L357" s="12"/>
      <c r="M357" s="4" t="s">
        <v>23</v>
      </c>
      <c r="N357" s="8" t="str">
        <f t="shared" si="12"/>
        <v>057 - 47987870</v>
      </c>
      <c r="O357" s="9" t="s">
        <v>69</v>
      </c>
      <c r="P357" s="9" t="s">
        <v>25</v>
      </c>
      <c r="Q357" s="9"/>
      <c r="R357" s="9"/>
    </row>
    <row r="358" spans="2:18" ht="12.75" hidden="1" customHeight="1">
      <c r="C358" s="12" t="s">
        <v>267</v>
      </c>
      <c r="D358" s="12" t="s">
        <v>18</v>
      </c>
      <c r="E358" s="12" t="s">
        <v>19</v>
      </c>
      <c r="F358" s="12">
        <v>3</v>
      </c>
      <c r="G358" s="12" t="s">
        <v>20</v>
      </c>
      <c r="H358" s="12" t="s">
        <v>33</v>
      </c>
      <c r="I358" s="13">
        <v>45196.398078703707</v>
      </c>
      <c r="J358" s="12" t="s">
        <v>22</v>
      </c>
      <c r="K358" s="12"/>
      <c r="L358" s="12"/>
      <c r="M358" s="4" t="s">
        <v>23</v>
      </c>
      <c r="N358" s="8" t="str">
        <f t="shared" si="12"/>
        <v>057 - 07716225</v>
      </c>
      <c r="O358" s="9" t="s">
        <v>69</v>
      </c>
      <c r="P358" s="9" t="s">
        <v>25</v>
      </c>
      <c r="Q358" s="9" t="s">
        <v>260</v>
      </c>
      <c r="R358" s="9" t="s">
        <v>15</v>
      </c>
    </row>
    <row r="359" spans="2:18" ht="12.75" hidden="1" customHeight="1" thickBot="1">
      <c r="B359" s="5"/>
      <c r="C359" s="12" t="s">
        <v>249</v>
      </c>
      <c r="D359" s="12" t="s">
        <v>18</v>
      </c>
      <c r="E359" s="12" t="s">
        <v>19</v>
      </c>
      <c r="F359" s="12">
        <v>3</v>
      </c>
      <c r="G359" s="12" t="s">
        <v>20</v>
      </c>
      <c r="H359" s="12" t="s">
        <v>33</v>
      </c>
      <c r="I359" s="13">
        <v>45196.398078703707</v>
      </c>
      <c r="J359" s="12" t="s">
        <v>22</v>
      </c>
      <c r="K359" s="12"/>
      <c r="L359" s="12"/>
      <c r="M359" s="4" t="s">
        <v>23</v>
      </c>
      <c r="N359" s="8" t="str">
        <f t="shared" si="12"/>
        <v>057 - 47987870</v>
      </c>
      <c r="O359" s="9"/>
      <c r="P359" s="9" t="s">
        <v>25</v>
      </c>
      <c r="Q359" s="9"/>
      <c r="R359" s="9"/>
    </row>
    <row r="360" spans="2:18" ht="12.75" customHeight="1" thickBot="1">
      <c r="B360" s="6"/>
      <c r="C360" s="12" t="s">
        <v>90</v>
      </c>
      <c r="D360" s="12" t="s">
        <v>18</v>
      </c>
      <c r="E360" s="12" t="s">
        <v>19</v>
      </c>
      <c r="F360" s="12">
        <v>3</v>
      </c>
      <c r="G360" s="12" t="s">
        <v>20</v>
      </c>
      <c r="H360" s="12" t="s">
        <v>33</v>
      </c>
      <c r="I360" s="13">
        <v>45196.39806712963</v>
      </c>
      <c r="J360" s="12" t="s">
        <v>22</v>
      </c>
      <c r="K360" s="12"/>
      <c r="L360" s="12"/>
      <c r="M360" s="4" t="s">
        <v>23</v>
      </c>
      <c r="N360" s="8" t="str">
        <f t="shared" si="12"/>
        <v>057 - 47988323</v>
      </c>
      <c r="O360" s="9" t="s">
        <v>29</v>
      </c>
      <c r="P360" s="9" t="s">
        <v>25</v>
      </c>
      <c r="Q360" s="9" t="s">
        <v>260</v>
      </c>
      <c r="R360" s="9" t="s">
        <v>30</v>
      </c>
    </row>
    <row r="361" spans="2:18" ht="12.75" hidden="1" customHeight="1" thickBot="1">
      <c r="B361" s="5"/>
      <c r="C361" s="12" t="s">
        <v>268</v>
      </c>
      <c r="D361" s="12" t="s">
        <v>18</v>
      </c>
      <c r="E361" s="12" t="s">
        <v>19</v>
      </c>
      <c r="F361" s="12">
        <v>3</v>
      </c>
      <c r="G361" s="12" t="s">
        <v>20</v>
      </c>
      <c r="H361" s="12" t="s">
        <v>33</v>
      </c>
      <c r="I361" s="13">
        <v>45196.39806712963</v>
      </c>
      <c r="J361" s="12" t="s">
        <v>22</v>
      </c>
      <c r="K361" s="12"/>
      <c r="L361" s="12"/>
      <c r="M361" s="4" t="s">
        <v>23</v>
      </c>
      <c r="N361" s="8" t="str">
        <f t="shared" si="12"/>
        <v>057 - 45982031</v>
      </c>
      <c r="O361" s="9" t="s">
        <v>69</v>
      </c>
      <c r="P361" s="9" t="s">
        <v>25</v>
      </c>
      <c r="Q361" s="9"/>
      <c r="R361" s="9" t="s">
        <v>15</v>
      </c>
    </row>
    <row r="362" spans="2:18" ht="12.75" hidden="1" customHeight="1" thickBot="1">
      <c r="B362" s="6"/>
      <c r="C362" s="12" t="s">
        <v>268</v>
      </c>
      <c r="D362" s="12" t="s">
        <v>18</v>
      </c>
      <c r="E362" s="12" t="s">
        <v>19</v>
      </c>
      <c r="F362" s="12">
        <v>3</v>
      </c>
      <c r="G362" s="12" t="s">
        <v>20</v>
      </c>
      <c r="H362" s="12" t="s">
        <v>33</v>
      </c>
      <c r="I362" s="13">
        <v>45196.398055555554</v>
      </c>
      <c r="J362" s="12" t="s">
        <v>22</v>
      </c>
      <c r="K362" s="12"/>
      <c r="L362" s="12"/>
      <c r="M362" s="4" t="s">
        <v>23</v>
      </c>
      <c r="N362" s="8" t="str">
        <f t="shared" si="12"/>
        <v>057 - 45982031</v>
      </c>
      <c r="O362" s="9"/>
      <c r="P362" s="9" t="s">
        <v>67</v>
      </c>
      <c r="Q362" s="9"/>
      <c r="R362" s="9"/>
    </row>
    <row r="363" spans="2:18" ht="12.75" hidden="1" customHeight="1" thickBot="1">
      <c r="B363" s="5"/>
      <c r="C363" s="12" t="s">
        <v>269</v>
      </c>
      <c r="D363" s="12" t="s">
        <v>18</v>
      </c>
      <c r="E363" s="12" t="s">
        <v>19</v>
      </c>
      <c r="F363" s="12">
        <v>3</v>
      </c>
      <c r="G363" s="12" t="s">
        <v>20</v>
      </c>
      <c r="H363" s="12" t="s">
        <v>33</v>
      </c>
      <c r="I363" s="13">
        <v>45196.398055555554</v>
      </c>
      <c r="J363" s="12" t="s">
        <v>22</v>
      </c>
      <c r="K363" s="12"/>
      <c r="L363" s="12"/>
      <c r="M363" s="4" t="s">
        <v>23</v>
      </c>
      <c r="N363" s="8" t="str">
        <f t="shared" si="12"/>
        <v>057 - 48185686</v>
      </c>
      <c r="O363" s="9" t="s">
        <v>69</v>
      </c>
      <c r="P363" s="9" t="s">
        <v>25</v>
      </c>
      <c r="Q363" s="9" t="s">
        <v>260</v>
      </c>
      <c r="R363" s="9" t="s">
        <v>15</v>
      </c>
    </row>
    <row r="364" spans="2:18" ht="12.75" hidden="1" customHeight="1" thickBot="1">
      <c r="B364" s="6"/>
      <c r="C364" s="12" t="s">
        <v>250</v>
      </c>
      <c r="D364" s="12" t="s">
        <v>18</v>
      </c>
      <c r="E364" s="12" t="s">
        <v>19</v>
      </c>
      <c r="F364" s="12">
        <v>3</v>
      </c>
      <c r="G364" s="12" t="s">
        <v>20</v>
      </c>
      <c r="H364" s="12" t="s">
        <v>33</v>
      </c>
      <c r="I364" s="13">
        <v>45196.398043981484</v>
      </c>
      <c r="J364" s="12" t="s">
        <v>22</v>
      </c>
      <c r="K364" s="12"/>
      <c r="L364" s="12"/>
      <c r="M364" s="4" t="s">
        <v>23</v>
      </c>
      <c r="N364" s="8" t="str">
        <f t="shared" si="12"/>
        <v>057 - 47987903</v>
      </c>
      <c r="O364" s="9" t="s">
        <v>69</v>
      </c>
      <c r="P364" s="9" t="s">
        <v>25</v>
      </c>
      <c r="Q364" s="9"/>
      <c r="R364" s="9" t="s">
        <v>15</v>
      </c>
    </row>
    <row r="365" spans="2:18" ht="12.75" hidden="1" customHeight="1" thickBot="1">
      <c r="B365" s="5"/>
      <c r="C365" s="12" t="s">
        <v>270</v>
      </c>
      <c r="D365" s="12" t="s">
        <v>18</v>
      </c>
      <c r="E365" s="12" t="s">
        <v>19</v>
      </c>
      <c r="F365" s="12">
        <v>3</v>
      </c>
      <c r="G365" s="12" t="s">
        <v>20</v>
      </c>
      <c r="H365" s="12" t="s">
        <v>33</v>
      </c>
      <c r="I365" s="13">
        <v>45196.398032407407</v>
      </c>
      <c r="J365" s="12" t="s">
        <v>22</v>
      </c>
      <c r="K365" s="12"/>
      <c r="L365" s="12"/>
      <c r="M365" s="4" t="s">
        <v>23</v>
      </c>
      <c r="N365" s="8" t="str">
        <f t="shared" si="12"/>
        <v>057 - 48113892</v>
      </c>
      <c r="O365" s="9" t="s">
        <v>69</v>
      </c>
      <c r="P365" s="9" t="s">
        <v>25</v>
      </c>
      <c r="Q365" s="9" t="s">
        <v>260</v>
      </c>
      <c r="R365" s="9" t="s">
        <v>15</v>
      </c>
    </row>
    <row r="366" spans="2:18" ht="12.75" hidden="1" customHeight="1" thickBot="1">
      <c r="B366" s="6"/>
      <c r="C366" s="12" t="s">
        <v>251</v>
      </c>
      <c r="D366" s="12" t="s">
        <v>18</v>
      </c>
      <c r="E366" s="12" t="s">
        <v>19</v>
      </c>
      <c r="F366" s="12">
        <v>3</v>
      </c>
      <c r="G366" s="12" t="s">
        <v>20</v>
      </c>
      <c r="H366" s="12" t="s">
        <v>33</v>
      </c>
      <c r="I366" s="13">
        <v>45196.398020833331</v>
      </c>
      <c r="J366" s="12" t="s">
        <v>22</v>
      </c>
      <c r="K366" s="12"/>
      <c r="L366" s="12"/>
      <c r="M366" s="4" t="s">
        <v>23</v>
      </c>
      <c r="N366" s="8" t="str">
        <f t="shared" si="12"/>
        <v>057 - 47855150</v>
      </c>
      <c r="O366" s="9" t="s">
        <v>69</v>
      </c>
      <c r="P366" s="9" t="s">
        <v>25</v>
      </c>
      <c r="Q366" s="9"/>
      <c r="R366" s="9" t="s">
        <v>15</v>
      </c>
    </row>
    <row r="367" spans="2:18" ht="12.75" hidden="1" customHeight="1" thickBot="1">
      <c r="B367" s="5"/>
      <c r="C367" s="12" t="s">
        <v>271</v>
      </c>
      <c r="D367" s="12" t="s">
        <v>18</v>
      </c>
      <c r="E367" s="12" t="s">
        <v>19</v>
      </c>
      <c r="F367" s="12">
        <v>3</v>
      </c>
      <c r="G367" s="12" t="s">
        <v>20</v>
      </c>
      <c r="H367" s="12" t="s">
        <v>46</v>
      </c>
      <c r="I367" s="13">
        <v>45196.398020833331</v>
      </c>
      <c r="J367" s="12" t="s">
        <v>22</v>
      </c>
      <c r="K367" s="12"/>
      <c r="L367" s="12"/>
      <c r="M367" s="4" t="s">
        <v>23</v>
      </c>
      <c r="N367" s="8" t="str">
        <f t="shared" si="12"/>
        <v>057 - 47988345</v>
      </c>
      <c r="O367" s="9" t="s">
        <v>69</v>
      </c>
      <c r="P367" s="9" t="s">
        <v>25</v>
      </c>
      <c r="Q367" s="9"/>
      <c r="R367" s="9" t="s">
        <v>15</v>
      </c>
    </row>
    <row r="368" spans="2:18" ht="12.75" hidden="1" customHeight="1" thickBot="1">
      <c r="B368" s="6"/>
      <c r="C368" s="12" t="s">
        <v>272</v>
      </c>
      <c r="D368" s="12" t="s">
        <v>18</v>
      </c>
      <c r="E368" s="12" t="s">
        <v>19</v>
      </c>
      <c r="F368" s="12">
        <v>3</v>
      </c>
      <c r="G368" s="12" t="s">
        <v>20</v>
      </c>
      <c r="H368" s="12" t="s">
        <v>33</v>
      </c>
      <c r="I368" s="13">
        <v>45196.397997685184</v>
      </c>
      <c r="J368" s="12" t="s">
        <v>22</v>
      </c>
      <c r="K368" s="12"/>
      <c r="L368" s="12"/>
      <c r="M368" s="4" t="s">
        <v>23</v>
      </c>
      <c r="N368" s="8" t="str">
        <f t="shared" si="12"/>
        <v>057 - 12888190</v>
      </c>
      <c r="O368" s="9" t="s">
        <v>69</v>
      </c>
      <c r="P368" s="9" t="s">
        <v>25</v>
      </c>
      <c r="Q368" s="9"/>
      <c r="R368" s="9" t="s">
        <v>15</v>
      </c>
    </row>
    <row r="369" spans="2:18" ht="12.75" hidden="1" customHeight="1" thickBot="1">
      <c r="B369" s="5"/>
      <c r="C369" s="12" t="s">
        <v>273</v>
      </c>
      <c r="D369" s="12" t="s">
        <v>18</v>
      </c>
      <c r="E369" s="12" t="s">
        <v>19</v>
      </c>
      <c r="F369" s="12">
        <v>3</v>
      </c>
      <c r="G369" s="12" t="s">
        <v>20</v>
      </c>
      <c r="H369" s="12" t="s">
        <v>46</v>
      </c>
      <c r="I369" s="13">
        <v>45196.397986111115</v>
      </c>
      <c r="J369" s="12" t="s">
        <v>22</v>
      </c>
      <c r="K369" s="12"/>
      <c r="L369" s="12"/>
      <c r="M369" s="4" t="s">
        <v>23</v>
      </c>
      <c r="N369" s="8" t="str">
        <f t="shared" si="12"/>
        <v>057 - 47647165</v>
      </c>
      <c r="O369" s="9" t="s">
        <v>69</v>
      </c>
      <c r="P369" s="9" t="s">
        <v>242</v>
      </c>
      <c r="Q369" s="9"/>
      <c r="R369" s="9" t="s">
        <v>15</v>
      </c>
    </row>
    <row r="370" spans="2:18" ht="12.75" hidden="1" customHeight="1" thickBot="1">
      <c r="B370" s="6"/>
      <c r="C370" s="12" t="s">
        <v>274</v>
      </c>
      <c r="D370" s="12" t="s">
        <v>18</v>
      </c>
      <c r="E370" s="12" t="s">
        <v>19</v>
      </c>
      <c r="F370" s="12">
        <v>3</v>
      </c>
      <c r="G370" s="12" t="s">
        <v>20</v>
      </c>
      <c r="H370" s="12" t="s">
        <v>46</v>
      </c>
      <c r="I370" s="13">
        <v>45196.397986111115</v>
      </c>
      <c r="J370" s="12" t="s">
        <v>22</v>
      </c>
      <c r="K370" s="12"/>
      <c r="L370" s="12"/>
      <c r="M370" s="4" t="s">
        <v>23</v>
      </c>
      <c r="N370" s="8" t="str">
        <f t="shared" si="12"/>
        <v>057 - 48266595</v>
      </c>
      <c r="O370" s="9" t="s">
        <v>69</v>
      </c>
      <c r="P370" s="9" t="s">
        <v>242</v>
      </c>
      <c r="Q370" s="9"/>
      <c r="R370" s="9" t="s">
        <v>15</v>
      </c>
    </row>
    <row r="371" spans="2:18" ht="12.75" hidden="1" customHeight="1" thickBot="1">
      <c r="B371" s="5"/>
      <c r="C371" s="12" t="s">
        <v>253</v>
      </c>
      <c r="D371" s="12" t="s">
        <v>18</v>
      </c>
      <c r="E371" s="12" t="s">
        <v>19</v>
      </c>
      <c r="F371" s="12">
        <v>3</v>
      </c>
      <c r="G371" s="12" t="s">
        <v>20</v>
      </c>
      <c r="H371" s="12" t="s">
        <v>33</v>
      </c>
      <c r="I371" s="13">
        <v>45196.397974537038</v>
      </c>
      <c r="J371" s="12" t="s">
        <v>22</v>
      </c>
      <c r="K371" s="12"/>
      <c r="L371" s="12"/>
      <c r="M371" s="4" t="s">
        <v>23</v>
      </c>
      <c r="N371" s="8" t="str">
        <f t="shared" si="12"/>
        <v>057 - 04324386</v>
      </c>
      <c r="O371" s="9" t="s">
        <v>69</v>
      </c>
      <c r="P371" s="9" t="s">
        <v>25</v>
      </c>
      <c r="Q371" s="9"/>
      <c r="R371" s="9" t="s">
        <v>15</v>
      </c>
    </row>
    <row r="372" spans="2:18" ht="12.75" hidden="1" customHeight="1" thickBot="1">
      <c r="B372" s="6"/>
      <c r="C372" s="12" t="s">
        <v>275</v>
      </c>
      <c r="D372" s="12" t="s">
        <v>18</v>
      </c>
      <c r="E372" s="12" t="s">
        <v>19</v>
      </c>
      <c r="F372" s="12">
        <v>3</v>
      </c>
      <c r="G372" s="12" t="s">
        <v>20</v>
      </c>
      <c r="H372" s="12" t="s">
        <v>33</v>
      </c>
      <c r="I372" s="13">
        <v>45196.397974537038</v>
      </c>
      <c r="J372" s="12" t="s">
        <v>22</v>
      </c>
      <c r="K372" s="12"/>
      <c r="L372" s="12"/>
      <c r="M372" s="4" t="s">
        <v>23</v>
      </c>
      <c r="N372" s="8" t="str">
        <f t="shared" si="12"/>
        <v>057 - 47683204</v>
      </c>
      <c r="O372" s="9" t="s">
        <v>69</v>
      </c>
      <c r="P372" s="9" t="s">
        <v>242</v>
      </c>
      <c r="Q372" s="9"/>
      <c r="R372" s="9" t="s">
        <v>15</v>
      </c>
    </row>
    <row r="373" spans="2:18" ht="12.75" hidden="1" customHeight="1" thickBot="1">
      <c r="B373" s="5"/>
      <c r="C373" s="12" t="s">
        <v>276</v>
      </c>
      <c r="D373" s="12" t="s">
        <v>18</v>
      </c>
      <c r="E373" s="12" t="s">
        <v>19</v>
      </c>
      <c r="F373" s="12">
        <v>3</v>
      </c>
      <c r="G373" s="12" t="s">
        <v>20</v>
      </c>
      <c r="H373" s="12" t="s">
        <v>33</v>
      </c>
      <c r="I373" s="13">
        <v>45196.397962962961</v>
      </c>
      <c r="J373" s="12" t="s">
        <v>22</v>
      </c>
      <c r="K373" s="12"/>
      <c r="L373" s="12"/>
      <c r="M373" s="4" t="s">
        <v>23</v>
      </c>
      <c r="N373" s="8" t="str">
        <f t="shared" si="12"/>
        <v>057 - 48185572</v>
      </c>
      <c r="O373" s="9" t="s">
        <v>69</v>
      </c>
      <c r="P373" s="9" t="s">
        <v>25</v>
      </c>
      <c r="Q373" s="9"/>
      <c r="R373" s="9" t="s">
        <v>15</v>
      </c>
    </row>
    <row r="374" spans="2:18" ht="12.75" hidden="1" customHeight="1" thickBot="1">
      <c r="B374" s="6"/>
      <c r="C374" s="12" t="s">
        <v>277</v>
      </c>
      <c r="D374" s="12" t="s">
        <v>18</v>
      </c>
      <c r="E374" s="12" t="s">
        <v>19</v>
      </c>
      <c r="F374" s="12">
        <v>3</v>
      </c>
      <c r="G374" s="12" t="s">
        <v>20</v>
      </c>
      <c r="H374" s="12" t="s">
        <v>33</v>
      </c>
      <c r="I374" s="13">
        <v>45196.397951388892</v>
      </c>
      <c r="J374" s="12" t="s">
        <v>22</v>
      </c>
      <c r="K374" s="12"/>
      <c r="L374" s="12"/>
      <c r="M374" s="4" t="s">
        <v>23</v>
      </c>
      <c r="N374" s="8" t="str">
        <f t="shared" si="12"/>
        <v>057 - 46967664</v>
      </c>
      <c r="O374" s="9" t="s">
        <v>69</v>
      </c>
      <c r="P374" s="9" t="s">
        <v>25</v>
      </c>
      <c r="Q374" s="9"/>
      <c r="R374" s="9" t="s">
        <v>15</v>
      </c>
    </row>
    <row r="375" spans="2:18" ht="12.75" hidden="1" customHeight="1" thickBot="1">
      <c r="B375" s="5"/>
      <c r="C375" s="12" t="s">
        <v>278</v>
      </c>
      <c r="D375" s="12" t="s">
        <v>18</v>
      </c>
      <c r="E375" s="12" t="s">
        <v>19</v>
      </c>
      <c r="F375" s="12">
        <v>3</v>
      </c>
      <c r="G375" s="12" t="s">
        <v>20</v>
      </c>
      <c r="H375" s="12" t="s">
        <v>33</v>
      </c>
      <c r="I375" s="13">
        <v>45196.397951388892</v>
      </c>
      <c r="J375" s="12" t="s">
        <v>22</v>
      </c>
      <c r="K375" s="12"/>
      <c r="L375" s="12"/>
      <c r="M375" s="4" t="s">
        <v>23</v>
      </c>
      <c r="N375" s="8" t="str">
        <f t="shared" si="12"/>
        <v>057 - 04262436</v>
      </c>
      <c r="O375" s="9" t="s">
        <v>69</v>
      </c>
      <c r="P375" s="9" t="s">
        <v>25</v>
      </c>
      <c r="Q375" s="9"/>
      <c r="R375" s="9" t="s">
        <v>15</v>
      </c>
    </row>
    <row r="376" spans="2:18" ht="12.75" hidden="1" customHeight="1" thickBot="1">
      <c r="B376" s="6"/>
      <c r="C376" s="12" t="s">
        <v>279</v>
      </c>
      <c r="D376" s="12" t="s">
        <v>18</v>
      </c>
      <c r="E376" s="12" t="s">
        <v>19</v>
      </c>
      <c r="F376" s="12">
        <v>3</v>
      </c>
      <c r="G376" s="12" t="s">
        <v>20</v>
      </c>
      <c r="H376" s="12" t="s">
        <v>33</v>
      </c>
      <c r="I376" s="13">
        <v>45196.397939814815</v>
      </c>
      <c r="J376" s="12" t="s">
        <v>22</v>
      </c>
      <c r="K376" s="12"/>
      <c r="L376" s="12"/>
      <c r="M376" s="4" t="s">
        <v>23</v>
      </c>
      <c r="N376" s="8" t="str">
        <f t="shared" si="12"/>
        <v>057 - 04328774</v>
      </c>
      <c r="O376" s="9" t="s">
        <v>69</v>
      </c>
      <c r="P376" s="9" t="s">
        <v>25</v>
      </c>
      <c r="Q376" s="9" t="s">
        <v>260</v>
      </c>
      <c r="R376" s="9" t="s">
        <v>15</v>
      </c>
    </row>
    <row r="377" spans="2:18" ht="12.75" hidden="1" customHeight="1" thickBot="1">
      <c r="B377" s="5"/>
      <c r="C377" s="12" t="s">
        <v>280</v>
      </c>
      <c r="D377" s="12" t="s">
        <v>18</v>
      </c>
      <c r="E377" s="12" t="s">
        <v>19</v>
      </c>
      <c r="F377" s="12">
        <v>3</v>
      </c>
      <c r="G377" s="12" t="s">
        <v>20</v>
      </c>
      <c r="H377" s="12" t="s">
        <v>33</v>
      </c>
      <c r="I377" s="13">
        <v>45196.397928240738</v>
      </c>
      <c r="J377" s="12" t="s">
        <v>22</v>
      </c>
      <c r="K377" s="12"/>
      <c r="L377" s="12"/>
      <c r="M377" s="4" t="s">
        <v>23</v>
      </c>
      <c r="N377" s="8" t="str">
        <f t="shared" si="12"/>
        <v>057 - 48203982</v>
      </c>
      <c r="O377" s="9" t="s">
        <v>281</v>
      </c>
      <c r="P377" s="9" t="s">
        <v>282</v>
      </c>
      <c r="Q377" s="9"/>
      <c r="R377" s="9" t="s">
        <v>52</v>
      </c>
    </row>
    <row r="378" spans="2:18" ht="12.75" hidden="1" customHeight="1" thickBot="1">
      <c r="B378" s="6"/>
      <c r="C378" s="12" t="s">
        <v>283</v>
      </c>
      <c r="D378" s="12" t="s">
        <v>18</v>
      </c>
      <c r="E378" s="12" t="s">
        <v>19</v>
      </c>
      <c r="F378" s="12">
        <v>3</v>
      </c>
      <c r="G378" s="12" t="s">
        <v>20</v>
      </c>
      <c r="H378" s="12" t="s">
        <v>33</v>
      </c>
      <c r="I378" s="13">
        <v>45196.397916666669</v>
      </c>
      <c r="J378" s="12" t="s">
        <v>22</v>
      </c>
      <c r="K378" s="12"/>
      <c r="L378" s="12"/>
      <c r="M378" s="4" t="s">
        <v>23</v>
      </c>
      <c r="N378" s="8" t="str">
        <f t="shared" si="12"/>
        <v>057 - 47987446</v>
      </c>
      <c r="O378" s="9" t="s">
        <v>281</v>
      </c>
      <c r="P378" s="9" t="s">
        <v>282</v>
      </c>
      <c r="Q378" s="9"/>
      <c r="R378" s="9" t="s">
        <v>52</v>
      </c>
    </row>
    <row r="379" spans="2:18" ht="12.75" hidden="1" customHeight="1" thickBot="1">
      <c r="B379" s="5"/>
      <c r="C379" s="12" t="s">
        <v>284</v>
      </c>
      <c r="D379" s="12" t="s">
        <v>18</v>
      </c>
      <c r="E379" s="12" t="s">
        <v>19</v>
      </c>
      <c r="F379" s="12">
        <v>3</v>
      </c>
      <c r="G379" s="12" t="s">
        <v>20</v>
      </c>
      <c r="H379" s="12" t="s">
        <v>33</v>
      </c>
      <c r="I379" s="13">
        <v>45196.397916666669</v>
      </c>
      <c r="J379" s="12" t="s">
        <v>22</v>
      </c>
      <c r="K379" s="12"/>
      <c r="L379" s="12"/>
      <c r="M379" s="4" t="s">
        <v>23</v>
      </c>
      <c r="N379" s="8" t="str">
        <f t="shared" si="12"/>
        <v>057 - 48083895</v>
      </c>
      <c r="O379" s="9" t="s">
        <v>281</v>
      </c>
      <c r="P379" s="9" t="s">
        <v>173</v>
      </c>
      <c r="Q379" s="9"/>
      <c r="R379" s="9"/>
    </row>
    <row r="380" spans="2:18" ht="12.75" hidden="1" customHeight="1" thickBot="1">
      <c r="B380" s="6"/>
      <c r="C380" s="12" t="s">
        <v>285</v>
      </c>
      <c r="D380" s="12" t="s">
        <v>18</v>
      </c>
      <c r="E380" s="12" t="s">
        <v>19</v>
      </c>
      <c r="F380" s="12">
        <v>3</v>
      </c>
      <c r="G380" s="12" t="s">
        <v>20</v>
      </c>
      <c r="H380" s="12" t="s">
        <v>33</v>
      </c>
      <c r="I380" s="13">
        <v>45196.397905092592</v>
      </c>
      <c r="J380" s="12" t="s">
        <v>22</v>
      </c>
      <c r="K380" s="12"/>
      <c r="L380" s="12"/>
      <c r="M380" s="4" t="s">
        <v>23</v>
      </c>
      <c r="N380" s="8" t="str">
        <f t="shared" ref="N380:N396" si="13">LEFT(C380,14)</f>
        <v>057 - 48313915</v>
      </c>
      <c r="O380" s="9" t="s">
        <v>281</v>
      </c>
      <c r="P380" s="9" t="s">
        <v>282</v>
      </c>
      <c r="Q380" s="9"/>
      <c r="R380" s="9" t="s">
        <v>52</v>
      </c>
    </row>
    <row r="381" spans="2:18" ht="12.75" hidden="1" customHeight="1" thickBot="1">
      <c r="B381" s="5"/>
      <c r="C381" s="12" t="s">
        <v>286</v>
      </c>
      <c r="D381" s="12" t="s">
        <v>18</v>
      </c>
      <c r="E381" s="12" t="s">
        <v>19</v>
      </c>
      <c r="F381" s="12">
        <v>3</v>
      </c>
      <c r="G381" s="12" t="s">
        <v>20</v>
      </c>
      <c r="H381" s="12" t="s">
        <v>33</v>
      </c>
      <c r="I381" s="13">
        <v>45196.397893518515</v>
      </c>
      <c r="J381" s="12" t="s">
        <v>22</v>
      </c>
      <c r="K381" s="12"/>
      <c r="L381" s="12"/>
      <c r="M381" s="4" t="s">
        <v>23</v>
      </c>
      <c r="N381" s="8" t="str">
        <f t="shared" si="13"/>
        <v>057 - 04268014</v>
      </c>
      <c r="O381" s="9" t="s">
        <v>281</v>
      </c>
      <c r="P381" s="9" t="s">
        <v>282</v>
      </c>
      <c r="Q381" s="9"/>
      <c r="R381" s="9" t="s">
        <v>52</v>
      </c>
    </row>
    <row r="382" spans="2:18" ht="12.75" hidden="1" customHeight="1" thickBot="1">
      <c r="B382" s="7"/>
      <c r="C382" s="12" t="s">
        <v>287</v>
      </c>
      <c r="D382" s="12" t="s">
        <v>18</v>
      </c>
      <c r="E382" s="12" t="s">
        <v>19</v>
      </c>
      <c r="F382" s="12">
        <v>3</v>
      </c>
      <c r="G382" s="12" t="s">
        <v>20</v>
      </c>
      <c r="H382" s="12" t="s">
        <v>33</v>
      </c>
      <c r="I382" s="13">
        <v>45196.397881944446</v>
      </c>
      <c r="J382" s="12" t="s">
        <v>22</v>
      </c>
      <c r="K382" s="12"/>
      <c r="L382" s="12"/>
      <c r="M382" s="4" t="s">
        <v>23</v>
      </c>
      <c r="N382" s="8" t="str">
        <f t="shared" si="13"/>
        <v>057 - 48313926</v>
      </c>
      <c r="O382" s="9" t="s">
        <v>281</v>
      </c>
      <c r="P382" s="9" t="s">
        <v>282</v>
      </c>
      <c r="Q382" s="9"/>
      <c r="R382" s="9" t="s">
        <v>52</v>
      </c>
    </row>
    <row r="383" spans="2:18" ht="12.75" hidden="1" customHeight="1">
      <c r="C383" s="12" t="s">
        <v>288</v>
      </c>
      <c r="D383" s="12" t="s">
        <v>18</v>
      </c>
      <c r="E383" s="12" t="s">
        <v>19</v>
      </c>
      <c r="F383" s="12">
        <v>3</v>
      </c>
      <c r="G383" s="12" t="s">
        <v>20</v>
      </c>
      <c r="H383" s="12" t="s">
        <v>33</v>
      </c>
      <c r="I383" s="13">
        <v>45196.397881944446</v>
      </c>
      <c r="J383" s="12" t="s">
        <v>22</v>
      </c>
      <c r="K383" s="12"/>
      <c r="L383" s="12"/>
      <c r="M383" s="4" t="s">
        <v>23</v>
      </c>
      <c r="N383" s="8" t="str">
        <f t="shared" si="13"/>
        <v>057 - 48185734</v>
      </c>
      <c r="O383" s="9" t="s">
        <v>281</v>
      </c>
      <c r="P383" s="9" t="s">
        <v>282</v>
      </c>
      <c r="Q383" s="9"/>
      <c r="R383" s="9" t="s">
        <v>52</v>
      </c>
    </row>
    <row r="384" spans="2:18" ht="12.75" hidden="1" customHeight="1" thickBot="1">
      <c r="B384" s="5"/>
      <c r="C384" s="12" t="s">
        <v>289</v>
      </c>
      <c r="D384" s="12" t="s">
        <v>18</v>
      </c>
      <c r="E384" s="12" t="s">
        <v>19</v>
      </c>
      <c r="F384" s="12">
        <v>3</v>
      </c>
      <c r="G384" s="12" t="s">
        <v>20</v>
      </c>
      <c r="H384" s="12" t="s">
        <v>33</v>
      </c>
      <c r="I384" s="13">
        <v>45196.397870370369</v>
      </c>
      <c r="J384" s="12" t="s">
        <v>22</v>
      </c>
      <c r="K384" s="12"/>
      <c r="L384" s="12"/>
      <c r="M384" s="4" t="s">
        <v>23</v>
      </c>
      <c r="N384" s="8" t="str">
        <f t="shared" si="13"/>
        <v>057 - 47683215</v>
      </c>
      <c r="O384" s="9" t="s">
        <v>281</v>
      </c>
      <c r="P384" s="9" t="s">
        <v>282</v>
      </c>
      <c r="Q384" s="9"/>
      <c r="R384" s="9" t="s">
        <v>52</v>
      </c>
    </row>
    <row r="385" spans="2:18" ht="12.75" hidden="1" customHeight="1" thickBot="1">
      <c r="B385" s="6"/>
      <c r="C385" s="12" t="s">
        <v>290</v>
      </c>
      <c r="D385" s="12" t="s">
        <v>18</v>
      </c>
      <c r="E385" s="12" t="s">
        <v>19</v>
      </c>
      <c r="F385" s="12">
        <v>3</v>
      </c>
      <c r="G385" s="12" t="s">
        <v>20</v>
      </c>
      <c r="H385" s="12" t="s">
        <v>33</v>
      </c>
      <c r="I385" s="13">
        <v>45196.397870370369</v>
      </c>
      <c r="J385" s="12" t="s">
        <v>22</v>
      </c>
      <c r="K385" s="12"/>
      <c r="L385" s="12"/>
      <c r="M385" s="4" t="s">
        <v>23</v>
      </c>
      <c r="N385" s="8" t="str">
        <f t="shared" si="13"/>
        <v>057 - 47893672</v>
      </c>
      <c r="O385" s="9" t="s">
        <v>281</v>
      </c>
      <c r="P385" s="9" t="s">
        <v>282</v>
      </c>
      <c r="Q385" s="9"/>
      <c r="R385" s="9" t="s">
        <v>52</v>
      </c>
    </row>
    <row r="386" spans="2:18" ht="12.75" hidden="1" customHeight="1" thickBot="1">
      <c r="B386" s="5"/>
      <c r="C386" s="12" t="s">
        <v>291</v>
      </c>
      <c r="D386" s="12" t="s">
        <v>18</v>
      </c>
      <c r="E386" s="12" t="s">
        <v>19</v>
      </c>
      <c r="F386" s="12">
        <v>3</v>
      </c>
      <c r="G386" s="12" t="s">
        <v>20</v>
      </c>
      <c r="H386" s="12" t="s">
        <v>46</v>
      </c>
      <c r="I386" s="13">
        <v>45196.397858796299</v>
      </c>
      <c r="J386" s="12" t="s">
        <v>22</v>
      </c>
      <c r="K386" s="12"/>
      <c r="L386" s="12"/>
      <c r="M386" s="4" t="s">
        <v>23</v>
      </c>
      <c r="N386" s="8" t="str">
        <f t="shared" si="13"/>
        <v>057 - 04095453</v>
      </c>
      <c r="O386" s="9" t="s">
        <v>281</v>
      </c>
      <c r="P386" s="9" t="s">
        <v>173</v>
      </c>
      <c r="Q386" s="9"/>
      <c r="R386" s="9"/>
    </row>
    <row r="387" spans="2:18" ht="12.75" hidden="1" customHeight="1" thickBot="1">
      <c r="B387" s="6"/>
      <c r="C387" s="12" t="s">
        <v>292</v>
      </c>
      <c r="D387" s="12" t="s">
        <v>18</v>
      </c>
      <c r="E387" s="12" t="s">
        <v>19</v>
      </c>
      <c r="F387" s="12">
        <v>3</v>
      </c>
      <c r="G387" s="12" t="s">
        <v>20</v>
      </c>
      <c r="H387" s="12" t="s">
        <v>33</v>
      </c>
      <c r="I387" s="13">
        <v>45196.397847222222</v>
      </c>
      <c r="J387" s="12" t="s">
        <v>22</v>
      </c>
      <c r="K387" s="12"/>
      <c r="L387" s="12"/>
      <c r="M387" s="4" t="s">
        <v>23</v>
      </c>
      <c r="N387" s="8" t="str">
        <f t="shared" si="13"/>
        <v>057 - 47312554</v>
      </c>
      <c r="O387" s="9" t="s">
        <v>293</v>
      </c>
      <c r="P387" s="9" t="s">
        <v>282</v>
      </c>
      <c r="Q387" s="9"/>
      <c r="R387" s="9" t="s">
        <v>139</v>
      </c>
    </row>
    <row r="388" spans="2:18" ht="12.75" hidden="1" customHeight="1" thickBot="1">
      <c r="B388" s="5"/>
      <c r="C388" s="12" t="s">
        <v>294</v>
      </c>
      <c r="D388" s="12" t="s">
        <v>18</v>
      </c>
      <c r="E388" s="12" t="s">
        <v>19</v>
      </c>
      <c r="F388" s="12">
        <v>3</v>
      </c>
      <c r="G388" s="12" t="s">
        <v>20</v>
      </c>
      <c r="H388" s="12" t="s">
        <v>33</v>
      </c>
      <c r="I388" s="13">
        <v>45196.397835648146</v>
      </c>
      <c r="J388" s="12" t="s">
        <v>22</v>
      </c>
      <c r="K388" s="12"/>
      <c r="L388" s="12"/>
      <c r="M388" s="4" t="s">
        <v>23</v>
      </c>
      <c r="N388" s="8" t="str">
        <f t="shared" si="13"/>
        <v>057 - 47629411</v>
      </c>
      <c r="O388" s="9" t="s">
        <v>293</v>
      </c>
      <c r="P388" s="9" t="s">
        <v>282</v>
      </c>
      <c r="Q388" s="9"/>
      <c r="R388" s="9" t="s">
        <v>139</v>
      </c>
    </row>
    <row r="389" spans="2:18" ht="12.75" customHeight="1" thickBot="1">
      <c r="B389" s="6"/>
      <c r="C389" s="12" t="s">
        <v>274</v>
      </c>
      <c r="D389" s="12" t="s">
        <v>18</v>
      </c>
      <c r="E389" s="12" t="s">
        <v>19</v>
      </c>
      <c r="F389" s="12">
        <v>3</v>
      </c>
      <c r="G389" s="12" t="s">
        <v>20</v>
      </c>
      <c r="H389" s="12" t="s">
        <v>46</v>
      </c>
      <c r="I389" s="13">
        <v>45196.397824074076</v>
      </c>
      <c r="J389" s="12" t="s">
        <v>22</v>
      </c>
      <c r="K389" s="12"/>
      <c r="L389" s="12"/>
      <c r="M389" s="4" t="s">
        <v>23</v>
      </c>
      <c r="N389" s="8" t="str">
        <f t="shared" si="13"/>
        <v>057 - 48266595</v>
      </c>
      <c r="O389" s="9" t="s">
        <v>29</v>
      </c>
      <c r="P389" s="9" t="s">
        <v>59</v>
      </c>
      <c r="Q389" s="9"/>
      <c r="R389" s="9" t="s">
        <v>35</v>
      </c>
    </row>
    <row r="390" spans="2:18" ht="12.75" customHeight="1" thickBot="1">
      <c r="B390" s="5"/>
      <c r="C390" s="12" t="s">
        <v>272</v>
      </c>
      <c r="D390" s="12" t="s">
        <v>18</v>
      </c>
      <c r="E390" s="12" t="s">
        <v>19</v>
      </c>
      <c r="F390" s="12">
        <v>3</v>
      </c>
      <c r="G390" s="12" t="s">
        <v>20</v>
      </c>
      <c r="H390" s="12" t="s">
        <v>93</v>
      </c>
      <c r="I390" s="13">
        <v>45196.397812499999</v>
      </c>
      <c r="J390" s="12" t="s">
        <v>22</v>
      </c>
      <c r="K390" s="12"/>
      <c r="L390" s="12"/>
      <c r="M390" s="4" t="s">
        <v>23</v>
      </c>
      <c r="N390" s="8" t="str">
        <f t="shared" si="13"/>
        <v>057 - 12888190</v>
      </c>
      <c r="O390" s="9" t="s">
        <v>29</v>
      </c>
      <c r="P390" s="9" t="s">
        <v>25</v>
      </c>
      <c r="Q390" s="9"/>
      <c r="R390" s="9" t="s">
        <v>35</v>
      </c>
    </row>
    <row r="391" spans="2:18" ht="12.75" customHeight="1">
      <c r="B391" s="6"/>
      <c r="C391" s="12" t="s">
        <v>295</v>
      </c>
      <c r="D391" s="12" t="s">
        <v>18</v>
      </c>
      <c r="E391" s="12" t="s">
        <v>19</v>
      </c>
      <c r="F391" s="12">
        <v>3</v>
      </c>
      <c r="G391" s="12" t="s">
        <v>20</v>
      </c>
      <c r="H391" s="12" t="s">
        <v>33</v>
      </c>
      <c r="I391" s="13">
        <v>45196.397789351853</v>
      </c>
      <c r="J391" s="12" t="s">
        <v>22</v>
      </c>
      <c r="K391" s="12"/>
      <c r="L391" s="12"/>
      <c r="M391" s="4" t="s">
        <v>23</v>
      </c>
      <c r="N391" s="8" t="str">
        <f t="shared" si="13"/>
        <v>057 - 48470660</v>
      </c>
      <c r="O391" s="9" t="s">
        <v>29</v>
      </c>
      <c r="P391" s="9" t="s">
        <v>59</v>
      </c>
      <c r="Q391" s="9"/>
      <c r="R391" s="9" t="s">
        <v>59</v>
      </c>
    </row>
    <row r="392" spans="2:18" ht="12.75" customHeight="1" thickBot="1">
      <c r="B392" s="5"/>
      <c r="C392" s="12" t="s">
        <v>296</v>
      </c>
      <c r="D392" s="12" t="s">
        <v>18</v>
      </c>
      <c r="E392" s="12" t="s">
        <v>19</v>
      </c>
      <c r="F392" s="12">
        <v>3</v>
      </c>
      <c r="G392" s="12" t="s">
        <v>20</v>
      </c>
      <c r="H392" s="12" t="s">
        <v>33</v>
      </c>
      <c r="I392" s="13">
        <v>45196.397777777776</v>
      </c>
      <c r="J392" s="12" t="s">
        <v>22</v>
      </c>
      <c r="K392" s="12"/>
      <c r="L392" s="12"/>
      <c r="M392" s="4" t="s">
        <v>23</v>
      </c>
      <c r="N392" s="8" t="str">
        <f t="shared" si="13"/>
        <v>057 - 47866276</v>
      </c>
      <c r="O392" s="9" t="s">
        <v>24</v>
      </c>
      <c r="P392" s="9" t="s">
        <v>25</v>
      </c>
      <c r="Q392" s="9"/>
      <c r="R392" s="9" t="s">
        <v>52</v>
      </c>
    </row>
    <row r="393" spans="2:18" ht="12.75" customHeight="1" thickBot="1">
      <c r="B393" s="6"/>
      <c r="C393" s="12" t="s">
        <v>297</v>
      </c>
      <c r="D393" s="12" t="s">
        <v>18</v>
      </c>
      <c r="E393" s="12" t="s">
        <v>19</v>
      </c>
      <c r="F393" s="12">
        <v>3</v>
      </c>
      <c r="G393" s="12" t="s">
        <v>20</v>
      </c>
      <c r="H393" s="12" t="s">
        <v>33</v>
      </c>
      <c r="I393" s="13">
        <v>45196.39775462963</v>
      </c>
      <c r="J393" s="12" t="s">
        <v>22</v>
      </c>
      <c r="K393" s="12"/>
      <c r="L393" s="12"/>
      <c r="M393" s="4" t="s">
        <v>23</v>
      </c>
      <c r="N393" s="8" t="str">
        <f t="shared" si="13"/>
        <v>057 - 47036614</v>
      </c>
      <c r="O393" s="9" t="s">
        <v>24</v>
      </c>
      <c r="P393" s="9" t="s">
        <v>25</v>
      </c>
      <c r="Q393" s="9"/>
      <c r="R393" s="9" t="s">
        <v>52</v>
      </c>
    </row>
    <row r="394" spans="2:18" ht="12.75" customHeight="1" thickBot="1">
      <c r="B394" s="5"/>
      <c r="C394" s="12" t="s">
        <v>298</v>
      </c>
      <c r="D394" s="12" t="s">
        <v>18</v>
      </c>
      <c r="E394" s="12" t="s">
        <v>19</v>
      </c>
      <c r="F394" s="12">
        <v>3</v>
      </c>
      <c r="G394" s="12" t="s">
        <v>20</v>
      </c>
      <c r="H394" s="12" t="s">
        <v>33</v>
      </c>
      <c r="I394" s="13">
        <v>45196.397743055553</v>
      </c>
      <c r="J394" s="12" t="s">
        <v>22</v>
      </c>
      <c r="K394" s="12"/>
      <c r="L394" s="12"/>
      <c r="M394" s="4" t="s">
        <v>23</v>
      </c>
      <c r="N394" s="8" t="str">
        <f t="shared" si="13"/>
        <v>057 - 48259816</v>
      </c>
      <c r="O394" s="9" t="s">
        <v>24</v>
      </c>
      <c r="P394" s="9" t="s">
        <v>25</v>
      </c>
      <c r="Q394" s="9"/>
      <c r="R394" s="9" t="s">
        <v>52</v>
      </c>
    </row>
    <row r="395" spans="2:18" ht="12.75" customHeight="1" thickBot="1">
      <c r="B395" s="6"/>
      <c r="C395" s="12" t="s">
        <v>299</v>
      </c>
      <c r="D395" s="12" t="s">
        <v>18</v>
      </c>
      <c r="E395" s="12" t="s">
        <v>19</v>
      </c>
      <c r="F395" s="12">
        <v>3</v>
      </c>
      <c r="G395" s="12" t="s">
        <v>20</v>
      </c>
      <c r="H395" s="12" t="s">
        <v>33</v>
      </c>
      <c r="I395" s="13">
        <v>45196.397731481484</v>
      </c>
      <c r="J395" s="12" t="s">
        <v>22</v>
      </c>
      <c r="K395" s="12"/>
      <c r="L395" s="12"/>
      <c r="M395" s="4" t="s">
        <v>23</v>
      </c>
      <c r="N395" s="8" t="str">
        <f t="shared" si="13"/>
        <v>057 - 48185421</v>
      </c>
      <c r="O395" s="9" t="s">
        <v>24</v>
      </c>
      <c r="P395" s="9" t="s">
        <v>25</v>
      </c>
      <c r="Q395" s="9"/>
      <c r="R395" s="9" t="s">
        <v>52</v>
      </c>
    </row>
    <row r="396" spans="2:18" ht="12.75" customHeight="1" thickBot="1">
      <c r="B396" s="5"/>
      <c r="C396" s="12" t="s">
        <v>300</v>
      </c>
      <c r="D396" s="12" t="s">
        <v>18</v>
      </c>
      <c r="E396" s="12" t="s">
        <v>19</v>
      </c>
      <c r="F396" s="12">
        <v>3</v>
      </c>
      <c r="G396" s="12" t="s">
        <v>20</v>
      </c>
      <c r="H396" s="12" t="s">
        <v>33</v>
      </c>
      <c r="I396" s="13">
        <v>45196.397685185184</v>
      </c>
      <c r="J396" s="12" t="s">
        <v>22</v>
      </c>
      <c r="K396" s="12"/>
      <c r="L396" s="12"/>
      <c r="M396" s="4" t="s">
        <v>23</v>
      </c>
      <c r="N396" s="8" t="str">
        <f t="shared" si="13"/>
        <v>057 - 47987855</v>
      </c>
      <c r="O396" s="9" t="s">
        <v>125</v>
      </c>
      <c r="P396" s="9"/>
      <c r="Q396" s="9"/>
      <c r="R396" s="9"/>
    </row>
    <row r="397" spans="2:18" ht="12.75" customHeight="1" thickBot="1">
      <c r="B397" s="6"/>
      <c r="C397" s="12" t="s">
        <v>301</v>
      </c>
      <c r="D397" s="12" t="s">
        <v>18</v>
      </c>
      <c r="E397" s="12" t="s">
        <v>19</v>
      </c>
      <c r="F397" s="12">
        <v>3</v>
      </c>
      <c r="G397" s="12" t="s">
        <v>20</v>
      </c>
      <c r="H397" s="12" t="s">
        <v>33</v>
      </c>
      <c r="I397" s="13">
        <v>45196.397673611114</v>
      </c>
      <c r="J397" s="12" t="s">
        <v>22</v>
      </c>
      <c r="K397" s="12"/>
      <c r="L397" s="12"/>
      <c r="M397" s="4" t="s">
        <v>23</v>
      </c>
      <c r="N397" s="8" t="str">
        <f t="shared" ref="N397:N438" si="14">LEFT(C397,14)</f>
        <v>057 - 08665285</v>
      </c>
      <c r="O397" s="9" t="s">
        <v>24</v>
      </c>
      <c r="P397" s="9" t="s">
        <v>25</v>
      </c>
      <c r="Q397" s="9"/>
      <c r="R397" s="9" t="s">
        <v>52</v>
      </c>
    </row>
    <row r="398" spans="2:18" ht="12.75" hidden="1" customHeight="1" thickBot="1">
      <c r="B398" s="5"/>
      <c r="C398" s="12" t="s">
        <v>302</v>
      </c>
      <c r="D398" s="12" t="s">
        <v>18</v>
      </c>
      <c r="E398" s="12" t="s">
        <v>19</v>
      </c>
      <c r="F398" s="12">
        <v>3</v>
      </c>
      <c r="G398" s="12" t="s">
        <v>20</v>
      </c>
      <c r="H398" s="12" t="s">
        <v>33</v>
      </c>
      <c r="I398" s="13">
        <v>45196.397662037038</v>
      </c>
      <c r="J398" s="12" t="s">
        <v>22</v>
      </c>
      <c r="K398" s="12"/>
      <c r="L398" s="12"/>
      <c r="M398" s="4" t="s">
        <v>23</v>
      </c>
      <c r="N398" s="8" t="str">
        <f t="shared" si="14"/>
        <v>057 - 04324891</v>
      </c>
      <c r="O398" s="9" t="s">
        <v>303</v>
      </c>
      <c r="P398" s="9" t="s">
        <v>25</v>
      </c>
      <c r="Q398" s="9"/>
      <c r="R398" s="9" t="s">
        <v>52</v>
      </c>
    </row>
    <row r="399" spans="2:18" ht="12.75" hidden="1" customHeight="1" thickBot="1">
      <c r="B399" s="6"/>
      <c r="C399" s="12" t="s">
        <v>289</v>
      </c>
      <c r="D399" s="12" t="s">
        <v>18</v>
      </c>
      <c r="E399" s="12" t="s">
        <v>19</v>
      </c>
      <c r="F399" s="12">
        <v>3</v>
      </c>
      <c r="G399" s="12" t="s">
        <v>20</v>
      </c>
      <c r="H399" s="12" t="s">
        <v>33</v>
      </c>
      <c r="I399" s="13">
        <v>45196.397650462961</v>
      </c>
      <c r="J399" s="12" t="s">
        <v>22</v>
      </c>
      <c r="K399" s="12"/>
      <c r="L399" s="12"/>
      <c r="M399" s="4" t="s">
        <v>23</v>
      </c>
      <c r="N399" s="8" t="str">
        <f t="shared" si="14"/>
        <v>057 - 47683215</v>
      </c>
      <c r="O399" s="9" t="s">
        <v>303</v>
      </c>
      <c r="P399" s="9" t="s">
        <v>25</v>
      </c>
      <c r="Q399" s="9"/>
      <c r="R399" s="9" t="s">
        <v>52</v>
      </c>
    </row>
    <row r="400" spans="2:18" ht="12.75" hidden="1" customHeight="1" thickBot="1">
      <c r="B400" s="5"/>
      <c r="C400" s="12" t="s">
        <v>202</v>
      </c>
      <c r="D400" s="12" t="s">
        <v>18</v>
      </c>
      <c r="E400" s="12" t="s">
        <v>19</v>
      </c>
      <c r="F400" s="12">
        <v>3</v>
      </c>
      <c r="G400" s="12" t="s">
        <v>20</v>
      </c>
      <c r="H400" s="12" t="s">
        <v>33</v>
      </c>
      <c r="I400" s="13">
        <v>45196.397638888891</v>
      </c>
      <c r="J400" s="12" t="s">
        <v>22</v>
      </c>
      <c r="K400" s="12"/>
      <c r="L400" s="12"/>
      <c r="M400" s="4" t="s">
        <v>23</v>
      </c>
      <c r="N400" s="8" t="str">
        <f t="shared" si="14"/>
        <v>057 - 04297510</v>
      </c>
      <c r="O400" s="9" t="s">
        <v>303</v>
      </c>
      <c r="P400" s="9" t="s">
        <v>25</v>
      </c>
      <c r="Q400" s="9"/>
      <c r="R400" s="9" t="s">
        <v>52</v>
      </c>
    </row>
    <row r="401" spans="2:18" ht="12.75" hidden="1" customHeight="1" thickBot="1">
      <c r="B401" s="6"/>
      <c r="C401" s="12" t="s">
        <v>304</v>
      </c>
      <c r="D401" s="12" t="s">
        <v>18</v>
      </c>
      <c r="E401" s="12" t="s">
        <v>19</v>
      </c>
      <c r="F401" s="12">
        <v>3</v>
      </c>
      <c r="G401" s="12" t="s">
        <v>20</v>
      </c>
      <c r="H401" s="12" t="s">
        <v>33</v>
      </c>
      <c r="I401" s="13">
        <v>45196.397627314815</v>
      </c>
      <c r="J401" s="12" t="s">
        <v>22</v>
      </c>
      <c r="K401" s="12"/>
      <c r="L401" s="12"/>
      <c r="M401" s="4" t="s">
        <v>23</v>
      </c>
      <c r="N401" s="8" t="str">
        <f t="shared" si="14"/>
        <v>057 - 48037253</v>
      </c>
      <c r="O401" s="9" t="s">
        <v>303</v>
      </c>
      <c r="P401" s="9" t="s">
        <v>25</v>
      </c>
      <c r="Q401" s="9"/>
      <c r="R401" s="9" t="s">
        <v>52</v>
      </c>
    </row>
    <row r="402" spans="2:18" ht="12.75" hidden="1" customHeight="1" thickBot="1">
      <c r="B402" s="5"/>
      <c r="C402" s="12" t="s">
        <v>300</v>
      </c>
      <c r="D402" s="12" t="s">
        <v>18</v>
      </c>
      <c r="E402" s="12" t="s">
        <v>19</v>
      </c>
      <c r="F402" s="12">
        <v>3</v>
      </c>
      <c r="G402" s="12" t="s">
        <v>20</v>
      </c>
      <c r="H402" s="12" t="s">
        <v>33</v>
      </c>
      <c r="I402" s="13">
        <v>45196.397615740738</v>
      </c>
      <c r="J402" s="12" t="s">
        <v>22</v>
      </c>
      <c r="K402" s="12"/>
      <c r="L402" s="12"/>
      <c r="M402" s="4" t="s">
        <v>23</v>
      </c>
      <c r="N402" s="8" t="str">
        <f t="shared" si="14"/>
        <v>057 - 47987855</v>
      </c>
      <c r="O402" s="9" t="s">
        <v>303</v>
      </c>
      <c r="P402" s="9" t="s">
        <v>25</v>
      </c>
      <c r="Q402" s="9"/>
      <c r="R402" s="9" t="s">
        <v>52</v>
      </c>
    </row>
    <row r="403" spans="2:18" ht="12.75" hidden="1" customHeight="1" thickBot="1">
      <c r="B403" s="6"/>
      <c r="C403" s="12" t="s">
        <v>305</v>
      </c>
      <c r="D403" s="12" t="s">
        <v>18</v>
      </c>
      <c r="E403" s="12" t="s">
        <v>19</v>
      </c>
      <c r="F403" s="12">
        <v>3</v>
      </c>
      <c r="G403" s="12" t="s">
        <v>20</v>
      </c>
      <c r="H403" s="12" t="s">
        <v>33</v>
      </c>
      <c r="I403" s="13">
        <v>45196.397604166668</v>
      </c>
      <c r="J403" s="12" t="s">
        <v>22</v>
      </c>
      <c r="K403" s="12"/>
      <c r="L403" s="12"/>
      <c r="M403" s="4" t="s">
        <v>23</v>
      </c>
      <c r="N403" s="8" t="str">
        <f t="shared" si="14"/>
        <v>057 - 04267130</v>
      </c>
      <c r="O403" s="9" t="s">
        <v>303</v>
      </c>
      <c r="P403" s="9" t="s">
        <v>25</v>
      </c>
      <c r="Q403" s="9"/>
      <c r="R403" s="9" t="s">
        <v>52</v>
      </c>
    </row>
    <row r="404" spans="2:18" ht="12.75" hidden="1" customHeight="1" thickBot="1">
      <c r="B404" s="5"/>
      <c r="C404" s="12" t="s">
        <v>306</v>
      </c>
      <c r="D404" s="12" t="s">
        <v>18</v>
      </c>
      <c r="E404" s="12" t="s">
        <v>19</v>
      </c>
      <c r="F404" s="12">
        <v>3</v>
      </c>
      <c r="G404" s="12" t="s">
        <v>20</v>
      </c>
      <c r="H404" s="12" t="s">
        <v>33</v>
      </c>
      <c r="I404" s="13">
        <v>45196.397592592592</v>
      </c>
      <c r="J404" s="12" t="s">
        <v>22</v>
      </c>
      <c r="K404" s="12"/>
      <c r="L404" s="12"/>
      <c r="M404" s="4" t="s">
        <v>23</v>
      </c>
      <c r="N404" s="8" t="str">
        <f t="shared" si="14"/>
        <v>057 - 48328921</v>
      </c>
      <c r="O404" s="9" t="s">
        <v>303</v>
      </c>
      <c r="P404" s="9" t="s">
        <v>25</v>
      </c>
      <c r="Q404" s="9"/>
      <c r="R404" s="9" t="s">
        <v>52</v>
      </c>
    </row>
    <row r="405" spans="2:18" ht="12.75" hidden="1" customHeight="1" thickBot="1">
      <c r="B405" s="6"/>
      <c r="C405" s="12" t="s">
        <v>204</v>
      </c>
      <c r="D405" s="12" t="s">
        <v>18</v>
      </c>
      <c r="E405" s="12" t="s">
        <v>19</v>
      </c>
      <c r="F405" s="12">
        <v>3</v>
      </c>
      <c r="G405" s="12" t="s">
        <v>20</v>
      </c>
      <c r="H405" s="12" t="s">
        <v>33</v>
      </c>
      <c r="I405" s="13">
        <v>45196.397581018522</v>
      </c>
      <c r="J405" s="12" t="s">
        <v>22</v>
      </c>
      <c r="K405" s="12"/>
      <c r="L405" s="12"/>
      <c r="M405" s="4" t="s">
        <v>23</v>
      </c>
      <c r="N405" s="8" t="str">
        <f t="shared" si="14"/>
        <v>057 - 47655635</v>
      </c>
      <c r="O405" s="9" t="s">
        <v>303</v>
      </c>
      <c r="P405" s="9" t="s">
        <v>25</v>
      </c>
      <c r="Q405" s="9"/>
      <c r="R405" s="9" t="s">
        <v>52</v>
      </c>
    </row>
    <row r="406" spans="2:18" ht="12.75" hidden="1" customHeight="1" thickBot="1">
      <c r="B406" s="5"/>
      <c r="C406" s="12" t="s">
        <v>204</v>
      </c>
      <c r="D406" s="12" t="s">
        <v>18</v>
      </c>
      <c r="E406" s="12" t="s">
        <v>19</v>
      </c>
      <c r="F406" s="12">
        <v>3</v>
      </c>
      <c r="G406" s="12" t="s">
        <v>20</v>
      </c>
      <c r="H406" s="12" t="s">
        <v>93</v>
      </c>
      <c r="I406" s="13">
        <v>45196.397569444445</v>
      </c>
      <c r="J406" s="12" t="s">
        <v>22</v>
      </c>
      <c r="K406" s="12"/>
      <c r="L406" s="12"/>
      <c r="M406" s="4" t="s">
        <v>23</v>
      </c>
      <c r="N406" s="8" t="str">
        <f>LEFT(C406,14)</f>
        <v>057 - 47655635</v>
      </c>
      <c r="O406" s="9" t="s">
        <v>303</v>
      </c>
      <c r="P406" s="9" t="s">
        <v>25</v>
      </c>
      <c r="Q406" s="9"/>
      <c r="R406" s="9" t="s">
        <v>52</v>
      </c>
    </row>
    <row r="407" spans="2:18" ht="12.75" hidden="1" customHeight="1" thickBot="1">
      <c r="B407" s="7"/>
      <c r="C407" s="12" t="s">
        <v>302</v>
      </c>
      <c r="D407" s="12" t="s">
        <v>18</v>
      </c>
      <c r="E407" s="12" t="s">
        <v>19</v>
      </c>
      <c r="F407" s="12">
        <v>3</v>
      </c>
      <c r="G407" s="12" t="s">
        <v>20</v>
      </c>
      <c r="H407" s="12" t="s">
        <v>33</v>
      </c>
      <c r="I407" s="13">
        <v>45196.397557870368</v>
      </c>
      <c r="J407" s="12" t="s">
        <v>22</v>
      </c>
      <c r="K407" s="12"/>
      <c r="L407" s="12"/>
      <c r="M407" s="4" t="s">
        <v>23</v>
      </c>
      <c r="N407" s="8" t="str">
        <f t="shared" si="14"/>
        <v>057 - 04324891</v>
      </c>
      <c r="O407" s="9" t="s">
        <v>303</v>
      </c>
      <c r="P407" s="9" t="s">
        <v>25</v>
      </c>
      <c r="Q407" s="9"/>
      <c r="R407" s="9" t="s">
        <v>52</v>
      </c>
    </row>
    <row r="408" spans="2:18" ht="12.75" hidden="1" customHeight="1">
      <c r="C408" s="12" t="s">
        <v>302</v>
      </c>
      <c r="D408" s="12" t="s">
        <v>18</v>
      </c>
      <c r="E408" s="12" t="s">
        <v>19</v>
      </c>
      <c r="F408" s="12">
        <v>3</v>
      </c>
      <c r="G408" s="12" t="s">
        <v>20</v>
      </c>
      <c r="H408" s="12" t="s">
        <v>33</v>
      </c>
      <c r="I408" s="13">
        <v>45196.397546296299</v>
      </c>
      <c r="J408" s="12" t="s">
        <v>22</v>
      </c>
      <c r="K408" s="12"/>
      <c r="L408" s="12"/>
      <c r="M408" s="4" t="s">
        <v>23</v>
      </c>
      <c r="N408" s="8" t="str">
        <f t="shared" si="14"/>
        <v>057 - 04324891</v>
      </c>
      <c r="O408" s="9" t="s">
        <v>303</v>
      </c>
      <c r="P408" s="9" t="s">
        <v>25</v>
      </c>
      <c r="Q408" s="9"/>
      <c r="R408" s="9" t="s">
        <v>52</v>
      </c>
    </row>
    <row r="409" spans="2:18" ht="12.75" hidden="1" customHeight="1" thickBot="1">
      <c r="B409" s="5"/>
      <c r="C409" s="12" t="s">
        <v>307</v>
      </c>
      <c r="D409" s="12" t="s">
        <v>18</v>
      </c>
      <c r="E409" s="12" t="s">
        <v>19</v>
      </c>
      <c r="F409" s="12">
        <v>3</v>
      </c>
      <c r="G409" s="12" t="s">
        <v>20</v>
      </c>
      <c r="H409" s="12" t="s">
        <v>46</v>
      </c>
      <c r="I409" s="13">
        <v>45196.397534722222</v>
      </c>
      <c r="J409" s="12" t="s">
        <v>22</v>
      </c>
      <c r="K409" s="12"/>
      <c r="L409" s="12"/>
      <c r="M409" s="4" t="s">
        <v>23</v>
      </c>
      <c r="N409" s="8" t="str">
        <f t="shared" si="14"/>
        <v>057 - 47654880</v>
      </c>
      <c r="O409" s="9" t="s">
        <v>303</v>
      </c>
      <c r="P409" s="9" t="s">
        <v>25</v>
      </c>
      <c r="Q409" s="9"/>
      <c r="R409" s="9" t="s">
        <v>52</v>
      </c>
    </row>
    <row r="410" spans="2:18" ht="12.75" hidden="1" customHeight="1" thickBot="1">
      <c r="B410" s="6"/>
      <c r="C410" s="12" t="s">
        <v>289</v>
      </c>
      <c r="D410" s="12" t="s">
        <v>18</v>
      </c>
      <c r="E410" s="12" t="s">
        <v>19</v>
      </c>
      <c r="F410" s="12">
        <v>3</v>
      </c>
      <c r="G410" s="12" t="s">
        <v>20</v>
      </c>
      <c r="H410" s="12" t="s">
        <v>33</v>
      </c>
      <c r="I410" s="13">
        <v>45196.397534722222</v>
      </c>
      <c r="J410" s="12" t="s">
        <v>22</v>
      </c>
      <c r="K410" s="12"/>
      <c r="L410" s="12"/>
      <c r="M410" s="4" t="s">
        <v>23</v>
      </c>
      <c r="N410" s="8" t="str">
        <f t="shared" si="14"/>
        <v>057 - 47683215</v>
      </c>
      <c r="O410" s="9" t="s">
        <v>303</v>
      </c>
      <c r="P410" s="9" t="s">
        <v>25</v>
      </c>
      <c r="Q410" s="9"/>
      <c r="R410" s="9" t="s">
        <v>52</v>
      </c>
    </row>
    <row r="411" spans="2:18" ht="12.75" hidden="1" customHeight="1" thickBot="1">
      <c r="B411" s="5"/>
      <c r="C411" s="12" t="s">
        <v>289</v>
      </c>
      <c r="D411" s="12" t="s">
        <v>18</v>
      </c>
      <c r="E411" s="12" t="s">
        <v>19</v>
      </c>
      <c r="F411" s="12">
        <v>3</v>
      </c>
      <c r="G411" s="12" t="s">
        <v>20</v>
      </c>
      <c r="H411" s="12" t="s">
        <v>33</v>
      </c>
      <c r="I411" s="13">
        <v>45196.397523148145</v>
      </c>
      <c r="J411" s="12" t="s">
        <v>22</v>
      </c>
      <c r="K411" s="12"/>
      <c r="L411" s="12"/>
      <c r="M411" s="4" t="s">
        <v>23</v>
      </c>
      <c r="N411" s="8" t="str">
        <f t="shared" si="14"/>
        <v>057 - 47683215</v>
      </c>
      <c r="O411" s="9" t="s">
        <v>303</v>
      </c>
      <c r="P411" s="9" t="s">
        <v>25</v>
      </c>
      <c r="Q411" s="9"/>
      <c r="R411" s="9" t="s">
        <v>52</v>
      </c>
    </row>
    <row r="412" spans="2:18" ht="12.75" hidden="1" customHeight="1" thickBot="1">
      <c r="B412" s="6"/>
      <c r="C412" s="12" t="s">
        <v>308</v>
      </c>
      <c r="D412" s="12" t="s">
        <v>18</v>
      </c>
      <c r="E412" s="12" t="s">
        <v>19</v>
      </c>
      <c r="F412" s="12">
        <v>3</v>
      </c>
      <c r="G412" s="12" t="s">
        <v>20</v>
      </c>
      <c r="H412" s="12" t="s">
        <v>33</v>
      </c>
      <c r="I412" s="13">
        <v>45196.397523148145</v>
      </c>
      <c r="J412" s="12" t="s">
        <v>22</v>
      </c>
      <c r="K412" s="12"/>
      <c r="L412" s="12"/>
      <c r="M412" s="4" t="s">
        <v>23</v>
      </c>
      <c r="N412" s="8" t="str">
        <f t="shared" si="14"/>
        <v>057 - 04147706</v>
      </c>
      <c r="O412" s="9" t="s">
        <v>303</v>
      </c>
      <c r="P412" s="9" t="s">
        <v>25</v>
      </c>
      <c r="Q412" s="9"/>
      <c r="R412" s="9" t="s">
        <v>52</v>
      </c>
    </row>
    <row r="413" spans="2:18" ht="12.75" hidden="1" customHeight="1" thickBot="1">
      <c r="B413" s="5"/>
      <c r="C413" s="12" t="s">
        <v>301</v>
      </c>
      <c r="D413" s="12" t="s">
        <v>18</v>
      </c>
      <c r="E413" s="12" t="s">
        <v>19</v>
      </c>
      <c r="F413" s="12">
        <v>3</v>
      </c>
      <c r="G413" s="12" t="s">
        <v>20</v>
      </c>
      <c r="H413" s="12" t="s">
        <v>33</v>
      </c>
      <c r="I413" s="13">
        <v>45196.397511574076</v>
      </c>
      <c r="J413" s="12" t="s">
        <v>22</v>
      </c>
      <c r="K413" s="12"/>
      <c r="L413" s="12"/>
      <c r="M413" s="4" t="s">
        <v>23</v>
      </c>
      <c r="N413" s="8" t="str">
        <f t="shared" si="14"/>
        <v>057 - 08665285</v>
      </c>
      <c r="O413" s="9" t="s">
        <v>303</v>
      </c>
      <c r="P413" s="9" t="s">
        <v>242</v>
      </c>
      <c r="Q413" s="9"/>
      <c r="R413" s="9"/>
    </row>
    <row r="414" spans="2:18" ht="12.75" hidden="1" customHeight="1" thickBot="1">
      <c r="B414" s="6"/>
      <c r="C414" s="12" t="s">
        <v>309</v>
      </c>
      <c r="D414" s="12" t="s">
        <v>18</v>
      </c>
      <c r="E414" s="12" t="s">
        <v>19</v>
      </c>
      <c r="F414" s="12">
        <v>3</v>
      </c>
      <c r="G414" s="12" t="s">
        <v>20</v>
      </c>
      <c r="H414" s="12" t="s">
        <v>46</v>
      </c>
      <c r="I414" s="13">
        <v>45196.397511574076</v>
      </c>
      <c r="J414" s="12" t="s">
        <v>22</v>
      </c>
      <c r="K414" s="12"/>
      <c r="L414" s="12"/>
      <c r="M414" s="4" t="s">
        <v>23</v>
      </c>
      <c r="N414" s="8" t="str">
        <f t="shared" si="14"/>
        <v>057 - 47629481</v>
      </c>
      <c r="O414" s="9" t="s">
        <v>303</v>
      </c>
      <c r="P414" s="9" t="s">
        <v>25</v>
      </c>
      <c r="Q414" s="9"/>
      <c r="R414" s="9" t="s">
        <v>52</v>
      </c>
    </row>
    <row r="415" spans="2:18" ht="12.75" hidden="1" customHeight="1" thickBot="1">
      <c r="B415" s="5"/>
      <c r="C415" s="12" t="s">
        <v>202</v>
      </c>
      <c r="D415" s="12" t="s">
        <v>18</v>
      </c>
      <c r="E415" s="12" t="s">
        <v>19</v>
      </c>
      <c r="F415" s="12">
        <v>3</v>
      </c>
      <c r="G415" s="12" t="s">
        <v>20</v>
      </c>
      <c r="H415" s="12" t="s">
        <v>33</v>
      </c>
      <c r="I415" s="13">
        <v>45196.397499999999</v>
      </c>
      <c r="J415" s="12" t="s">
        <v>22</v>
      </c>
      <c r="K415" s="12"/>
      <c r="L415" s="12"/>
      <c r="M415" s="4" t="s">
        <v>23</v>
      </c>
      <c r="N415" s="8" t="str">
        <f t="shared" si="14"/>
        <v>057 - 04297510</v>
      </c>
      <c r="O415" s="9" t="s">
        <v>303</v>
      </c>
      <c r="P415" s="9" t="s">
        <v>25</v>
      </c>
      <c r="Q415" s="9"/>
      <c r="R415" s="9" t="s">
        <v>52</v>
      </c>
    </row>
    <row r="416" spans="2:18" ht="12.75" customHeight="1" thickBot="1">
      <c r="B416" s="6"/>
      <c r="C416" s="12" t="s">
        <v>310</v>
      </c>
      <c r="D416" s="12" t="s">
        <v>18</v>
      </c>
      <c r="E416" s="12" t="s">
        <v>19</v>
      </c>
      <c r="F416" s="12">
        <v>3</v>
      </c>
      <c r="G416" s="12" t="s">
        <v>20</v>
      </c>
      <c r="H416" s="12" t="s">
        <v>33</v>
      </c>
      <c r="I416" s="13">
        <v>45196.397499999999</v>
      </c>
      <c r="J416" s="12" t="s">
        <v>22</v>
      </c>
      <c r="K416" s="12"/>
      <c r="L416" s="12"/>
      <c r="M416" s="4" t="s">
        <v>23</v>
      </c>
      <c r="N416" s="8" t="str">
        <f t="shared" si="14"/>
        <v>057 - 04268563</v>
      </c>
      <c r="O416" s="9" t="s">
        <v>24</v>
      </c>
      <c r="P416" s="9" t="s">
        <v>25</v>
      </c>
      <c r="Q416" s="9"/>
      <c r="R416" s="9" t="s">
        <v>52</v>
      </c>
    </row>
    <row r="417" spans="2:18" ht="12.75" customHeight="1" thickBot="1">
      <c r="B417" s="5"/>
      <c r="C417" s="12" t="s">
        <v>202</v>
      </c>
      <c r="D417" s="12" t="s">
        <v>18</v>
      </c>
      <c r="E417" s="12" t="s">
        <v>19</v>
      </c>
      <c r="F417" s="12">
        <v>3</v>
      </c>
      <c r="G417" s="12" t="s">
        <v>20</v>
      </c>
      <c r="H417" s="12" t="s">
        <v>33</v>
      </c>
      <c r="I417" s="13">
        <v>45196.397488425922</v>
      </c>
      <c r="J417" s="12" t="s">
        <v>22</v>
      </c>
      <c r="K417" s="12"/>
      <c r="L417" s="12"/>
      <c r="M417" s="4" t="s">
        <v>23</v>
      </c>
      <c r="N417" s="8" t="str">
        <f t="shared" si="14"/>
        <v>057 - 04297510</v>
      </c>
      <c r="O417" s="9" t="s">
        <v>125</v>
      </c>
      <c r="P417" s="9"/>
      <c r="Q417" s="9"/>
      <c r="R417" s="9"/>
    </row>
    <row r="418" spans="2:18" ht="12.75" customHeight="1" thickBot="1">
      <c r="B418" s="6"/>
      <c r="C418" s="12" t="s">
        <v>310</v>
      </c>
      <c r="D418" s="12" t="s">
        <v>18</v>
      </c>
      <c r="E418" s="12" t="s">
        <v>19</v>
      </c>
      <c r="F418" s="12">
        <v>3</v>
      </c>
      <c r="G418" s="12" t="s">
        <v>20</v>
      </c>
      <c r="H418" s="12" t="s">
        <v>33</v>
      </c>
      <c r="I418" s="13">
        <v>45196.397488425922</v>
      </c>
      <c r="J418" s="12" t="s">
        <v>22</v>
      </c>
      <c r="K418" s="12"/>
      <c r="L418" s="12"/>
      <c r="M418" s="4" t="s">
        <v>23</v>
      </c>
      <c r="N418" s="8" t="str">
        <f t="shared" si="14"/>
        <v>057 - 04268563</v>
      </c>
      <c r="O418" s="9" t="s">
        <v>125</v>
      </c>
      <c r="P418" s="9"/>
      <c r="Q418" s="9"/>
      <c r="R418" s="9"/>
    </row>
    <row r="419" spans="2:18" ht="12.75" customHeight="1" thickBot="1">
      <c r="B419" s="5"/>
      <c r="C419" s="12" t="s">
        <v>304</v>
      </c>
      <c r="D419" s="12" t="s">
        <v>18</v>
      </c>
      <c r="E419" s="12" t="s">
        <v>19</v>
      </c>
      <c r="F419" s="12">
        <v>3</v>
      </c>
      <c r="G419" s="12" t="s">
        <v>20</v>
      </c>
      <c r="H419" s="12" t="s">
        <v>33</v>
      </c>
      <c r="I419" s="13">
        <v>45196.397488425922</v>
      </c>
      <c r="J419" s="12" t="s">
        <v>22</v>
      </c>
      <c r="K419" s="12"/>
      <c r="L419" s="12"/>
      <c r="M419" s="4" t="s">
        <v>23</v>
      </c>
      <c r="N419" s="8" t="str">
        <f t="shared" si="14"/>
        <v>057 - 48037253</v>
      </c>
      <c r="O419" s="9" t="s">
        <v>125</v>
      </c>
      <c r="P419" s="9"/>
      <c r="Q419" s="9"/>
      <c r="R419" s="9"/>
    </row>
    <row r="420" spans="2:18" ht="12.75" customHeight="1" thickBot="1">
      <c r="B420" s="6"/>
      <c r="C420" s="12" t="s">
        <v>259</v>
      </c>
      <c r="D420" s="12" t="s">
        <v>18</v>
      </c>
      <c r="E420" s="12" t="s">
        <v>19</v>
      </c>
      <c r="F420" s="12">
        <v>3</v>
      </c>
      <c r="G420" s="12" t="s">
        <v>20</v>
      </c>
      <c r="H420" s="12" t="s">
        <v>33</v>
      </c>
      <c r="I420" s="13">
        <v>45196.397476851853</v>
      </c>
      <c r="J420" s="12" t="s">
        <v>22</v>
      </c>
      <c r="K420" s="12"/>
      <c r="L420" s="12"/>
      <c r="M420" s="4" t="s">
        <v>23</v>
      </c>
      <c r="N420" s="8" t="str">
        <f t="shared" si="14"/>
        <v>057 - 47987343</v>
      </c>
      <c r="O420" s="9" t="s">
        <v>125</v>
      </c>
      <c r="P420" s="9"/>
      <c r="Q420" s="9"/>
      <c r="R420" s="9"/>
    </row>
    <row r="421" spans="2:18" ht="12.75" customHeight="1" thickBot="1">
      <c r="B421" s="5"/>
      <c r="C421" s="12" t="s">
        <v>300</v>
      </c>
      <c r="D421" s="12" t="s">
        <v>18</v>
      </c>
      <c r="E421" s="12" t="s">
        <v>19</v>
      </c>
      <c r="F421" s="12">
        <v>3</v>
      </c>
      <c r="G421" s="12" t="s">
        <v>20</v>
      </c>
      <c r="H421" s="12" t="s">
        <v>33</v>
      </c>
      <c r="I421" s="13">
        <v>45196.397476851853</v>
      </c>
      <c r="J421" s="12" t="s">
        <v>22</v>
      </c>
      <c r="K421" s="12"/>
      <c r="L421" s="12"/>
      <c r="M421" s="4" t="s">
        <v>23</v>
      </c>
      <c r="N421" s="8" t="str">
        <f t="shared" si="14"/>
        <v>057 - 47987855</v>
      </c>
      <c r="O421" s="9" t="s">
        <v>125</v>
      </c>
      <c r="P421" s="9"/>
      <c r="Q421" s="9"/>
      <c r="R421" s="9"/>
    </row>
    <row r="422" spans="2:18" ht="12.75" customHeight="1" thickBot="1">
      <c r="B422" s="6"/>
      <c r="C422" s="12" t="s">
        <v>284</v>
      </c>
      <c r="D422" s="12" t="s">
        <v>18</v>
      </c>
      <c r="E422" s="12" t="s">
        <v>19</v>
      </c>
      <c r="F422" s="12">
        <v>3</v>
      </c>
      <c r="G422" s="12" t="s">
        <v>20</v>
      </c>
      <c r="H422" s="12" t="s">
        <v>33</v>
      </c>
      <c r="I422" s="13">
        <v>45196.397465277776</v>
      </c>
      <c r="J422" s="12" t="s">
        <v>22</v>
      </c>
      <c r="K422" s="12"/>
      <c r="L422" s="12"/>
      <c r="M422" s="4" t="s">
        <v>23</v>
      </c>
      <c r="N422" s="8" t="str">
        <f t="shared" si="14"/>
        <v>057 - 48083895</v>
      </c>
      <c r="O422" s="9" t="s">
        <v>24</v>
      </c>
      <c r="P422" s="9" t="s">
        <v>25</v>
      </c>
      <c r="Q422" s="9"/>
      <c r="R422" s="9" t="s">
        <v>52</v>
      </c>
    </row>
    <row r="423" spans="2:18" ht="12.75" customHeight="1" thickBot="1">
      <c r="B423" s="5"/>
      <c r="C423" s="12" t="s">
        <v>305</v>
      </c>
      <c r="D423" s="12" t="s">
        <v>18</v>
      </c>
      <c r="E423" s="12" t="s">
        <v>19</v>
      </c>
      <c r="F423" s="12">
        <v>3</v>
      </c>
      <c r="G423" s="12" t="s">
        <v>20</v>
      </c>
      <c r="H423" s="12" t="s">
        <v>33</v>
      </c>
      <c r="I423" s="13">
        <v>45196.397453703707</v>
      </c>
      <c r="J423" s="12" t="s">
        <v>22</v>
      </c>
      <c r="K423" s="12"/>
      <c r="L423" s="12"/>
      <c r="M423" s="4" t="s">
        <v>23</v>
      </c>
      <c r="N423" s="8" t="str">
        <f t="shared" si="14"/>
        <v>057 - 04267130</v>
      </c>
      <c r="O423" s="9" t="s">
        <v>125</v>
      </c>
      <c r="P423" s="9"/>
      <c r="Q423" s="9"/>
      <c r="R423" s="9"/>
    </row>
    <row r="424" spans="2:18" ht="12.75" customHeight="1" thickBot="1">
      <c r="B424" s="6"/>
      <c r="C424" s="12" t="s">
        <v>306</v>
      </c>
      <c r="D424" s="12" t="s">
        <v>18</v>
      </c>
      <c r="E424" s="12" t="s">
        <v>19</v>
      </c>
      <c r="F424" s="12">
        <v>3</v>
      </c>
      <c r="G424" s="12" t="s">
        <v>20</v>
      </c>
      <c r="H424" s="12" t="s">
        <v>33</v>
      </c>
      <c r="I424" s="13">
        <v>45196.39744212963</v>
      </c>
      <c r="J424" s="12" t="s">
        <v>22</v>
      </c>
      <c r="K424" s="12"/>
      <c r="L424" s="12"/>
      <c r="M424" s="4" t="s">
        <v>23</v>
      </c>
      <c r="N424" s="8" t="str">
        <f t="shared" si="14"/>
        <v>057 - 48328921</v>
      </c>
      <c r="O424" s="9" t="s">
        <v>125</v>
      </c>
      <c r="P424" s="9"/>
      <c r="Q424" s="9"/>
      <c r="R424" s="9"/>
    </row>
    <row r="425" spans="2:18" ht="12.75" customHeight="1" thickBot="1">
      <c r="B425" s="5"/>
      <c r="C425" s="12" t="s">
        <v>311</v>
      </c>
      <c r="D425" s="12" t="s">
        <v>18</v>
      </c>
      <c r="E425" s="12" t="s">
        <v>19</v>
      </c>
      <c r="F425" s="12">
        <v>3</v>
      </c>
      <c r="G425" s="12" t="s">
        <v>20</v>
      </c>
      <c r="H425" s="12" t="s">
        <v>33</v>
      </c>
      <c r="I425" s="13">
        <v>45196.39744212963</v>
      </c>
      <c r="J425" s="12" t="s">
        <v>22</v>
      </c>
      <c r="K425" s="12"/>
      <c r="L425" s="12"/>
      <c r="M425" s="4" t="s">
        <v>23</v>
      </c>
      <c r="N425" s="8" t="str">
        <f t="shared" si="14"/>
        <v>057 - 48148435</v>
      </c>
      <c r="O425" s="9" t="s">
        <v>24</v>
      </c>
      <c r="P425" s="9" t="s">
        <v>25</v>
      </c>
      <c r="Q425" s="9"/>
      <c r="R425" s="9" t="s">
        <v>52</v>
      </c>
    </row>
    <row r="426" spans="2:18" ht="12.75" customHeight="1" thickBot="1">
      <c r="B426" s="6"/>
      <c r="C426" s="12" t="s">
        <v>306</v>
      </c>
      <c r="D426" s="12" t="s">
        <v>18</v>
      </c>
      <c r="E426" s="12" t="s">
        <v>19</v>
      </c>
      <c r="F426" s="12">
        <v>3</v>
      </c>
      <c r="G426" s="12" t="s">
        <v>20</v>
      </c>
      <c r="H426" s="12" t="s">
        <v>33</v>
      </c>
      <c r="I426" s="13">
        <v>45196.397430555553</v>
      </c>
      <c r="J426" s="12" t="s">
        <v>22</v>
      </c>
      <c r="K426" s="12"/>
      <c r="L426" s="12"/>
      <c r="M426" s="4" t="s">
        <v>23</v>
      </c>
      <c r="N426" s="8" t="str">
        <f t="shared" si="14"/>
        <v>057 - 48328921</v>
      </c>
      <c r="O426" s="9"/>
      <c r="P426" s="9"/>
      <c r="Q426" s="9"/>
      <c r="R426" s="9"/>
    </row>
    <row r="427" spans="2:18" ht="12.75" customHeight="1" thickBot="1">
      <c r="B427" s="5"/>
      <c r="C427" s="12" t="s">
        <v>312</v>
      </c>
      <c r="D427" s="12" t="s">
        <v>18</v>
      </c>
      <c r="E427" s="12" t="s">
        <v>19</v>
      </c>
      <c r="F427" s="12">
        <v>3</v>
      </c>
      <c r="G427" s="12" t="s">
        <v>20</v>
      </c>
      <c r="H427" s="12" t="s">
        <v>33</v>
      </c>
      <c r="I427" s="13">
        <v>45196.397430555553</v>
      </c>
      <c r="J427" s="12" t="s">
        <v>22</v>
      </c>
      <c r="K427" s="12"/>
      <c r="L427" s="12"/>
      <c r="M427" s="4" t="s">
        <v>23</v>
      </c>
      <c r="N427" s="8" t="str">
        <f t="shared" si="14"/>
        <v>057 - 04310552</v>
      </c>
      <c r="O427" s="9"/>
      <c r="P427" s="9"/>
      <c r="Q427" s="9"/>
      <c r="R427" s="9"/>
    </row>
    <row r="428" spans="2:18" ht="12.75" customHeight="1" thickBot="1">
      <c r="B428" s="6"/>
      <c r="C428" s="12" t="s">
        <v>103</v>
      </c>
      <c r="D428" s="12" t="s">
        <v>18</v>
      </c>
      <c r="E428" s="12" t="s">
        <v>19</v>
      </c>
      <c r="F428" s="12">
        <v>3</v>
      </c>
      <c r="G428" s="12" t="s">
        <v>20</v>
      </c>
      <c r="H428" s="12" t="s">
        <v>33</v>
      </c>
      <c r="I428" s="13">
        <v>45196.397418981483</v>
      </c>
      <c r="J428" s="12" t="s">
        <v>22</v>
      </c>
      <c r="K428" s="12"/>
      <c r="L428" s="12"/>
      <c r="M428" s="4" t="s">
        <v>23</v>
      </c>
      <c r="N428" s="8" t="str">
        <f t="shared" si="14"/>
        <v>057 - 47708345</v>
      </c>
      <c r="O428" s="9" t="s">
        <v>125</v>
      </c>
      <c r="P428" s="9"/>
      <c r="Q428" s="9"/>
      <c r="R428" s="9"/>
    </row>
    <row r="429" spans="2:18" ht="12.75" customHeight="1" thickBot="1">
      <c r="B429" s="5"/>
      <c r="C429" s="12" t="s">
        <v>308</v>
      </c>
      <c r="D429" s="12" t="s">
        <v>18</v>
      </c>
      <c r="E429" s="12" t="s">
        <v>19</v>
      </c>
      <c r="F429" s="12">
        <v>3</v>
      </c>
      <c r="G429" s="12" t="s">
        <v>20</v>
      </c>
      <c r="H429" s="12" t="s">
        <v>33</v>
      </c>
      <c r="I429" s="13">
        <v>45196.397407407407</v>
      </c>
      <c r="J429" s="12" t="s">
        <v>22</v>
      </c>
      <c r="K429" s="12"/>
      <c r="L429" s="12"/>
      <c r="M429" s="4" t="s">
        <v>23</v>
      </c>
      <c r="N429" s="8" t="str">
        <f t="shared" si="14"/>
        <v>057 - 04147706</v>
      </c>
      <c r="O429" s="9" t="s">
        <v>125</v>
      </c>
      <c r="P429" s="9"/>
      <c r="Q429" s="9"/>
      <c r="R429" s="9"/>
    </row>
    <row r="430" spans="2:18" ht="12.75" customHeight="1" thickBot="1">
      <c r="B430" s="6"/>
      <c r="C430" s="12" t="s">
        <v>313</v>
      </c>
      <c r="D430" s="12" t="s">
        <v>18</v>
      </c>
      <c r="E430" s="12" t="s">
        <v>19</v>
      </c>
      <c r="F430" s="12">
        <v>3</v>
      </c>
      <c r="G430" s="12" t="s">
        <v>20</v>
      </c>
      <c r="H430" s="12" t="s">
        <v>46</v>
      </c>
      <c r="I430" s="13">
        <v>45196.39739583333</v>
      </c>
      <c r="J430" s="12" t="s">
        <v>22</v>
      </c>
      <c r="K430" s="12"/>
      <c r="L430" s="12"/>
      <c r="M430" s="4" t="s">
        <v>23</v>
      </c>
      <c r="N430" s="8" t="str">
        <f t="shared" si="14"/>
        <v>057 - 48329013</v>
      </c>
      <c r="O430" s="9"/>
      <c r="P430" s="9"/>
      <c r="Q430" s="9" t="s">
        <v>43</v>
      </c>
      <c r="R430" s="9"/>
    </row>
    <row r="431" spans="2:18" ht="12.75" customHeight="1" thickBot="1">
      <c r="B431" s="5"/>
      <c r="C431" s="12" t="s">
        <v>314</v>
      </c>
      <c r="D431" s="12" t="s">
        <v>18</v>
      </c>
      <c r="E431" s="12" t="s">
        <v>19</v>
      </c>
      <c r="F431" s="12">
        <v>3</v>
      </c>
      <c r="G431" s="12" t="s">
        <v>20</v>
      </c>
      <c r="H431" s="12" t="s">
        <v>33</v>
      </c>
      <c r="I431" s="13">
        <v>45196.39739583333</v>
      </c>
      <c r="J431" s="12" t="s">
        <v>22</v>
      </c>
      <c r="K431" s="12"/>
      <c r="L431" s="12"/>
      <c r="M431" s="4" t="s">
        <v>23</v>
      </c>
      <c r="N431" s="8" t="str">
        <f t="shared" si="14"/>
        <v>057 - 04262451</v>
      </c>
      <c r="O431" s="9" t="s">
        <v>24</v>
      </c>
      <c r="P431" s="9" t="s">
        <v>25</v>
      </c>
      <c r="Q431" s="9"/>
      <c r="R431" s="9" t="s">
        <v>52</v>
      </c>
    </row>
    <row r="432" spans="2:18" ht="12.75" customHeight="1" thickBot="1">
      <c r="B432" s="7"/>
      <c r="C432" s="12" t="s">
        <v>308</v>
      </c>
      <c r="D432" s="12" t="s">
        <v>18</v>
      </c>
      <c r="E432" s="12" t="s">
        <v>19</v>
      </c>
      <c r="F432" s="12">
        <v>3</v>
      </c>
      <c r="G432" s="12" t="s">
        <v>20</v>
      </c>
      <c r="H432" s="12" t="s">
        <v>33</v>
      </c>
      <c r="I432" s="13">
        <v>45196.39738425926</v>
      </c>
      <c r="J432" s="12" t="s">
        <v>22</v>
      </c>
      <c r="K432" s="12"/>
      <c r="L432" s="12"/>
      <c r="M432" s="4" t="s">
        <v>23</v>
      </c>
      <c r="N432" s="8" t="str">
        <f t="shared" si="14"/>
        <v>057 - 04147706</v>
      </c>
      <c r="O432" s="9" t="s">
        <v>125</v>
      </c>
      <c r="P432" s="9"/>
      <c r="Q432" s="9"/>
      <c r="R432" s="9"/>
    </row>
    <row r="433" spans="2:18" ht="12.75" customHeight="1">
      <c r="C433" s="12" t="s">
        <v>279</v>
      </c>
      <c r="D433" s="12" t="s">
        <v>18</v>
      </c>
      <c r="E433" s="12" t="s">
        <v>19</v>
      </c>
      <c r="F433" s="12">
        <v>3</v>
      </c>
      <c r="G433" s="12" t="s">
        <v>20</v>
      </c>
      <c r="H433" s="12" t="s">
        <v>33</v>
      </c>
      <c r="I433" s="13">
        <v>45196.397372685184</v>
      </c>
      <c r="J433" s="12" t="s">
        <v>22</v>
      </c>
      <c r="K433" s="12"/>
      <c r="L433" s="12"/>
      <c r="M433" s="4" t="s">
        <v>23</v>
      </c>
      <c r="N433" s="8" t="str">
        <f t="shared" si="14"/>
        <v>057 - 04328774</v>
      </c>
      <c r="O433" s="9" t="s">
        <v>125</v>
      </c>
      <c r="P433" s="9"/>
      <c r="Q433" s="9"/>
      <c r="R433" s="9"/>
    </row>
    <row r="434" spans="2:18" ht="12.75" customHeight="1" thickBot="1">
      <c r="B434" s="5"/>
      <c r="C434" s="12" t="s">
        <v>118</v>
      </c>
      <c r="D434" s="12" t="s">
        <v>18</v>
      </c>
      <c r="E434" s="12" t="s">
        <v>19</v>
      </c>
      <c r="F434" s="12">
        <v>3</v>
      </c>
      <c r="G434" s="12" t="s">
        <v>20</v>
      </c>
      <c r="H434" s="12" t="s">
        <v>33</v>
      </c>
      <c r="I434" s="13">
        <v>45196.397372685184</v>
      </c>
      <c r="J434" s="12" t="s">
        <v>22</v>
      </c>
      <c r="K434" s="12"/>
      <c r="L434" s="12"/>
      <c r="M434" s="4" t="s">
        <v>23</v>
      </c>
      <c r="N434" s="8" t="str">
        <f t="shared" si="14"/>
        <v>057 - 04221836</v>
      </c>
      <c r="O434" s="9" t="s">
        <v>125</v>
      </c>
      <c r="P434" s="9"/>
      <c r="Q434" s="9"/>
      <c r="R434" s="9"/>
    </row>
    <row r="435" spans="2:18" ht="12.75" customHeight="1" thickBot="1">
      <c r="B435" s="6"/>
      <c r="C435" s="12" t="s">
        <v>279</v>
      </c>
      <c r="D435" s="12" t="s">
        <v>18</v>
      </c>
      <c r="E435" s="12" t="s">
        <v>19</v>
      </c>
      <c r="F435" s="12">
        <v>3</v>
      </c>
      <c r="G435" s="12" t="s">
        <v>20</v>
      </c>
      <c r="H435" s="12" t="s">
        <v>33</v>
      </c>
      <c r="I435" s="13">
        <v>45196.397361111114</v>
      </c>
      <c r="J435" s="12" t="s">
        <v>22</v>
      </c>
      <c r="K435" s="12"/>
      <c r="L435" s="12"/>
      <c r="M435" s="4" t="s">
        <v>23</v>
      </c>
      <c r="N435" s="8" t="str">
        <f t="shared" si="14"/>
        <v>057 - 04328774</v>
      </c>
      <c r="O435" s="9" t="s">
        <v>125</v>
      </c>
      <c r="P435" s="9"/>
      <c r="Q435" s="9"/>
      <c r="R435" s="9"/>
    </row>
    <row r="436" spans="2:18" ht="12.75" customHeight="1" thickBot="1">
      <c r="B436" s="5"/>
      <c r="C436" s="12" t="s">
        <v>95</v>
      </c>
      <c r="D436" s="12" t="s">
        <v>18</v>
      </c>
      <c r="E436" s="12" t="s">
        <v>19</v>
      </c>
      <c r="F436" s="12">
        <v>3</v>
      </c>
      <c r="G436" s="12" t="s">
        <v>20</v>
      </c>
      <c r="H436" s="12" t="s">
        <v>33</v>
      </c>
      <c r="I436" s="13">
        <v>45196.397349537037</v>
      </c>
      <c r="J436" s="12" t="s">
        <v>22</v>
      </c>
      <c r="K436" s="12"/>
      <c r="L436" s="12"/>
      <c r="M436" s="4" t="s">
        <v>23</v>
      </c>
      <c r="N436" s="8" t="str">
        <f t="shared" si="14"/>
        <v>057 - 47312646</v>
      </c>
      <c r="O436" s="9" t="s">
        <v>125</v>
      </c>
      <c r="P436" s="9"/>
      <c r="Q436" s="9"/>
      <c r="R436" s="9"/>
    </row>
    <row r="437" spans="2:18" ht="12.75" customHeight="1" thickBot="1">
      <c r="B437" s="6"/>
      <c r="C437" s="12" t="s">
        <v>315</v>
      </c>
      <c r="D437" s="12" t="s">
        <v>18</v>
      </c>
      <c r="E437" s="12" t="s">
        <v>19</v>
      </c>
      <c r="F437" s="12">
        <v>3</v>
      </c>
      <c r="G437" s="12" t="s">
        <v>20</v>
      </c>
      <c r="H437" s="12" t="s">
        <v>33</v>
      </c>
      <c r="I437" s="13">
        <v>45196.397349537037</v>
      </c>
      <c r="J437" s="12" t="s">
        <v>22</v>
      </c>
      <c r="K437" s="12"/>
      <c r="L437" s="12"/>
      <c r="M437" s="4" t="s">
        <v>23</v>
      </c>
      <c r="N437" s="8" t="str">
        <f t="shared" si="14"/>
        <v xml:space="preserve">057 - c - CDG </v>
      </c>
      <c r="O437" s="9" t="s">
        <v>125</v>
      </c>
      <c r="P437" s="9"/>
      <c r="Q437" s="9"/>
      <c r="R437" s="9"/>
    </row>
    <row r="438" spans="2:18" ht="12.75" customHeight="1" thickBot="1">
      <c r="B438" s="5"/>
      <c r="C438" s="12" t="s">
        <v>311</v>
      </c>
      <c r="D438" s="12" t="s">
        <v>18</v>
      </c>
      <c r="E438" s="12" t="s">
        <v>19</v>
      </c>
      <c r="F438" s="12">
        <v>3</v>
      </c>
      <c r="G438" s="12" t="s">
        <v>20</v>
      </c>
      <c r="H438" s="12" t="s">
        <v>33</v>
      </c>
      <c r="I438" s="13">
        <v>45196.397337962961</v>
      </c>
      <c r="J438" s="12" t="s">
        <v>22</v>
      </c>
      <c r="K438" s="12"/>
      <c r="L438" s="12"/>
      <c r="M438" s="4" t="s">
        <v>23</v>
      </c>
      <c r="N438" s="8" t="str">
        <f t="shared" si="14"/>
        <v>057 - 48148435</v>
      </c>
      <c r="O438" s="9" t="s">
        <v>125</v>
      </c>
      <c r="P438" s="9"/>
      <c r="Q438" s="9"/>
      <c r="R438" s="9"/>
    </row>
    <row r="439" spans="2:18" ht="12.75" customHeight="1" thickBot="1">
      <c r="B439" s="6"/>
      <c r="C439" s="12" t="s">
        <v>316</v>
      </c>
      <c r="D439" s="12" t="s">
        <v>18</v>
      </c>
      <c r="E439" s="12" t="s">
        <v>19</v>
      </c>
      <c r="F439" s="12">
        <v>3</v>
      </c>
      <c r="G439" s="12" t="s">
        <v>20</v>
      </c>
      <c r="H439" s="12" t="s">
        <v>33</v>
      </c>
      <c r="I439" s="13">
        <v>45196.397337962961</v>
      </c>
      <c r="J439" s="12" t="s">
        <v>22</v>
      </c>
      <c r="K439" s="12"/>
      <c r="L439" s="12"/>
      <c r="M439" s="4" t="s">
        <v>23</v>
      </c>
      <c r="N439" s="8" t="str">
        <f t="shared" ref="N439:N457" si="15">LEFT(C439,14)</f>
        <v>057 - 04211056</v>
      </c>
      <c r="O439" s="9" t="s">
        <v>24</v>
      </c>
      <c r="P439" s="9" t="s">
        <v>25</v>
      </c>
      <c r="Q439" s="9"/>
      <c r="R439" s="9" t="s">
        <v>52</v>
      </c>
    </row>
    <row r="440" spans="2:18" ht="12.75" customHeight="1" thickBot="1">
      <c r="B440" s="5"/>
      <c r="C440" s="12" t="s">
        <v>317</v>
      </c>
      <c r="D440" s="12" t="s">
        <v>18</v>
      </c>
      <c r="E440" s="12" t="s">
        <v>19</v>
      </c>
      <c r="F440" s="12">
        <v>3</v>
      </c>
      <c r="G440" s="12" t="s">
        <v>20</v>
      </c>
      <c r="H440" s="12" t="s">
        <v>33</v>
      </c>
      <c r="I440" s="13">
        <v>45196.397326388891</v>
      </c>
      <c r="J440" s="12" t="s">
        <v>22</v>
      </c>
      <c r="K440" s="12"/>
      <c r="L440" s="12"/>
      <c r="M440" s="4" t="s">
        <v>23</v>
      </c>
      <c r="N440" s="8" t="str">
        <f t="shared" si="15"/>
        <v>057 - 48329142</v>
      </c>
      <c r="O440" s="9" t="s">
        <v>125</v>
      </c>
      <c r="P440" s="9"/>
      <c r="Q440" s="9"/>
      <c r="R440" s="9"/>
    </row>
    <row r="441" spans="2:18" ht="12.75" customHeight="1" thickBot="1">
      <c r="B441" s="6"/>
      <c r="C441" s="12" t="s">
        <v>311</v>
      </c>
      <c r="D441" s="12" t="s">
        <v>18</v>
      </c>
      <c r="E441" s="12" t="s">
        <v>19</v>
      </c>
      <c r="F441" s="12">
        <v>3</v>
      </c>
      <c r="G441" s="12" t="s">
        <v>20</v>
      </c>
      <c r="H441" s="12" t="s">
        <v>33</v>
      </c>
      <c r="I441" s="13">
        <v>45196.397326388891</v>
      </c>
      <c r="J441" s="12" t="s">
        <v>22</v>
      </c>
      <c r="K441" s="12"/>
      <c r="L441" s="12"/>
      <c r="M441" s="4" t="s">
        <v>23</v>
      </c>
      <c r="N441" s="8" t="str">
        <f t="shared" si="15"/>
        <v>057 - 48148435</v>
      </c>
      <c r="O441" s="9" t="s">
        <v>125</v>
      </c>
      <c r="P441" s="9"/>
      <c r="Q441" s="9"/>
      <c r="R441" s="9"/>
    </row>
    <row r="442" spans="2:18" ht="12.75" customHeight="1" thickBot="1">
      <c r="B442" s="5"/>
      <c r="C442" s="12" t="s">
        <v>312</v>
      </c>
      <c r="D442" s="12" t="s">
        <v>18</v>
      </c>
      <c r="E442" s="12" t="s">
        <v>19</v>
      </c>
      <c r="F442" s="12">
        <v>3</v>
      </c>
      <c r="G442" s="12" t="s">
        <v>20</v>
      </c>
      <c r="H442" s="12" t="s">
        <v>33</v>
      </c>
      <c r="I442" s="13">
        <v>45196.397326388891</v>
      </c>
      <c r="J442" s="12" t="s">
        <v>22</v>
      </c>
      <c r="K442" s="12"/>
      <c r="L442" s="12"/>
      <c r="M442" s="4" t="s">
        <v>23</v>
      </c>
      <c r="N442" s="8" t="str">
        <f t="shared" si="15"/>
        <v>057 - 04310552</v>
      </c>
      <c r="O442" s="9" t="s">
        <v>24</v>
      </c>
      <c r="P442" s="9" t="s">
        <v>25</v>
      </c>
      <c r="Q442" s="9"/>
      <c r="R442" s="9" t="s">
        <v>52</v>
      </c>
    </row>
    <row r="443" spans="2:18" ht="12.75" customHeight="1" thickBot="1">
      <c r="B443" s="6"/>
      <c r="C443" s="12" t="s">
        <v>317</v>
      </c>
      <c r="D443" s="12" t="s">
        <v>18</v>
      </c>
      <c r="E443" s="12" t="s">
        <v>19</v>
      </c>
      <c r="F443" s="12">
        <v>3</v>
      </c>
      <c r="G443" s="12" t="s">
        <v>20</v>
      </c>
      <c r="H443" s="12" t="s">
        <v>33</v>
      </c>
      <c r="I443" s="13">
        <v>45196.397314814814</v>
      </c>
      <c r="J443" s="12" t="s">
        <v>22</v>
      </c>
      <c r="K443" s="12"/>
      <c r="L443" s="12"/>
      <c r="M443" s="4" t="s">
        <v>23</v>
      </c>
      <c r="N443" s="8" t="str">
        <f t="shared" si="15"/>
        <v>057 - 48329142</v>
      </c>
      <c r="O443" s="9" t="s">
        <v>125</v>
      </c>
      <c r="P443" s="9"/>
      <c r="Q443" s="9"/>
      <c r="R443" s="9"/>
    </row>
    <row r="444" spans="2:18" ht="12.75" customHeight="1" thickBot="1">
      <c r="B444" s="5"/>
      <c r="C444" s="12" t="s">
        <v>312</v>
      </c>
      <c r="D444" s="12" t="s">
        <v>18</v>
      </c>
      <c r="E444" s="12" t="s">
        <v>19</v>
      </c>
      <c r="F444" s="12">
        <v>3</v>
      </c>
      <c r="G444" s="12" t="s">
        <v>20</v>
      </c>
      <c r="H444" s="12" t="s">
        <v>33</v>
      </c>
      <c r="I444" s="13">
        <v>45196.397314814814</v>
      </c>
      <c r="J444" s="12" t="s">
        <v>22</v>
      </c>
      <c r="K444" s="12"/>
      <c r="L444" s="12"/>
      <c r="M444" s="4" t="s">
        <v>23</v>
      </c>
      <c r="N444" s="8" t="str">
        <f t="shared" si="15"/>
        <v>057 - 04310552</v>
      </c>
      <c r="O444" s="9" t="s">
        <v>125</v>
      </c>
      <c r="P444" s="9"/>
      <c r="Q444" s="9"/>
      <c r="R444" s="9"/>
    </row>
    <row r="445" spans="2:18" ht="12.75" customHeight="1" thickBot="1">
      <c r="B445" s="6"/>
      <c r="C445" s="12" t="s">
        <v>317</v>
      </c>
      <c r="D445" s="12" t="s">
        <v>18</v>
      </c>
      <c r="E445" s="12" t="s">
        <v>19</v>
      </c>
      <c r="F445" s="12">
        <v>3</v>
      </c>
      <c r="G445" s="12" t="s">
        <v>20</v>
      </c>
      <c r="H445" s="12" t="s">
        <v>33</v>
      </c>
      <c r="I445" s="13">
        <v>45196.397314814814</v>
      </c>
      <c r="J445" s="12" t="s">
        <v>22</v>
      </c>
      <c r="K445" s="12"/>
      <c r="L445" s="12"/>
      <c r="M445" s="4" t="s">
        <v>23</v>
      </c>
      <c r="N445" s="8" t="str">
        <f t="shared" si="15"/>
        <v>057 - 48329142</v>
      </c>
      <c r="O445" s="9" t="s">
        <v>125</v>
      </c>
      <c r="P445" s="9"/>
      <c r="Q445" s="9"/>
      <c r="R445" s="9"/>
    </row>
    <row r="446" spans="2:18" ht="12.75" customHeight="1" thickBot="1">
      <c r="B446" s="5"/>
      <c r="C446" s="12" t="s">
        <v>318</v>
      </c>
      <c r="D446" s="12" t="s">
        <v>18</v>
      </c>
      <c r="E446" s="12" t="s">
        <v>19</v>
      </c>
      <c r="F446" s="12">
        <v>3</v>
      </c>
      <c r="G446" s="12" t="s">
        <v>20</v>
      </c>
      <c r="H446" s="12" t="s">
        <v>33</v>
      </c>
      <c r="I446" s="13">
        <v>45196.397303240738</v>
      </c>
      <c r="J446" s="12" t="s">
        <v>22</v>
      </c>
      <c r="K446" s="12"/>
      <c r="L446" s="12"/>
      <c r="M446" s="4" t="s">
        <v>23</v>
      </c>
      <c r="N446" s="8" t="str">
        <f t="shared" si="15"/>
        <v>057 - 47986713</v>
      </c>
      <c r="O446" s="9" t="s">
        <v>125</v>
      </c>
      <c r="P446" s="9"/>
      <c r="Q446" s="9"/>
      <c r="R446" s="9"/>
    </row>
    <row r="447" spans="2:18" ht="12.75" customHeight="1" thickBot="1">
      <c r="B447" s="6"/>
      <c r="C447" s="12" t="s">
        <v>115</v>
      </c>
      <c r="D447" s="12" t="s">
        <v>18</v>
      </c>
      <c r="E447" s="12" t="s">
        <v>19</v>
      </c>
      <c r="F447" s="12">
        <v>3</v>
      </c>
      <c r="G447" s="12" t="s">
        <v>20</v>
      </c>
      <c r="H447" s="12" t="s">
        <v>33</v>
      </c>
      <c r="I447" s="13">
        <v>45196.397291666668</v>
      </c>
      <c r="J447" s="12" t="s">
        <v>22</v>
      </c>
      <c r="K447" s="12"/>
      <c r="L447" s="12"/>
      <c r="M447" s="4" t="s">
        <v>23</v>
      </c>
      <c r="N447" s="8" t="str">
        <f t="shared" si="15"/>
        <v>057 - 47708802</v>
      </c>
      <c r="O447" s="9" t="s">
        <v>24</v>
      </c>
      <c r="P447" s="9" t="s">
        <v>25</v>
      </c>
      <c r="Q447" s="9"/>
      <c r="R447" s="9" t="s">
        <v>52</v>
      </c>
    </row>
    <row r="448" spans="2:18" ht="12.75" customHeight="1" thickBot="1">
      <c r="B448" s="5"/>
      <c r="C448" s="12" t="s">
        <v>272</v>
      </c>
      <c r="D448" s="12" t="s">
        <v>18</v>
      </c>
      <c r="E448" s="12" t="s">
        <v>19</v>
      </c>
      <c r="F448" s="12">
        <v>3</v>
      </c>
      <c r="G448" s="12" t="s">
        <v>20</v>
      </c>
      <c r="H448" s="12" t="s">
        <v>33</v>
      </c>
      <c r="I448" s="13">
        <v>45196.397291666668</v>
      </c>
      <c r="J448" s="12" t="s">
        <v>22</v>
      </c>
      <c r="K448" s="12"/>
      <c r="L448" s="12"/>
      <c r="M448" s="4" t="s">
        <v>23</v>
      </c>
      <c r="N448" s="8" t="str">
        <f t="shared" si="15"/>
        <v>057 - 12888190</v>
      </c>
      <c r="O448" s="9" t="s">
        <v>125</v>
      </c>
      <c r="P448" s="9"/>
      <c r="Q448" s="9"/>
      <c r="R448" s="9"/>
    </row>
    <row r="449" spans="2:18" ht="12.75" customHeight="1" thickBot="1">
      <c r="B449" s="6"/>
      <c r="C449" s="12" t="s">
        <v>319</v>
      </c>
      <c r="D449" s="12" t="s">
        <v>18</v>
      </c>
      <c r="E449" s="12" t="s">
        <v>19</v>
      </c>
      <c r="F449" s="12">
        <v>3</v>
      </c>
      <c r="G449" s="12" t="s">
        <v>20</v>
      </c>
      <c r="H449" s="12" t="s">
        <v>33</v>
      </c>
      <c r="I449" s="13">
        <v>45196.397280092591</v>
      </c>
      <c r="J449" s="12" t="s">
        <v>22</v>
      </c>
      <c r="K449" s="12"/>
      <c r="L449" s="12"/>
      <c r="M449" s="4" t="s">
        <v>23</v>
      </c>
      <c r="N449" s="8" t="str">
        <f t="shared" si="15"/>
        <v>057 - 04021695</v>
      </c>
      <c r="O449" s="9" t="s">
        <v>24</v>
      </c>
      <c r="P449" s="9" t="s">
        <v>25</v>
      </c>
      <c r="Q449" s="9"/>
      <c r="R449" s="9" t="s">
        <v>52</v>
      </c>
    </row>
    <row r="450" spans="2:18" ht="12.75" hidden="1" customHeight="1" thickBot="1">
      <c r="B450" s="5"/>
      <c r="C450" s="12" t="s">
        <v>272</v>
      </c>
      <c r="D450" s="12" t="s">
        <v>18</v>
      </c>
      <c r="E450" s="12" t="s">
        <v>19</v>
      </c>
      <c r="F450" s="12">
        <v>3</v>
      </c>
      <c r="G450" s="12" t="s">
        <v>20</v>
      </c>
      <c r="H450" s="12" t="s">
        <v>33</v>
      </c>
      <c r="I450" s="13">
        <v>45196.397280092591</v>
      </c>
      <c r="J450" s="12" t="s">
        <v>22</v>
      </c>
      <c r="K450" s="12"/>
      <c r="L450" s="12"/>
      <c r="M450" s="4" t="s">
        <v>23</v>
      </c>
      <c r="N450" s="8" t="str">
        <f t="shared" si="15"/>
        <v>057 - 12888190</v>
      </c>
      <c r="O450" s="9" t="s">
        <v>101</v>
      </c>
      <c r="P450" s="9" t="s">
        <v>25</v>
      </c>
      <c r="Q450" s="9"/>
      <c r="R450" s="9"/>
    </row>
    <row r="451" spans="2:18" ht="12.75" hidden="1" customHeight="1" thickBot="1">
      <c r="B451" s="6"/>
      <c r="C451" s="12" t="s">
        <v>320</v>
      </c>
      <c r="D451" s="12" t="s">
        <v>18</v>
      </c>
      <c r="E451" s="12" t="s">
        <v>19</v>
      </c>
      <c r="F451" s="12">
        <v>3</v>
      </c>
      <c r="G451" s="12" t="s">
        <v>20</v>
      </c>
      <c r="H451" s="12" t="s">
        <v>33</v>
      </c>
      <c r="I451" s="13">
        <v>45196.397268518522</v>
      </c>
      <c r="J451" s="12" t="s">
        <v>22</v>
      </c>
      <c r="K451" s="12"/>
      <c r="L451" s="12"/>
      <c r="M451" s="4" t="s">
        <v>23</v>
      </c>
      <c r="N451" s="8" t="str">
        <f t="shared" si="15"/>
        <v>057 - 47708780</v>
      </c>
      <c r="O451" s="9" t="s">
        <v>101</v>
      </c>
      <c r="P451" s="9" t="s">
        <v>25</v>
      </c>
      <c r="Q451" s="9"/>
      <c r="R451" s="9"/>
    </row>
    <row r="452" spans="2:18" ht="12.75" hidden="1" customHeight="1" thickBot="1">
      <c r="B452" s="5"/>
      <c r="C452" s="12" t="s">
        <v>321</v>
      </c>
      <c r="D452" s="12" t="s">
        <v>18</v>
      </c>
      <c r="E452" s="12" t="s">
        <v>19</v>
      </c>
      <c r="F452" s="12">
        <v>3</v>
      </c>
      <c r="G452" s="12" t="s">
        <v>20</v>
      </c>
      <c r="H452" s="12" t="s">
        <v>33</v>
      </c>
      <c r="I452" s="13">
        <v>45196.397268518522</v>
      </c>
      <c r="J452" s="12" t="s">
        <v>22</v>
      </c>
      <c r="K452" s="12"/>
      <c r="L452" s="12"/>
      <c r="M452" s="4" t="s">
        <v>23</v>
      </c>
      <c r="N452" s="8" t="str">
        <f t="shared" si="15"/>
        <v>057 - 47989620</v>
      </c>
      <c r="O452" s="9" t="s">
        <v>101</v>
      </c>
      <c r="P452" s="9" t="s">
        <v>25</v>
      </c>
      <c r="Q452" s="9"/>
      <c r="R452" s="9"/>
    </row>
    <row r="453" spans="2:18" ht="12.75" hidden="1" customHeight="1" thickBot="1">
      <c r="B453" s="6"/>
      <c r="C453" s="12" t="s">
        <v>322</v>
      </c>
      <c r="D453" s="12" t="s">
        <v>18</v>
      </c>
      <c r="E453" s="12" t="s">
        <v>19</v>
      </c>
      <c r="F453" s="12">
        <v>3</v>
      </c>
      <c r="G453" s="12" t="s">
        <v>20</v>
      </c>
      <c r="H453" s="12" t="s">
        <v>33</v>
      </c>
      <c r="I453" s="13">
        <v>45196.397245370368</v>
      </c>
      <c r="J453" s="12" t="s">
        <v>22</v>
      </c>
      <c r="K453" s="12"/>
      <c r="L453" s="12"/>
      <c r="M453" s="4" t="s">
        <v>23</v>
      </c>
      <c r="N453" s="8" t="str">
        <f t="shared" si="15"/>
        <v>074 - 59453321</v>
      </c>
      <c r="O453" s="9" t="s">
        <v>101</v>
      </c>
      <c r="P453" s="9" t="s">
        <v>25</v>
      </c>
      <c r="Q453" s="9"/>
      <c r="R453" s="9"/>
    </row>
    <row r="454" spans="2:18" ht="12.75" hidden="1" customHeight="1" thickBot="1">
      <c r="B454" s="5"/>
      <c r="C454" s="12" t="s">
        <v>323</v>
      </c>
      <c r="D454" s="12" t="s">
        <v>18</v>
      </c>
      <c r="E454" s="12" t="s">
        <v>19</v>
      </c>
      <c r="F454" s="12">
        <v>3</v>
      </c>
      <c r="G454" s="12" t="s">
        <v>20</v>
      </c>
      <c r="H454" s="12" t="s">
        <v>33</v>
      </c>
      <c r="I454" s="13">
        <v>45196.397245370368</v>
      </c>
      <c r="J454" s="12" t="s">
        <v>22</v>
      </c>
      <c r="K454" s="12"/>
      <c r="L454" s="12"/>
      <c r="M454" s="4" t="s">
        <v>23</v>
      </c>
      <c r="N454" s="8" t="str">
        <f t="shared" si="15"/>
        <v>057 - 47971475</v>
      </c>
      <c r="O454" s="9" t="s">
        <v>101</v>
      </c>
      <c r="P454" s="9" t="s">
        <v>25</v>
      </c>
      <c r="Q454" s="9"/>
      <c r="R454" s="9"/>
    </row>
    <row r="455" spans="2:18" ht="12.75" hidden="1" customHeight="1" thickBot="1">
      <c r="B455" s="6"/>
      <c r="C455" s="12" t="s">
        <v>318</v>
      </c>
      <c r="D455" s="12" t="s">
        <v>18</v>
      </c>
      <c r="E455" s="12" t="s">
        <v>19</v>
      </c>
      <c r="F455" s="12">
        <v>3</v>
      </c>
      <c r="G455" s="12" t="s">
        <v>20</v>
      </c>
      <c r="H455" s="12" t="s">
        <v>33</v>
      </c>
      <c r="I455" s="13">
        <v>45196.397233796299</v>
      </c>
      <c r="J455" s="12" t="s">
        <v>22</v>
      </c>
      <c r="K455" s="12"/>
      <c r="L455" s="12"/>
      <c r="M455" s="4" t="s">
        <v>23</v>
      </c>
      <c r="N455" s="8" t="str">
        <f t="shared" si="15"/>
        <v>057 - 47986713</v>
      </c>
      <c r="O455" s="9" t="s">
        <v>101</v>
      </c>
      <c r="P455" s="9" t="s">
        <v>25</v>
      </c>
      <c r="Q455" s="9"/>
      <c r="R455" s="9"/>
    </row>
    <row r="456" spans="2:18" ht="12.75" hidden="1" customHeight="1" thickBot="1">
      <c r="B456" s="5"/>
      <c r="C456" s="12" t="s">
        <v>322</v>
      </c>
      <c r="D456" s="12" t="s">
        <v>18</v>
      </c>
      <c r="E456" s="12" t="s">
        <v>19</v>
      </c>
      <c r="F456" s="12">
        <v>3</v>
      </c>
      <c r="G456" s="12" t="s">
        <v>20</v>
      </c>
      <c r="H456" s="12" t="s">
        <v>33</v>
      </c>
      <c r="I456" s="13">
        <v>45196.397233796299</v>
      </c>
      <c r="J456" s="12" t="s">
        <v>22</v>
      </c>
      <c r="K456" s="12"/>
      <c r="L456" s="12"/>
      <c r="M456" s="4" t="s">
        <v>23</v>
      </c>
      <c r="N456" s="8" t="str">
        <f t="shared" si="15"/>
        <v>074 - 59453321</v>
      </c>
      <c r="O456" s="9"/>
      <c r="P456" s="9" t="s">
        <v>25</v>
      </c>
      <c r="Q456" s="9"/>
      <c r="R456" s="9"/>
    </row>
    <row r="457" spans="2:18" ht="12.75" hidden="1" customHeight="1" thickBot="1">
      <c r="B457" s="7"/>
      <c r="C457" s="12" t="s">
        <v>317</v>
      </c>
      <c r="D457" s="12" t="s">
        <v>18</v>
      </c>
      <c r="E457" s="12" t="s">
        <v>19</v>
      </c>
      <c r="F457" s="12">
        <v>3</v>
      </c>
      <c r="G457" s="12" t="s">
        <v>20</v>
      </c>
      <c r="H457" s="12" t="s">
        <v>33</v>
      </c>
      <c r="I457" s="13">
        <v>45196.397222222222</v>
      </c>
      <c r="J457" s="12" t="s">
        <v>22</v>
      </c>
      <c r="K457" s="12"/>
      <c r="L457" s="12"/>
      <c r="M457" s="4" t="s">
        <v>23</v>
      </c>
      <c r="N457" s="8" t="str">
        <f t="shared" si="15"/>
        <v>057 - 48329142</v>
      </c>
      <c r="O457" s="9" t="s">
        <v>101</v>
      </c>
      <c r="P457" s="9" t="s">
        <v>25</v>
      </c>
      <c r="Q457" s="9"/>
      <c r="R457" s="9"/>
    </row>
    <row r="458" spans="2:18" ht="12.75" hidden="1" customHeight="1">
      <c r="C458" s="12" t="s">
        <v>324</v>
      </c>
      <c r="D458" s="12" t="s">
        <v>18</v>
      </c>
      <c r="E458" s="12" t="s">
        <v>19</v>
      </c>
      <c r="F458" s="12">
        <v>3</v>
      </c>
      <c r="G458" s="12" t="s">
        <v>20</v>
      </c>
      <c r="H458" s="12" t="s">
        <v>33</v>
      </c>
      <c r="I458" s="13">
        <v>45196.397210648145</v>
      </c>
      <c r="J458" s="12" t="s">
        <v>22</v>
      </c>
      <c r="K458" s="12"/>
      <c r="L458" s="12"/>
      <c r="M458" s="4" t="s">
        <v>23</v>
      </c>
      <c r="N458" s="8" t="str">
        <f>LEFT(C458,14)</f>
        <v>057 - 04247600</v>
      </c>
      <c r="O458" s="9" t="s">
        <v>101</v>
      </c>
      <c r="P458" s="9" t="s">
        <v>25</v>
      </c>
      <c r="Q458" s="9"/>
      <c r="R458" s="9"/>
    </row>
    <row r="459" spans="2:18" ht="12.75" hidden="1" customHeight="1" thickBot="1">
      <c r="B459" s="5"/>
      <c r="C459" s="12" t="s">
        <v>317</v>
      </c>
      <c r="D459" s="12" t="s">
        <v>18</v>
      </c>
      <c r="E459" s="12" t="s">
        <v>19</v>
      </c>
      <c r="F459" s="12">
        <v>3</v>
      </c>
      <c r="G459" s="12" t="s">
        <v>20</v>
      </c>
      <c r="H459" s="12" t="s">
        <v>33</v>
      </c>
      <c r="I459" s="13">
        <v>45196.397210648145</v>
      </c>
      <c r="J459" s="12" t="s">
        <v>22</v>
      </c>
      <c r="K459" s="12"/>
      <c r="L459" s="12"/>
      <c r="M459" s="4" t="s">
        <v>23</v>
      </c>
      <c r="N459" s="8" t="str">
        <f t="shared" ref="N459:N522" si="16">LEFT(C459,14)</f>
        <v>057 - 48329142</v>
      </c>
      <c r="O459" s="9"/>
      <c r="P459" s="9" t="s">
        <v>25</v>
      </c>
      <c r="Q459" s="9"/>
      <c r="R459" s="9"/>
    </row>
    <row r="460" spans="2:18" ht="12.75" hidden="1" customHeight="1" thickBot="1">
      <c r="B460" s="6"/>
      <c r="C460" s="12" t="s">
        <v>318</v>
      </c>
      <c r="D460" s="12" t="s">
        <v>18</v>
      </c>
      <c r="E460" s="12" t="s">
        <v>19</v>
      </c>
      <c r="F460" s="12">
        <v>3</v>
      </c>
      <c r="G460" s="12" t="s">
        <v>20</v>
      </c>
      <c r="H460" s="12" t="s">
        <v>33</v>
      </c>
      <c r="I460" s="13">
        <v>45196.397199074076</v>
      </c>
      <c r="J460" s="12" t="s">
        <v>22</v>
      </c>
      <c r="K460" s="12"/>
      <c r="L460" s="12"/>
      <c r="M460" s="4" t="s">
        <v>23</v>
      </c>
      <c r="N460" s="8" t="str">
        <f t="shared" si="16"/>
        <v>057 - 47986713</v>
      </c>
      <c r="O460" s="9"/>
      <c r="P460" s="9" t="s">
        <v>25</v>
      </c>
      <c r="Q460" s="9"/>
      <c r="R460" s="9"/>
    </row>
    <row r="461" spans="2:18" ht="12.75" hidden="1" customHeight="1" thickBot="1">
      <c r="B461" s="5"/>
      <c r="C461" s="12" t="s">
        <v>325</v>
      </c>
      <c r="D461" s="12" t="s">
        <v>18</v>
      </c>
      <c r="E461" s="12" t="s">
        <v>19</v>
      </c>
      <c r="F461" s="12">
        <v>3</v>
      </c>
      <c r="G461" s="12" t="s">
        <v>20</v>
      </c>
      <c r="H461" s="12" t="s">
        <v>33</v>
      </c>
      <c r="I461" s="13">
        <v>45196.397199074076</v>
      </c>
      <c r="J461" s="12" t="s">
        <v>22</v>
      </c>
      <c r="K461" s="12"/>
      <c r="L461" s="12"/>
      <c r="M461" s="4" t="s">
        <v>23</v>
      </c>
      <c r="N461" s="8" t="str">
        <f t="shared" si="16"/>
        <v>057 - 04027726</v>
      </c>
      <c r="O461" s="9" t="s">
        <v>101</v>
      </c>
      <c r="P461" s="9" t="s">
        <v>25</v>
      </c>
      <c r="Q461" s="9" t="s">
        <v>326</v>
      </c>
      <c r="R461" s="9"/>
    </row>
    <row r="462" spans="2:18" ht="12.75" hidden="1" customHeight="1" thickBot="1">
      <c r="B462" s="6"/>
      <c r="C462" s="12" t="s">
        <v>272</v>
      </c>
      <c r="D462" s="12" t="s">
        <v>18</v>
      </c>
      <c r="E462" s="12" t="s">
        <v>19</v>
      </c>
      <c r="F462" s="12">
        <v>3</v>
      </c>
      <c r="G462" s="12" t="s">
        <v>20</v>
      </c>
      <c r="H462" s="12" t="s">
        <v>33</v>
      </c>
      <c r="I462" s="13">
        <v>45196.397187499999</v>
      </c>
      <c r="J462" s="12" t="s">
        <v>22</v>
      </c>
      <c r="K462" s="12"/>
      <c r="L462" s="12"/>
      <c r="M462" s="4" t="s">
        <v>23</v>
      </c>
      <c r="N462" s="8" t="str">
        <f t="shared" si="16"/>
        <v>057 - 12888190</v>
      </c>
      <c r="O462" s="9"/>
      <c r="P462" s="9" t="s">
        <v>25</v>
      </c>
      <c r="Q462" s="9"/>
      <c r="R462" s="9"/>
    </row>
    <row r="463" spans="2:18" ht="12.75" hidden="1" customHeight="1" thickBot="1">
      <c r="B463" s="5"/>
      <c r="C463" s="12" t="s">
        <v>325</v>
      </c>
      <c r="D463" s="12" t="s">
        <v>18</v>
      </c>
      <c r="E463" s="12" t="s">
        <v>19</v>
      </c>
      <c r="F463" s="12">
        <v>3</v>
      </c>
      <c r="G463" s="12" t="s">
        <v>20</v>
      </c>
      <c r="H463" s="12" t="s">
        <v>33</v>
      </c>
      <c r="I463" s="13">
        <v>45196.397175925929</v>
      </c>
      <c r="J463" s="12" t="s">
        <v>22</v>
      </c>
      <c r="K463" s="12"/>
      <c r="L463" s="12"/>
      <c r="M463" s="4" t="s">
        <v>23</v>
      </c>
      <c r="N463" s="8" t="str">
        <f t="shared" si="16"/>
        <v>057 - 04027726</v>
      </c>
      <c r="O463" s="9"/>
      <c r="P463" s="9" t="s">
        <v>25</v>
      </c>
      <c r="Q463" s="9"/>
      <c r="R463" s="9"/>
    </row>
    <row r="464" spans="2:18" ht="12.75" hidden="1" customHeight="1" thickBot="1">
      <c r="B464" s="6"/>
      <c r="C464" s="12" t="s">
        <v>322</v>
      </c>
      <c r="D464" s="12" t="s">
        <v>18</v>
      </c>
      <c r="E464" s="12" t="s">
        <v>19</v>
      </c>
      <c r="F464" s="12">
        <v>3</v>
      </c>
      <c r="G464" s="12" t="s">
        <v>20</v>
      </c>
      <c r="H464" s="12" t="s">
        <v>33</v>
      </c>
      <c r="I464" s="13">
        <v>45196.397175925929</v>
      </c>
      <c r="J464" s="12" t="s">
        <v>22</v>
      </c>
      <c r="K464" s="12"/>
      <c r="L464" s="12"/>
      <c r="M464" s="4" t="s">
        <v>23</v>
      </c>
      <c r="N464" s="8" t="str">
        <f t="shared" si="16"/>
        <v>074 - 59453321</v>
      </c>
      <c r="O464" s="9"/>
      <c r="P464" s="9" t="s">
        <v>25</v>
      </c>
      <c r="Q464" s="9"/>
      <c r="R464" s="9"/>
    </row>
    <row r="465" spans="2:18" ht="12.75" hidden="1" customHeight="1" thickBot="1">
      <c r="B465" s="5"/>
      <c r="C465" s="12" t="s">
        <v>322</v>
      </c>
      <c r="D465" s="12" t="s">
        <v>18</v>
      </c>
      <c r="E465" s="12" t="s">
        <v>19</v>
      </c>
      <c r="F465" s="12">
        <v>3</v>
      </c>
      <c r="G465" s="12" t="s">
        <v>20</v>
      </c>
      <c r="H465" s="12" t="s">
        <v>33</v>
      </c>
      <c r="I465" s="13">
        <v>45196.397164351853</v>
      </c>
      <c r="J465" s="12" t="s">
        <v>22</v>
      </c>
      <c r="K465" s="12"/>
      <c r="L465" s="12"/>
      <c r="M465" s="4" t="s">
        <v>23</v>
      </c>
      <c r="N465" s="8" t="str">
        <f t="shared" si="16"/>
        <v>074 - 59453321</v>
      </c>
      <c r="O465" s="9"/>
      <c r="P465" s="9" t="s">
        <v>25</v>
      </c>
      <c r="Q465" s="9"/>
      <c r="R465" s="9"/>
    </row>
    <row r="466" spans="2:18" ht="12.75" hidden="1" customHeight="1" thickBot="1">
      <c r="B466" s="6"/>
      <c r="C466" s="12" t="s">
        <v>327</v>
      </c>
      <c r="D466" s="12" t="s">
        <v>18</v>
      </c>
      <c r="E466" s="12" t="s">
        <v>19</v>
      </c>
      <c r="F466" s="12">
        <v>3</v>
      </c>
      <c r="G466" s="12" t="s">
        <v>20</v>
      </c>
      <c r="H466" s="12" t="s">
        <v>33</v>
      </c>
      <c r="I466" s="13">
        <v>45196.397164351853</v>
      </c>
      <c r="J466" s="12" t="s">
        <v>22</v>
      </c>
      <c r="K466" s="12"/>
      <c r="L466" s="12"/>
      <c r="M466" s="4" t="s">
        <v>23</v>
      </c>
      <c r="N466" s="8" t="str">
        <f t="shared" si="16"/>
        <v>057 - 48313834</v>
      </c>
      <c r="O466" s="9" t="s">
        <v>101</v>
      </c>
      <c r="P466" s="9" t="s">
        <v>25</v>
      </c>
      <c r="Q466" s="9" t="s">
        <v>328</v>
      </c>
      <c r="R466" s="9"/>
    </row>
    <row r="467" spans="2:18" ht="12.75" hidden="1" customHeight="1" thickBot="1">
      <c r="B467" s="5"/>
      <c r="C467" s="12" t="s">
        <v>321</v>
      </c>
      <c r="D467" s="12" t="s">
        <v>18</v>
      </c>
      <c r="E467" s="12" t="s">
        <v>19</v>
      </c>
      <c r="F467" s="12">
        <v>3</v>
      </c>
      <c r="G467" s="12" t="s">
        <v>20</v>
      </c>
      <c r="H467" s="12" t="s">
        <v>33</v>
      </c>
      <c r="I467" s="13">
        <v>45196.397152777776</v>
      </c>
      <c r="J467" s="12" t="s">
        <v>22</v>
      </c>
      <c r="K467" s="12"/>
      <c r="L467" s="12"/>
      <c r="M467" s="4" t="s">
        <v>23</v>
      </c>
      <c r="N467" s="8" t="str">
        <f t="shared" si="16"/>
        <v>057 - 47989620</v>
      </c>
      <c r="O467" s="9"/>
      <c r="P467" s="9" t="s">
        <v>25</v>
      </c>
      <c r="Q467" s="9"/>
      <c r="R467" s="9"/>
    </row>
    <row r="468" spans="2:18" ht="12.75" hidden="1" customHeight="1" thickBot="1">
      <c r="B468" s="6"/>
      <c r="C468" s="12" t="s">
        <v>327</v>
      </c>
      <c r="D468" s="12" t="s">
        <v>18</v>
      </c>
      <c r="E468" s="12" t="s">
        <v>19</v>
      </c>
      <c r="F468" s="12">
        <v>3</v>
      </c>
      <c r="G468" s="12" t="s">
        <v>20</v>
      </c>
      <c r="H468" s="12" t="s">
        <v>33</v>
      </c>
      <c r="I468" s="13">
        <v>45196.397152777776</v>
      </c>
      <c r="J468" s="12" t="s">
        <v>22</v>
      </c>
      <c r="K468" s="12"/>
      <c r="L468" s="12"/>
      <c r="M468" s="4" t="s">
        <v>23</v>
      </c>
      <c r="N468" s="8" t="str">
        <f t="shared" si="16"/>
        <v>057 - 48313834</v>
      </c>
      <c r="O468" s="9"/>
      <c r="P468" s="9" t="s">
        <v>25</v>
      </c>
      <c r="Q468" s="9" t="s">
        <v>328</v>
      </c>
      <c r="R468" s="9"/>
    </row>
    <row r="469" spans="2:18" ht="12.75" hidden="1" customHeight="1" thickBot="1">
      <c r="B469" s="5"/>
      <c r="C469" s="12" t="s">
        <v>324</v>
      </c>
      <c r="D469" s="12" t="s">
        <v>18</v>
      </c>
      <c r="E469" s="12" t="s">
        <v>19</v>
      </c>
      <c r="F469" s="12">
        <v>3</v>
      </c>
      <c r="G469" s="12" t="s">
        <v>20</v>
      </c>
      <c r="H469" s="12" t="s">
        <v>113</v>
      </c>
      <c r="I469" s="13">
        <v>45196.397141203706</v>
      </c>
      <c r="J469" s="12" t="s">
        <v>22</v>
      </c>
      <c r="K469" s="12"/>
      <c r="L469" s="12"/>
      <c r="M469" s="4" t="s">
        <v>23</v>
      </c>
      <c r="N469" s="8" t="str">
        <f t="shared" si="16"/>
        <v>057 - 04247600</v>
      </c>
      <c r="O469" s="9"/>
      <c r="P469" s="9" t="s">
        <v>25</v>
      </c>
      <c r="Q469" s="9"/>
      <c r="R469" s="9"/>
    </row>
    <row r="470" spans="2:18" ht="12.75" hidden="1" customHeight="1" thickBot="1">
      <c r="B470" s="6"/>
      <c r="C470" s="12" t="s">
        <v>325</v>
      </c>
      <c r="D470" s="12" t="s">
        <v>18</v>
      </c>
      <c r="E470" s="12" t="s">
        <v>19</v>
      </c>
      <c r="F470" s="12">
        <v>3</v>
      </c>
      <c r="G470" s="12" t="s">
        <v>20</v>
      </c>
      <c r="H470" s="12" t="s">
        <v>33</v>
      </c>
      <c r="I470" s="13">
        <v>45196.397141203706</v>
      </c>
      <c r="J470" s="12" t="s">
        <v>22</v>
      </c>
      <c r="K470" s="12"/>
      <c r="L470" s="12"/>
      <c r="M470" s="4" t="s">
        <v>23</v>
      </c>
      <c r="N470" s="8" t="str">
        <f t="shared" si="16"/>
        <v>057 - 04027726</v>
      </c>
      <c r="O470" s="9"/>
      <c r="P470" s="9" t="s">
        <v>25</v>
      </c>
      <c r="Q470" s="9" t="s">
        <v>326</v>
      </c>
      <c r="R470" s="9"/>
    </row>
    <row r="471" spans="2:18" ht="12.75" hidden="1" customHeight="1" thickBot="1">
      <c r="B471" s="5"/>
      <c r="C471" s="12" t="s">
        <v>324</v>
      </c>
      <c r="D471" s="12" t="s">
        <v>18</v>
      </c>
      <c r="E471" s="12" t="s">
        <v>19</v>
      </c>
      <c r="F471" s="12">
        <v>3</v>
      </c>
      <c r="G471" s="12" t="s">
        <v>20</v>
      </c>
      <c r="H471" s="12" t="s">
        <v>33</v>
      </c>
      <c r="I471" s="13">
        <v>45196.397129629629</v>
      </c>
      <c r="J471" s="12" t="s">
        <v>22</v>
      </c>
      <c r="K471" s="12"/>
      <c r="L471" s="12"/>
      <c r="M471" s="4" t="s">
        <v>23</v>
      </c>
      <c r="N471" s="8" t="str">
        <f t="shared" si="16"/>
        <v>057 - 04247600</v>
      </c>
      <c r="O471" s="9"/>
      <c r="P471" s="9" t="s">
        <v>25</v>
      </c>
      <c r="Q471" s="9"/>
      <c r="R471" s="9"/>
    </row>
    <row r="472" spans="2:18" ht="12.75" hidden="1" customHeight="1" thickBot="1">
      <c r="B472" s="6"/>
      <c r="C472" s="12" t="s">
        <v>148</v>
      </c>
      <c r="D472" s="12" t="s">
        <v>18</v>
      </c>
      <c r="E472" s="12" t="s">
        <v>19</v>
      </c>
      <c r="F472" s="12">
        <v>3</v>
      </c>
      <c r="G472" s="12" t="s">
        <v>20</v>
      </c>
      <c r="H472" s="12" t="s">
        <v>33</v>
      </c>
      <c r="I472" s="13">
        <v>45196.397118055553</v>
      </c>
      <c r="J472" s="12" t="s">
        <v>22</v>
      </c>
      <c r="K472" s="12"/>
      <c r="L472" s="12"/>
      <c r="M472" s="4" t="s">
        <v>23</v>
      </c>
      <c r="N472" s="8" t="str">
        <f t="shared" si="16"/>
        <v>057 - 46045591</v>
      </c>
      <c r="O472" s="9"/>
      <c r="P472" s="9" t="s">
        <v>25</v>
      </c>
      <c r="Q472" s="9" t="s">
        <v>152</v>
      </c>
      <c r="R472" s="9"/>
    </row>
    <row r="473" spans="2:18" ht="12.75" hidden="1" customHeight="1" thickBot="1">
      <c r="B473" s="5"/>
      <c r="C473" s="12" t="s">
        <v>325</v>
      </c>
      <c r="D473" s="12" t="s">
        <v>18</v>
      </c>
      <c r="E473" s="12" t="s">
        <v>19</v>
      </c>
      <c r="F473" s="12">
        <v>3</v>
      </c>
      <c r="G473" s="12" t="s">
        <v>20</v>
      </c>
      <c r="H473" s="12" t="s">
        <v>33</v>
      </c>
      <c r="I473" s="13">
        <v>45196.397106481483</v>
      </c>
      <c r="J473" s="12" t="s">
        <v>22</v>
      </c>
      <c r="K473" s="12"/>
      <c r="L473" s="12"/>
      <c r="M473" s="4" t="s">
        <v>23</v>
      </c>
      <c r="N473" s="8" t="str">
        <f t="shared" si="16"/>
        <v>057 - 04027726</v>
      </c>
      <c r="O473" s="9"/>
      <c r="P473" s="9" t="s">
        <v>25</v>
      </c>
      <c r="Q473" s="9" t="s">
        <v>326</v>
      </c>
      <c r="R473" s="9"/>
    </row>
    <row r="474" spans="2:18" ht="12.75" hidden="1" customHeight="1" thickBot="1">
      <c r="B474" s="6"/>
      <c r="C474" s="12" t="s">
        <v>278</v>
      </c>
      <c r="D474" s="12" t="s">
        <v>18</v>
      </c>
      <c r="E474" s="12" t="s">
        <v>19</v>
      </c>
      <c r="F474" s="12">
        <v>3</v>
      </c>
      <c r="G474" s="12" t="s">
        <v>20</v>
      </c>
      <c r="H474" s="12" t="s">
        <v>33</v>
      </c>
      <c r="I474" s="13">
        <v>45196.397106481483</v>
      </c>
      <c r="J474" s="12" t="s">
        <v>22</v>
      </c>
      <c r="K474" s="12"/>
      <c r="L474" s="12"/>
      <c r="M474" s="4" t="s">
        <v>23</v>
      </c>
      <c r="N474" s="8" t="str">
        <f t="shared" si="16"/>
        <v>057 - 04262436</v>
      </c>
      <c r="O474" s="9" t="s">
        <v>101</v>
      </c>
      <c r="P474" s="9" t="s">
        <v>25</v>
      </c>
      <c r="Q474" s="9"/>
      <c r="R474" s="9"/>
    </row>
    <row r="475" spans="2:18" ht="12.75" hidden="1" customHeight="1" thickBot="1">
      <c r="B475" s="5"/>
      <c r="C475" s="12" t="s">
        <v>324</v>
      </c>
      <c r="D475" s="12" t="s">
        <v>18</v>
      </c>
      <c r="E475" s="12" t="s">
        <v>19</v>
      </c>
      <c r="F475" s="12">
        <v>3</v>
      </c>
      <c r="G475" s="12" t="s">
        <v>20</v>
      </c>
      <c r="H475" s="12" t="s">
        <v>33</v>
      </c>
      <c r="I475" s="13">
        <v>45196.397106481483</v>
      </c>
      <c r="J475" s="12" t="s">
        <v>22</v>
      </c>
      <c r="K475" s="12"/>
      <c r="L475" s="12"/>
      <c r="M475" s="4" t="s">
        <v>23</v>
      </c>
      <c r="N475" s="8" t="str">
        <f t="shared" si="16"/>
        <v>057 - 04247600</v>
      </c>
      <c r="O475" s="9"/>
      <c r="P475" s="9" t="s">
        <v>25</v>
      </c>
      <c r="Q475" s="9"/>
      <c r="R475" s="9"/>
    </row>
    <row r="476" spans="2:18" ht="12.75" hidden="1" customHeight="1" thickBot="1">
      <c r="B476" s="6"/>
      <c r="C476" s="12" t="s">
        <v>329</v>
      </c>
      <c r="D476" s="12" t="s">
        <v>18</v>
      </c>
      <c r="E476" s="12" t="s">
        <v>19</v>
      </c>
      <c r="F476" s="12">
        <v>3</v>
      </c>
      <c r="G476" s="12" t="s">
        <v>20</v>
      </c>
      <c r="H476" s="12" t="s">
        <v>33</v>
      </c>
      <c r="I476" s="13">
        <v>45196.397094907406</v>
      </c>
      <c r="J476" s="12" t="s">
        <v>22</v>
      </c>
      <c r="K476" s="12"/>
      <c r="L476" s="12"/>
      <c r="M476" s="4" t="s">
        <v>23</v>
      </c>
      <c r="N476" s="8" t="str">
        <f t="shared" si="16"/>
        <v>057 - 48178443</v>
      </c>
      <c r="O476" s="9" t="s">
        <v>101</v>
      </c>
      <c r="P476" s="9" t="s">
        <v>25</v>
      </c>
      <c r="Q476" s="9" t="s">
        <v>330</v>
      </c>
      <c r="R476" s="9"/>
    </row>
    <row r="477" spans="2:18" ht="12.75" hidden="1" customHeight="1" thickBot="1">
      <c r="B477" s="5"/>
      <c r="C477" s="12" t="s">
        <v>148</v>
      </c>
      <c r="D477" s="12" t="s">
        <v>18</v>
      </c>
      <c r="E477" s="12" t="s">
        <v>19</v>
      </c>
      <c r="F477" s="12">
        <v>3</v>
      </c>
      <c r="G477" s="12" t="s">
        <v>20</v>
      </c>
      <c r="H477" s="12" t="s">
        <v>33</v>
      </c>
      <c r="I477" s="13">
        <v>45196.397083333337</v>
      </c>
      <c r="J477" s="12" t="s">
        <v>22</v>
      </c>
      <c r="K477" s="12"/>
      <c r="L477" s="12"/>
      <c r="M477" s="4" t="s">
        <v>23</v>
      </c>
      <c r="N477" s="8" t="str">
        <f t="shared" si="16"/>
        <v>057 - 46045591</v>
      </c>
      <c r="O477" s="9" t="s">
        <v>101</v>
      </c>
      <c r="P477" s="9"/>
      <c r="Q477" s="9"/>
      <c r="R477" s="9"/>
    </row>
    <row r="478" spans="2:18" ht="12.75" hidden="1" customHeight="1" thickBot="1">
      <c r="B478" s="6"/>
      <c r="C478" s="12" t="s">
        <v>327</v>
      </c>
      <c r="D478" s="12" t="s">
        <v>18</v>
      </c>
      <c r="E478" s="12" t="s">
        <v>19</v>
      </c>
      <c r="F478" s="12">
        <v>3</v>
      </c>
      <c r="G478" s="12" t="s">
        <v>20</v>
      </c>
      <c r="H478" s="12" t="s">
        <v>33</v>
      </c>
      <c r="I478" s="13">
        <v>45196.397083333337</v>
      </c>
      <c r="J478" s="12" t="s">
        <v>22</v>
      </c>
      <c r="K478" s="12"/>
      <c r="L478" s="12"/>
      <c r="M478" s="4" t="s">
        <v>23</v>
      </c>
      <c r="N478" s="8" t="str">
        <f t="shared" si="16"/>
        <v>057 - 48313834</v>
      </c>
      <c r="O478" s="9" t="s">
        <v>101</v>
      </c>
      <c r="P478" s="9"/>
      <c r="Q478" s="9"/>
      <c r="R478" s="9"/>
    </row>
    <row r="479" spans="2:18" ht="12.75" hidden="1" customHeight="1" thickBot="1">
      <c r="B479" s="5"/>
      <c r="C479" s="12" t="s">
        <v>331</v>
      </c>
      <c r="D479" s="12" t="s">
        <v>18</v>
      </c>
      <c r="E479" s="12" t="s">
        <v>19</v>
      </c>
      <c r="F479" s="12">
        <v>3</v>
      </c>
      <c r="G479" s="12" t="s">
        <v>20</v>
      </c>
      <c r="H479" s="12" t="s">
        <v>33</v>
      </c>
      <c r="I479" s="13">
        <v>45196.39707175926</v>
      </c>
      <c r="J479" s="12" t="s">
        <v>22</v>
      </c>
      <c r="K479" s="12"/>
      <c r="L479" s="12"/>
      <c r="M479" s="4" t="s">
        <v>23</v>
      </c>
      <c r="N479" s="8" t="str">
        <f t="shared" si="16"/>
        <v>057 - 04175426</v>
      </c>
      <c r="O479" s="9" t="s">
        <v>101</v>
      </c>
      <c r="P479" s="9"/>
      <c r="Q479" s="9"/>
      <c r="R479" s="9"/>
    </row>
    <row r="480" spans="2:18" ht="12.75" hidden="1" customHeight="1" thickBot="1">
      <c r="B480" s="6"/>
      <c r="C480" s="12" t="s">
        <v>331</v>
      </c>
      <c r="D480" s="12" t="s">
        <v>18</v>
      </c>
      <c r="E480" s="12" t="s">
        <v>19</v>
      </c>
      <c r="F480" s="12">
        <v>3</v>
      </c>
      <c r="G480" s="12" t="s">
        <v>20</v>
      </c>
      <c r="H480" s="12" t="s">
        <v>33</v>
      </c>
      <c r="I480" s="13">
        <v>45196.397060185183</v>
      </c>
      <c r="J480" s="12" t="s">
        <v>22</v>
      </c>
      <c r="K480" s="12"/>
      <c r="L480" s="12"/>
      <c r="M480" s="4" t="s">
        <v>23</v>
      </c>
      <c r="N480" s="8" t="str">
        <f t="shared" si="16"/>
        <v>057 - 04175426</v>
      </c>
      <c r="O480" s="9" t="s">
        <v>101</v>
      </c>
      <c r="P480" s="9"/>
      <c r="Q480" s="9"/>
      <c r="R480" s="9"/>
    </row>
    <row r="481" spans="2:18" ht="12.75" hidden="1" customHeight="1" thickBot="1">
      <c r="B481" s="5"/>
      <c r="C481" s="12" t="s">
        <v>148</v>
      </c>
      <c r="D481" s="12" t="s">
        <v>18</v>
      </c>
      <c r="E481" s="12" t="s">
        <v>19</v>
      </c>
      <c r="F481" s="12">
        <v>3</v>
      </c>
      <c r="G481" s="12" t="s">
        <v>20</v>
      </c>
      <c r="H481" s="12" t="s">
        <v>33</v>
      </c>
      <c r="I481" s="13">
        <v>45196.397048611114</v>
      </c>
      <c r="J481" s="12" t="s">
        <v>22</v>
      </c>
      <c r="K481" s="12"/>
      <c r="L481" s="12"/>
      <c r="M481" s="4" t="s">
        <v>23</v>
      </c>
      <c r="N481" s="8" t="str">
        <f t="shared" si="16"/>
        <v>057 - 46045591</v>
      </c>
      <c r="O481" s="9" t="s">
        <v>101</v>
      </c>
      <c r="P481" s="9"/>
      <c r="Q481" s="9"/>
      <c r="R481" s="9"/>
    </row>
    <row r="482" spans="2:18" ht="12.75" hidden="1" customHeight="1" thickBot="1">
      <c r="B482" s="7"/>
      <c r="C482" s="12" t="s">
        <v>151</v>
      </c>
      <c r="D482" s="12" t="s">
        <v>18</v>
      </c>
      <c r="E482" s="12" t="s">
        <v>19</v>
      </c>
      <c r="F482" s="12">
        <v>3</v>
      </c>
      <c r="G482" s="12" t="s">
        <v>20</v>
      </c>
      <c r="H482" s="12" t="s">
        <v>33</v>
      </c>
      <c r="I482" s="13">
        <v>45196.397048611114</v>
      </c>
      <c r="J482" s="12" t="s">
        <v>22</v>
      </c>
      <c r="K482" s="12"/>
      <c r="L482" s="12"/>
      <c r="M482" s="4" t="s">
        <v>332</v>
      </c>
      <c r="N482" s="8" t="str">
        <f t="shared" si="16"/>
        <v>057 - 47518962</v>
      </c>
      <c r="O482" s="9" t="s">
        <v>101</v>
      </c>
      <c r="P482" s="9"/>
      <c r="Q482" s="9"/>
      <c r="R482" s="9"/>
    </row>
    <row r="483" spans="2:18" ht="12.75" hidden="1" customHeight="1">
      <c r="C483" s="12" t="s">
        <v>280</v>
      </c>
      <c r="D483" s="12" t="s">
        <v>18</v>
      </c>
      <c r="E483" s="12" t="s">
        <v>19</v>
      </c>
      <c r="F483" s="12">
        <v>3</v>
      </c>
      <c r="G483" s="12" t="s">
        <v>20</v>
      </c>
      <c r="H483" s="12" t="s">
        <v>33</v>
      </c>
      <c r="I483" s="13">
        <v>45196.397037037037</v>
      </c>
      <c r="J483" s="12" t="s">
        <v>22</v>
      </c>
      <c r="K483" s="12"/>
      <c r="L483" s="12"/>
      <c r="M483" s="4" t="s">
        <v>23</v>
      </c>
      <c r="N483" s="8" t="str">
        <f t="shared" si="16"/>
        <v>057 - 48203982</v>
      </c>
      <c r="O483" s="9" t="s">
        <v>101</v>
      </c>
      <c r="P483" s="9"/>
      <c r="Q483" s="9"/>
      <c r="R483" s="9"/>
    </row>
    <row r="484" spans="2:18" ht="12.75" hidden="1" customHeight="1" thickBot="1">
      <c r="B484" s="5"/>
      <c r="C484" s="12" t="s">
        <v>333</v>
      </c>
      <c r="D484" s="12" t="s">
        <v>18</v>
      </c>
      <c r="E484" s="12" t="s">
        <v>19</v>
      </c>
      <c r="F484" s="12">
        <v>3</v>
      </c>
      <c r="G484" s="12" t="s">
        <v>20</v>
      </c>
      <c r="H484" s="12" t="s">
        <v>33</v>
      </c>
      <c r="I484" s="13">
        <v>45196.397037037037</v>
      </c>
      <c r="J484" s="12" t="s">
        <v>22</v>
      </c>
      <c r="K484" s="12"/>
      <c r="L484" s="12"/>
      <c r="M484" s="4" t="s">
        <v>23</v>
      </c>
      <c r="N484" s="8" t="str">
        <f t="shared" si="16"/>
        <v>057 - 04162524</v>
      </c>
      <c r="O484" s="9" t="s">
        <v>101</v>
      </c>
      <c r="P484" s="9"/>
      <c r="Q484" s="9"/>
      <c r="R484" s="9"/>
    </row>
    <row r="485" spans="2:18" ht="12.75" hidden="1" customHeight="1" thickBot="1">
      <c r="B485" s="6"/>
      <c r="C485" s="12" t="s">
        <v>333</v>
      </c>
      <c r="D485" s="12" t="s">
        <v>18</v>
      </c>
      <c r="E485" s="12" t="s">
        <v>19</v>
      </c>
      <c r="F485" s="12">
        <v>3</v>
      </c>
      <c r="G485" s="12" t="s">
        <v>20</v>
      </c>
      <c r="H485" s="12" t="s">
        <v>33</v>
      </c>
      <c r="I485" s="13">
        <v>45196.39702546296</v>
      </c>
      <c r="J485" s="12" t="s">
        <v>22</v>
      </c>
      <c r="K485" s="12"/>
      <c r="L485" s="12"/>
      <c r="M485" s="4" t="s">
        <v>23</v>
      </c>
      <c r="N485" s="8" t="str">
        <f t="shared" si="16"/>
        <v>057 - 04162524</v>
      </c>
      <c r="O485" s="9" t="s">
        <v>101</v>
      </c>
      <c r="P485" s="9"/>
      <c r="Q485" s="9"/>
      <c r="R485" s="9"/>
    </row>
    <row r="486" spans="2:18" ht="12.75" hidden="1" customHeight="1" thickBot="1">
      <c r="B486" s="5"/>
      <c r="C486" s="12" t="s">
        <v>295</v>
      </c>
      <c r="D486" s="12" t="s">
        <v>18</v>
      </c>
      <c r="E486" s="12" t="s">
        <v>19</v>
      </c>
      <c r="F486" s="12">
        <v>3</v>
      </c>
      <c r="G486" s="12" t="s">
        <v>20</v>
      </c>
      <c r="H486" s="12" t="s">
        <v>33</v>
      </c>
      <c r="I486" s="13">
        <v>45196.39702546296</v>
      </c>
      <c r="J486" s="12" t="s">
        <v>22</v>
      </c>
      <c r="K486" s="12"/>
      <c r="L486" s="12"/>
      <c r="M486" s="4" t="s">
        <v>23</v>
      </c>
      <c r="N486" s="8" t="str">
        <f t="shared" si="16"/>
        <v>057 - 48470660</v>
      </c>
      <c r="O486" s="9" t="s">
        <v>101</v>
      </c>
      <c r="P486" s="9"/>
      <c r="Q486" s="9"/>
      <c r="R486" s="9"/>
    </row>
    <row r="487" spans="2:18" ht="12.75" hidden="1" customHeight="1" thickBot="1">
      <c r="B487" s="6"/>
      <c r="C487" s="12" t="s">
        <v>334</v>
      </c>
      <c r="D487" s="12" t="s">
        <v>18</v>
      </c>
      <c r="E487" s="12" t="s">
        <v>19</v>
      </c>
      <c r="F487" s="12">
        <v>3</v>
      </c>
      <c r="G487" s="12" t="s">
        <v>20</v>
      </c>
      <c r="H487" s="12" t="s">
        <v>33</v>
      </c>
      <c r="I487" s="13">
        <v>45196.397002314814</v>
      </c>
      <c r="J487" s="12" t="s">
        <v>22</v>
      </c>
      <c r="K487" s="12"/>
      <c r="L487" s="12"/>
      <c r="M487" s="4" t="s">
        <v>23</v>
      </c>
      <c r="N487" s="8" t="str">
        <f t="shared" si="16"/>
        <v>057 - 46045462</v>
      </c>
      <c r="O487" s="9" t="s">
        <v>101</v>
      </c>
      <c r="P487" s="9"/>
      <c r="Q487" s="9"/>
      <c r="R487" s="9"/>
    </row>
    <row r="488" spans="2:18" ht="12.75" hidden="1" customHeight="1" thickBot="1">
      <c r="B488" s="5"/>
      <c r="C488" s="12" t="s">
        <v>148</v>
      </c>
      <c r="D488" s="12" t="s">
        <v>18</v>
      </c>
      <c r="E488" s="12" t="s">
        <v>19</v>
      </c>
      <c r="F488" s="12">
        <v>3</v>
      </c>
      <c r="G488" s="12" t="s">
        <v>20</v>
      </c>
      <c r="H488" s="12" t="s">
        <v>33</v>
      </c>
      <c r="I488" s="13">
        <v>45196.397002314814</v>
      </c>
      <c r="J488" s="12" t="s">
        <v>22</v>
      </c>
      <c r="K488" s="12"/>
      <c r="L488" s="12"/>
      <c r="M488" s="4" t="s">
        <v>23</v>
      </c>
      <c r="N488" s="8" t="str">
        <f t="shared" si="16"/>
        <v>057 - 46045591</v>
      </c>
      <c r="O488" s="9" t="s">
        <v>101</v>
      </c>
      <c r="P488" s="9"/>
      <c r="Q488" s="9"/>
      <c r="R488" s="9"/>
    </row>
    <row r="489" spans="2:18" ht="12.75" hidden="1" customHeight="1" thickBot="1">
      <c r="B489" s="6"/>
      <c r="C489" s="12" t="s">
        <v>334</v>
      </c>
      <c r="D489" s="12" t="s">
        <v>18</v>
      </c>
      <c r="E489" s="12" t="s">
        <v>19</v>
      </c>
      <c r="F489" s="12">
        <v>3</v>
      </c>
      <c r="G489" s="12" t="s">
        <v>20</v>
      </c>
      <c r="H489" s="12" t="s">
        <v>33</v>
      </c>
      <c r="I489" s="13">
        <v>45196.396990740737</v>
      </c>
      <c r="J489" s="12" t="s">
        <v>22</v>
      </c>
      <c r="K489" s="12"/>
      <c r="L489" s="12"/>
      <c r="M489" s="4" t="s">
        <v>23</v>
      </c>
      <c r="N489" s="8" t="str">
        <f t="shared" si="16"/>
        <v>057 - 46045462</v>
      </c>
      <c r="O489" s="9" t="s">
        <v>101</v>
      </c>
      <c r="P489" s="9"/>
      <c r="Q489" s="9"/>
      <c r="R489" s="9"/>
    </row>
    <row r="490" spans="2:18" ht="12.75" hidden="1" customHeight="1" thickBot="1">
      <c r="B490" s="5"/>
      <c r="C490" s="12" t="s">
        <v>151</v>
      </c>
      <c r="D490" s="12" t="s">
        <v>18</v>
      </c>
      <c r="E490" s="12" t="s">
        <v>19</v>
      </c>
      <c r="F490" s="12">
        <v>3</v>
      </c>
      <c r="G490" s="12" t="s">
        <v>20</v>
      </c>
      <c r="H490" s="12" t="s">
        <v>33</v>
      </c>
      <c r="I490" s="13">
        <v>45196.396979166668</v>
      </c>
      <c r="J490" s="12" t="s">
        <v>22</v>
      </c>
      <c r="K490" s="12"/>
      <c r="L490" s="12"/>
      <c r="M490" s="4" t="s">
        <v>23</v>
      </c>
      <c r="N490" s="8" t="str">
        <f t="shared" si="16"/>
        <v>057 - 47518962</v>
      </c>
      <c r="O490" s="9" t="s">
        <v>101</v>
      </c>
      <c r="P490" s="9"/>
      <c r="Q490" s="9"/>
      <c r="R490" s="9"/>
    </row>
    <row r="491" spans="2:18" ht="12.75" hidden="1" customHeight="1" thickBot="1">
      <c r="B491" s="6"/>
      <c r="C491" s="12" t="s">
        <v>335</v>
      </c>
      <c r="D491" s="12" t="s">
        <v>18</v>
      </c>
      <c r="E491" s="12" t="s">
        <v>19</v>
      </c>
      <c r="F491" s="12">
        <v>3</v>
      </c>
      <c r="G491" s="12" t="s">
        <v>20</v>
      </c>
      <c r="H491" s="12" t="s">
        <v>33</v>
      </c>
      <c r="I491" s="13">
        <v>45196.396967592591</v>
      </c>
      <c r="J491" s="12" t="s">
        <v>22</v>
      </c>
      <c r="K491" s="12"/>
      <c r="L491" s="12"/>
      <c r="M491" s="4" t="s">
        <v>23</v>
      </c>
      <c r="N491" s="8" t="str">
        <f t="shared" si="16"/>
        <v>057 - 46413054</v>
      </c>
      <c r="O491" s="9" t="s">
        <v>101</v>
      </c>
      <c r="P491" s="9"/>
      <c r="Q491" s="9"/>
      <c r="R491" s="9"/>
    </row>
    <row r="492" spans="2:18" ht="12.75" hidden="1" customHeight="1" thickBot="1">
      <c r="B492" s="5"/>
      <c r="C492" s="12" t="s">
        <v>151</v>
      </c>
      <c r="D492" s="12" t="s">
        <v>18</v>
      </c>
      <c r="E492" s="12" t="s">
        <v>19</v>
      </c>
      <c r="F492" s="12">
        <v>3</v>
      </c>
      <c r="G492" s="12" t="s">
        <v>20</v>
      </c>
      <c r="H492" s="12" t="s">
        <v>33</v>
      </c>
      <c r="I492" s="13">
        <v>45196.396956018521</v>
      </c>
      <c r="J492" s="12" t="s">
        <v>22</v>
      </c>
      <c r="K492" s="12"/>
      <c r="L492" s="12"/>
      <c r="M492" s="4" t="s">
        <v>23</v>
      </c>
      <c r="N492" s="8" t="str">
        <f t="shared" si="16"/>
        <v>057 - 47518962</v>
      </c>
      <c r="O492" s="9" t="s">
        <v>101</v>
      </c>
      <c r="P492" s="9"/>
      <c r="Q492" s="9"/>
      <c r="R492" s="9"/>
    </row>
    <row r="493" spans="2:18" ht="12.75" hidden="1" customHeight="1" thickBot="1">
      <c r="B493" s="6"/>
      <c r="C493" s="12" t="s">
        <v>336</v>
      </c>
      <c r="D493" s="12" t="s">
        <v>18</v>
      </c>
      <c r="E493" s="12" t="s">
        <v>19</v>
      </c>
      <c r="F493" s="12">
        <v>3</v>
      </c>
      <c r="G493" s="12" t="s">
        <v>20</v>
      </c>
      <c r="H493" s="12" t="s">
        <v>33</v>
      </c>
      <c r="I493" s="13">
        <v>45196.396956018521</v>
      </c>
      <c r="J493" s="12" t="s">
        <v>22</v>
      </c>
      <c r="K493" s="12"/>
      <c r="L493" s="12"/>
      <c r="M493" s="4" t="s">
        <v>23</v>
      </c>
      <c r="N493" s="8" t="str">
        <f t="shared" si="16"/>
        <v>057 - 48306731</v>
      </c>
      <c r="O493" s="9" t="s">
        <v>101</v>
      </c>
      <c r="P493" s="9"/>
      <c r="Q493" s="9"/>
      <c r="R493" s="9"/>
    </row>
    <row r="494" spans="2:18" ht="12.75" hidden="1" customHeight="1" thickBot="1">
      <c r="B494" s="5"/>
      <c r="C494" s="12" t="s">
        <v>151</v>
      </c>
      <c r="D494" s="12" t="s">
        <v>18</v>
      </c>
      <c r="E494" s="12" t="s">
        <v>19</v>
      </c>
      <c r="F494" s="12">
        <v>3</v>
      </c>
      <c r="G494" s="12" t="s">
        <v>20</v>
      </c>
      <c r="H494" s="12" t="s">
        <v>33</v>
      </c>
      <c r="I494" s="13">
        <v>45196.396944444445</v>
      </c>
      <c r="J494" s="12" t="s">
        <v>22</v>
      </c>
      <c r="K494" s="12"/>
      <c r="L494" s="12"/>
      <c r="M494" s="4" t="s">
        <v>23</v>
      </c>
      <c r="N494" s="8" t="str">
        <f t="shared" si="16"/>
        <v>057 - 47518962</v>
      </c>
      <c r="O494" s="9" t="s">
        <v>101</v>
      </c>
      <c r="P494" s="9"/>
      <c r="Q494" s="9"/>
      <c r="R494" s="9"/>
    </row>
    <row r="495" spans="2:18" ht="12.75" hidden="1" customHeight="1" thickBot="1">
      <c r="B495" s="6"/>
      <c r="C495" s="12" t="s">
        <v>336</v>
      </c>
      <c r="D495" s="12" t="s">
        <v>18</v>
      </c>
      <c r="E495" s="12" t="s">
        <v>19</v>
      </c>
      <c r="F495" s="12">
        <v>3</v>
      </c>
      <c r="G495" s="12" t="s">
        <v>20</v>
      </c>
      <c r="H495" s="12" t="s">
        <v>33</v>
      </c>
      <c r="I495" s="13">
        <v>45196.396932870368</v>
      </c>
      <c r="J495" s="12" t="s">
        <v>22</v>
      </c>
      <c r="K495" s="12"/>
      <c r="L495" s="12"/>
      <c r="M495" s="4" t="s">
        <v>23</v>
      </c>
      <c r="N495" s="8" t="str">
        <f t="shared" si="16"/>
        <v>057 - 48306731</v>
      </c>
      <c r="O495" s="9" t="s">
        <v>101</v>
      </c>
      <c r="P495" s="9"/>
      <c r="Q495" s="9"/>
      <c r="R495" s="9"/>
    </row>
    <row r="496" spans="2:18" ht="12.75" hidden="1" customHeight="1" thickBot="1">
      <c r="B496" s="5"/>
      <c r="C496" s="12" t="s">
        <v>337</v>
      </c>
      <c r="D496" s="12" t="s">
        <v>18</v>
      </c>
      <c r="E496" s="12" t="s">
        <v>19</v>
      </c>
      <c r="F496" s="12">
        <v>3</v>
      </c>
      <c r="G496" s="12" t="s">
        <v>20</v>
      </c>
      <c r="H496" s="12" t="s">
        <v>33</v>
      </c>
      <c r="I496" s="13">
        <v>45196.396932870368</v>
      </c>
      <c r="J496" s="12" t="s">
        <v>22</v>
      </c>
      <c r="K496" s="12"/>
      <c r="L496" s="12"/>
      <c r="M496" s="4" t="s">
        <v>23</v>
      </c>
      <c r="N496" s="8" t="str">
        <f t="shared" si="16"/>
        <v>057 - 04162266</v>
      </c>
      <c r="O496" s="9" t="s">
        <v>101</v>
      </c>
      <c r="P496" s="9"/>
      <c r="Q496" s="9"/>
      <c r="R496" s="9"/>
    </row>
    <row r="497" spans="2:18" ht="12.75" hidden="1" customHeight="1" thickBot="1">
      <c r="B497" s="6"/>
      <c r="C497" s="12" t="s">
        <v>336</v>
      </c>
      <c r="D497" s="12" t="s">
        <v>18</v>
      </c>
      <c r="E497" s="12" t="s">
        <v>19</v>
      </c>
      <c r="F497" s="12">
        <v>3</v>
      </c>
      <c r="G497" s="12" t="s">
        <v>20</v>
      </c>
      <c r="H497" s="12" t="s">
        <v>33</v>
      </c>
      <c r="I497" s="13">
        <v>45196.396909722222</v>
      </c>
      <c r="J497" s="12" t="s">
        <v>22</v>
      </c>
      <c r="K497" s="12"/>
      <c r="L497" s="12"/>
      <c r="M497" s="4" t="s">
        <v>23</v>
      </c>
      <c r="N497" s="8" t="str">
        <f t="shared" si="16"/>
        <v>057 - 48306731</v>
      </c>
      <c r="O497" s="9" t="s">
        <v>101</v>
      </c>
      <c r="P497" s="9"/>
      <c r="Q497" s="9"/>
      <c r="R497" s="9"/>
    </row>
    <row r="498" spans="2:18" ht="12.75" hidden="1" customHeight="1" thickBot="1">
      <c r="B498" s="5"/>
      <c r="C498" s="12" t="s">
        <v>334</v>
      </c>
      <c r="D498" s="12" t="s">
        <v>18</v>
      </c>
      <c r="E498" s="12" t="s">
        <v>19</v>
      </c>
      <c r="F498" s="12">
        <v>3</v>
      </c>
      <c r="G498" s="12" t="s">
        <v>20</v>
      </c>
      <c r="H498" s="12" t="s">
        <v>33</v>
      </c>
      <c r="I498" s="13">
        <v>45196.396909722222</v>
      </c>
      <c r="J498" s="12" t="s">
        <v>22</v>
      </c>
      <c r="K498" s="12"/>
      <c r="L498" s="12"/>
      <c r="M498" s="4" t="s">
        <v>23</v>
      </c>
      <c r="N498" s="8" t="str">
        <f t="shared" si="16"/>
        <v>057 - 46045462</v>
      </c>
      <c r="O498" s="9" t="s">
        <v>101</v>
      </c>
      <c r="P498" s="9"/>
      <c r="Q498" s="9"/>
      <c r="R498" s="9"/>
    </row>
    <row r="499" spans="2:18" ht="12.75" hidden="1" customHeight="1" thickBot="1">
      <c r="B499" s="6"/>
      <c r="C499" s="12" t="s">
        <v>335</v>
      </c>
      <c r="D499" s="12" t="s">
        <v>18</v>
      </c>
      <c r="E499" s="12" t="s">
        <v>19</v>
      </c>
      <c r="F499" s="12">
        <v>3</v>
      </c>
      <c r="G499" s="12" t="s">
        <v>20</v>
      </c>
      <c r="H499" s="12" t="s">
        <v>33</v>
      </c>
      <c r="I499" s="13">
        <v>45196.396898148145</v>
      </c>
      <c r="J499" s="12" t="s">
        <v>22</v>
      </c>
      <c r="K499" s="12"/>
      <c r="L499" s="12"/>
      <c r="M499" s="4" t="s">
        <v>23</v>
      </c>
      <c r="N499" s="8" t="str">
        <f t="shared" si="16"/>
        <v>057 - 46413054</v>
      </c>
      <c r="O499" s="9" t="s">
        <v>101</v>
      </c>
      <c r="P499" s="9"/>
      <c r="Q499" s="9"/>
      <c r="R499" s="9"/>
    </row>
    <row r="500" spans="2:18" ht="12.75" hidden="1" customHeight="1" thickBot="1">
      <c r="B500" s="5"/>
      <c r="C500" s="12" t="s">
        <v>334</v>
      </c>
      <c r="D500" s="12" t="s">
        <v>18</v>
      </c>
      <c r="E500" s="12" t="s">
        <v>19</v>
      </c>
      <c r="F500" s="12">
        <v>3</v>
      </c>
      <c r="G500" s="12" t="s">
        <v>20</v>
      </c>
      <c r="H500" s="12" t="s">
        <v>33</v>
      </c>
      <c r="I500" s="13">
        <v>45196.396898148145</v>
      </c>
      <c r="J500" s="12" t="s">
        <v>22</v>
      </c>
      <c r="K500" s="12"/>
      <c r="L500" s="12"/>
      <c r="M500" s="4" t="s">
        <v>23</v>
      </c>
      <c r="N500" s="8" t="str">
        <f t="shared" si="16"/>
        <v>057 - 46045462</v>
      </c>
      <c r="O500" s="9" t="s">
        <v>101</v>
      </c>
      <c r="P500" s="9"/>
      <c r="Q500" s="9"/>
      <c r="R500" s="9"/>
    </row>
    <row r="501" spans="2:18" ht="12.75" hidden="1" customHeight="1" thickBot="1">
      <c r="B501" s="6"/>
      <c r="C501" s="12" t="s">
        <v>337</v>
      </c>
      <c r="D501" s="12" t="s">
        <v>18</v>
      </c>
      <c r="E501" s="12" t="s">
        <v>19</v>
      </c>
      <c r="F501" s="12">
        <v>3</v>
      </c>
      <c r="G501" s="12" t="s">
        <v>20</v>
      </c>
      <c r="H501" s="12" t="s">
        <v>33</v>
      </c>
      <c r="I501" s="13">
        <v>45196.396886574075</v>
      </c>
      <c r="J501" s="12" t="s">
        <v>22</v>
      </c>
      <c r="K501" s="12"/>
      <c r="L501" s="12"/>
      <c r="M501" s="4" t="s">
        <v>23</v>
      </c>
      <c r="N501" s="8" t="str">
        <f t="shared" si="16"/>
        <v>057 - 04162266</v>
      </c>
      <c r="O501" s="9" t="s">
        <v>101</v>
      </c>
      <c r="P501" s="9"/>
      <c r="Q501" s="9"/>
      <c r="R501" s="9"/>
    </row>
    <row r="502" spans="2:18" ht="12.75" hidden="1" customHeight="1" thickBot="1">
      <c r="B502" s="5"/>
      <c r="C502" s="12" t="s">
        <v>338</v>
      </c>
      <c r="D502" s="12" t="s">
        <v>18</v>
      </c>
      <c r="E502" s="12" t="s">
        <v>19</v>
      </c>
      <c r="F502" s="12">
        <v>3</v>
      </c>
      <c r="G502" s="12" t="s">
        <v>20</v>
      </c>
      <c r="H502" s="12" t="s">
        <v>33</v>
      </c>
      <c r="I502" s="13">
        <v>45196.396886574075</v>
      </c>
      <c r="J502" s="12" t="s">
        <v>22</v>
      </c>
      <c r="K502" s="12"/>
      <c r="L502" s="12"/>
      <c r="M502" s="4" t="s">
        <v>23</v>
      </c>
      <c r="N502" s="8" t="str">
        <f t="shared" si="16"/>
        <v>057 - 47518376</v>
      </c>
      <c r="O502" s="9" t="s">
        <v>101</v>
      </c>
      <c r="P502" s="9"/>
      <c r="Q502" s="9"/>
      <c r="R502" s="9"/>
    </row>
    <row r="503" spans="2:18" ht="12.75" hidden="1" customHeight="1" thickBot="1">
      <c r="B503" s="6"/>
      <c r="C503" s="12" t="s">
        <v>336</v>
      </c>
      <c r="D503" s="12" t="s">
        <v>18</v>
      </c>
      <c r="E503" s="12" t="s">
        <v>19</v>
      </c>
      <c r="F503" s="12">
        <v>3</v>
      </c>
      <c r="G503" s="12" t="s">
        <v>20</v>
      </c>
      <c r="H503" s="12" t="s">
        <v>33</v>
      </c>
      <c r="I503" s="13">
        <v>45196.396863425929</v>
      </c>
      <c r="J503" s="12" t="s">
        <v>22</v>
      </c>
      <c r="K503" s="12"/>
      <c r="L503" s="12"/>
      <c r="M503" s="4" t="s">
        <v>23</v>
      </c>
      <c r="N503" s="8" t="str">
        <f t="shared" si="16"/>
        <v>057 - 48306731</v>
      </c>
      <c r="O503" s="9" t="s">
        <v>101</v>
      </c>
      <c r="P503" s="9"/>
      <c r="Q503" s="9"/>
      <c r="R503" s="9"/>
    </row>
    <row r="504" spans="2:18" ht="12.75" hidden="1" customHeight="1" thickBot="1">
      <c r="B504" s="5"/>
      <c r="C504" s="12" t="s">
        <v>337</v>
      </c>
      <c r="D504" s="12" t="s">
        <v>18</v>
      </c>
      <c r="E504" s="12" t="s">
        <v>19</v>
      </c>
      <c r="F504" s="12">
        <v>3</v>
      </c>
      <c r="G504" s="12" t="s">
        <v>20</v>
      </c>
      <c r="H504" s="12" t="s">
        <v>33</v>
      </c>
      <c r="I504" s="13">
        <v>45196.396851851852</v>
      </c>
      <c r="J504" s="12" t="s">
        <v>22</v>
      </c>
      <c r="K504" s="12"/>
      <c r="L504" s="12"/>
      <c r="M504" s="4" t="s">
        <v>23</v>
      </c>
      <c r="N504" s="8" t="str">
        <f t="shared" si="16"/>
        <v>057 - 04162266</v>
      </c>
      <c r="O504" s="9" t="s">
        <v>101</v>
      </c>
      <c r="P504" s="9"/>
      <c r="Q504" s="9"/>
      <c r="R504" s="9"/>
    </row>
    <row r="505" spans="2:18" ht="12.75" hidden="1" customHeight="1" thickBot="1">
      <c r="B505" s="6"/>
      <c r="C505" s="12" t="s">
        <v>338</v>
      </c>
      <c r="D505" s="12" t="s">
        <v>18</v>
      </c>
      <c r="E505" s="12" t="s">
        <v>19</v>
      </c>
      <c r="F505" s="12">
        <v>3</v>
      </c>
      <c r="G505" s="12" t="s">
        <v>20</v>
      </c>
      <c r="H505" s="12" t="s">
        <v>33</v>
      </c>
      <c r="I505" s="13">
        <v>45196.396840277775</v>
      </c>
      <c r="J505" s="12" t="s">
        <v>22</v>
      </c>
      <c r="K505" s="12"/>
      <c r="L505" s="12"/>
      <c r="M505" s="4" t="s">
        <v>23</v>
      </c>
      <c r="N505" s="8" t="str">
        <f t="shared" si="16"/>
        <v>057 - 47518376</v>
      </c>
      <c r="O505" s="9" t="s">
        <v>101</v>
      </c>
      <c r="P505" s="9"/>
      <c r="Q505" s="9"/>
      <c r="R505" s="9"/>
    </row>
    <row r="506" spans="2:18" ht="12.75" hidden="1" customHeight="1" thickBot="1">
      <c r="B506" s="5"/>
      <c r="C506" s="12" t="s">
        <v>210</v>
      </c>
      <c r="D506" s="12" t="s">
        <v>18</v>
      </c>
      <c r="E506" s="12" t="s">
        <v>19</v>
      </c>
      <c r="F506" s="12">
        <v>3</v>
      </c>
      <c r="G506" s="12" t="s">
        <v>20</v>
      </c>
      <c r="H506" s="12" t="s">
        <v>33</v>
      </c>
      <c r="I506" s="13">
        <v>45196.396828703706</v>
      </c>
      <c r="J506" s="12" t="s">
        <v>22</v>
      </c>
      <c r="K506" s="12"/>
      <c r="L506" s="12"/>
      <c r="M506" s="4" t="s">
        <v>23</v>
      </c>
      <c r="N506" s="8" t="str">
        <f t="shared" si="16"/>
        <v>057 - 47646992</v>
      </c>
      <c r="O506" s="9" t="s">
        <v>101</v>
      </c>
      <c r="P506" s="9"/>
      <c r="Q506" s="9"/>
      <c r="R506" s="9"/>
    </row>
    <row r="507" spans="2:18" ht="12.75" customHeight="1" thickBot="1">
      <c r="B507" s="7"/>
      <c r="C507" s="12" t="s">
        <v>338</v>
      </c>
      <c r="D507" s="12" t="s">
        <v>18</v>
      </c>
      <c r="E507" s="12" t="s">
        <v>19</v>
      </c>
      <c r="F507" s="12">
        <v>3</v>
      </c>
      <c r="G507" s="12" t="s">
        <v>20</v>
      </c>
      <c r="H507" s="12" t="s">
        <v>33</v>
      </c>
      <c r="I507" s="13">
        <v>45196.396817129629</v>
      </c>
      <c r="J507" s="12" t="s">
        <v>22</v>
      </c>
      <c r="K507" s="12"/>
      <c r="L507" s="12"/>
      <c r="M507" s="4" t="s">
        <v>23</v>
      </c>
      <c r="N507" s="8" t="str">
        <f t="shared" si="16"/>
        <v>057 - 47518376</v>
      </c>
      <c r="O507" s="9"/>
      <c r="P507" s="9"/>
      <c r="Q507" s="9"/>
      <c r="R507" s="9"/>
    </row>
    <row r="508" spans="2:18" ht="12.75" customHeight="1">
      <c r="C508" s="12" t="s">
        <v>335</v>
      </c>
      <c r="D508" s="12" t="s">
        <v>18</v>
      </c>
      <c r="E508" s="12" t="s">
        <v>19</v>
      </c>
      <c r="F508" s="12">
        <v>3</v>
      </c>
      <c r="G508" s="12" t="s">
        <v>20</v>
      </c>
      <c r="H508" s="12" t="s">
        <v>33</v>
      </c>
      <c r="I508" s="13">
        <v>45196.396805555552</v>
      </c>
      <c r="J508" s="12" t="s">
        <v>22</v>
      </c>
      <c r="K508" s="12"/>
      <c r="L508" s="12"/>
      <c r="M508" s="4" t="s">
        <v>23</v>
      </c>
      <c r="N508" s="8" t="str">
        <f t="shared" si="16"/>
        <v>057 - 46413054</v>
      </c>
      <c r="O508" s="9"/>
      <c r="P508" s="9"/>
      <c r="Q508" s="9"/>
      <c r="R508" s="9"/>
    </row>
    <row r="509" spans="2:18" ht="12.75" customHeight="1" thickBot="1">
      <c r="B509" s="5"/>
      <c r="C509" s="12" t="s">
        <v>339</v>
      </c>
      <c r="D509" s="12" t="s">
        <v>18</v>
      </c>
      <c r="E509" s="12" t="s">
        <v>19</v>
      </c>
      <c r="F509" s="12">
        <v>3</v>
      </c>
      <c r="G509" s="12" t="s">
        <v>20</v>
      </c>
      <c r="H509" s="12" t="s">
        <v>33</v>
      </c>
      <c r="I509" s="13">
        <v>45196.396805555552</v>
      </c>
      <c r="J509" s="12" t="s">
        <v>22</v>
      </c>
      <c r="K509" s="12"/>
      <c r="L509" s="12"/>
      <c r="M509" s="4" t="s">
        <v>23</v>
      </c>
      <c r="N509" s="8" t="str">
        <f t="shared" si="16"/>
        <v>057 - 48307243</v>
      </c>
      <c r="O509" s="9"/>
      <c r="P509" s="9"/>
      <c r="Q509" s="9"/>
      <c r="R509" s="9"/>
    </row>
    <row r="510" spans="2:18" ht="12.75" customHeight="1" thickBot="1">
      <c r="B510" s="6"/>
      <c r="C510" s="12" t="s">
        <v>338</v>
      </c>
      <c r="D510" s="12" t="s">
        <v>18</v>
      </c>
      <c r="E510" s="12" t="s">
        <v>19</v>
      </c>
      <c r="F510" s="12">
        <v>3</v>
      </c>
      <c r="G510" s="12" t="s">
        <v>20</v>
      </c>
      <c r="H510" s="12" t="s">
        <v>33</v>
      </c>
      <c r="I510" s="13">
        <v>45196.396793981483</v>
      </c>
      <c r="J510" s="12" t="s">
        <v>22</v>
      </c>
      <c r="K510" s="12"/>
      <c r="L510" s="12"/>
      <c r="M510" s="4" t="s">
        <v>23</v>
      </c>
      <c r="N510" s="8" t="str">
        <f t="shared" si="16"/>
        <v>057 - 47518376</v>
      </c>
      <c r="O510" s="9"/>
      <c r="P510" s="9"/>
      <c r="Q510" s="9"/>
      <c r="R510" s="9"/>
    </row>
    <row r="511" spans="2:18" ht="12.75" customHeight="1" thickBot="1">
      <c r="B511" s="5"/>
      <c r="C511" s="12" t="s">
        <v>339</v>
      </c>
      <c r="D511" s="12" t="s">
        <v>18</v>
      </c>
      <c r="E511" s="12" t="s">
        <v>19</v>
      </c>
      <c r="F511" s="12">
        <v>3</v>
      </c>
      <c r="G511" s="12" t="s">
        <v>20</v>
      </c>
      <c r="H511" s="12" t="s">
        <v>33</v>
      </c>
      <c r="I511" s="13">
        <v>45196.396793981483</v>
      </c>
      <c r="J511" s="12" t="s">
        <v>22</v>
      </c>
      <c r="K511" s="12"/>
      <c r="L511" s="12"/>
      <c r="M511" s="4" t="s">
        <v>23</v>
      </c>
      <c r="N511" s="8" t="str">
        <f t="shared" si="16"/>
        <v>057 - 48307243</v>
      </c>
      <c r="O511" s="9"/>
      <c r="P511" s="9"/>
      <c r="Q511" s="9"/>
      <c r="R511" s="9"/>
    </row>
    <row r="512" spans="2:18" ht="12.75" customHeight="1" thickBot="1">
      <c r="B512" s="6"/>
      <c r="C512" s="12" t="s">
        <v>283</v>
      </c>
      <c r="D512" s="12" t="s">
        <v>18</v>
      </c>
      <c r="E512" s="12" t="s">
        <v>19</v>
      </c>
      <c r="F512" s="12">
        <v>3</v>
      </c>
      <c r="G512" s="12" t="s">
        <v>20</v>
      </c>
      <c r="H512" s="12" t="s">
        <v>33</v>
      </c>
      <c r="I512" s="13">
        <v>45196.396782407406</v>
      </c>
      <c r="J512" s="12" t="s">
        <v>22</v>
      </c>
      <c r="K512" s="12"/>
      <c r="L512" s="12"/>
      <c r="M512" s="4" t="s">
        <v>23</v>
      </c>
      <c r="N512" s="8" t="str">
        <f t="shared" si="16"/>
        <v>057 - 47987446</v>
      </c>
      <c r="O512" s="9"/>
      <c r="P512" s="9"/>
      <c r="Q512" s="9"/>
      <c r="R512" s="9"/>
    </row>
    <row r="513" spans="2:18" ht="12.75" customHeight="1" thickBot="1">
      <c r="B513" s="5"/>
      <c r="C513" s="12" t="s">
        <v>262</v>
      </c>
      <c r="D513" s="12" t="s">
        <v>18</v>
      </c>
      <c r="E513" s="12" t="s">
        <v>19</v>
      </c>
      <c r="F513" s="12">
        <v>3</v>
      </c>
      <c r="G513" s="12" t="s">
        <v>20</v>
      </c>
      <c r="H513" s="12" t="s">
        <v>33</v>
      </c>
      <c r="I513" s="13">
        <v>45196.396782407406</v>
      </c>
      <c r="J513" s="12" t="s">
        <v>22</v>
      </c>
      <c r="K513" s="12"/>
      <c r="L513" s="12"/>
      <c r="M513" s="4" t="s">
        <v>23</v>
      </c>
      <c r="N513" s="8" t="str">
        <f t="shared" si="16"/>
        <v>057 - 47987925</v>
      </c>
      <c r="O513" s="9"/>
      <c r="P513" s="9"/>
      <c r="Q513" s="9"/>
      <c r="R513" s="9"/>
    </row>
    <row r="514" spans="2:18" ht="12.75" customHeight="1" thickBot="1">
      <c r="B514" s="6"/>
      <c r="C514" s="12" t="s">
        <v>283</v>
      </c>
      <c r="D514" s="12" t="s">
        <v>18</v>
      </c>
      <c r="E514" s="12" t="s">
        <v>19</v>
      </c>
      <c r="F514" s="12">
        <v>3</v>
      </c>
      <c r="G514" s="12" t="s">
        <v>20</v>
      </c>
      <c r="H514" s="12" t="s">
        <v>33</v>
      </c>
      <c r="I514" s="13">
        <v>45196.396770833337</v>
      </c>
      <c r="J514" s="12" t="s">
        <v>22</v>
      </c>
      <c r="K514" s="12"/>
      <c r="L514" s="12"/>
      <c r="M514" s="4" t="s">
        <v>23</v>
      </c>
      <c r="N514" s="8" t="str">
        <f t="shared" si="16"/>
        <v>057 - 47987446</v>
      </c>
      <c r="O514" s="9"/>
      <c r="P514" s="9"/>
      <c r="Q514" s="9"/>
      <c r="R514" s="9"/>
    </row>
    <row r="515" spans="2:18" ht="12.75" customHeight="1" thickBot="1">
      <c r="B515" s="5"/>
      <c r="C515" s="12" t="s">
        <v>262</v>
      </c>
      <c r="D515" s="12" t="s">
        <v>18</v>
      </c>
      <c r="E515" s="12" t="s">
        <v>19</v>
      </c>
      <c r="F515" s="12">
        <v>3</v>
      </c>
      <c r="G515" s="12" t="s">
        <v>20</v>
      </c>
      <c r="H515" s="12" t="s">
        <v>33</v>
      </c>
      <c r="I515" s="13">
        <v>45196.396770833337</v>
      </c>
      <c r="J515" s="12" t="s">
        <v>22</v>
      </c>
      <c r="K515" s="12"/>
      <c r="L515" s="12"/>
      <c r="M515" s="4" t="s">
        <v>23</v>
      </c>
      <c r="N515" s="8" t="str">
        <f t="shared" si="16"/>
        <v>057 - 47987925</v>
      </c>
      <c r="O515" s="9"/>
      <c r="P515" s="9"/>
      <c r="Q515" s="9"/>
      <c r="R515" s="9"/>
    </row>
    <row r="516" spans="2:18" ht="12.75" customHeight="1" thickBot="1">
      <c r="B516" s="6"/>
      <c r="C516" s="12" t="s">
        <v>339</v>
      </c>
      <c r="D516" s="12" t="s">
        <v>18</v>
      </c>
      <c r="E516" s="12" t="s">
        <v>19</v>
      </c>
      <c r="F516" s="12">
        <v>3</v>
      </c>
      <c r="G516" s="12" t="s">
        <v>20</v>
      </c>
      <c r="H516" s="12" t="s">
        <v>33</v>
      </c>
      <c r="I516" s="13">
        <v>45196.39675925926</v>
      </c>
      <c r="J516" s="12" t="s">
        <v>22</v>
      </c>
      <c r="K516" s="12"/>
      <c r="L516" s="12"/>
      <c r="M516" s="4" t="s">
        <v>23</v>
      </c>
      <c r="N516" s="8" t="str">
        <f t="shared" si="16"/>
        <v>057 - 48307243</v>
      </c>
      <c r="O516" s="9"/>
      <c r="P516" s="9"/>
      <c r="Q516" s="9"/>
      <c r="R516" s="9"/>
    </row>
    <row r="517" spans="2:18" ht="12.75" customHeight="1" thickBot="1">
      <c r="B517" s="5"/>
      <c r="C517" s="12" t="s">
        <v>340</v>
      </c>
      <c r="D517" s="12" t="s">
        <v>18</v>
      </c>
      <c r="E517" s="12" t="s">
        <v>19</v>
      </c>
      <c r="F517" s="12">
        <v>3</v>
      </c>
      <c r="G517" s="12" t="s">
        <v>20</v>
      </c>
      <c r="H517" s="12" t="s">
        <v>33</v>
      </c>
      <c r="I517" s="13">
        <v>45196.39675925926</v>
      </c>
      <c r="J517" s="12" t="s">
        <v>22</v>
      </c>
      <c r="K517" s="12"/>
      <c r="L517" s="12"/>
      <c r="M517" s="4" t="s">
        <v>23</v>
      </c>
      <c r="N517" s="8" t="str">
        <f t="shared" si="16"/>
        <v>057 - 46045543</v>
      </c>
      <c r="O517" s="9"/>
      <c r="P517" s="9"/>
      <c r="Q517" s="9"/>
      <c r="R517" s="9"/>
    </row>
    <row r="518" spans="2:18" ht="12.75" customHeight="1" thickBot="1">
      <c r="B518" s="6"/>
      <c r="C518" s="12" t="s">
        <v>339</v>
      </c>
      <c r="D518" s="12" t="s">
        <v>18</v>
      </c>
      <c r="E518" s="12" t="s">
        <v>19</v>
      </c>
      <c r="F518" s="12">
        <v>3</v>
      </c>
      <c r="G518" s="12" t="s">
        <v>20</v>
      </c>
      <c r="H518" s="12" t="s">
        <v>33</v>
      </c>
      <c r="I518" s="13">
        <v>45196.396736111114</v>
      </c>
      <c r="J518" s="12" t="s">
        <v>22</v>
      </c>
      <c r="K518" s="12"/>
      <c r="L518" s="12"/>
      <c r="M518" s="4" t="s">
        <v>23</v>
      </c>
      <c r="N518" s="8" t="str">
        <f t="shared" si="16"/>
        <v>057 - 48307243</v>
      </c>
      <c r="O518" s="9"/>
      <c r="P518" s="9"/>
      <c r="Q518" s="9"/>
      <c r="R518" s="9"/>
    </row>
    <row r="519" spans="2:18" ht="12.75" customHeight="1" thickBot="1">
      <c r="B519" s="5"/>
      <c r="C519" s="12" t="s">
        <v>340</v>
      </c>
      <c r="D519" s="12" t="s">
        <v>18</v>
      </c>
      <c r="E519" s="12" t="s">
        <v>19</v>
      </c>
      <c r="F519" s="12">
        <v>3</v>
      </c>
      <c r="G519" s="12" t="s">
        <v>20</v>
      </c>
      <c r="H519" s="12" t="s">
        <v>33</v>
      </c>
      <c r="I519" s="13">
        <v>45196.396736111114</v>
      </c>
      <c r="J519" s="12" t="s">
        <v>22</v>
      </c>
      <c r="K519" s="12"/>
      <c r="L519" s="12"/>
      <c r="M519" s="4" t="s">
        <v>23</v>
      </c>
      <c r="N519" s="8" t="str">
        <f t="shared" si="16"/>
        <v>057 - 46045543</v>
      </c>
      <c r="O519" s="9"/>
      <c r="P519" s="9"/>
      <c r="Q519" s="9"/>
      <c r="R519" s="9"/>
    </row>
    <row r="520" spans="2:18" ht="12.75" customHeight="1" thickBot="1">
      <c r="B520" s="6"/>
      <c r="C520" s="12" t="s">
        <v>210</v>
      </c>
      <c r="D520" s="12" t="s">
        <v>18</v>
      </c>
      <c r="E520" s="12" t="s">
        <v>19</v>
      </c>
      <c r="F520" s="12">
        <v>3</v>
      </c>
      <c r="G520" s="12" t="s">
        <v>20</v>
      </c>
      <c r="H520" s="12" t="s">
        <v>33</v>
      </c>
      <c r="I520" s="13">
        <v>45196.396724537037</v>
      </c>
      <c r="J520" s="12" t="s">
        <v>22</v>
      </c>
      <c r="K520" s="12"/>
      <c r="L520" s="12"/>
      <c r="M520" s="4" t="s">
        <v>23</v>
      </c>
      <c r="N520" s="8" t="str">
        <f t="shared" si="16"/>
        <v>057 - 47646992</v>
      </c>
      <c r="O520" s="9"/>
      <c r="P520" s="9"/>
      <c r="Q520" s="9"/>
      <c r="R520" s="9"/>
    </row>
    <row r="521" spans="2:18" ht="12.75" customHeight="1" thickBot="1">
      <c r="B521" s="5"/>
      <c r="C521" s="12" t="s">
        <v>340</v>
      </c>
      <c r="D521" s="12" t="s">
        <v>18</v>
      </c>
      <c r="E521" s="12" t="s">
        <v>19</v>
      </c>
      <c r="F521" s="12">
        <v>3</v>
      </c>
      <c r="G521" s="12" t="s">
        <v>20</v>
      </c>
      <c r="H521" s="12" t="s">
        <v>33</v>
      </c>
      <c r="I521" s="13">
        <v>45196.39671296296</v>
      </c>
      <c r="J521" s="12" t="s">
        <v>22</v>
      </c>
      <c r="K521" s="12"/>
      <c r="L521" s="12"/>
      <c r="M521" s="4" t="s">
        <v>23</v>
      </c>
      <c r="N521" s="8" t="str">
        <f t="shared" si="16"/>
        <v>057 - 46045543</v>
      </c>
      <c r="O521" s="9"/>
      <c r="P521" s="9"/>
      <c r="Q521" s="9"/>
      <c r="R521" s="9"/>
    </row>
    <row r="522" spans="2:18" ht="12.75" customHeight="1" thickBot="1">
      <c r="B522" s="6"/>
      <c r="C522" s="12" t="s">
        <v>226</v>
      </c>
      <c r="D522" s="12" t="s">
        <v>18</v>
      </c>
      <c r="E522" s="12" t="s">
        <v>19</v>
      </c>
      <c r="F522" s="12">
        <v>3</v>
      </c>
      <c r="G522" s="12" t="s">
        <v>20</v>
      </c>
      <c r="H522" s="12" t="s">
        <v>33</v>
      </c>
      <c r="I522" s="13">
        <v>45196.39671296296</v>
      </c>
      <c r="J522" s="12" t="s">
        <v>22</v>
      </c>
      <c r="K522" s="12"/>
      <c r="L522" s="12"/>
      <c r="M522" s="4" t="s">
        <v>23</v>
      </c>
      <c r="N522" s="8" t="str">
        <f t="shared" si="16"/>
        <v>057 - 48274866</v>
      </c>
      <c r="O522" s="9"/>
      <c r="P522" s="9"/>
      <c r="Q522" s="9"/>
      <c r="R522" s="9"/>
    </row>
    <row r="523" spans="2:18" ht="12.75" customHeight="1" thickBot="1">
      <c r="B523" s="5"/>
      <c r="C523" s="12" t="s">
        <v>226</v>
      </c>
      <c r="D523" s="12" t="s">
        <v>18</v>
      </c>
      <c r="E523" s="12" t="s">
        <v>19</v>
      </c>
      <c r="F523" s="12">
        <v>3</v>
      </c>
      <c r="G523" s="12" t="s">
        <v>20</v>
      </c>
      <c r="H523" s="12" t="s">
        <v>33</v>
      </c>
      <c r="I523" s="13">
        <v>45196.396701388891</v>
      </c>
      <c r="J523" s="12" t="s">
        <v>22</v>
      </c>
      <c r="K523" s="12"/>
      <c r="L523" s="12"/>
      <c r="M523" s="4" t="s">
        <v>23</v>
      </c>
      <c r="N523" s="8" t="str">
        <f t="shared" ref="N523:N586" si="17">LEFT(C523,14)</f>
        <v>057 - 48274866</v>
      </c>
      <c r="O523" s="9"/>
      <c r="P523" s="9"/>
      <c r="Q523" s="9"/>
      <c r="R523" s="9"/>
    </row>
    <row r="524" spans="2:18" ht="12.75" customHeight="1" thickBot="1">
      <c r="B524" s="6"/>
      <c r="C524" s="12" t="s">
        <v>259</v>
      </c>
      <c r="D524" s="12" t="s">
        <v>18</v>
      </c>
      <c r="E524" s="12" t="s">
        <v>19</v>
      </c>
      <c r="F524" s="12">
        <v>3</v>
      </c>
      <c r="G524" s="12" t="s">
        <v>20</v>
      </c>
      <c r="H524" s="12" t="s">
        <v>33</v>
      </c>
      <c r="I524" s="13">
        <v>45196.396689814814</v>
      </c>
      <c r="J524" s="12" t="s">
        <v>22</v>
      </c>
      <c r="K524" s="12"/>
      <c r="L524" s="12"/>
      <c r="M524" s="4" t="s">
        <v>23</v>
      </c>
      <c r="N524" s="8" t="str">
        <f t="shared" si="17"/>
        <v>057 - 47987343</v>
      </c>
      <c r="O524" s="9"/>
      <c r="P524" s="9"/>
      <c r="Q524" s="9"/>
      <c r="R524" s="9"/>
    </row>
    <row r="525" spans="2:18" ht="12.75" customHeight="1" thickBot="1">
      <c r="B525" s="5"/>
      <c r="C525" s="12" t="s">
        <v>259</v>
      </c>
      <c r="D525" s="12" t="s">
        <v>18</v>
      </c>
      <c r="E525" s="12" t="s">
        <v>19</v>
      </c>
      <c r="F525" s="12">
        <v>3</v>
      </c>
      <c r="G525" s="12" t="s">
        <v>20</v>
      </c>
      <c r="H525" s="12" t="s">
        <v>33</v>
      </c>
      <c r="I525" s="13">
        <v>45196.396678240744</v>
      </c>
      <c r="J525" s="12" t="s">
        <v>22</v>
      </c>
      <c r="K525" s="12"/>
      <c r="L525" s="12"/>
      <c r="M525" s="4" t="s">
        <v>23</v>
      </c>
      <c r="N525" s="8" t="str">
        <f t="shared" si="17"/>
        <v>057 - 47987343</v>
      </c>
      <c r="O525" s="9"/>
      <c r="P525" s="9"/>
      <c r="Q525" s="9"/>
      <c r="R525" s="9"/>
    </row>
    <row r="526" spans="2:18" ht="12.75" customHeight="1" thickBot="1">
      <c r="B526" s="6"/>
      <c r="C526" s="12" t="s">
        <v>335</v>
      </c>
      <c r="D526" s="12" t="s">
        <v>18</v>
      </c>
      <c r="E526" s="12" t="s">
        <v>19</v>
      </c>
      <c r="F526" s="12">
        <v>3</v>
      </c>
      <c r="G526" s="12" t="s">
        <v>20</v>
      </c>
      <c r="H526" s="12" t="s">
        <v>33</v>
      </c>
      <c r="I526" s="13">
        <v>45196.396678240744</v>
      </c>
      <c r="J526" s="12" t="s">
        <v>22</v>
      </c>
      <c r="K526" s="12"/>
      <c r="L526" s="12"/>
      <c r="M526" s="4" t="s">
        <v>23</v>
      </c>
      <c r="N526" s="8" t="str">
        <f t="shared" si="17"/>
        <v>057 - 46413054</v>
      </c>
      <c r="O526" s="9"/>
      <c r="P526" s="9"/>
      <c r="Q526" s="9"/>
      <c r="R526" s="9"/>
    </row>
    <row r="527" spans="2:18" ht="12.75" customHeight="1" thickBot="1">
      <c r="B527" s="5"/>
      <c r="C527" s="12" t="s">
        <v>335</v>
      </c>
      <c r="D527" s="12" t="s">
        <v>18</v>
      </c>
      <c r="E527" s="12" t="s">
        <v>19</v>
      </c>
      <c r="F527" s="12">
        <v>3</v>
      </c>
      <c r="G527" s="12" t="s">
        <v>20</v>
      </c>
      <c r="H527" s="12" t="s">
        <v>33</v>
      </c>
      <c r="I527" s="13">
        <v>45196.396666666667</v>
      </c>
      <c r="J527" s="12" t="s">
        <v>22</v>
      </c>
      <c r="K527" s="12"/>
      <c r="L527" s="12"/>
      <c r="M527" s="4" t="s">
        <v>23</v>
      </c>
      <c r="N527" s="8" t="str">
        <f t="shared" si="17"/>
        <v>057 - 46413054</v>
      </c>
      <c r="O527" s="9"/>
      <c r="P527" s="9"/>
      <c r="Q527" s="9"/>
      <c r="R527" s="9"/>
    </row>
    <row r="528" spans="2:18" ht="12.75" customHeight="1" thickBot="1">
      <c r="B528" s="6"/>
      <c r="C528" s="12" t="s">
        <v>238</v>
      </c>
      <c r="D528" s="12" t="s">
        <v>18</v>
      </c>
      <c r="E528" s="12" t="s">
        <v>19</v>
      </c>
      <c r="F528" s="12">
        <v>3</v>
      </c>
      <c r="G528" s="12" t="s">
        <v>20</v>
      </c>
      <c r="H528" s="12" t="s">
        <v>33</v>
      </c>
      <c r="I528" s="13">
        <v>45196.396655092591</v>
      </c>
      <c r="J528" s="12" t="s">
        <v>22</v>
      </c>
      <c r="K528" s="12"/>
      <c r="L528" s="12"/>
      <c r="M528" s="4" t="s">
        <v>23</v>
      </c>
      <c r="N528" s="8" t="str">
        <f t="shared" si="17"/>
        <v>057 - 48274855</v>
      </c>
      <c r="O528" s="9"/>
      <c r="P528" s="9"/>
      <c r="Q528" s="9"/>
      <c r="R528" s="9"/>
    </row>
    <row r="529" spans="2:18" ht="12.75" customHeight="1" thickBot="1">
      <c r="B529" s="5"/>
      <c r="C529" s="12" t="s">
        <v>238</v>
      </c>
      <c r="D529" s="12" t="s">
        <v>18</v>
      </c>
      <c r="E529" s="12" t="s">
        <v>19</v>
      </c>
      <c r="F529" s="12">
        <v>3</v>
      </c>
      <c r="G529" s="12" t="s">
        <v>20</v>
      </c>
      <c r="H529" s="12" t="s">
        <v>33</v>
      </c>
      <c r="I529" s="13">
        <v>45196.396655092591</v>
      </c>
      <c r="J529" s="12" t="s">
        <v>22</v>
      </c>
      <c r="K529" s="12"/>
      <c r="L529" s="12"/>
      <c r="M529" s="4" t="s">
        <v>23</v>
      </c>
      <c r="N529" s="8" t="str">
        <f t="shared" si="17"/>
        <v>057 - 48274855</v>
      </c>
      <c r="O529" s="9"/>
      <c r="P529" s="9"/>
      <c r="Q529" s="9"/>
      <c r="R529" s="9"/>
    </row>
    <row r="530" spans="2:18" ht="12.75" customHeight="1" thickBot="1">
      <c r="B530" s="6"/>
      <c r="C530" s="12" t="s">
        <v>238</v>
      </c>
      <c r="D530" s="12" t="s">
        <v>18</v>
      </c>
      <c r="E530" s="12" t="s">
        <v>19</v>
      </c>
      <c r="F530" s="12">
        <v>3</v>
      </c>
      <c r="G530" s="12" t="s">
        <v>20</v>
      </c>
      <c r="H530" s="12" t="s">
        <v>33</v>
      </c>
      <c r="I530" s="13">
        <v>45196.396643518521</v>
      </c>
      <c r="J530" s="12" t="s">
        <v>22</v>
      </c>
      <c r="K530" s="12"/>
      <c r="L530" s="12"/>
      <c r="M530" s="4" t="s">
        <v>23</v>
      </c>
      <c r="N530" s="8" t="str">
        <f t="shared" si="17"/>
        <v>057 - 48274855</v>
      </c>
      <c r="O530" s="9"/>
      <c r="P530" s="9"/>
      <c r="Q530" s="9"/>
      <c r="R530" s="9"/>
    </row>
    <row r="531" spans="2:18" ht="12.75" customHeight="1" thickBot="1">
      <c r="B531" s="5"/>
      <c r="C531" s="12" t="s">
        <v>204</v>
      </c>
      <c r="D531" s="12" t="s">
        <v>18</v>
      </c>
      <c r="E531" s="12" t="s">
        <v>19</v>
      </c>
      <c r="F531" s="12">
        <v>3</v>
      </c>
      <c r="G531" s="12" t="s">
        <v>20</v>
      </c>
      <c r="H531" s="12" t="s">
        <v>33</v>
      </c>
      <c r="I531" s="13">
        <v>45196.396631944444</v>
      </c>
      <c r="J531" s="12" t="s">
        <v>22</v>
      </c>
      <c r="K531" s="12"/>
      <c r="L531" s="12"/>
      <c r="M531" s="4" t="s">
        <v>23</v>
      </c>
      <c r="N531" s="8" t="str">
        <f t="shared" si="17"/>
        <v>057 - 47655635</v>
      </c>
      <c r="O531" s="9"/>
      <c r="P531" s="9"/>
      <c r="Q531" s="9"/>
      <c r="R531" s="9"/>
    </row>
    <row r="532" spans="2:18" ht="12.75" customHeight="1" thickBot="1">
      <c r="B532" s="7"/>
      <c r="C532" s="12" t="s">
        <v>341</v>
      </c>
      <c r="D532" s="12" t="s">
        <v>18</v>
      </c>
      <c r="E532" s="12" t="s">
        <v>19</v>
      </c>
      <c r="F532" s="12">
        <v>3</v>
      </c>
      <c r="G532" s="12" t="s">
        <v>20</v>
      </c>
      <c r="H532" s="12" t="s">
        <v>33</v>
      </c>
      <c r="I532" s="13">
        <v>45196.396631944444</v>
      </c>
      <c r="J532" s="12" t="s">
        <v>22</v>
      </c>
      <c r="K532" s="12"/>
      <c r="L532" s="12"/>
      <c r="M532" s="4" t="s">
        <v>23</v>
      </c>
      <c r="N532" s="8" t="str">
        <f t="shared" si="17"/>
        <v>057 - 47518365</v>
      </c>
      <c r="O532" s="9"/>
      <c r="P532" s="9"/>
      <c r="Q532" s="9"/>
      <c r="R532" s="9"/>
    </row>
    <row r="533" spans="2:18" ht="12.75" customHeight="1">
      <c r="C533" s="12" t="s">
        <v>341</v>
      </c>
      <c r="D533" s="12" t="s">
        <v>18</v>
      </c>
      <c r="E533" s="12" t="s">
        <v>19</v>
      </c>
      <c r="F533" s="12">
        <v>3</v>
      </c>
      <c r="G533" s="12" t="s">
        <v>20</v>
      </c>
      <c r="H533" s="12" t="s">
        <v>33</v>
      </c>
      <c r="I533" s="13">
        <v>45196.396631944444</v>
      </c>
      <c r="J533" s="12" t="s">
        <v>22</v>
      </c>
      <c r="K533" s="12"/>
      <c r="L533" s="12"/>
      <c r="M533" s="4" t="s">
        <v>23</v>
      </c>
      <c r="N533" s="8" t="str">
        <f t="shared" si="17"/>
        <v>057 - 47518365</v>
      </c>
      <c r="O533" s="9"/>
      <c r="P533" s="9"/>
      <c r="Q533" s="9"/>
      <c r="R533" s="9"/>
    </row>
    <row r="534" spans="2:18" ht="12.75" customHeight="1" thickBot="1">
      <c r="B534" s="5"/>
      <c r="C534" s="12" t="s">
        <v>341</v>
      </c>
      <c r="D534" s="12" t="s">
        <v>18</v>
      </c>
      <c r="E534" s="12" t="s">
        <v>19</v>
      </c>
      <c r="F534" s="12">
        <v>3</v>
      </c>
      <c r="G534" s="12" t="s">
        <v>20</v>
      </c>
      <c r="H534" s="12" t="s">
        <v>33</v>
      </c>
      <c r="I534" s="13">
        <v>45196.396620370368</v>
      </c>
      <c r="J534" s="12" t="s">
        <v>22</v>
      </c>
      <c r="K534" s="12"/>
      <c r="L534" s="12"/>
      <c r="M534" s="4" t="s">
        <v>23</v>
      </c>
      <c r="N534" s="8" t="str">
        <f t="shared" si="17"/>
        <v>057 - 47518365</v>
      </c>
      <c r="O534" s="9"/>
      <c r="P534" s="9"/>
      <c r="Q534" s="9"/>
      <c r="R534" s="9"/>
    </row>
    <row r="535" spans="2:18" ht="12.75" customHeight="1" thickBot="1">
      <c r="B535" s="6"/>
      <c r="C535" s="12" t="s">
        <v>342</v>
      </c>
      <c r="D535" s="12" t="s">
        <v>18</v>
      </c>
      <c r="E535" s="12" t="s">
        <v>19</v>
      </c>
      <c r="F535" s="12">
        <v>3</v>
      </c>
      <c r="G535" s="12" t="s">
        <v>20</v>
      </c>
      <c r="H535" s="12" t="s">
        <v>33</v>
      </c>
      <c r="I535" s="13">
        <v>45196.396608796298</v>
      </c>
      <c r="J535" s="12" t="s">
        <v>22</v>
      </c>
      <c r="K535" s="12"/>
      <c r="L535" s="12"/>
      <c r="M535" s="4" t="s">
        <v>23</v>
      </c>
      <c r="N535" s="8" t="str">
        <f t="shared" si="17"/>
        <v>057 - 48127402</v>
      </c>
      <c r="O535" s="9"/>
      <c r="P535" s="9"/>
      <c r="Q535" s="9"/>
      <c r="R535" s="9"/>
    </row>
    <row r="536" spans="2:18" ht="12.75" customHeight="1" thickBot="1">
      <c r="B536" s="5"/>
      <c r="C536" s="12" t="s">
        <v>204</v>
      </c>
      <c r="D536" s="12" t="s">
        <v>18</v>
      </c>
      <c r="E536" s="12" t="s">
        <v>19</v>
      </c>
      <c r="F536" s="12">
        <v>3</v>
      </c>
      <c r="G536" s="12" t="s">
        <v>20</v>
      </c>
      <c r="H536" s="12" t="s">
        <v>33</v>
      </c>
      <c r="I536" s="13">
        <v>45196.396597222221</v>
      </c>
      <c r="J536" s="12" t="s">
        <v>22</v>
      </c>
      <c r="K536" s="12"/>
      <c r="L536" s="12"/>
      <c r="M536" s="4" t="s">
        <v>23</v>
      </c>
      <c r="N536" s="8" t="str">
        <f t="shared" si="17"/>
        <v>057 - 47655635</v>
      </c>
      <c r="O536" s="9"/>
      <c r="P536" s="9"/>
      <c r="Q536" s="9"/>
      <c r="R536" s="9"/>
    </row>
    <row r="537" spans="2:18" ht="12.75" customHeight="1" thickBot="1">
      <c r="B537" s="6"/>
      <c r="C537" s="12" t="s">
        <v>342</v>
      </c>
      <c r="D537" s="12" t="s">
        <v>18</v>
      </c>
      <c r="E537" s="12" t="s">
        <v>19</v>
      </c>
      <c r="F537" s="12">
        <v>3</v>
      </c>
      <c r="G537" s="12" t="s">
        <v>20</v>
      </c>
      <c r="H537" s="12" t="s">
        <v>33</v>
      </c>
      <c r="I537" s="13">
        <v>45196.396585648145</v>
      </c>
      <c r="J537" s="12" t="s">
        <v>22</v>
      </c>
      <c r="K537" s="12"/>
      <c r="L537" s="12"/>
      <c r="M537" s="4" t="s">
        <v>23</v>
      </c>
      <c r="N537" s="8" t="str">
        <f t="shared" si="17"/>
        <v>057 - 48127402</v>
      </c>
      <c r="O537" s="9"/>
      <c r="P537" s="9"/>
      <c r="Q537" s="9"/>
      <c r="R537" s="9"/>
    </row>
    <row r="538" spans="2:18" ht="12.75" customHeight="1" thickBot="1">
      <c r="B538" s="5"/>
      <c r="C538" s="12" t="s">
        <v>343</v>
      </c>
      <c r="D538" s="12" t="s">
        <v>18</v>
      </c>
      <c r="E538" s="12" t="s">
        <v>19</v>
      </c>
      <c r="F538" s="12">
        <v>3</v>
      </c>
      <c r="G538" s="12" t="s">
        <v>20</v>
      </c>
      <c r="H538" s="12" t="s">
        <v>33</v>
      </c>
      <c r="I538" s="13">
        <v>45196.396585648145</v>
      </c>
      <c r="J538" s="12" t="s">
        <v>22</v>
      </c>
      <c r="K538" s="12"/>
      <c r="L538" s="12"/>
      <c r="M538" s="4" t="s">
        <v>23</v>
      </c>
      <c r="N538" s="8" t="str">
        <f t="shared" si="17"/>
        <v>057 - 03993813</v>
      </c>
      <c r="O538" s="9"/>
      <c r="P538" s="9"/>
      <c r="Q538" s="9"/>
      <c r="R538" s="9"/>
    </row>
    <row r="539" spans="2:18" ht="12.75" customHeight="1" thickBot="1">
      <c r="B539" s="6"/>
      <c r="C539" s="12" t="s">
        <v>204</v>
      </c>
      <c r="D539" s="12" t="s">
        <v>18</v>
      </c>
      <c r="E539" s="12" t="s">
        <v>19</v>
      </c>
      <c r="F539" s="12">
        <v>3</v>
      </c>
      <c r="G539" s="12" t="s">
        <v>20</v>
      </c>
      <c r="H539" s="12" t="s">
        <v>33</v>
      </c>
      <c r="I539" s="13">
        <v>45196.396574074075</v>
      </c>
      <c r="J539" s="12" t="s">
        <v>22</v>
      </c>
      <c r="K539" s="12"/>
      <c r="L539" s="12"/>
      <c r="M539" s="4" t="s">
        <v>23</v>
      </c>
      <c r="N539" s="8" t="str">
        <f t="shared" si="17"/>
        <v>057 - 47655635</v>
      </c>
      <c r="O539" s="9"/>
      <c r="P539" s="9"/>
      <c r="Q539" s="9"/>
      <c r="R539" s="9"/>
    </row>
    <row r="540" spans="2:18" ht="12.75" hidden="1" customHeight="1" thickBot="1">
      <c r="B540" s="5"/>
      <c r="C540" s="12" t="s">
        <v>344</v>
      </c>
      <c r="D540" s="12" t="s">
        <v>18</v>
      </c>
      <c r="E540" s="12" t="s">
        <v>19</v>
      </c>
      <c r="F540" s="12">
        <v>3</v>
      </c>
      <c r="G540" s="12" t="s">
        <v>20</v>
      </c>
      <c r="H540" s="12" t="s">
        <v>33</v>
      </c>
      <c r="I540" s="13">
        <v>45196.396574074075</v>
      </c>
      <c r="J540" s="12" t="s">
        <v>22</v>
      </c>
      <c r="K540" s="12"/>
      <c r="L540" s="12"/>
      <c r="M540" s="4" t="s">
        <v>23</v>
      </c>
      <c r="N540" s="8" t="str">
        <f t="shared" si="17"/>
        <v>057 - 04245216</v>
      </c>
      <c r="O540" s="9" t="s">
        <v>345</v>
      </c>
      <c r="P540" s="9" t="s">
        <v>346</v>
      </c>
      <c r="Q540" s="9"/>
      <c r="R540" s="9" t="s">
        <v>52</v>
      </c>
    </row>
    <row r="541" spans="2:18" ht="12.75" hidden="1" customHeight="1" thickBot="1">
      <c r="B541" s="6"/>
      <c r="C541" s="12" t="s">
        <v>347</v>
      </c>
      <c r="D541" s="12" t="s">
        <v>18</v>
      </c>
      <c r="E541" s="12" t="s">
        <v>19</v>
      </c>
      <c r="F541" s="12">
        <v>3</v>
      </c>
      <c r="G541" s="12" t="s">
        <v>20</v>
      </c>
      <c r="H541" s="12" t="s">
        <v>33</v>
      </c>
      <c r="I541" s="13">
        <v>45196.396562499998</v>
      </c>
      <c r="J541" s="12" t="s">
        <v>22</v>
      </c>
      <c r="K541" s="12"/>
      <c r="L541" s="12"/>
      <c r="M541" s="4" t="s">
        <v>23</v>
      </c>
      <c r="N541" s="8" t="str">
        <f t="shared" si="17"/>
        <v>057 - 47855135</v>
      </c>
      <c r="O541" s="9" t="s">
        <v>345</v>
      </c>
      <c r="P541" s="9" t="s">
        <v>346</v>
      </c>
      <c r="Q541" s="9"/>
      <c r="R541" s="9" t="s">
        <v>52</v>
      </c>
    </row>
    <row r="542" spans="2:18" ht="12.75" hidden="1" customHeight="1" thickBot="1">
      <c r="B542" s="5"/>
      <c r="C542" s="12" t="s">
        <v>344</v>
      </c>
      <c r="D542" s="12" t="s">
        <v>18</v>
      </c>
      <c r="E542" s="12" t="s">
        <v>19</v>
      </c>
      <c r="F542" s="12">
        <v>3</v>
      </c>
      <c r="G542" s="12" t="s">
        <v>20</v>
      </c>
      <c r="H542" s="12" t="s">
        <v>93</v>
      </c>
      <c r="I542" s="13">
        <v>45196.396550925929</v>
      </c>
      <c r="J542" s="12" t="s">
        <v>22</v>
      </c>
      <c r="K542" s="12"/>
      <c r="L542" s="12"/>
      <c r="M542" s="4" t="s">
        <v>23</v>
      </c>
      <c r="N542" s="8" t="str">
        <f t="shared" si="17"/>
        <v>057 - 04245216</v>
      </c>
      <c r="O542" s="9" t="s">
        <v>345</v>
      </c>
      <c r="P542" s="9" t="s">
        <v>346</v>
      </c>
      <c r="Q542" s="9"/>
      <c r="R542" s="9" t="s">
        <v>348</v>
      </c>
    </row>
    <row r="543" spans="2:18" ht="12.75" hidden="1" customHeight="1" thickBot="1">
      <c r="B543" s="6"/>
      <c r="C543" s="12" t="s">
        <v>349</v>
      </c>
      <c r="D543" s="12" t="s">
        <v>18</v>
      </c>
      <c r="E543" s="12" t="s">
        <v>19</v>
      </c>
      <c r="F543" s="12">
        <v>3</v>
      </c>
      <c r="G543" s="12" t="s">
        <v>20</v>
      </c>
      <c r="H543" s="12" t="s">
        <v>33</v>
      </c>
      <c r="I543" s="13">
        <v>45196.396539351852</v>
      </c>
      <c r="J543" s="12" t="s">
        <v>22</v>
      </c>
      <c r="K543" s="12"/>
      <c r="L543" s="12"/>
      <c r="M543" s="4" t="s">
        <v>23</v>
      </c>
      <c r="N543" s="8" t="str">
        <f t="shared" si="17"/>
        <v>057 - 47516560</v>
      </c>
      <c r="O543" s="9" t="s">
        <v>345</v>
      </c>
      <c r="P543" s="9" t="s">
        <v>346</v>
      </c>
      <c r="Q543" s="9"/>
      <c r="R543" s="9" t="s">
        <v>52</v>
      </c>
    </row>
    <row r="544" spans="2:18" ht="12.75" hidden="1" customHeight="1" thickBot="1">
      <c r="B544" s="5"/>
      <c r="C544" s="12" t="s">
        <v>252</v>
      </c>
      <c r="D544" s="12" t="s">
        <v>18</v>
      </c>
      <c r="E544" s="12" t="s">
        <v>19</v>
      </c>
      <c r="F544" s="12">
        <v>3</v>
      </c>
      <c r="G544" s="12" t="s">
        <v>20</v>
      </c>
      <c r="H544" s="12" t="s">
        <v>33</v>
      </c>
      <c r="I544" s="13">
        <v>45196.396527777775</v>
      </c>
      <c r="J544" s="12" t="s">
        <v>22</v>
      </c>
      <c r="K544" s="12"/>
      <c r="L544" s="12"/>
      <c r="M544" s="4" t="s">
        <v>23</v>
      </c>
      <c r="N544" s="8" t="str">
        <f t="shared" si="17"/>
        <v>057 - 47967231</v>
      </c>
      <c r="O544" s="9" t="s">
        <v>345</v>
      </c>
      <c r="P544" s="9" t="s">
        <v>346</v>
      </c>
      <c r="Q544" s="9"/>
      <c r="R544" s="9" t="s">
        <v>52</v>
      </c>
    </row>
    <row r="545" spans="2:18" ht="12.75" hidden="1" customHeight="1" thickBot="1">
      <c r="B545" s="6"/>
      <c r="C545" s="12" t="s">
        <v>350</v>
      </c>
      <c r="D545" s="12" t="s">
        <v>18</v>
      </c>
      <c r="E545" s="12" t="s">
        <v>19</v>
      </c>
      <c r="F545" s="12">
        <v>3</v>
      </c>
      <c r="G545" s="12" t="s">
        <v>20</v>
      </c>
      <c r="H545" s="12" t="s">
        <v>33</v>
      </c>
      <c r="I545" s="13">
        <v>45196.396527777775</v>
      </c>
      <c r="J545" s="12" t="s">
        <v>22</v>
      </c>
      <c r="K545" s="12"/>
      <c r="L545" s="12"/>
      <c r="M545" s="4" t="s">
        <v>23</v>
      </c>
      <c r="N545" s="8" t="str">
        <f t="shared" si="17"/>
        <v>057 - 47853610</v>
      </c>
      <c r="O545" s="9" t="s">
        <v>345</v>
      </c>
      <c r="P545" s="9" t="s">
        <v>346</v>
      </c>
      <c r="Q545" s="9"/>
      <c r="R545" s="9" t="s">
        <v>52</v>
      </c>
    </row>
    <row r="546" spans="2:18" ht="12.75" hidden="1" customHeight="1" thickBot="1">
      <c r="B546" s="5"/>
      <c r="C546" s="12" t="s">
        <v>350</v>
      </c>
      <c r="D546" s="12" t="s">
        <v>18</v>
      </c>
      <c r="E546" s="12" t="s">
        <v>19</v>
      </c>
      <c r="F546" s="12">
        <v>3</v>
      </c>
      <c r="G546" s="12" t="s">
        <v>20</v>
      </c>
      <c r="H546" s="12" t="s">
        <v>33</v>
      </c>
      <c r="I546" s="13">
        <v>45196.396516203706</v>
      </c>
      <c r="J546" s="12" t="s">
        <v>22</v>
      </c>
      <c r="K546" s="12"/>
      <c r="L546" s="12"/>
      <c r="M546" s="4" t="s">
        <v>23</v>
      </c>
      <c r="N546" s="8" t="str">
        <f t="shared" si="17"/>
        <v>057 - 47853610</v>
      </c>
      <c r="O546" s="9" t="s">
        <v>345</v>
      </c>
      <c r="P546" s="9" t="s">
        <v>348</v>
      </c>
      <c r="Q546" s="9"/>
      <c r="R546" s="9" t="s">
        <v>348</v>
      </c>
    </row>
    <row r="547" spans="2:18" ht="12.75" hidden="1" customHeight="1" thickBot="1">
      <c r="B547" s="6"/>
      <c r="C547" s="12" t="s">
        <v>351</v>
      </c>
      <c r="D547" s="12" t="s">
        <v>18</v>
      </c>
      <c r="E547" s="12" t="s">
        <v>19</v>
      </c>
      <c r="F547" s="12">
        <v>3</v>
      </c>
      <c r="G547" s="12" t="s">
        <v>20</v>
      </c>
      <c r="H547" s="12" t="s">
        <v>33</v>
      </c>
      <c r="I547" s="13">
        <v>45196.396516203706</v>
      </c>
      <c r="J547" s="12" t="s">
        <v>22</v>
      </c>
      <c r="K547" s="12"/>
      <c r="L547" s="12"/>
      <c r="M547" s="4" t="s">
        <v>23</v>
      </c>
      <c r="N547" s="8" t="str">
        <f t="shared" si="17"/>
        <v>057 - 04121935</v>
      </c>
      <c r="O547" s="9" t="s">
        <v>345</v>
      </c>
      <c r="P547" s="9" t="s">
        <v>346</v>
      </c>
      <c r="Q547" s="9"/>
      <c r="R547" s="9" t="s">
        <v>52</v>
      </c>
    </row>
    <row r="548" spans="2:18" ht="12.75" hidden="1" customHeight="1" thickBot="1">
      <c r="B548" s="5"/>
      <c r="C548" s="12" t="s">
        <v>350</v>
      </c>
      <c r="D548" s="12" t="s">
        <v>18</v>
      </c>
      <c r="E548" s="12" t="s">
        <v>19</v>
      </c>
      <c r="F548" s="12">
        <v>3</v>
      </c>
      <c r="G548" s="12" t="s">
        <v>20</v>
      </c>
      <c r="H548" s="12" t="s">
        <v>33</v>
      </c>
      <c r="I548" s="13">
        <v>45196.396504629629</v>
      </c>
      <c r="J548" s="12" t="s">
        <v>22</v>
      </c>
      <c r="K548" s="12"/>
      <c r="L548" s="12"/>
      <c r="M548" s="4" t="s">
        <v>23</v>
      </c>
      <c r="N548" s="8" t="str">
        <f t="shared" si="17"/>
        <v>057 - 47853610</v>
      </c>
      <c r="O548" s="9" t="s">
        <v>345</v>
      </c>
      <c r="P548" s="9" t="s">
        <v>348</v>
      </c>
      <c r="Q548" s="9"/>
      <c r="R548" s="9" t="s">
        <v>348</v>
      </c>
    </row>
    <row r="549" spans="2:18" ht="12.75" hidden="1" customHeight="1" thickBot="1">
      <c r="B549" s="6"/>
      <c r="C549" s="12" t="s">
        <v>347</v>
      </c>
      <c r="D549" s="12" t="s">
        <v>18</v>
      </c>
      <c r="E549" s="12" t="s">
        <v>19</v>
      </c>
      <c r="F549" s="12">
        <v>3</v>
      </c>
      <c r="G549" s="12" t="s">
        <v>20</v>
      </c>
      <c r="H549" s="12" t="s">
        <v>33</v>
      </c>
      <c r="I549" s="13">
        <v>45196.396504629629</v>
      </c>
      <c r="J549" s="12" t="s">
        <v>22</v>
      </c>
      <c r="K549" s="12"/>
      <c r="L549" s="12"/>
      <c r="M549" s="4" t="s">
        <v>23</v>
      </c>
      <c r="N549" s="8" t="str">
        <f t="shared" si="17"/>
        <v>057 - 47855135</v>
      </c>
      <c r="O549" s="9" t="s">
        <v>345</v>
      </c>
      <c r="P549" s="9" t="s">
        <v>348</v>
      </c>
      <c r="Q549" s="9"/>
      <c r="R549" s="9" t="s">
        <v>348</v>
      </c>
    </row>
    <row r="550" spans="2:18" ht="12.75" customHeight="1" thickBot="1">
      <c r="B550" s="5"/>
      <c r="C550" s="12" t="s">
        <v>230</v>
      </c>
      <c r="D550" s="12" t="s">
        <v>18</v>
      </c>
      <c r="E550" s="12" t="s">
        <v>19</v>
      </c>
      <c r="F550" s="12">
        <v>3</v>
      </c>
      <c r="G550" s="12" t="s">
        <v>20</v>
      </c>
      <c r="H550" s="12" t="s">
        <v>33</v>
      </c>
      <c r="I550" s="13">
        <v>45196.396481481483</v>
      </c>
      <c r="J550" s="12" t="s">
        <v>22</v>
      </c>
      <c r="K550" s="12"/>
      <c r="L550" s="12"/>
      <c r="M550" s="4" t="s">
        <v>23</v>
      </c>
      <c r="N550" s="8" t="str">
        <f t="shared" si="17"/>
        <v>057 - 48083501</v>
      </c>
      <c r="O550" s="9"/>
      <c r="P550" s="9"/>
      <c r="Q550" s="9"/>
      <c r="R550" s="9"/>
    </row>
    <row r="551" spans="2:18" ht="12.75" hidden="1" customHeight="1" thickBot="1">
      <c r="B551" s="6"/>
      <c r="C551" s="12" t="s">
        <v>351</v>
      </c>
      <c r="D551" s="12" t="s">
        <v>18</v>
      </c>
      <c r="E551" s="12" t="s">
        <v>19</v>
      </c>
      <c r="F551" s="12">
        <v>3</v>
      </c>
      <c r="G551" s="12" t="s">
        <v>20</v>
      </c>
      <c r="H551" s="12" t="s">
        <v>33</v>
      </c>
      <c r="I551" s="13">
        <v>45196.396481481483</v>
      </c>
      <c r="J551" s="12" t="s">
        <v>22</v>
      </c>
      <c r="K551" s="12"/>
      <c r="L551" s="12"/>
      <c r="M551" s="4" t="s">
        <v>23</v>
      </c>
      <c r="N551" s="8" t="str">
        <f t="shared" si="17"/>
        <v>057 - 04121935</v>
      </c>
      <c r="O551" s="9" t="s">
        <v>345</v>
      </c>
      <c r="P551" s="9" t="s">
        <v>346</v>
      </c>
      <c r="Q551" s="9"/>
      <c r="R551" s="9" t="s">
        <v>52</v>
      </c>
    </row>
    <row r="552" spans="2:18" ht="12.75" hidden="1" customHeight="1" thickBot="1">
      <c r="B552" s="5"/>
      <c r="C552" s="12" t="s">
        <v>351</v>
      </c>
      <c r="D552" s="12" t="s">
        <v>18</v>
      </c>
      <c r="E552" s="12" t="s">
        <v>19</v>
      </c>
      <c r="F552" s="12">
        <v>3</v>
      </c>
      <c r="G552" s="12" t="s">
        <v>20</v>
      </c>
      <c r="H552" s="12" t="s">
        <v>33</v>
      </c>
      <c r="I552" s="13">
        <v>45196.396469907406</v>
      </c>
      <c r="J552" s="12" t="s">
        <v>22</v>
      </c>
      <c r="K552" s="12"/>
      <c r="L552" s="12"/>
      <c r="M552" s="4" t="s">
        <v>23</v>
      </c>
      <c r="N552" s="8" t="str">
        <f t="shared" si="17"/>
        <v>057 - 04121935</v>
      </c>
      <c r="O552" s="9" t="s">
        <v>345</v>
      </c>
      <c r="P552" s="9" t="s">
        <v>348</v>
      </c>
      <c r="Q552" s="9"/>
      <c r="R552" s="9" t="s">
        <v>348</v>
      </c>
    </row>
    <row r="553" spans="2:18" ht="12.75" hidden="1" customHeight="1" thickBot="1">
      <c r="B553" s="6"/>
      <c r="C553" s="12" t="s">
        <v>352</v>
      </c>
      <c r="D553" s="12" t="s">
        <v>18</v>
      </c>
      <c r="E553" s="12" t="s">
        <v>19</v>
      </c>
      <c r="F553" s="12">
        <v>3</v>
      </c>
      <c r="G553" s="12" t="s">
        <v>20</v>
      </c>
      <c r="H553" s="12" t="s">
        <v>33</v>
      </c>
      <c r="I553" s="13">
        <v>45196.396458333336</v>
      </c>
      <c r="J553" s="12" t="s">
        <v>22</v>
      </c>
      <c r="K553" s="12"/>
      <c r="L553" s="12"/>
      <c r="M553" s="4" t="s">
        <v>23</v>
      </c>
      <c r="N553" s="8" t="str">
        <f t="shared" si="17"/>
        <v>057 - 48040941</v>
      </c>
      <c r="O553" s="9" t="s">
        <v>345</v>
      </c>
      <c r="P553" s="9" t="s">
        <v>346</v>
      </c>
      <c r="Q553" s="9"/>
      <c r="R553" s="9" t="s">
        <v>52</v>
      </c>
    </row>
    <row r="554" spans="2:18" ht="12.75" hidden="1" customHeight="1" thickBot="1">
      <c r="B554" s="5"/>
      <c r="C554" s="12" t="s">
        <v>353</v>
      </c>
      <c r="D554" s="12" t="s">
        <v>18</v>
      </c>
      <c r="E554" s="12" t="s">
        <v>19</v>
      </c>
      <c r="F554" s="12">
        <v>3</v>
      </c>
      <c r="G554" s="12" t="s">
        <v>20</v>
      </c>
      <c r="H554" s="12" t="s">
        <v>33</v>
      </c>
      <c r="I554" s="13">
        <v>45196.396458333336</v>
      </c>
      <c r="J554" s="12" t="s">
        <v>22</v>
      </c>
      <c r="K554" s="12"/>
      <c r="L554" s="12"/>
      <c r="M554" s="4" t="s">
        <v>23</v>
      </c>
      <c r="N554" s="8" t="str">
        <f t="shared" si="17"/>
        <v>057 - 48258033</v>
      </c>
      <c r="O554" s="9" t="s">
        <v>345</v>
      </c>
      <c r="P554" s="9" t="s">
        <v>346</v>
      </c>
      <c r="Q554" s="9"/>
      <c r="R554" s="9" t="s">
        <v>52</v>
      </c>
    </row>
    <row r="555" spans="2:18" ht="12.75" hidden="1" customHeight="1" thickBot="1">
      <c r="B555" s="6"/>
      <c r="C555" s="12" t="s">
        <v>353</v>
      </c>
      <c r="D555" s="12" t="s">
        <v>18</v>
      </c>
      <c r="E555" s="12" t="s">
        <v>19</v>
      </c>
      <c r="F555" s="12">
        <v>3</v>
      </c>
      <c r="G555" s="12" t="s">
        <v>20</v>
      </c>
      <c r="H555" s="12" t="s">
        <v>33</v>
      </c>
      <c r="I555" s="13">
        <v>45196.39644675926</v>
      </c>
      <c r="J555" s="12" t="s">
        <v>22</v>
      </c>
      <c r="K555" s="12"/>
      <c r="L555" s="12"/>
      <c r="M555" s="4" t="s">
        <v>23</v>
      </c>
      <c r="N555" s="8" t="str">
        <f t="shared" si="17"/>
        <v>057 - 48258033</v>
      </c>
      <c r="O555" s="9" t="s">
        <v>345</v>
      </c>
      <c r="P555" s="9" t="s">
        <v>348</v>
      </c>
      <c r="Q555" s="9"/>
      <c r="R555" s="9" t="s">
        <v>354</v>
      </c>
    </row>
    <row r="556" spans="2:18" ht="12.75" hidden="1" customHeight="1" thickBot="1">
      <c r="B556" s="5"/>
      <c r="C556" s="12" t="s">
        <v>352</v>
      </c>
      <c r="D556" s="12" t="s">
        <v>18</v>
      </c>
      <c r="E556" s="12" t="s">
        <v>19</v>
      </c>
      <c r="F556" s="12">
        <v>3</v>
      </c>
      <c r="G556" s="12" t="s">
        <v>20</v>
      </c>
      <c r="H556" s="12" t="s">
        <v>33</v>
      </c>
      <c r="I556" s="13">
        <v>45196.39644675926</v>
      </c>
      <c r="J556" s="12" t="s">
        <v>22</v>
      </c>
      <c r="K556" s="12"/>
      <c r="L556" s="12"/>
      <c r="M556" s="4" t="s">
        <v>23</v>
      </c>
      <c r="N556" s="8" t="str">
        <f t="shared" si="17"/>
        <v>057 - 48040941</v>
      </c>
      <c r="O556" s="9" t="s">
        <v>345</v>
      </c>
      <c r="P556" s="9" t="s">
        <v>348</v>
      </c>
      <c r="Q556" s="9"/>
      <c r="R556" s="9" t="s">
        <v>354</v>
      </c>
    </row>
    <row r="557" spans="2:18" ht="12.75" hidden="1" customHeight="1" thickBot="1">
      <c r="B557" s="7"/>
      <c r="C557" s="12" t="s">
        <v>352</v>
      </c>
      <c r="D557" s="12" t="s">
        <v>18</v>
      </c>
      <c r="E557" s="12" t="s">
        <v>19</v>
      </c>
      <c r="F557" s="12">
        <v>3</v>
      </c>
      <c r="G557" s="12" t="s">
        <v>20</v>
      </c>
      <c r="H557" s="12" t="s">
        <v>33</v>
      </c>
      <c r="I557" s="13">
        <v>45196.39644675926</v>
      </c>
      <c r="J557" s="12" t="s">
        <v>22</v>
      </c>
      <c r="K557" s="12"/>
      <c r="L557" s="12"/>
      <c r="M557" s="4" t="s">
        <v>23</v>
      </c>
      <c r="N557" s="8" t="str">
        <f t="shared" si="17"/>
        <v>057 - 48040941</v>
      </c>
      <c r="O557" s="9" t="s">
        <v>345</v>
      </c>
      <c r="P557" s="9" t="s">
        <v>348</v>
      </c>
      <c r="Q557" s="9"/>
      <c r="R557" s="9" t="s">
        <v>354</v>
      </c>
    </row>
    <row r="558" spans="2:18" ht="12.75" hidden="1" customHeight="1">
      <c r="C558" s="12" t="s">
        <v>353</v>
      </c>
      <c r="D558" s="12" t="s">
        <v>18</v>
      </c>
      <c r="E558" s="12" t="s">
        <v>19</v>
      </c>
      <c r="F558" s="12">
        <v>3</v>
      </c>
      <c r="G558" s="12" t="s">
        <v>20</v>
      </c>
      <c r="H558" s="12" t="s">
        <v>33</v>
      </c>
      <c r="I558" s="13">
        <v>45196.396435185183</v>
      </c>
      <c r="J558" s="12" t="s">
        <v>22</v>
      </c>
      <c r="K558" s="12"/>
      <c r="L558" s="12"/>
      <c r="M558" s="4" t="s">
        <v>23</v>
      </c>
      <c r="N558" s="8" t="str">
        <f t="shared" si="17"/>
        <v>057 - 48258033</v>
      </c>
      <c r="O558" s="9" t="s">
        <v>345</v>
      </c>
      <c r="P558" s="9" t="s">
        <v>348</v>
      </c>
      <c r="Q558" s="9"/>
      <c r="R558" s="9"/>
    </row>
    <row r="559" spans="2:18" ht="12.75" hidden="1" customHeight="1" thickBot="1">
      <c r="B559" s="5"/>
      <c r="C559" s="12" t="s">
        <v>252</v>
      </c>
      <c r="D559" s="12" t="s">
        <v>18</v>
      </c>
      <c r="E559" s="12" t="s">
        <v>19</v>
      </c>
      <c r="F559" s="12">
        <v>3</v>
      </c>
      <c r="G559" s="12" t="s">
        <v>20</v>
      </c>
      <c r="H559" s="12" t="s">
        <v>33</v>
      </c>
      <c r="I559" s="13">
        <v>45196.396423611113</v>
      </c>
      <c r="J559" s="12" t="s">
        <v>22</v>
      </c>
      <c r="K559" s="12"/>
      <c r="L559" s="12"/>
      <c r="M559" s="4" t="s">
        <v>23</v>
      </c>
      <c r="N559" s="8" t="str">
        <f t="shared" si="17"/>
        <v>057 - 47967231</v>
      </c>
      <c r="O559" s="9" t="s">
        <v>345</v>
      </c>
      <c r="P559" s="9"/>
      <c r="Q559" s="9"/>
      <c r="R559" s="9" t="s">
        <v>52</v>
      </c>
    </row>
    <row r="560" spans="2:18" ht="12.75" hidden="1" customHeight="1" thickBot="1">
      <c r="B560" s="6"/>
      <c r="C560" s="12" t="s">
        <v>352</v>
      </c>
      <c r="D560" s="12" t="s">
        <v>18</v>
      </c>
      <c r="E560" s="12" t="s">
        <v>19</v>
      </c>
      <c r="F560" s="12">
        <v>3</v>
      </c>
      <c r="G560" s="12" t="s">
        <v>20</v>
      </c>
      <c r="H560" s="12" t="s">
        <v>33</v>
      </c>
      <c r="I560" s="13">
        <v>45196.396412037036</v>
      </c>
      <c r="J560" s="12" t="s">
        <v>22</v>
      </c>
      <c r="K560" s="12"/>
      <c r="L560" s="12"/>
      <c r="M560" s="4" t="s">
        <v>23</v>
      </c>
      <c r="N560" s="8" t="str">
        <f t="shared" si="17"/>
        <v>057 - 48040941</v>
      </c>
      <c r="O560" s="9" t="s">
        <v>345</v>
      </c>
      <c r="P560" s="9" t="s">
        <v>348</v>
      </c>
      <c r="Q560" s="9"/>
      <c r="R560" s="9" t="s">
        <v>52</v>
      </c>
    </row>
    <row r="561" spans="2:18" ht="12.75" hidden="1" customHeight="1" thickBot="1">
      <c r="B561" s="5"/>
      <c r="C561" s="12" t="s">
        <v>355</v>
      </c>
      <c r="D561" s="12" t="s">
        <v>18</v>
      </c>
      <c r="E561" s="12" t="s">
        <v>19</v>
      </c>
      <c r="F561" s="12">
        <v>3</v>
      </c>
      <c r="G561" s="12" t="s">
        <v>20</v>
      </c>
      <c r="H561" s="12" t="s">
        <v>33</v>
      </c>
      <c r="I561" s="13">
        <v>45196.396296296298</v>
      </c>
      <c r="J561" s="12" t="s">
        <v>22</v>
      </c>
      <c r="K561" s="12"/>
      <c r="L561" s="12"/>
      <c r="M561" s="4" t="s">
        <v>23</v>
      </c>
      <c r="N561" s="8" t="str">
        <f t="shared" si="17"/>
        <v>057 - 04302292</v>
      </c>
      <c r="O561" s="9" t="s">
        <v>345</v>
      </c>
      <c r="P561" s="9"/>
      <c r="Q561" s="9"/>
      <c r="R561" s="9" t="s">
        <v>52</v>
      </c>
    </row>
    <row r="562" spans="2:18" ht="12.75" hidden="1" customHeight="1" thickBot="1">
      <c r="B562" s="6"/>
      <c r="C562" s="12" t="s">
        <v>329</v>
      </c>
      <c r="D562" s="12" t="s">
        <v>18</v>
      </c>
      <c r="E562" s="12" t="s">
        <v>19</v>
      </c>
      <c r="F562" s="12">
        <v>3</v>
      </c>
      <c r="G562" s="12" t="s">
        <v>20</v>
      </c>
      <c r="H562" s="12" t="s">
        <v>33</v>
      </c>
      <c r="I562" s="13">
        <v>45196.396273148152</v>
      </c>
      <c r="J562" s="12" t="s">
        <v>22</v>
      </c>
      <c r="K562" s="12"/>
      <c r="L562" s="12"/>
      <c r="M562" s="4" t="s">
        <v>23</v>
      </c>
      <c r="N562" s="8" t="str">
        <f t="shared" si="17"/>
        <v>057 - 48178443</v>
      </c>
      <c r="O562" s="9" t="s">
        <v>356</v>
      </c>
      <c r="P562" s="9"/>
      <c r="Q562" s="9"/>
      <c r="R562" s="9" t="s">
        <v>139</v>
      </c>
    </row>
    <row r="563" spans="2:18" ht="12.75" hidden="1" customHeight="1" thickBot="1">
      <c r="B563" s="5"/>
      <c r="C563" s="12" t="s">
        <v>307</v>
      </c>
      <c r="D563" s="12" t="s">
        <v>18</v>
      </c>
      <c r="E563" s="12" t="s">
        <v>19</v>
      </c>
      <c r="F563" s="12">
        <v>3</v>
      </c>
      <c r="G563" s="12" t="s">
        <v>20</v>
      </c>
      <c r="H563" s="12" t="s">
        <v>46</v>
      </c>
      <c r="I563" s="13">
        <v>45196.396273148152</v>
      </c>
      <c r="J563" s="12" t="s">
        <v>22</v>
      </c>
      <c r="K563" s="12"/>
      <c r="L563" s="12"/>
      <c r="M563" s="4" t="s">
        <v>23</v>
      </c>
      <c r="N563" s="8" t="str">
        <f t="shared" si="17"/>
        <v>057 - 47654880</v>
      </c>
      <c r="O563" s="9" t="s">
        <v>345</v>
      </c>
      <c r="P563" s="9"/>
      <c r="Q563" s="9"/>
      <c r="R563" s="9" t="s">
        <v>52</v>
      </c>
    </row>
    <row r="564" spans="2:18" ht="12.75" hidden="1" customHeight="1" thickBot="1">
      <c r="B564" s="6"/>
      <c r="C564" s="12" t="s">
        <v>252</v>
      </c>
      <c r="D564" s="12" t="s">
        <v>18</v>
      </c>
      <c r="E564" s="12" t="s">
        <v>19</v>
      </c>
      <c r="F564" s="12">
        <v>3</v>
      </c>
      <c r="G564" s="12" t="s">
        <v>20</v>
      </c>
      <c r="H564" s="12" t="s">
        <v>33</v>
      </c>
      <c r="I564" s="13">
        <v>45196.396261574075</v>
      </c>
      <c r="J564" s="12" t="s">
        <v>22</v>
      </c>
      <c r="K564" s="12"/>
      <c r="L564" s="12"/>
      <c r="M564" s="4" t="s">
        <v>23</v>
      </c>
      <c r="N564" s="8" t="str">
        <f t="shared" si="17"/>
        <v>057 - 47967231</v>
      </c>
      <c r="O564" s="9" t="s">
        <v>345</v>
      </c>
      <c r="P564" s="9"/>
      <c r="Q564" s="9"/>
      <c r="R564" s="9" t="s">
        <v>52</v>
      </c>
    </row>
    <row r="565" spans="2:18" ht="12.75" hidden="1" customHeight="1" thickBot="1">
      <c r="B565" s="5"/>
      <c r="C565" s="12" t="s">
        <v>355</v>
      </c>
      <c r="D565" s="12" t="s">
        <v>18</v>
      </c>
      <c r="E565" s="12" t="s">
        <v>19</v>
      </c>
      <c r="F565" s="12">
        <v>3</v>
      </c>
      <c r="G565" s="12" t="s">
        <v>20</v>
      </c>
      <c r="H565" s="12" t="s">
        <v>33</v>
      </c>
      <c r="I565" s="13">
        <v>45196.396249999998</v>
      </c>
      <c r="J565" s="12" t="s">
        <v>22</v>
      </c>
      <c r="K565" s="12"/>
      <c r="L565" s="12"/>
      <c r="M565" s="4" t="s">
        <v>23</v>
      </c>
      <c r="N565" s="8" t="str">
        <f t="shared" si="17"/>
        <v>057 - 04302292</v>
      </c>
      <c r="O565" s="9" t="s">
        <v>345</v>
      </c>
      <c r="P565" s="9" t="s">
        <v>348</v>
      </c>
      <c r="Q565" s="9"/>
      <c r="R565" s="9" t="s">
        <v>52</v>
      </c>
    </row>
    <row r="566" spans="2:18" ht="12.75" hidden="1" customHeight="1" thickBot="1">
      <c r="B566" s="6"/>
      <c r="C566" s="12" t="s">
        <v>355</v>
      </c>
      <c r="D566" s="12" t="s">
        <v>18</v>
      </c>
      <c r="E566" s="12" t="s">
        <v>19</v>
      </c>
      <c r="F566" s="12">
        <v>3</v>
      </c>
      <c r="G566" s="12" t="s">
        <v>20</v>
      </c>
      <c r="H566" s="12" t="s">
        <v>33</v>
      </c>
      <c r="I566" s="13">
        <v>45196.396238425928</v>
      </c>
      <c r="J566" s="12" t="s">
        <v>22</v>
      </c>
      <c r="K566" s="12"/>
      <c r="L566" s="12"/>
      <c r="M566" s="4" t="s">
        <v>23</v>
      </c>
      <c r="N566" s="8" t="str">
        <f t="shared" si="17"/>
        <v>057 - 04302292</v>
      </c>
      <c r="O566" s="9" t="s">
        <v>345</v>
      </c>
      <c r="P566" s="9" t="s">
        <v>348</v>
      </c>
      <c r="Q566" s="9"/>
      <c r="R566" s="9" t="s">
        <v>52</v>
      </c>
    </row>
    <row r="567" spans="2:18" ht="12.75" hidden="1" customHeight="1" thickBot="1">
      <c r="B567" s="5"/>
      <c r="C567" s="12" t="s">
        <v>252</v>
      </c>
      <c r="D567" s="12" t="s">
        <v>18</v>
      </c>
      <c r="E567" s="12" t="s">
        <v>19</v>
      </c>
      <c r="F567" s="12">
        <v>3</v>
      </c>
      <c r="G567" s="12" t="s">
        <v>20</v>
      </c>
      <c r="H567" s="12" t="s">
        <v>33</v>
      </c>
      <c r="I567" s="13">
        <v>45196.396238425928</v>
      </c>
      <c r="J567" s="12" t="s">
        <v>22</v>
      </c>
      <c r="K567" s="12"/>
      <c r="L567" s="12"/>
      <c r="M567" s="4" t="s">
        <v>23</v>
      </c>
      <c r="N567" s="8" t="str">
        <f t="shared" si="17"/>
        <v>057 - 47967231</v>
      </c>
      <c r="O567" s="9" t="s">
        <v>345</v>
      </c>
      <c r="P567" s="9" t="s">
        <v>348</v>
      </c>
      <c r="Q567" s="9"/>
      <c r="R567" s="9" t="s">
        <v>52</v>
      </c>
    </row>
    <row r="568" spans="2:18" ht="12.75" hidden="1" customHeight="1" thickBot="1">
      <c r="B568" s="6"/>
      <c r="C568" s="12" t="s">
        <v>344</v>
      </c>
      <c r="D568" s="12" t="s">
        <v>18</v>
      </c>
      <c r="E568" s="12" t="s">
        <v>19</v>
      </c>
      <c r="F568" s="12">
        <v>3</v>
      </c>
      <c r="G568" s="12" t="s">
        <v>20</v>
      </c>
      <c r="H568" s="12" t="s">
        <v>33</v>
      </c>
      <c r="I568" s="13">
        <v>45196.396226851852</v>
      </c>
      <c r="J568" s="12" t="s">
        <v>22</v>
      </c>
      <c r="K568" s="12"/>
      <c r="L568" s="12"/>
      <c r="M568" s="4" t="s">
        <v>23</v>
      </c>
      <c r="N568" s="8" t="str">
        <f t="shared" si="17"/>
        <v>057 - 04245216</v>
      </c>
      <c r="O568" s="9" t="s">
        <v>345</v>
      </c>
      <c r="P568" s="9" t="s">
        <v>348</v>
      </c>
      <c r="Q568" s="9"/>
      <c r="R568" s="9"/>
    </row>
    <row r="569" spans="2:18" ht="12.75" hidden="1" customHeight="1" thickBot="1">
      <c r="B569" s="5"/>
      <c r="C569" s="12" t="s">
        <v>357</v>
      </c>
      <c r="D569" s="12" t="s">
        <v>18</v>
      </c>
      <c r="E569" s="12" t="s">
        <v>19</v>
      </c>
      <c r="F569" s="12">
        <v>3</v>
      </c>
      <c r="G569" s="12" t="s">
        <v>20</v>
      </c>
      <c r="H569" s="12" t="s">
        <v>33</v>
      </c>
      <c r="I569" s="13">
        <v>45196.396215277775</v>
      </c>
      <c r="J569" s="12" t="s">
        <v>22</v>
      </c>
      <c r="K569" s="12"/>
      <c r="L569" s="12"/>
      <c r="M569" s="4" t="s">
        <v>23</v>
      </c>
      <c r="N569" s="8" t="str">
        <f t="shared" si="17"/>
        <v>057 - 47895245</v>
      </c>
      <c r="O569" s="9" t="s">
        <v>345</v>
      </c>
      <c r="P569" s="9"/>
      <c r="Q569" s="9"/>
      <c r="R569" s="9" t="s">
        <v>52</v>
      </c>
    </row>
    <row r="570" spans="2:18" ht="12.75" hidden="1" customHeight="1" thickBot="1">
      <c r="B570" s="6"/>
      <c r="C570" s="12" t="s">
        <v>344</v>
      </c>
      <c r="D570" s="12" t="s">
        <v>18</v>
      </c>
      <c r="E570" s="12" t="s">
        <v>19</v>
      </c>
      <c r="F570" s="12">
        <v>3</v>
      </c>
      <c r="G570" s="12" t="s">
        <v>20</v>
      </c>
      <c r="H570" s="12" t="s">
        <v>33</v>
      </c>
      <c r="I570" s="13">
        <v>45196.396203703705</v>
      </c>
      <c r="J570" s="12" t="s">
        <v>22</v>
      </c>
      <c r="K570" s="12"/>
      <c r="L570" s="12"/>
      <c r="M570" s="4" t="s">
        <v>23</v>
      </c>
      <c r="N570" s="8" t="str">
        <f t="shared" si="17"/>
        <v>057 - 04245216</v>
      </c>
      <c r="O570" s="9" t="s">
        <v>345</v>
      </c>
      <c r="P570" s="9"/>
      <c r="Q570" s="9"/>
      <c r="R570" s="9" t="s">
        <v>52</v>
      </c>
    </row>
    <row r="571" spans="2:18" ht="12.75" hidden="1" customHeight="1" thickBot="1">
      <c r="B571" s="5"/>
      <c r="C571" s="12" t="s">
        <v>357</v>
      </c>
      <c r="D571" s="12" t="s">
        <v>18</v>
      </c>
      <c r="E571" s="12" t="s">
        <v>19</v>
      </c>
      <c r="F571" s="12">
        <v>3</v>
      </c>
      <c r="G571" s="12" t="s">
        <v>20</v>
      </c>
      <c r="H571" s="12" t="s">
        <v>33</v>
      </c>
      <c r="I571" s="13">
        <v>45196.396192129629</v>
      </c>
      <c r="J571" s="12" t="s">
        <v>22</v>
      </c>
      <c r="K571" s="12"/>
      <c r="L571" s="12"/>
      <c r="M571" s="4" t="s">
        <v>23</v>
      </c>
      <c r="N571" s="8" t="str">
        <f t="shared" si="17"/>
        <v>057 - 47895245</v>
      </c>
      <c r="O571" s="9" t="s">
        <v>345</v>
      </c>
      <c r="P571" s="9" t="s">
        <v>348</v>
      </c>
      <c r="Q571" s="9"/>
      <c r="R571" s="9" t="s">
        <v>52</v>
      </c>
    </row>
    <row r="572" spans="2:18" ht="12.75" hidden="1" customHeight="1" thickBot="1">
      <c r="B572" s="6"/>
      <c r="C572" s="12" t="s">
        <v>344</v>
      </c>
      <c r="D572" s="12" t="s">
        <v>18</v>
      </c>
      <c r="E572" s="12" t="s">
        <v>19</v>
      </c>
      <c r="F572" s="12">
        <v>3</v>
      </c>
      <c r="G572" s="12" t="s">
        <v>20</v>
      </c>
      <c r="H572" s="12" t="s">
        <v>33</v>
      </c>
      <c r="I572" s="13">
        <v>45196.396180555559</v>
      </c>
      <c r="J572" s="12" t="s">
        <v>22</v>
      </c>
      <c r="K572" s="12"/>
      <c r="L572" s="12"/>
      <c r="M572" s="4" t="s">
        <v>23</v>
      </c>
      <c r="N572" s="8" t="str">
        <f t="shared" si="17"/>
        <v>057 - 04245216</v>
      </c>
      <c r="O572" s="9" t="s">
        <v>345</v>
      </c>
      <c r="P572" s="9" t="s">
        <v>348</v>
      </c>
      <c r="Q572" s="9"/>
      <c r="R572" s="9"/>
    </row>
    <row r="573" spans="2:18" ht="12.75" hidden="1" customHeight="1" thickBot="1">
      <c r="B573" s="5"/>
      <c r="C573" s="12" t="s">
        <v>252</v>
      </c>
      <c r="D573" s="12" t="s">
        <v>18</v>
      </c>
      <c r="E573" s="12" t="s">
        <v>19</v>
      </c>
      <c r="F573" s="12">
        <v>3</v>
      </c>
      <c r="G573" s="12" t="s">
        <v>20</v>
      </c>
      <c r="H573" s="12" t="s">
        <v>33</v>
      </c>
      <c r="I573" s="13">
        <v>45196.396157407406</v>
      </c>
      <c r="J573" s="12" t="s">
        <v>22</v>
      </c>
      <c r="K573" s="12"/>
      <c r="L573" s="12"/>
      <c r="M573" s="4" t="s">
        <v>23</v>
      </c>
      <c r="N573" s="8" t="str">
        <f t="shared" si="17"/>
        <v>057 - 47967231</v>
      </c>
      <c r="O573" s="9" t="s">
        <v>345</v>
      </c>
      <c r="P573" s="9" t="s">
        <v>348</v>
      </c>
      <c r="Q573" s="9"/>
      <c r="R573" s="9"/>
    </row>
    <row r="574" spans="2:18" ht="12.75" hidden="1" customHeight="1" thickBot="1">
      <c r="B574" s="6"/>
      <c r="C574" s="12" t="s">
        <v>358</v>
      </c>
      <c r="D574" s="12" t="s">
        <v>18</v>
      </c>
      <c r="E574" s="12" t="s">
        <v>19</v>
      </c>
      <c r="F574" s="12">
        <v>3</v>
      </c>
      <c r="G574" s="12" t="s">
        <v>20</v>
      </c>
      <c r="H574" s="12" t="s">
        <v>33</v>
      </c>
      <c r="I574" s="13">
        <v>45196.396145833336</v>
      </c>
      <c r="J574" s="12" t="s">
        <v>22</v>
      </c>
      <c r="K574" s="12"/>
      <c r="L574" s="12"/>
      <c r="M574" s="4" t="s">
        <v>23</v>
      </c>
      <c r="N574" s="8" t="str">
        <f t="shared" si="17"/>
        <v>057 - 11477480</v>
      </c>
      <c r="O574" s="9" t="s">
        <v>345</v>
      </c>
      <c r="P574" s="9"/>
      <c r="Q574" s="9"/>
      <c r="R574" s="9" t="s">
        <v>52</v>
      </c>
    </row>
    <row r="575" spans="2:18" ht="12.75" customHeight="1" thickBot="1">
      <c r="B575" s="5"/>
      <c r="C575" s="12" t="s">
        <v>359</v>
      </c>
      <c r="D575" s="12" t="s">
        <v>18</v>
      </c>
      <c r="E575" s="12" t="s">
        <v>19</v>
      </c>
      <c r="F575" s="12">
        <v>3</v>
      </c>
      <c r="G575" s="12" t="s">
        <v>20</v>
      </c>
      <c r="H575" s="12" t="s">
        <v>33</v>
      </c>
      <c r="I575" s="13">
        <v>45196.396134259259</v>
      </c>
      <c r="J575" s="12" t="s">
        <v>22</v>
      </c>
      <c r="K575" s="12"/>
      <c r="L575" s="12"/>
      <c r="M575" s="4" t="s">
        <v>23</v>
      </c>
      <c r="N575" s="8" t="str">
        <f t="shared" si="17"/>
        <v>057 - 48041092</v>
      </c>
      <c r="O575" s="9"/>
      <c r="P575" s="9"/>
      <c r="Q575" s="9"/>
      <c r="R575" s="9"/>
    </row>
    <row r="576" spans="2:18" ht="12.75" customHeight="1" thickBot="1">
      <c r="B576" s="6"/>
      <c r="C576" s="12" t="s">
        <v>360</v>
      </c>
      <c r="D576" s="12" t="s">
        <v>18</v>
      </c>
      <c r="E576" s="12" t="s">
        <v>19</v>
      </c>
      <c r="F576" s="12">
        <v>3</v>
      </c>
      <c r="G576" s="12" t="s">
        <v>20</v>
      </c>
      <c r="H576" s="12" t="s">
        <v>33</v>
      </c>
      <c r="I576" s="13">
        <v>45196.396134259259</v>
      </c>
      <c r="J576" s="12" t="s">
        <v>22</v>
      </c>
      <c r="K576" s="12"/>
      <c r="L576" s="12"/>
      <c r="M576" s="4" t="s">
        <v>23</v>
      </c>
      <c r="N576" s="8" t="str">
        <f t="shared" si="17"/>
        <v>057 - 04298722</v>
      </c>
      <c r="O576" s="9"/>
      <c r="P576" s="9"/>
      <c r="Q576" s="9"/>
      <c r="R576" s="9"/>
    </row>
    <row r="577" spans="2:18" ht="12.75" customHeight="1" thickBot="1">
      <c r="B577" s="5"/>
      <c r="C577" s="12" t="s">
        <v>359</v>
      </c>
      <c r="D577" s="12" t="s">
        <v>18</v>
      </c>
      <c r="E577" s="12" t="s">
        <v>19</v>
      </c>
      <c r="F577" s="12">
        <v>3</v>
      </c>
      <c r="G577" s="12" t="s">
        <v>20</v>
      </c>
      <c r="H577" s="12" t="s">
        <v>93</v>
      </c>
      <c r="I577" s="13">
        <v>45196.396122685182</v>
      </c>
      <c r="J577" s="12" t="s">
        <v>22</v>
      </c>
      <c r="K577" s="12"/>
      <c r="L577" s="12"/>
      <c r="M577" s="4" t="s">
        <v>23</v>
      </c>
      <c r="N577" s="8" t="str">
        <f t="shared" si="17"/>
        <v>057 - 48041092</v>
      </c>
      <c r="O577" s="9"/>
      <c r="P577" s="9"/>
      <c r="Q577" s="9"/>
      <c r="R577" s="9"/>
    </row>
    <row r="578" spans="2:18" ht="12.75" customHeight="1" thickBot="1">
      <c r="B578" s="6"/>
      <c r="C578" s="12" t="s">
        <v>237</v>
      </c>
      <c r="D578" s="12" t="s">
        <v>18</v>
      </c>
      <c r="E578" s="12" t="s">
        <v>19</v>
      </c>
      <c r="F578" s="12">
        <v>3</v>
      </c>
      <c r="G578" s="12" t="s">
        <v>20</v>
      </c>
      <c r="H578" s="12" t="s">
        <v>33</v>
      </c>
      <c r="I578" s="13">
        <v>45196.396122685182</v>
      </c>
      <c r="J578" s="12" t="s">
        <v>22</v>
      </c>
      <c r="K578" s="12"/>
      <c r="L578" s="12"/>
      <c r="M578" s="4" t="s">
        <v>23</v>
      </c>
      <c r="N578" s="8" t="str">
        <f t="shared" si="17"/>
        <v>057 - 47246334</v>
      </c>
      <c r="O578" s="9"/>
      <c r="P578" s="9"/>
      <c r="Q578" s="9"/>
      <c r="R578" s="9"/>
    </row>
    <row r="579" spans="2:18" ht="12.75" customHeight="1" thickBot="1">
      <c r="B579" s="5"/>
      <c r="C579" s="12" t="s">
        <v>361</v>
      </c>
      <c r="D579" s="12" t="s">
        <v>18</v>
      </c>
      <c r="E579" s="12" t="s">
        <v>19</v>
      </c>
      <c r="F579" s="12">
        <v>3</v>
      </c>
      <c r="G579" s="12" t="s">
        <v>20</v>
      </c>
      <c r="H579" s="12" t="s">
        <v>33</v>
      </c>
      <c r="I579" s="13">
        <v>45196.396111111113</v>
      </c>
      <c r="J579" s="12" t="s">
        <v>22</v>
      </c>
      <c r="K579" s="12"/>
      <c r="L579" s="12"/>
      <c r="M579" s="4" t="s">
        <v>23</v>
      </c>
      <c r="N579" s="8" t="str">
        <f t="shared" si="17"/>
        <v>057 - 48054996</v>
      </c>
      <c r="O579" s="9"/>
      <c r="P579" s="9"/>
      <c r="Q579" s="9"/>
      <c r="R579" s="9"/>
    </row>
    <row r="580" spans="2:18" ht="12.75" customHeight="1" thickBot="1">
      <c r="B580" s="6"/>
      <c r="C580" s="12" t="s">
        <v>237</v>
      </c>
      <c r="D580" s="12" t="s">
        <v>18</v>
      </c>
      <c r="E580" s="12" t="s">
        <v>19</v>
      </c>
      <c r="F580" s="12">
        <v>3</v>
      </c>
      <c r="G580" s="12" t="s">
        <v>20</v>
      </c>
      <c r="H580" s="12" t="s">
        <v>33</v>
      </c>
      <c r="I580" s="13">
        <v>45196.396099537036</v>
      </c>
      <c r="J580" s="12" t="s">
        <v>22</v>
      </c>
      <c r="K580" s="12"/>
      <c r="L580" s="12"/>
      <c r="M580" s="4" t="s">
        <v>23</v>
      </c>
      <c r="N580" s="8" t="str">
        <f t="shared" si="17"/>
        <v>057 - 47246334</v>
      </c>
      <c r="O580" s="9"/>
      <c r="P580" s="9"/>
      <c r="Q580" s="9"/>
      <c r="R580" s="9"/>
    </row>
    <row r="581" spans="2:18" ht="12.75" hidden="1" customHeight="1" thickBot="1">
      <c r="B581" s="5"/>
      <c r="C581" s="12" t="s">
        <v>264</v>
      </c>
      <c r="D581" s="12" t="s">
        <v>18</v>
      </c>
      <c r="E581" s="12" t="s">
        <v>19</v>
      </c>
      <c r="F581" s="12">
        <v>3</v>
      </c>
      <c r="G581" s="12" t="s">
        <v>20</v>
      </c>
      <c r="H581" s="12" t="s">
        <v>33</v>
      </c>
      <c r="I581" s="13">
        <v>45196.396099537036</v>
      </c>
      <c r="J581" s="12" t="s">
        <v>22</v>
      </c>
      <c r="K581" s="12"/>
      <c r="L581" s="12"/>
      <c r="M581" s="4" t="s">
        <v>23</v>
      </c>
      <c r="N581" s="8" t="str">
        <f t="shared" si="17"/>
        <v>057 - 48313941</v>
      </c>
      <c r="O581" s="9" t="s">
        <v>345</v>
      </c>
      <c r="P581" s="9" t="s">
        <v>362</v>
      </c>
      <c r="Q581" s="9"/>
      <c r="R581" s="9" t="s">
        <v>52</v>
      </c>
    </row>
    <row r="582" spans="2:18" ht="12.75" hidden="1" customHeight="1" thickBot="1">
      <c r="B582" s="7"/>
      <c r="C582" s="12" t="s">
        <v>237</v>
      </c>
      <c r="D582" s="12" t="s">
        <v>18</v>
      </c>
      <c r="E582" s="12" t="s">
        <v>19</v>
      </c>
      <c r="F582" s="12">
        <v>3</v>
      </c>
      <c r="G582" s="12" t="s">
        <v>20</v>
      </c>
      <c r="H582" s="12" t="s">
        <v>33</v>
      </c>
      <c r="I582" s="13">
        <v>45196.396087962959</v>
      </c>
      <c r="J582" s="12" t="s">
        <v>22</v>
      </c>
      <c r="K582" s="12"/>
      <c r="L582" s="12"/>
      <c r="M582" s="4" t="s">
        <v>23</v>
      </c>
      <c r="N582" s="8" t="str">
        <f t="shared" si="17"/>
        <v>057 - 47246334</v>
      </c>
      <c r="O582" s="9" t="s">
        <v>345</v>
      </c>
      <c r="P582" s="9" t="s">
        <v>362</v>
      </c>
      <c r="Q582" s="9"/>
      <c r="R582" s="9" t="s">
        <v>52</v>
      </c>
    </row>
    <row r="583" spans="2:18" ht="12.75" hidden="1" customHeight="1">
      <c r="C583" s="12" t="s">
        <v>363</v>
      </c>
      <c r="D583" s="12" t="s">
        <v>18</v>
      </c>
      <c r="E583" s="12" t="s">
        <v>19</v>
      </c>
      <c r="F583" s="12">
        <v>3</v>
      </c>
      <c r="G583" s="12" t="s">
        <v>20</v>
      </c>
      <c r="H583" s="12" t="s">
        <v>33</v>
      </c>
      <c r="I583" s="13">
        <v>45196.39607638889</v>
      </c>
      <c r="J583" s="12" t="s">
        <v>22</v>
      </c>
      <c r="K583" s="12"/>
      <c r="L583" s="12"/>
      <c r="M583" s="4" t="s">
        <v>23</v>
      </c>
      <c r="N583" s="8" t="str">
        <f t="shared" si="17"/>
        <v>057 - 04131676</v>
      </c>
      <c r="O583" s="9" t="s">
        <v>345</v>
      </c>
      <c r="P583" s="9" t="s">
        <v>362</v>
      </c>
      <c r="Q583" s="9"/>
      <c r="R583" s="9" t="s">
        <v>52</v>
      </c>
    </row>
    <row r="584" spans="2:18" ht="12.75" hidden="1" customHeight="1" thickBot="1">
      <c r="B584" s="5"/>
      <c r="C584" s="12" t="s">
        <v>264</v>
      </c>
      <c r="D584" s="12" t="s">
        <v>18</v>
      </c>
      <c r="E584" s="12" t="s">
        <v>19</v>
      </c>
      <c r="F584" s="12">
        <v>3</v>
      </c>
      <c r="G584" s="12" t="s">
        <v>20</v>
      </c>
      <c r="H584" s="12" t="s">
        <v>33</v>
      </c>
      <c r="I584" s="13">
        <v>45196.39607638889</v>
      </c>
      <c r="J584" s="12" t="s">
        <v>22</v>
      </c>
      <c r="K584" s="12"/>
      <c r="L584" s="12"/>
      <c r="M584" s="4" t="s">
        <v>23</v>
      </c>
      <c r="N584" s="8" t="str">
        <f t="shared" si="17"/>
        <v>057 - 48313941</v>
      </c>
      <c r="O584" s="9" t="s">
        <v>345</v>
      </c>
      <c r="P584" s="9" t="s">
        <v>362</v>
      </c>
      <c r="Q584" s="9"/>
      <c r="R584" s="9" t="s">
        <v>52</v>
      </c>
    </row>
    <row r="585" spans="2:18" ht="12.75" hidden="1" customHeight="1" thickBot="1">
      <c r="B585" s="6"/>
      <c r="C585" s="12" t="s">
        <v>237</v>
      </c>
      <c r="D585" s="12" t="s">
        <v>18</v>
      </c>
      <c r="E585" s="12" t="s">
        <v>19</v>
      </c>
      <c r="F585" s="12">
        <v>3</v>
      </c>
      <c r="G585" s="12" t="s">
        <v>20</v>
      </c>
      <c r="H585" s="12" t="s">
        <v>33</v>
      </c>
      <c r="I585" s="13">
        <v>45196.396064814813</v>
      </c>
      <c r="J585" s="12" t="s">
        <v>22</v>
      </c>
      <c r="K585" s="12"/>
      <c r="L585" s="12"/>
      <c r="M585" s="4" t="s">
        <v>23</v>
      </c>
      <c r="N585" s="8" t="str">
        <f t="shared" si="17"/>
        <v>057 - 47246334</v>
      </c>
      <c r="O585" s="9" t="s">
        <v>345</v>
      </c>
      <c r="P585" s="9" t="s">
        <v>354</v>
      </c>
      <c r="Q585" s="9"/>
      <c r="R585" s="9" t="s">
        <v>52</v>
      </c>
    </row>
    <row r="586" spans="2:18" ht="12.75" hidden="1" customHeight="1" thickBot="1">
      <c r="B586" s="5"/>
      <c r="C586" s="12" t="s">
        <v>264</v>
      </c>
      <c r="D586" s="12" t="s">
        <v>18</v>
      </c>
      <c r="E586" s="12" t="s">
        <v>19</v>
      </c>
      <c r="F586" s="12">
        <v>3</v>
      </c>
      <c r="G586" s="12" t="s">
        <v>20</v>
      </c>
      <c r="H586" s="12" t="s">
        <v>33</v>
      </c>
      <c r="I586" s="13">
        <v>45196.396064814813</v>
      </c>
      <c r="J586" s="12" t="s">
        <v>22</v>
      </c>
      <c r="K586" s="12"/>
      <c r="L586" s="12"/>
      <c r="M586" s="4" t="s">
        <v>23</v>
      </c>
      <c r="N586" s="8" t="str">
        <f t="shared" si="17"/>
        <v>057 - 48313941</v>
      </c>
      <c r="O586" s="9" t="s">
        <v>345</v>
      </c>
      <c r="P586" s="9" t="s">
        <v>354</v>
      </c>
      <c r="Q586" s="9"/>
      <c r="R586" s="9" t="s">
        <v>52</v>
      </c>
    </row>
    <row r="587" spans="2:18" ht="12.75" hidden="1" customHeight="1" thickBot="1">
      <c r="B587" s="6"/>
      <c r="C587" s="12" t="s">
        <v>358</v>
      </c>
      <c r="D587" s="12" t="s">
        <v>18</v>
      </c>
      <c r="E587" s="12" t="s">
        <v>19</v>
      </c>
      <c r="F587" s="12">
        <v>3</v>
      </c>
      <c r="G587" s="12" t="s">
        <v>20</v>
      </c>
      <c r="H587" s="12" t="s">
        <v>33</v>
      </c>
      <c r="I587" s="13">
        <v>45196.396053240744</v>
      </c>
      <c r="J587" s="12" t="s">
        <v>22</v>
      </c>
      <c r="K587" s="12"/>
      <c r="L587" s="12"/>
      <c r="M587" s="4" t="s">
        <v>23</v>
      </c>
      <c r="N587" s="8" t="str">
        <f t="shared" ref="N587:N650" si="18">LEFT(C587,14)</f>
        <v>057 - 11477480</v>
      </c>
      <c r="O587" s="9" t="s">
        <v>345</v>
      </c>
      <c r="P587" s="9" t="s">
        <v>362</v>
      </c>
      <c r="Q587" s="9"/>
      <c r="R587" s="9" t="s">
        <v>52</v>
      </c>
    </row>
    <row r="588" spans="2:18" ht="12.75" hidden="1" customHeight="1" thickBot="1">
      <c r="B588" s="5"/>
      <c r="C588" s="12" t="s">
        <v>363</v>
      </c>
      <c r="D588" s="12" t="s">
        <v>18</v>
      </c>
      <c r="E588" s="12" t="s">
        <v>19</v>
      </c>
      <c r="F588" s="12">
        <v>3</v>
      </c>
      <c r="G588" s="12" t="s">
        <v>20</v>
      </c>
      <c r="H588" s="12" t="s">
        <v>33</v>
      </c>
      <c r="I588" s="13">
        <v>45196.396041666667</v>
      </c>
      <c r="J588" s="12" t="s">
        <v>22</v>
      </c>
      <c r="K588" s="12"/>
      <c r="L588" s="12"/>
      <c r="M588" s="4" t="s">
        <v>23</v>
      </c>
      <c r="N588" s="8" t="str">
        <f t="shared" si="18"/>
        <v>057 - 04131676</v>
      </c>
      <c r="O588" s="9" t="s">
        <v>345</v>
      </c>
      <c r="P588" s="9" t="s">
        <v>354</v>
      </c>
      <c r="Q588" s="9"/>
      <c r="R588" s="9" t="s">
        <v>52</v>
      </c>
    </row>
    <row r="589" spans="2:18" ht="12.75" hidden="1" customHeight="1" thickBot="1">
      <c r="B589" s="6"/>
      <c r="C589" s="12" t="s">
        <v>358</v>
      </c>
      <c r="D589" s="12" t="s">
        <v>18</v>
      </c>
      <c r="E589" s="12" t="s">
        <v>19</v>
      </c>
      <c r="F589" s="12">
        <v>3</v>
      </c>
      <c r="G589" s="12" t="s">
        <v>20</v>
      </c>
      <c r="H589" s="12" t="s">
        <v>33</v>
      </c>
      <c r="I589" s="13">
        <v>45196.39603009259</v>
      </c>
      <c r="J589" s="12" t="s">
        <v>22</v>
      </c>
      <c r="K589" s="12"/>
      <c r="L589" s="12"/>
      <c r="M589" s="4" t="s">
        <v>23</v>
      </c>
      <c r="N589" s="8" t="str">
        <f t="shared" si="18"/>
        <v>057 - 11477480</v>
      </c>
      <c r="O589" s="9" t="s">
        <v>345</v>
      </c>
      <c r="P589" s="9" t="s">
        <v>362</v>
      </c>
      <c r="Q589" s="9"/>
      <c r="R589" s="9" t="s">
        <v>52</v>
      </c>
    </row>
    <row r="590" spans="2:18" ht="12.75" hidden="1" customHeight="1" thickBot="1">
      <c r="B590" s="5"/>
      <c r="C590" s="12" t="s">
        <v>237</v>
      </c>
      <c r="D590" s="12" t="s">
        <v>18</v>
      </c>
      <c r="E590" s="12" t="s">
        <v>19</v>
      </c>
      <c r="F590" s="12">
        <v>3</v>
      </c>
      <c r="G590" s="12" t="s">
        <v>20</v>
      </c>
      <c r="H590" s="12" t="s">
        <v>33</v>
      </c>
      <c r="I590" s="13">
        <v>45196.39603009259</v>
      </c>
      <c r="J590" s="12" t="s">
        <v>22</v>
      </c>
      <c r="K590" s="12"/>
      <c r="L590" s="12"/>
      <c r="M590" s="4" t="s">
        <v>23</v>
      </c>
      <c r="N590" s="8" t="str">
        <f t="shared" si="18"/>
        <v>057 - 47246334</v>
      </c>
      <c r="O590" s="9" t="s">
        <v>345</v>
      </c>
      <c r="P590" s="9" t="s">
        <v>362</v>
      </c>
      <c r="Q590" s="9"/>
      <c r="R590" s="9" t="s">
        <v>52</v>
      </c>
    </row>
    <row r="591" spans="2:18" ht="12.75" hidden="1" customHeight="1" thickBot="1">
      <c r="B591" s="6"/>
      <c r="C591" s="12" t="s">
        <v>237</v>
      </c>
      <c r="D591" s="12" t="s">
        <v>18</v>
      </c>
      <c r="E591" s="12" t="s">
        <v>19</v>
      </c>
      <c r="F591" s="12">
        <v>3</v>
      </c>
      <c r="G591" s="12" t="s">
        <v>20</v>
      </c>
      <c r="H591" s="12" t="s">
        <v>33</v>
      </c>
      <c r="I591" s="13">
        <v>45196.39603009259</v>
      </c>
      <c r="J591" s="12" t="s">
        <v>22</v>
      </c>
      <c r="K591" s="12"/>
      <c r="L591" s="12"/>
      <c r="M591" s="4" t="s">
        <v>23</v>
      </c>
      <c r="N591" s="8" t="str">
        <f t="shared" si="18"/>
        <v>057 - 47246334</v>
      </c>
      <c r="O591" s="9" t="s">
        <v>345</v>
      </c>
      <c r="P591" s="9" t="s">
        <v>354</v>
      </c>
      <c r="Q591" s="9"/>
      <c r="R591" s="9" t="s">
        <v>52</v>
      </c>
    </row>
    <row r="592" spans="2:18" ht="12.75" hidden="1" customHeight="1" thickBot="1">
      <c r="B592" s="5"/>
      <c r="C592" s="12" t="s">
        <v>237</v>
      </c>
      <c r="D592" s="12" t="s">
        <v>18</v>
      </c>
      <c r="E592" s="12" t="s">
        <v>19</v>
      </c>
      <c r="F592" s="12">
        <v>3</v>
      </c>
      <c r="G592" s="12" t="s">
        <v>20</v>
      </c>
      <c r="H592" s="12" t="s">
        <v>33</v>
      </c>
      <c r="I592" s="13">
        <v>45196.396018518521</v>
      </c>
      <c r="J592" s="12" t="s">
        <v>22</v>
      </c>
      <c r="K592" s="12"/>
      <c r="L592" s="12"/>
      <c r="M592" s="4" t="s">
        <v>23</v>
      </c>
      <c r="N592" s="8" t="str">
        <f t="shared" si="18"/>
        <v>057 - 47246334</v>
      </c>
      <c r="O592" s="9" t="s">
        <v>345</v>
      </c>
      <c r="P592" s="9" t="s">
        <v>354</v>
      </c>
      <c r="Q592" s="9"/>
      <c r="R592" s="9" t="s">
        <v>52</v>
      </c>
    </row>
    <row r="593" spans="2:18" ht="12.75" hidden="1" customHeight="1" thickBot="1">
      <c r="B593" s="6"/>
      <c r="C593" s="12" t="s">
        <v>237</v>
      </c>
      <c r="D593" s="12" t="s">
        <v>18</v>
      </c>
      <c r="E593" s="12" t="s">
        <v>19</v>
      </c>
      <c r="F593" s="12">
        <v>3</v>
      </c>
      <c r="G593" s="12" t="s">
        <v>20</v>
      </c>
      <c r="H593" s="12" t="s">
        <v>33</v>
      </c>
      <c r="I593" s="13">
        <v>45196.396006944444</v>
      </c>
      <c r="J593" s="12" t="s">
        <v>22</v>
      </c>
      <c r="K593" s="12"/>
      <c r="L593" s="12"/>
      <c r="M593" s="4" t="s">
        <v>23</v>
      </c>
      <c r="N593" s="8" t="str">
        <f t="shared" si="18"/>
        <v>057 - 47246334</v>
      </c>
      <c r="O593" s="9" t="s">
        <v>345</v>
      </c>
      <c r="P593" s="9" t="s">
        <v>354</v>
      </c>
      <c r="Q593" s="9"/>
      <c r="R593" s="9" t="s">
        <v>52</v>
      </c>
    </row>
    <row r="594" spans="2:18" ht="12.75" hidden="1" customHeight="1" thickBot="1">
      <c r="B594" s="5"/>
      <c r="C594" s="12" t="s">
        <v>106</v>
      </c>
      <c r="D594" s="12" t="s">
        <v>18</v>
      </c>
      <c r="E594" s="12" t="s">
        <v>19</v>
      </c>
      <c r="F594" s="12">
        <v>3</v>
      </c>
      <c r="G594" s="12" t="s">
        <v>20</v>
      </c>
      <c r="H594" s="12" t="s">
        <v>33</v>
      </c>
      <c r="I594" s="13">
        <v>45196.395995370367</v>
      </c>
      <c r="J594" s="12" t="s">
        <v>22</v>
      </c>
      <c r="K594" s="12"/>
      <c r="L594" s="12"/>
      <c r="M594" s="4" t="s">
        <v>23</v>
      </c>
      <c r="N594" s="8" t="str">
        <f t="shared" si="18"/>
        <v>057 - 47708474</v>
      </c>
      <c r="O594" s="9" t="s">
        <v>345</v>
      </c>
      <c r="P594" s="9" t="s">
        <v>362</v>
      </c>
      <c r="Q594" s="9"/>
      <c r="R594" s="9" t="s">
        <v>52</v>
      </c>
    </row>
    <row r="595" spans="2:18" ht="12.75" hidden="1" customHeight="1" thickBot="1">
      <c r="B595" s="6"/>
      <c r="C595" s="12" t="s">
        <v>364</v>
      </c>
      <c r="D595" s="12" t="s">
        <v>18</v>
      </c>
      <c r="E595" s="12" t="s">
        <v>19</v>
      </c>
      <c r="F595" s="12">
        <v>3</v>
      </c>
      <c r="G595" s="12" t="s">
        <v>20</v>
      </c>
      <c r="H595" s="12" t="s">
        <v>93</v>
      </c>
      <c r="I595" s="13">
        <v>45196.395983796298</v>
      </c>
      <c r="J595" s="12" t="s">
        <v>22</v>
      </c>
      <c r="K595" s="12"/>
      <c r="L595" s="12"/>
      <c r="M595" s="4" t="s">
        <v>23</v>
      </c>
      <c r="N595" s="8" t="str">
        <f t="shared" si="18"/>
        <v>057 - 46332425</v>
      </c>
      <c r="O595" s="9" t="s">
        <v>345</v>
      </c>
      <c r="P595" s="9" t="s">
        <v>362</v>
      </c>
      <c r="Q595" s="9"/>
      <c r="R595" s="9" t="s">
        <v>52</v>
      </c>
    </row>
    <row r="596" spans="2:18" ht="12.75" hidden="1" customHeight="1" thickBot="1">
      <c r="B596" s="5"/>
      <c r="C596" s="12" t="s">
        <v>276</v>
      </c>
      <c r="D596" s="12" t="s">
        <v>18</v>
      </c>
      <c r="E596" s="12" t="s">
        <v>19</v>
      </c>
      <c r="F596" s="12">
        <v>3</v>
      </c>
      <c r="G596" s="12" t="s">
        <v>20</v>
      </c>
      <c r="H596" s="12" t="s">
        <v>33</v>
      </c>
      <c r="I596" s="13">
        <v>45196.395937499998</v>
      </c>
      <c r="J596" s="12" t="s">
        <v>22</v>
      </c>
      <c r="K596" s="12"/>
      <c r="L596" s="12"/>
      <c r="M596" s="4" t="s">
        <v>23</v>
      </c>
      <c r="N596" s="8" t="str">
        <f t="shared" si="18"/>
        <v>057 - 48185572</v>
      </c>
      <c r="O596" s="9" t="s">
        <v>345</v>
      </c>
      <c r="P596" s="9" t="s">
        <v>362</v>
      </c>
      <c r="Q596" s="9"/>
      <c r="R596" s="9" t="s">
        <v>52</v>
      </c>
    </row>
    <row r="597" spans="2:18" ht="12.75" hidden="1" customHeight="1" thickBot="1">
      <c r="B597" s="6"/>
      <c r="C597" s="12" t="s">
        <v>365</v>
      </c>
      <c r="D597" s="12" t="s">
        <v>18</v>
      </c>
      <c r="E597" s="12" t="s">
        <v>19</v>
      </c>
      <c r="F597" s="12">
        <v>3</v>
      </c>
      <c r="G597" s="12" t="s">
        <v>20</v>
      </c>
      <c r="H597" s="12" t="s">
        <v>33</v>
      </c>
      <c r="I597" s="13">
        <v>45196.395925925928</v>
      </c>
      <c r="J597" s="12" t="s">
        <v>22</v>
      </c>
      <c r="K597" s="12"/>
      <c r="L597" s="12"/>
      <c r="M597" s="4" t="s">
        <v>23</v>
      </c>
      <c r="N597" s="8" t="str">
        <f t="shared" si="18"/>
        <v>057 - 10899232</v>
      </c>
      <c r="O597" s="9" t="s">
        <v>366</v>
      </c>
      <c r="P597" s="9" t="s">
        <v>346</v>
      </c>
      <c r="Q597" s="9"/>
      <c r="R597" s="9" t="s">
        <v>367</v>
      </c>
    </row>
    <row r="598" spans="2:18" ht="12.75" hidden="1" customHeight="1" thickBot="1">
      <c r="B598" s="5"/>
      <c r="C598" s="12" t="s">
        <v>365</v>
      </c>
      <c r="D598" s="12" t="s">
        <v>18</v>
      </c>
      <c r="E598" s="12" t="s">
        <v>19</v>
      </c>
      <c r="F598" s="12">
        <v>3</v>
      </c>
      <c r="G598" s="12" t="s">
        <v>20</v>
      </c>
      <c r="H598" s="12" t="s">
        <v>33</v>
      </c>
      <c r="I598" s="13">
        <v>45196.395902777775</v>
      </c>
      <c r="J598" s="12" t="s">
        <v>22</v>
      </c>
      <c r="K598" s="12"/>
      <c r="L598" s="12"/>
      <c r="M598" s="4" t="s">
        <v>23</v>
      </c>
      <c r="N598" s="8" t="str">
        <f t="shared" si="18"/>
        <v>057 - 10899232</v>
      </c>
      <c r="O598" s="9" t="s">
        <v>366</v>
      </c>
      <c r="P598" s="9" t="s">
        <v>348</v>
      </c>
      <c r="Q598" s="9"/>
      <c r="R598" s="9"/>
    </row>
    <row r="599" spans="2:18" ht="12.75" hidden="1" customHeight="1" thickBot="1">
      <c r="B599" s="6"/>
      <c r="C599" s="12" t="s">
        <v>276</v>
      </c>
      <c r="D599" s="12" t="s">
        <v>18</v>
      </c>
      <c r="E599" s="12" t="s">
        <v>19</v>
      </c>
      <c r="F599" s="12">
        <v>3</v>
      </c>
      <c r="G599" s="12" t="s">
        <v>20</v>
      </c>
      <c r="H599" s="12" t="s">
        <v>33</v>
      </c>
      <c r="I599" s="13">
        <v>45196.395891203705</v>
      </c>
      <c r="J599" s="12" t="s">
        <v>22</v>
      </c>
      <c r="K599" s="12"/>
      <c r="L599" s="12"/>
      <c r="M599" s="4" t="s">
        <v>23</v>
      </c>
      <c r="N599" s="8" t="str">
        <f t="shared" si="18"/>
        <v>057 - 48185572</v>
      </c>
      <c r="O599" s="9" t="s">
        <v>366</v>
      </c>
      <c r="P599" s="9" t="s">
        <v>346</v>
      </c>
      <c r="Q599" s="9"/>
      <c r="R599" s="9" t="s">
        <v>52</v>
      </c>
    </row>
    <row r="600" spans="2:18" ht="12.75" hidden="1" customHeight="1" thickBot="1">
      <c r="B600" s="5"/>
      <c r="C600" s="12" t="s">
        <v>368</v>
      </c>
      <c r="D600" s="12" t="s">
        <v>18</v>
      </c>
      <c r="E600" s="12" t="s">
        <v>19</v>
      </c>
      <c r="F600" s="12">
        <v>3</v>
      </c>
      <c r="G600" s="12" t="s">
        <v>20</v>
      </c>
      <c r="H600" s="12" t="s">
        <v>33</v>
      </c>
      <c r="I600" s="13">
        <v>45196.395879629628</v>
      </c>
      <c r="J600" s="12" t="s">
        <v>22</v>
      </c>
      <c r="K600" s="12"/>
      <c r="L600" s="12"/>
      <c r="M600" s="4" t="s">
        <v>23</v>
      </c>
      <c r="N600" s="8" t="str">
        <f t="shared" si="18"/>
        <v>057 - 04310854</v>
      </c>
      <c r="O600" s="9" t="s">
        <v>366</v>
      </c>
      <c r="P600" s="9" t="s">
        <v>346</v>
      </c>
      <c r="Q600" s="9"/>
      <c r="R600" s="9" t="s">
        <v>52</v>
      </c>
    </row>
    <row r="601" spans="2:18" ht="12.75" hidden="1" customHeight="1" thickBot="1">
      <c r="B601" s="6"/>
      <c r="C601" s="12" t="s">
        <v>369</v>
      </c>
      <c r="D601" s="12" t="s">
        <v>18</v>
      </c>
      <c r="E601" s="12" t="s">
        <v>19</v>
      </c>
      <c r="F601" s="12">
        <v>3</v>
      </c>
      <c r="G601" s="12" t="s">
        <v>20</v>
      </c>
      <c r="H601" s="12" t="s">
        <v>33</v>
      </c>
      <c r="I601" s="13">
        <v>45196.395879629628</v>
      </c>
      <c r="J601" s="12" t="s">
        <v>22</v>
      </c>
      <c r="K601" s="12"/>
      <c r="L601" s="12"/>
      <c r="M601" s="4" t="s">
        <v>23</v>
      </c>
      <c r="N601" s="8" t="str">
        <f t="shared" si="18"/>
        <v>057 - 48053526</v>
      </c>
      <c r="O601" s="9" t="s">
        <v>366</v>
      </c>
      <c r="P601" s="9" t="s">
        <v>346</v>
      </c>
      <c r="Q601" s="9"/>
      <c r="R601" s="9" t="s">
        <v>52</v>
      </c>
    </row>
    <row r="602" spans="2:18" ht="12.75" hidden="1" customHeight="1" thickBot="1">
      <c r="B602" s="5"/>
      <c r="C602" s="12" t="s">
        <v>368</v>
      </c>
      <c r="D602" s="12" t="s">
        <v>18</v>
      </c>
      <c r="E602" s="12" t="s">
        <v>19</v>
      </c>
      <c r="F602" s="12">
        <v>3</v>
      </c>
      <c r="G602" s="12" t="s">
        <v>20</v>
      </c>
      <c r="H602" s="12" t="s">
        <v>33</v>
      </c>
      <c r="I602" s="13">
        <v>45196.395868055559</v>
      </c>
      <c r="J602" s="12" t="s">
        <v>22</v>
      </c>
      <c r="K602" s="12"/>
      <c r="L602" s="12"/>
      <c r="M602" s="4" t="s">
        <v>23</v>
      </c>
      <c r="N602" s="8" t="str">
        <f t="shared" si="18"/>
        <v>057 - 04310854</v>
      </c>
      <c r="O602" s="9" t="s">
        <v>366</v>
      </c>
      <c r="P602" s="9" t="s">
        <v>348</v>
      </c>
      <c r="Q602" s="9"/>
      <c r="R602" s="9" t="s">
        <v>52</v>
      </c>
    </row>
    <row r="603" spans="2:18" ht="12.75" hidden="1" customHeight="1" thickBot="1">
      <c r="B603" s="6"/>
      <c r="C603" s="12" t="s">
        <v>369</v>
      </c>
      <c r="D603" s="12" t="s">
        <v>18</v>
      </c>
      <c r="E603" s="12" t="s">
        <v>19</v>
      </c>
      <c r="F603" s="12">
        <v>3</v>
      </c>
      <c r="G603" s="12" t="s">
        <v>20</v>
      </c>
      <c r="H603" s="12" t="s">
        <v>33</v>
      </c>
      <c r="I603" s="13">
        <v>45196.395868055559</v>
      </c>
      <c r="J603" s="12" t="s">
        <v>22</v>
      </c>
      <c r="K603" s="12"/>
      <c r="L603" s="12"/>
      <c r="M603" s="4" t="s">
        <v>23</v>
      </c>
      <c r="N603" s="8" t="str">
        <f t="shared" si="18"/>
        <v>057 - 48053526</v>
      </c>
      <c r="O603" s="9" t="s">
        <v>366</v>
      </c>
      <c r="P603" s="9" t="s">
        <v>348</v>
      </c>
      <c r="Q603" s="9"/>
      <c r="R603" s="9" t="s">
        <v>52</v>
      </c>
    </row>
    <row r="604" spans="2:18" ht="12.75" hidden="1" customHeight="1" thickBot="1">
      <c r="B604" s="5"/>
      <c r="C604" s="12" t="s">
        <v>369</v>
      </c>
      <c r="D604" s="12" t="s">
        <v>18</v>
      </c>
      <c r="E604" s="12" t="s">
        <v>19</v>
      </c>
      <c r="F604" s="12">
        <v>3</v>
      </c>
      <c r="G604" s="12" t="s">
        <v>20</v>
      </c>
      <c r="H604" s="12" t="s">
        <v>33</v>
      </c>
      <c r="I604" s="13">
        <v>45196.395856481482</v>
      </c>
      <c r="J604" s="12" t="s">
        <v>22</v>
      </c>
      <c r="K604" s="12"/>
      <c r="L604" s="12"/>
      <c r="M604" s="4" t="s">
        <v>23</v>
      </c>
      <c r="N604" s="8" t="str">
        <f t="shared" si="18"/>
        <v>057 - 48053526</v>
      </c>
      <c r="O604" s="9" t="s">
        <v>366</v>
      </c>
      <c r="P604" s="9" t="s">
        <v>348</v>
      </c>
      <c r="Q604" s="9"/>
      <c r="R604" s="9" t="s">
        <v>52</v>
      </c>
    </row>
    <row r="605" spans="2:18" ht="12.75" hidden="1" customHeight="1" thickBot="1">
      <c r="B605" s="6"/>
      <c r="C605" s="12" t="s">
        <v>214</v>
      </c>
      <c r="D605" s="12" t="s">
        <v>18</v>
      </c>
      <c r="E605" s="12" t="s">
        <v>19</v>
      </c>
      <c r="F605" s="12">
        <v>3</v>
      </c>
      <c r="G605" s="12" t="s">
        <v>20</v>
      </c>
      <c r="H605" s="12" t="s">
        <v>33</v>
      </c>
      <c r="I605" s="13">
        <v>45196.395844907405</v>
      </c>
      <c r="J605" s="12" t="s">
        <v>22</v>
      </c>
      <c r="K605" s="12"/>
      <c r="L605" s="12"/>
      <c r="M605" s="4" t="s">
        <v>23</v>
      </c>
      <c r="N605" s="8" t="str">
        <f t="shared" si="18"/>
        <v>057 - 45358843</v>
      </c>
      <c r="O605" s="9" t="s">
        <v>366</v>
      </c>
      <c r="P605" s="9" t="s">
        <v>346</v>
      </c>
      <c r="Q605" s="9"/>
      <c r="R605" s="9" t="s">
        <v>52</v>
      </c>
    </row>
    <row r="606" spans="2:18" ht="12.75" hidden="1" customHeight="1" thickBot="1">
      <c r="B606" s="5"/>
      <c r="C606" s="12" t="s">
        <v>370</v>
      </c>
      <c r="D606" s="12" t="s">
        <v>18</v>
      </c>
      <c r="E606" s="12" t="s">
        <v>19</v>
      </c>
      <c r="F606" s="12">
        <v>3</v>
      </c>
      <c r="G606" s="12" t="s">
        <v>20</v>
      </c>
      <c r="H606" s="12" t="s">
        <v>33</v>
      </c>
      <c r="I606" s="13">
        <v>45196.395844907405</v>
      </c>
      <c r="J606" s="12" t="s">
        <v>22</v>
      </c>
      <c r="K606" s="12"/>
      <c r="L606" s="12"/>
      <c r="M606" s="4" t="s">
        <v>23</v>
      </c>
      <c r="N606" s="8" t="str">
        <f t="shared" si="18"/>
        <v>057 - 48185690</v>
      </c>
      <c r="O606" s="9" t="s">
        <v>366</v>
      </c>
      <c r="P606" s="9" t="s">
        <v>346</v>
      </c>
      <c r="Q606" s="9"/>
      <c r="R606" s="9" t="s">
        <v>52</v>
      </c>
    </row>
    <row r="607" spans="2:18" ht="12.75" hidden="1" customHeight="1" thickBot="1">
      <c r="B607" s="7"/>
      <c r="C607" s="12" t="s">
        <v>369</v>
      </c>
      <c r="D607" s="12" t="s">
        <v>18</v>
      </c>
      <c r="E607" s="12" t="s">
        <v>19</v>
      </c>
      <c r="F607" s="12">
        <v>3</v>
      </c>
      <c r="G607" s="12" t="s">
        <v>20</v>
      </c>
      <c r="H607" s="12" t="s">
        <v>33</v>
      </c>
      <c r="I607" s="13">
        <v>45196.395833333336</v>
      </c>
      <c r="J607" s="12" t="s">
        <v>22</v>
      </c>
      <c r="K607" s="12"/>
      <c r="L607" s="12"/>
      <c r="M607" s="4" t="s">
        <v>23</v>
      </c>
      <c r="N607" s="8" t="str">
        <f t="shared" si="18"/>
        <v>057 - 48053526</v>
      </c>
      <c r="O607" s="9" t="s">
        <v>366</v>
      </c>
      <c r="P607" s="9" t="s">
        <v>348</v>
      </c>
      <c r="Q607" s="9"/>
      <c r="R607" s="9" t="s">
        <v>52</v>
      </c>
    </row>
    <row r="608" spans="2:18" ht="12.75" hidden="1" customHeight="1">
      <c r="C608" s="12" t="s">
        <v>269</v>
      </c>
      <c r="D608" s="12" t="s">
        <v>18</v>
      </c>
      <c r="E608" s="12" t="s">
        <v>19</v>
      </c>
      <c r="F608" s="12">
        <v>3</v>
      </c>
      <c r="G608" s="12" t="s">
        <v>20</v>
      </c>
      <c r="H608" s="12" t="s">
        <v>33</v>
      </c>
      <c r="I608" s="13">
        <v>45196.395833333336</v>
      </c>
      <c r="J608" s="12" t="s">
        <v>22</v>
      </c>
      <c r="K608" s="12"/>
      <c r="L608" s="12"/>
      <c r="M608" s="4" t="s">
        <v>23</v>
      </c>
      <c r="N608" s="8" t="str">
        <f t="shared" si="18"/>
        <v>057 - 48185686</v>
      </c>
      <c r="O608" s="9" t="s">
        <v>366</v>
      </c>
      <c r="P608" s="9" t="s">
        <v>346</v>
      </c>
      <c r="Q608" s="9"/>
      <c r="R608" s="9" t="s">
        <v>52</v>
      </c>
    </row>
    <row r="609" spans="2:18" ht="12.75" hidden="1" customHeight="1" thickBot="1">
      <c r="B609" s="5"/>
      <c r="C609" s="12" t="s">
        <v>221</v>
      </c>
      <c r="D609" s="12" t="s">
        <v>18</v>
      </c>
      <c r="E609" s="12" t="s">
        <v>19</v>
      </c>
      <c r="F609" s="12">
        <v>3</v>
      </c>
      <c r="G609" s="12" t="s">
        <v>20</v>
      </c>
      <c r="H609" s="12" t="s">
        <v>33</v>
      </c>
      <c r="I609" s="13">
        <v>45196.395821759259</v>
      </c>
      <c r="J609" s="12" t="s">
        <v>22</v>
      </c>
      <c r="K609" s="12"/>
      <c r="L609" s="12"/>
      <c r="M609" s="4" t="s">
        <v>23</v>
      </c>
      <c r="N609" s="8" t="str">
        <f t="shared" si="18"/>
        <v>057 - 47830683</v>
      </c>
      <c r="O609" s="9" t="s">
        <v>366</v>
      </c>
      <c r="P609" s="9" t="s">
        <v>348</v>
      </c>
      <c r="Q609" s="9"/>
      <c r="R609" s="9" t="s">
        <v>52</v>
      </c>
    </row>
    <row r="610" spans="2:18" ht="12.75" hidden="1" customHeight="1" thickBot="1">
      <c r="B610" s="6"/>
      <c r="C610" s="12" t="s">
        <v>369</v>
      </c>
      <c r="D610" s="12" t="s">
        <v>18</v>
      </c>
      <c r="E610" s="12" t="s">
        <v>19</v>
      </c>
      <c r="F610" s="12">
        <v>3</v>
      </c>
      <c r="G610" s="12" t="s">
        <v>20</v>
      </c>
      <c r="H610" s="12" t="s">
        <v>33</v>
      </c>
      <c r="I610" s="13">
        <v>45196.395810185182</v>
      </c>
      <c r="J610" s="12" t="s">
        <v>22</v>
      </c>
      <c r="K610" s="12"/>
      <c r="L610" s="12"/>
      <c r="M610" s="4" t="s">
        <v>23</v>
      </c>
      <c r="N610" s="8" t="str">
        <f t="shared" si="18"/>
        <v>057 - 48053526</v>
      </c>
      <c r="O610" s="9" t="s">
        <v>366</v>
      </c>
      <c r="P610" s="9" t="s">
        <v>348</v>
      </c>
      <c r="Q610" s="9"/>
      <c r="R610" s="9" t="s">
        <v>52</v>
      </c>
    </row>
    <row r="611" spans="2:18" ht="12.75" hidden="1" customHeight="1" thickBot="1">
      <c r="B611" s="5"/>
      <c r="C611" s="12" t="s">
        <v>214</v>
      </c>
      <c r="D611" s="12" t="s">
        <v>18</v>
      </c>
      <c r="E611" s="12" t="s">
        <v>19</v>
      </c>
      <c r="F611" s="12">
        <v>3</v>
      </c>
      <c r="G611" s="12" t="s">
        <v>20</v>
      </c>
      <c r="H611" s="12" t="s">
        <v>33</v>
      </c>
      <c r="I611" s="13">
        <v>45196.395798611113</v>
      </c>
      <c r="J611" s="12" t="s">
        <v>22</v>
      </c>
      <c r="K611" s="12"/>
      <c r="L611" s="12"/>
      <c r="M611" s="4" t="s">
        <v>23</v>
      </c>
      <c r="N611" s="8" t="str">
        <f t="shared" si="18"/>
        <v>057 - 45358843</v>
      </c>
      <c r="O611" s="9" t="s">
        <v>366</v>
      </c>
      <c r="P611" s="9" t="s">
        <v>348</v>
      </c>
      <c r="Q611" s="9"/>
      <c r="R611" s="9" t="s">
        <v>52</v>
      </c>
    </row>
    <row r="612" spans="2:18" ht="12.75" hidden="1" customHeight="1" thickBot="1">
      <c r="B612" s="6"/>
      <c r="C612" s="12" t="s">
        <v>369</v>
      </c>
      <c r="D612" s="12" t="s">
        <v>18</v>
      </c>
      <c r="E612" s="12" t="s">
        <v>19</v>
      </c>
      <c r="F612" s="12">
        <v>3</v>
      </c>
      <c r="G612" s="12" t="s">
        <v>20</v>
      </c>
      <c r="H612" s="12" t="s">
        <v>33</v>
      </c>
      <c r="I612" s="13">
        <v>45196.395787037036</v>
      </c>
      <c r="J612" s="12" t="s">
        <v>22</v>
      </c>
      <c r="K612" s="12"/>
      <c r="L612" s="12"/>
      <c r="M612" s="4" t="s">
        <v>23</v>
      </c>
      <c r="N612" s="8" t="str">
        <f t="shared" si="18"/>
        <v>057 - 48053526</v>
      </c>
      <c r="O612" s="9" t="s">
        <v>366</v>
      </c>
      <c r="P612" s="9" t="s">
        <v>348</v>
      </c>
      <c r="Q612" s="9"/>
      <c r="R612" s="9" t="s">
        <v>52</v>
      </c>
    </row>
    <row r="613" spans="2:18" ht="12.75" hidden="1" customHeight="1" thickBot="1">
      <c r="B613" s="5"/>
      <c r="C613" s="12" t="s">
        <v>221</v>
      </c>
      <c r="D613" s="12" t="s">
        <v>18</v>
      </c>
      <c r="E613" s="12" t="s">
        <v>19</v>
      </c>
      <c r="F613" s="12">
        <v>3</v>
      </c>
      <c r="G613" s="12" t="s">
        <v>20</v>
      </c>
      <c r="H613" s="12" t="s">
        <v>33</v>
      </c>
      <c r="I613" s="13">
        <v>45196.395775462966</v>
      </c>
      <c r="J613" s="12" t="s">
        <v>22</v>
      </c>
      <c r="K613" s="12"/>
      <c r="L613" s="12"/>
      <c r="M613" s="4" t="s">
        <v>23</v>
      </c>
      <c r="N613" s="8" t="str">
        <f t="shared" si="18"/>
        <v>057 - 47830683</v>
      </c>
      <c r="O613" s="9" t="s">
        <v>366</v>
      </c>
      <c r="P613" s="9" t="s">
        <v>348</v>
      </c>
      <c r="Q613" s="9"/>
      <c r="R613" s="9" t="s">
        <v>52</v>
      </c>
    </row>
    <row r="614" spans="2:18" ht="12.75" hidden="1" customHeight="1" thickBot="1">
      <c r="B614" s="6"/>
      <c r="C614" s="12" t="s">
        <v>371</v>
      </c>
      <c r="D614" s="12" t="s">
        <v>18</v>
      </c>
      <c r="E614" s="12" t="s">
        <v>19</v>
      </c>
      <c r="F614" s="12">
        <v>3</v>
      </c>
      <c r="G614" s="12" t="s">
        <v>20</v>
      </c>
      <c r="H614" s="12" t="s">
        <v>33</v>
      </c>
      <c r="I614" s="13">
        <v>45196.39576388889</v>
      </c>
      <c r="J614" s="12" t="s">
        <v>22</v>
      </c>
      <c r="K614" s="12"/>
      <c r="L614" s="12"/>
      <c r="M614" s="4" t="s">
        <v>23</v>
      </c>
      <c r="N614" s="8" t="str">
        <f t="shared" si="18"/>
        <v>057 - 47708312</v>
      </c>
      <c r="O614" s="9" t="s">
        <v>366</v>
      </c>
      <c r="P614" s="9"/>
      <c r="Q614" s="9"/>
      <c r="R614" s="9"/>
    </row>
    <row r="615" spans="2:18" ht="12.75" hidden="1" customHeight="1" thickBot="1">
      <c r="B615" s="5"/>
      <c r="C615" s="12" t="s">
        <v>371</v>
      </c>
      <c r="D615" s="12" t="s">
        <v>18</v>
      </c>
      <c r="E615" s="12" t="s">
        <v>19</v>
      </c>
      <c r="F615" s="12">
        <v>3</v>
      </c>
      <c r="G615" s="12" t="s">
        <v>20</v>
      </c>
      <c r="H615" s="12" t="s">
        <v>33</v>
      </c>
      <c r="I615" s="13">
        <v>45196.395740740743</v>
      </c>
      <c r="J615" s="12" t="s">
        <v>22</v>
      </c>
      <c r="K615" s="12"/>
      <c r="L615" s="12"/>
      <c r="M615" s="4" t="s">
        <v>23</v>
      </c>
      <c r="N615" s="8" t="str">
        <f t="shared" si="18"/>
        <v>057 - 47708312</v>
      </c>
      <c r="O615" s="9" t="s">
        <v>366</v>
      </c>
      <c r="P615" s="9"/>
      <c r="Q615" s="9"/>
      <c r="R615" s="9"/>
    </row>
    <row r="616" spans="2:18" ht="12.75" hidden="1" customHeight="1" thickBot="1">
      <c r="B616" s="6"/>
      <c r="C616" s="12" t="s">
        <v>371</v>
      </c>
      <c r="D616" s="12" t="s">
        <v>18</v>
      </c>
      <c r="E616" s="12" t="s">
        <v>19</v>
      </c>
      <c r="F616" s="12">
        <v>3</v>
      </c>
      <c r="G616" s="12" t="s">
        <v>20</v>
      </c>
      <c r="H616" s="12" t="s">
        <v>33</v>
      </c>
      <c r="I616" s="13">
        <v>45196.395694444444</v>
      </c>
      <c r="J616" s="12" t="s">
        <v>22</v>
      </c>
      <c r="K616" s="12"/>
      <c r="L616" s="12"/>
      <c r="M616" s="4" t="s">
        <v>23</v>
      </c>
      <c r="N616" s="8" t="str">
        <f t="shared" si="18"/>
        <v>057 - 47708312</v>
      </c>
      <c r="O616" s="9" t="s">
        <v>366</v>
      </c>
      <c r="P616" s="9"/>
      <c r="Q616" s="9"/>
      <c r="R616" s="9"/>
    </row>
    <row r="617" spans="2:18" ht="12.75" hidden="1" customHeight="1" thickBot="1">
      <c r="B617" s="5"/>
      <c r="C617" s="12" t="s">
        <v>372</v>
      </c>
      <c r="D617" s="12" t="s">
        <v>18</v>
      </c>
      <c r="E617" s="12" t="s">
        <v>19</v>
      </c>
      <c r="F617" s="12">
        <v>3</v>
      </c>
      <c r="G617" s="12" t="s">
        <v>20</v>
      </c>
      <c r="H617" s="12" t="s">
        <v>33</v>
      </c>
      <c r="I617" s="13">
        <v>45196.395682870374</v>
      </c>
      <c r="J617" s="12" t="s">
        <v>22</v>
      </c>
      <c r="K617" s="12"/>
      <c r="L617" s="12"/>
      <c r="M617" s="4" t="s">
        <v>23</v>
      </c>
      <c r="N617" s="8" t="str">
        <f t="shared" si="18"/>
        <v>057 - 46170972</v>
      </c>
      <c r="O617" s="9" t="s">
        <v>345</v>
      </c>
      <c r="P617" s="9" t="s">
        <v>362</v>
      </c>
      <c r="Q617" s="9"/>
      <c r="R617" s="9"/>
    </row>
    <row r="618" spans="2:18" ht="12.75" hidden="1" customHeight="1" thickBot="1">
      <c r="B618" s="6"/>
      <c r="C618" s="12" t="s">
        <v>221</v>
      </c>
      <c r="D618" s="12" t="s">
        <v>18</v>
      </c>
      <c r="E618" s="12" t="s">
        <v>19</v>
      </c>
      <c r="F618" s="12">
        <v>3</v>
      </c>
      <c r="G618" s="12" t="s">
        <v>20</v>
      </c>
      <c r="H618" s="12" t="s">
        <v>33</v>
      </c>
      <c r="I618" s="13">
        <v>45196.395624999997</v>
      </c>
      <c r="J618" s="12" t="s">
        <v>22</v>
      </c>
      <c r="K618" s="12"/>
      <c r="L618" s="12"/>
      <c r="M618" s="4" t="s">
        <v>23</v>
      </c>
      <c r="N618" s="8" t="str">
        <f t="shared" si="18"/>
        <v>057 - 47830683</v>
      </c>
      <c r="O618" s="9" t="s">
        <v>345</v>
      </c>
      <c r="P618" s="9" t="s">
        <v>362</v>
      </c>
      <c r="Q618" s="9"/>
      <c r="R618" s="9"/>
    </row>
    <row r="619" spans="2:18" ht="12.75" hidden="1" customHeight="1" thickBot="1">
      <c r="B619" s="5"/>
      <c r="C619" s="12" t="s">
        <v>373</v>
      </c>
      <c r="D619" s="12" t="s">
        <v>18</v>
      </c>
      <c r="E619" s="12" t="s">
        <v>19</v>
      </c>
      <c r="F619" s="12">
        <v>3</v>
      </c>
      <c r="G619" s="12" t="s">
        <v>20</v>
      </c>
      <c r="H619" s="12" t="s">
        <v>33</v>
      </c>
      <c r="I619" s="13">
        <v>45196.395624999997</v>
      </c>
      <c r="J619" s="12" t="s">
        <v>22</v>
      </c>
      <c r="K619" s="12"/>
      <c r="L619" s="12"/>
      <c r="M619" s="4" t="s">
        <v>23</v>
      </c>
      <c r="N619" s="8" t="str">
        <f t="shared" si="18"/>
        <v>057 - 04308920</v>
      </c>
      <c r="O619" s="9" t="s">
        <v>345</v>
      </c>
      <c r="P619" s="9" t="s">
        <v>362</v>
      </c>
      <c r="Q619" s="9"/>
      <c r="R619" s="9"/>
    </row>
    <row r="620" spans="2:18" ht="12.75" hidden="1" customHeight="1" thickBot="1">
      <c r="B620" s="6"/>
      <c r="C620" s="12" t="s">
        <v>203</v>
      </c>
      <c r="D620" s="12" t="s">
        <v>18</v>
      </c>
      <c r="E620" s="12" t="s">
        <v>19</v>
      </c>
      <c r="F620" s="12">
        <v>3</v>
      </c>
      <c r="G620" s="12" t="s">
        <v>20</v>
      </c>
      <c r="H620" s="12" t="s">
        <v>33</v>
      </c>
      <c r="I620" s="13">
        <v>45196.395613425928</v>
      </c>
      <c r="J620" s="12" t="s">
        <v>22</v>
      </c>
      <c r="K620" s="12"/>
      <c r="L620" s="12"/>
      <c r="M620" s="4" t="s">
        <v>23</v>
      </c>
      <c r="N620" s="8" t="str">
        <f t="shared" si="18"/>
        <v>057 - 48367664</v>
      </c>
      <c r="O620" s="9" t="s">
        <v>345</v>
      </c>
      <c r="P620" s="9" t="s">
        <v>362</v>
      </c>
      <c r="Q620" s="9"/>
      <c r="R620" s="9"/>
    </row>
    <row r="621" spans="2:18" ht="12.75" hidden="1" customHeight="1" thickBot="1">
      <c r="B621" s="5"/>
      <c r="C621" s="12" t="s">
        <v>374</v>
      </c>
      <c r="D621" s="12" t="s">
        <v>18</v>
      </c>
      <c r="E621" s="12" t="s">
        <v>19</v>
      </c>
      <c r="F621" s="12">
        <v>3</v>
      </c>
      <c r="G621" s="12" t="s">
        <v>20</v>
      </c>
      <c r="H621" s="12" t="s">
        <v>33</v>
      </c>
      <c r="I621" s="13">
        <v>45196.395601851851</v>
      </c>
      <c r="J621" s="12" t="s">
        <v>22</v>
      </c>
      <c r="K621" s="12"/>
      <c r="L621" s="12"/>
      <c r="M621" s="4" t="s">
        <v>23</v>
      </c>
      <c r="N621" s="8" t="str">
        <f t="shared" si="18"/>
        <v>057 - 45038523</v>
      </c>
      <c r="O621" s="9" t="s">
        <v>345</v>
      </c>
      <c r="P621" s="9" t="s">
        <v>362</v>
      </c>
      <c r="Q621" s="9"/>
      <c r="R621" s="9"/>
    </row>
    <row r="622" spans="2:18" ht="12.75" hidden="1" customHeight="1" thickBot="1">
      <c r="B622" s="6"/>
      <c r="C622" s="12" t="s">
        <v>221</v>
      </c>
      <c r="D622" s="12" t="s">
        <v>18</v>
      </c>
      <c r="E622" s="12" t="s">
        <v>19</v>
      </c>
      <c r="F622" s="12">
        <v>3</v>
      </c>
      <c r="G622" s="12" t="s">
        <v>20</v>
      </c>
      <c r="H622" s="12" t="s">
        <v>33</v>
      </c>
      <c r="I622" s="13">
        <v>45196.395590277774</v>
      </c>
      <c r="J622" s="12" t="s">
        <v>22</v>
      </c>
      <c r="K622" s="12"/>
      <c r="L622" s="12"/>
      <c r="M622" s="4" t="s">
        <v>23</v>
      </c>
      <c r="N622" s="8" t="str">
        <f t="shared" si="18"/>
        <v>057 - 47830683</v>
      </c>
      <c r="O622" s="9" t="s">
        <v>345</v>
      </c>
      <c r="P622" s="9" t="s">
        <v>362</v>
      </c>
      <c r="Q622" s="9"/>
      <c r="R622" s="9"/>
    </row>
    <row r="623" spans="2:18" ht="12.75" hidden="1" customHeight="1" thickBot="1">
      <c r="B623" s="5"/>
      <c r="C623" s="12" t="s">
        <v>375</v>
      </c>
      <c r="D623" s="12" t="s">
        <v>18</v>
      </c>
      <c r="E623" s="12" t="s">
        <v>19</v>
      </c>
      <c r="F623" s="12">
        <v>3</v>
      </c>
      <c r="G623" s="12" t="s">
        <v>20</v>
      </c>
      <c r="H623" s="12" t="s">
        <v>33</v>
      </c>
      <c r="I623" s="13">
        <v>45196.395578703705</v>
      </c>
      <c r="J623" s="12" t="s">
        <v>22</v>
      </c>
      <c r="K623" s="12"/>
      <c r="L623" s="12"/>
      <c r="M623" s="4" t="s">
        <v>23</v>
      </c>
      <c r="N623" s="8" t="str">
        <f t="shared" si="18"/>
        <v>057 - 48120925</v>
      </c>
      <c r="O623" s="9" t="s">
        <v>345</v>
      </c>
      <c r="P623" s="9" t="s">
        <v>362</v>
      </c>
      <c r="Q623" s="9"/>
      <c r="R623" s="9"/>
    </row>
    <row r="624" spans="2:18" ht="12.75" hidden="1" customHeight="1" thickBot="1">
      <c r="B624" s="6"/>
      <c r="C624" s="12" t="s">
        <v>374</v>
      </c>
      <c r="D624" s="12" t="s">
        <v>18</v>
      </c>
      <c r="E624" s="12" t="s">
        <v>19</v>
      </c>
      <c r="F624" s="12">
        <v>3</v>
      </c>
      <c r="G624" s="12" t="s">
        <v>20</v>
      </c>
      <c r="H624" s="12" t="s">
        <v>33</v>
      </c>
      <c r="I624" s="13">
        <v>45196.395578703705</v>
      </c>
      <c r="J624" s="12" t="s">
        <v>22</v>
      </c>
      <c r="K624" s="12"/>
      <c r="L624" s="12"/>
      <c r="M624" s="4" t="s">
        <v>23</v>
      </c>
      <c r="N624" s="8" t="str">
        <f t="shared" si="18"/>
        <v>057 - 45038523</v>
      </c>
      <c r="O624" s="9" t="s">
        <v>345</v>
      </c>
      <c r="P624" s="9" t="s">
        <v>362</v>
      </c>
      <c r="Q624" s="9"/>
      <c r="R624" s="9"/>
    </row>
    <row r="625" spans="2:18" ht="12.75" hidden="1" customHeight="1" thickBot="1">
      <c r="B625" s="5"/>
      <c r="C625" s="12" t="s">
        <v>221</v>
      </c>
      <c r="D625" s="12" t="s">
        <v>18</v>
      </c>
      <c r="E625" s="12" t="s">
        <v>19</v>
      </c>
      <c r="F625" s="12">
        <v>3</v>
      </c>
      <c r="G625" s="12" t="s">
        <v>20</v>
      </c>
      <c r="H625" s="12" t="s">
        <v>33</v>
      </c>
      <c r="I625" s="13">
        <v>45196.395555555559</v>
      </c>
      <c r="J625" s="12" t="s">
        <v>22</v>
      </c>
      <c r="K625" s="12"/>
      <c r="L625" s="12"/>
      <c r="M625" s="4" t="s">
        <v>23</v>
      </c>
      <c r="N625" s="8" t="str">
        <f t="shared" si="18"/>
        <v>057 - 47830683</v>
      </c>
      <c r="O625" s="9" t="s">
        <v>345</v>
      </c>
      <c r="P625" s="9" t="s">
        <v>362</v>
      </c>
      <c r="Q625" s="9"/>
      <c r="R625" s="9"/>
    </row>
    <row r="626" spans="2:18" ht="12.75" hidden="1" customHeight="1" thickBot="1">
      <c r="B626" s="6"/>
      <c r="C626" s="12" t="s">
        <v>376</v>
      </c>
      <c r="D626" s="12" t="s">
        <v>18</v>
      </c>
      <c r="E626" s="12" t="s">
        <v>19</v>
      </c>
      <c r="F626" s="12">
        <v>3</v>
      </c>
      <c r="G626" s="12" t="s">
        <v>20</v>
      </c>
      <c r="H626" s="12" t="s">
        <v>33</v>
      </c>
      <c r="I626" s="13">
        <v>45196.395543981482</v>
      </c>
      <c r="J626" s="12" t="s">
        <v>22</v>
      </c>
      <c r="K626" s="12"/>
      <c r="L626" s="12"/>
      <c r="M626" s="4" t="s">
        <v>23</v>
      </c>
      <c r="N626" s="8" t="str">
        <f t="shared" si="18"/>
        <v>057 - 12834776</v>
      </c>
      <c r="O626" s="9" t="s">
        <v>345</v>
      </c>
      <c r="P626" s="9" t="s">
        <v>362</v>
      </c>
      <c r="Q626" s="9"/>
      <c r="R626" s="9"/>
    </row>
    <row r="627" spans="2:18" ht="12.75" hidden="1" customHeight="1" thickBot="1">
      <c r="B627" s="5"/>
      <c r="C627" s="12" t="s">
        <v>221</v>
      </c>
      <c r="D627" s="12" t="s">
        <v>18</v>
      </c>
      <c r="E627" s="12" t="s">
        <v>19</v>
      </c>
      <c r="F627" s="12">
        <v>3</v>
      </c>
      <c r="G627" s="12" t="s">
        <v>20</v>
      </c>
      <c r="H627" s="12" t="s">
        <v>33</v>
      </c>
      <c r="I627" s="13">
        <v>45196.395543981482</v>
      </c>
      <c r="J627" s="12" t="s">
        <v>22</v>
      </c>
      <c r="K627" s="12"/>
      <c r="L627" s="12"/>
      <c r="M627" s="4" t="s">
        <v>23</v>
      </c>
      <c r="N627" s="8" t="str">
        <f t="shared" si="18"/>
        <v>057 - 47830683</v>
      </c>
      <c r="O627" s="9" t="s">
        <v>345</v>
      </c>
      <c r="P627" s="9" t="s">
        <v>362</v>
      </c>
      <c r="Q627" s="9" t="s">
        <v>377</v>
      </c>
      <c r="R627" s="9"/>
    </row>
    <row r="628" spans="2:18" ht="12.75" hidden="1" customHeight="1" thickBot="1">
      <c r="B628" s="6"/>
      <c r="C628" s="12" t="s">
        <v>217</v>
      </c>
      <c r="D628" s="12" t="s">
        <v>18</v>
      </c>
      <c r="E628" s="12" t="s">
        <v>19</v>
      </c>
      <c r="F628" s="12">
        <v>3</v>
      </c>
      <c r="G628" s="12" t="s">
        <v>20</v>
      </c>
      <c r="H628" s="12" t="s">
        <v>33</v>
      </c>
      <c r="I628" s="13">
        <v>45196.395532407405</v>
      </c>
      <c r="J628" s="12" t="s">
        <v>22</v>
      </c>
      <c r="K628" s="12"/>
      <c r="L628" s="12"/>
      <c r="M628" s="4" t="s">
        <v>23</v>
      </c>
      <c r="N628" s="8" t="str">
        <f t="shared" si="18"/>
        <v>057 - 04130195</v>
      </c>
      <c r="O628" s="9" t="s">
        <v>345</v>
      </c>
      <c r="P628" s="9" t="s">
        <v>362</v>
      </c>
      <c r="Q628" s="9"/>
      <c r="R628" s="9"/>
    </row>
    <row r="629" spans="2:18" ht="12.75" hidden="1" customHeight="1" thickBot="1">
      <c r="B629" s="5"/>
      <c r="C629" s="12" t="s">
        <v>106</v>
      </c>
      <c r="D629" s="12" t="s">
        <v>18</v>
      </c>
      <c r="E629" s="12" t="s">
        <v>19</v>
      </c>
      <c r="F629" s="12">
        <v>3</v>
      </c>
      <c r="G629" s="12" t="s">
        <v>20</v>
      </c>
      <c r="H629" s="12" t="s">
        <v>33</v>
      </c>
      <c r="I629" s="13">
        <v>45196.395520833335</v>
      </c>
      <c r="J629" s="12" t="s">
        <v>22</v>
      </c>
      <c r="K629" s="12"/>
      <c r="L629" s="12"/>
      <c r="M629" s="4" t="s">
        <v>23</v>
      </c>
      <c r="N629" s="8" t="str">
        <f t="shared" si="18"/>
        <v>057 - 47708474</v>
      </c>
      <c r="O629" s="9" t="s">
        <v>378</v>
      </c>
      <c r="P629" s="9" t="s">
        <v>282</v>
      </c>
      <c r="Q629" s="9"/>
      <c r="R629" s="9"/>
    </row>
    <row r="630" spans="2:18" ht="12.75" hidden="1" customHeight="1" thickBot="1">
      <c r="B630" s="6"/>
      <c r="C630" s="12" t="s">
        <v>379</v>
      </c>
      <c r="D630" s="12" t="s">
        <v>18</v>
      </c>
      <c r="E630" s="12" t="s">
        <v>19</v>
      </c>
      <c r="F630" s="12">
        <v>3</v>
      </c>
      <c r="G630" s="12" t="s">
        <v>20</v>
      </c>
      <c r="H630" s="12" t="s">
        <v>33</v>
      </c>
      <c r="I630" s="13">
        <v>45196.395520833335</v>
      </c>
      <c r="J630" s="12" t="s">
        <v>22</v>
      </c>
      <c r="K630" s="12"/>
      <c r="L630" s="12"/>
      <c r="M630" s="4" t="s">
        <v>23</v>
      </c>
      <c r="N630" s="8" t="str">
        <f t="shared" si="18"/>
        <v>057 - 04284490</v>
      </c>
      <c r="O630" s="9" t="s">
        <v>378</v>
      </c>
      <c r="P630" s="9" t="s">
        <v>282</v>
      </c>
      <c r="Q630" s="9"/>
      <c r="R630" s="9"/>
    </row>
    <row r="631" spans="2:18" ht="12.75" hidden="1" customHeight="1" thickBot="1">
      <c r="B631" s="5"/>
      <c r="C631" s="12" t="s">
        <v>217</v>
      </c>
      <c r="D631" s="12" t="s">
        <v>18</v>
      </c>
      <c r="E631" s="12" t="s">
        <v>19</v>
      </c>
      <c r="F631" s="12">
        <v>3</v>
      </c>
      <c r="G631" s="12" t="s">
        <v>20</v>
      </c>
      <c r="H631" s="12" t="s">
        <v>33</v>
      </c>
      <c r="I631" s="13">
        <v>45196.395509259259</v>
      </c>
      <c r="J631" s="12" t="s">
        <v>22</v>
      </c>
      <c r="K631" s="12"/>
      <c r="L631" s="12"/>
      <c r="M631" s="4" t="s">
        <v>23</v>
      </c>
      <c r="N631" s="8" t="str">
        <f t="shared" si="18"/>
        <v>057 - 04130195</v>
      </c>
      <c r="O631" s="9" t="s">
        <v>378</v>
      </c>
      <c r="P631" s="9" t="s">
        <v>282</v>
      </c>
      <c r="Q631" s="9"/>
      <c r="R631" s="9"/>
    </row>
    <row r="632" spans="2:18" ht="12.75" hidden="1" customHeight="1" thickBot="1">
      <c r="B632" s="7"/>
      <c r="C632" s="12" t="s">
        <v>380</v>
      </c>
      <c r="D632" s="12" t="s">
        <v>18</v>
      </c>
      <c r="E632" s="12" t="s">
        <v>19</v>
      </c>
      <c r="F632" s="12">
        <v>3</v>
      </c>
      <c r="G632" s="12" t="s">
        <v>20</v>
      </c>
      <c r="H632" s="12" t="s">
        <v>33</v>
      </c>
      <c r="I632" s="13">
        <v>45196.395497685182</v>
      </c>
      <c r="J632" s="12" t="s">
        <v>22</v>
      </c>
      <c r="K632" s="12"/>
      <c r="L632" s="12"/>
      <c r="M632" s="4" t="s">
        <v>23</v>
      </c>
      <c r="N632" s="8" t="str">
        <f t="shared" si="18"/>
        <v>057 - 04307483</v>
      </c>
      <c r="O632" s="9" t="s">
        <v>378</v>
      </c>
      <c r="P632" s="9" t="s">
        <v>282</v>
      </c>
      <c r="Q632" s="9"/>
      <c r="R632" s="9"/>
    </row>
    <row r="633" spans="2:18" ht="12.75" hidden="1" customHeight="1">
      <c r="C633" s="12" t="s">
        <v>381</v>
      </c>
      <c r="D633" s="12" t="s">
        <v>18</v>
      </c>
      <c r="E633" s="12" t="s">
        <v>19</v>
      </c>
      <c r="F633" s="12">
        <v>3</v>
      </c>
      <c r="G633" s="12" t="s">
        <v>20</v>
      </c>
      <c r="H633" s="12" t="s">
        <v>33</v>
      </c>
      <c r="I633" s="13">
        <v>45196.395497685182</v>
      </c>
      <c r="J633" s="12" t="s">
        <v>22</v>
      </c>
      <c r="K633" s="12"/>
      <c r="L633" s="12"/>
      <c r="M633" s="4" t="s">
        <v>23</v>
      </c>
      <c r="N633" s="8" t="str">
        <f t="shared" si="18"/>
        <v>057 - 04249350</v>
      </c>
      <c r="O633" s="9" t="s">
        <v>378</v>
      </c>
      <c r="P633" s="9" t="s">
        <v>282</v>
      </c>
      <c r="Q633" s="9"/>
      <c r="R633" s="9"/>
    </row>
    <row r="634" spans="2:18" ht="12.75" hidden="1" customHeight="1" thickBot="1">
      <c r="B634" s="5"/>
      <c r="C634" s="12" t="s">
        <v>217</v>
      </c>
      <c r="D634" s="12" t="s">
        <v>18</v>
      </c>
      <c r="E634" s="12" t="s">
        <v>19</v>
      </c>
      <c r="F634" s="12">
        <v>3</v>
      </c>
      <c r="G634" s="12" t="s">
        <v>20</v>
      </c>
      <c r="H634" s="12" t="s">
        <v>33</v>
      </c>
      <c r="I634" s="13">
        <v>45196.395486111112</v>
      </c>
      <c r="J634" s="12" t="s">
        <v>22</v>
      </c>
      <c r="K634" s="12"/>
      <c r="L634" s="12"/>
      <c r="M634" s="4" t="s">
        <v>23</v>
      </c>
      <c r="N634" s="8" t="str">
        <f t="shared" si="18"/>
        <v>057 - 04130195</v>
      </c>
      <c r="O634" s="9" t="s">
        <v>378</v>
      </c>
      <c r="P634" s="9" t="s">
        <v>282</v>
      </c>
      <c r="Q634" s="9"/>
      <c r="R634" s="9"/>
    </row>
    <row r="635" spans="2:18" ht="12.75" hidden="1" customHeight="1" thickBot="1">
      <c r="B635" s="6"/>
      <c r="C635" s="12" t="s">
        <v>382</v>
      </c>
      <c r="D635" s="12" t="s">
        <v>18</v>
      </c>
      <c r="E635" s="12" t="s">
        <v>19</v>
      </c>
      <c r="F635" s="12">
        <v>3</v>
      </c>
      <c r="G635" s="12" t="s">
        <v>20</v>
      </c>
      <c r="H635" s="12" t="s">
        <v>33</v>
      </c>
      <c r="I635" s="13">
        <v>45196.395462962966</v>
      </c>
      <c r="J635" s="12" t="s">
        <v>22</v>
      </c>
      <c r="K635" s="12"/>
      <c r="L635" s="12"/>
      <c r="M635" s="4" t="s">
        <v>23</v>
      </c>
      <c r="N635" s="8" t="str">
        <f t="shared" si="18"/>
        <v>057 - 04246196</v>
      </c>
      <c r="O635" s="9" t="s">
        <v>378</v>
      </c>
      <c r="P635" s="9" t="s">
        <v>282</v>
      </c>
      <c r="Q635" s="9"/>
      <c r="R635" s="9"/>
    </row>
    <row r="636" spans="2:18" ht="12.75" hidden="1" customHeight="1" thickBot="1">
      <c r="B636" s="5"/>
      <c r="C636" s="12" t="s">
        <v>383</v>
      </c>
      <c r="D636" s="12" t="s">
        <v>18</v>
      </c>
      <c r="E636" s="12" t="s">
        <v>19</v>
      </c>
      <c r="F636" s="12">
        <v>3</v>
      </c>
      <c r="G636" s="12" t="s">
        <v>20</v>
      </c>
      <c r="H636" s="12" t="s">
        <v>33</v>
      </c>
      <c r="I636" s="13">
        <v>45196.395451388889</v>
      </c>
      <c r="J636" s="12" t="s">
        <v>22</v>
      </c>
      <c r="K636" s="12"/>
      <c r="L636" s="12"/>
      <c r="M636" s="4" t="s">
        <v>23</v>
      </c>
      <c r="N636" s="8" t="str">
        <f t="shared" si="18"/>
        <v>057 - 04264713</v>
      </c>
      <c r="O636" s="9" t="s">
        <v>378</v>
      </c>
      <c r="P636" s="9" t="s">
        <v>282</v>
      </c>
      <c r="Q636" s="9"/>
      <c r="R636" s="9"/>
    </row>
    <row r="637" spans="2:18" ht="12.75" hidden="1" customHeight="1" thickBot="1">
      <c r="B637" s="6"/>
      <c r="C637" s="12" t="s">
        <v>381</v>
      </c>
      <c r="D637" s="12" t="s">
        <v>18</v>
      </c>
      <c r="E637" s="12" t="s">
        <v>19</v>
      </c>
      <c r="F637" s="12">
        <v>3</v>
      </c>
      <c r="G637" s="12" t="s">
        <v>20</v>
      </c>
      <c r="H637" s="12" t="s">
        <v>33</v>
      </c>
      <c r="I637" s="13">
        <v>45196.395439814813</v>
      </c>
      <c r="J637" s="12" t="s">
        <v>22</v>
      </c>
      <c r="K637" s="12"/>
      <c r="L637" s="12"/>
      <c r="M637" s="4" t="s">
        <v>23</v>
      </c>
      <c r="N637" s="8" t="str">
        <f t="shared" si="18"/>
        <v>057 - 04249350</v>
      </c>
      <c r="O637" s="9" t="s">
        <v>378</v>
      </c>
      <c r="P637" s="9" t="s">
        <v>282</v>
      </c>
      <c r="Q637" s="9"/>
      <c r="R637" s="9"/>
    </row>
    <row r="638" spans="2:18" ht="12.75" hidden="1" customHeight="1" thickBot="1">
      <c r="B638" s="5"/>
      <c r="C638" s="12" t="s">
        <v>384</v>
      </c>
      <c r="D638" s="12" t="s">
        <v>18</v>
      </c>
      <c r="E638" s="12" t="s">
        <v>19</v>
      </c>
      <c r="F638" s="12">
        <v>3</v>
      </c>
      <c r="G638" s="12" t="s">
        <v>20</v>
      </c>
      <c r="H638" s="12" t="s">
        <v>33</v>
      </c>
      <c r="I638" s="13">
        <v>45196.395428240743</v>
      </c>
      <c r="J638" s="12" t="s">
        <v>22</v>
      </c>
      <c r="K638" s="12"/>
      <c r="L638" s="12"/>
      <c r="M638" s="4" t="s">
        <v>23</v>
      </c>
      <c r="N638" s="8" t="str">
        <f t="shared" si="18"/>
        <v>057 - 45887881</v>
      </c>
      <c r="O638" s="9" t="s">
        <v>378</v>
      </c>
      <c r="P638" s="9" t="s">
        <v>282</v>
      </c>
      <c r="Q638" s="9"/>
      <c r="R638" s="9"/>
    </row>
    <row r="639" spans="2:18" ht="12.75" hidden="1" customHeight="1" thickBot="1">
      <c r="B639" s="6"/>
      <c r="C639" s="12" t="s">
        <v>213</v>
      </c>
      <c r="D639" s="12" t="s">
        <v>18</v>
      </c>
      <c r="E639" s="12" t="s">
        <v>19</v>
      </c>
      <c r="F639" s="12">
        <v>3</v>
      </c>
      <c r="G639" s="12" t="s">
        <v>20</v>
      </c>
      <c r="H639" s="12" t="s">
        <v>33</v>
      </c>
      <c r="I639" s="13">
        <v>45196.395428240743</v>
      </c>
      <c r="J639" s="12" t="s">
        <v>22</v>
      </c>
      <c r="K639" s="12"/>
      <c r="L639" s="12"/>
      <c r="M639" s="4" t="s">
        <v>23</v>
      </c>
      <c r="N639" s="8" t="str">
        <f t="shared" si="18"/>
        <v>057 - 48110790</v>
      </c>
      <c r="O639" s="9" t="s">
        <v>378</v>
      </c>
      <c r="P639" s="9" t="s">
        <v>282</v>
      </c>
      <c r="Q639" s="9"/>
      <c r="R639" s="9"/>
    </row>
    <row r="640" spans="2:18" ht="12.75" hidden="1" customHeight="1" thickBot="1">
      <c r="B640" s="5"/>
      <c r="C640" s="12" t="s">
        <v>213</v>
      </c>
      <c r="D640" s="12" t="s">
        <v>18</v>
      </c>
      <c r="E640" s="12" t="s">
        <v>19</v>
      </c>
      <c r="F640" s="12">
        <v>3</v>
      </c>
      <c r="G640" s="12" t="s">
        <v>20</v>
      </c>
      <c r="H640" s="12" t="s">
        <v>33</v>
      </c>
      <c r="I640" s="13">
        <v>45196.395428240743</v>
      </c>
      <c r="J640" s="12" t="s">
        <v>22</v>
      </c>
      <c r="K640" s="12"/>
      <c r="L640" s="12"/>
      <c r="M640" s="4" t="s">
        <v>23</v>
      </c>
      <c r="N640" s="8" t="str">
        <f t="shared" si="18"/>
        <v>057 - 48110790</v>
      </c>
      <c r="O640" s="9" t="s">
        <v>378</v>
      </c>
      <c r="P640" s="9" t="s">
        <v>282</v>
      </c>
      <c r="Q640" s="9"/>
      <c r="R640" s="9"/>
    </row>
    <row r="641" spans="2:18" ht="12.75" hidden="1" customHeight="1" thickBot="1">
      <c r="B641" s="6"/>
      <c r="C641" s="12" t="s">
        <v>385</v>
      </c>
      <c r="D641" s="12" t="s">
        <v>18</v>
      </c>
      <c r="E641" s="12" t="s">
        <v>19</v>
      </c>
      <c r="F641" s="12">
        <v>3</v>
      </c>
      <c r="G641" s="12" t="s">
        <v>20</v>
      </c>
      <c r="H641" s="12" t="s">
        <v>33</v>
      </c>
      <c r="I641" s="13">
        <v>45196.395405092589</v>
      </c>
      <c r="J641" s="12" t="s">
        <v>22</v>
      </c>
      <c r="K641" s="12"/>
      <c r="L641" s="12"/>
      <c r="M641" s="4" t="s">
        <v>23</v>
      </c>
      <c r="N641" s="8" t="str">
        <f t="shared" si="18"/>
        <v>057 - 48356733</v>
      </c>
      <c r="O641" s="9" t="s">
        <v>378</v>
      </c>
      <c r="P641" s="9" t="s">
        <v>282</v>
      </c>
      <c r="Q641" s="9"/>
      <c r="R641" s="9"/>
    </row>
    <row r="642" spans="2:18" ht="12.75" hidden="1" customHeight="1" thickBot="1">
      <c r="B642" s="5"/>
      <c r="C642" s="12" t="s">
        <v>213</v>
      </c>
      <c r="D642" s="12" t="s">
        <v>18</v>
      </c>
      <c r="E642" s="12" t="s">
        <v>19</v>
      </c>
      <c r="F642" s="12">
        <v>3</v>
      </c>
      <c r="G642" s="12" t="s">
        <v>20</v>
      </c>
      <c r="H642" s="12" t="s">
        <v>33</v>
      </c>
      <c r="I642" s="13">
        <v>45196.39539351852</v>
      </c>
      <c r="J642" s="12" t="s">
        <v>22</v>
      </c>
      <c r="K642" s="12"/>
      <c r="L642" s="12"/>
      <c r="M642" s="4" t="s">
        <v>23</v>
      </c>
      <c r="N642" s="8" t="str">
        <f t="shared" si="18"/>
        <v>057 - 48110790</v>
      </c>
      <c r="O642" s="9" t="s">
        <v>366</v>
      </c>
      <c r="P642" s="9" t="s">
        <v>386</v>
      </c>
      <c r="Q642" s="9"/>
      <c r="R642" s="9"/>
    </row>
    <row r="643" spans="2:18" ht="12.75" hidden="1" customHeight="1" thickBot="1">
      <c r="B643" s="6"/>
      <c r="C643" s="12" t="s">
        <v>385</v>
      </c>
      <c r="D643" s="12" t="s">
        <v>18</v>
      </c>
      <c r="E643" s="12" t="s">
        <v>19</v>
      </c>
      <c r="F643" s="12">
        <v>3</v>
      </c>
      <c r="G643" s="12" t="s">
        <v>20</v>
      </c>
      <c r="H643" s="12" t="s">
        <v>33</v>
      </c>
      <c r="I643" s="13">
        <v>45196.39539351852</v>
      </c>
      <c r="J643" s="12" t="s">
        <v>22</v>
      </c>
      <c r="K643" s="12"/>
      <c r="L643" s="12"/>
      <c r="M643" s="4" t="s">
        <v>23</v>
      </c>
      <c r="N643" s="8" t="str">
        <f t="shared" si="18"/>
        <v>057 - 48356733</v>
      </c>
      <c r="O643" s="9" t="s">
        <v>366</v>
      </c>
      <c r="P643" s="9" t="s">
        <v>386</v>
      </c>
      <c r="Q643" s="9"/>
      <c r="R643" s="9"/>
    </row>
    <row r="644" spans="2:18" ht="12.75" hidden="1" customHeight="1" thickBot="1">
      <c r="B644" s="5"/>
      <c r="C644" s="12" t="s">
        <v>106</v>
      </c>
      <c r="D644" s="12" t="s">
        <v>18</v>
      </c>
      <c r="E644" s="12" t="s">
        <v>19</v>
      </c>
      <c r="F644" s="12">
        <v>3</v>
      </c>
      <c r="G644" s="12" t="s">
        <v>20</v>
      </c>
      <c r="H644" s="12" t="s">
        <v>33</v>
      </c>
      <c r="I644" s="13">
        <v>45196.395370370374</v>
      </c>
      <c r="J644" s="12" t="s">
        <v>22</v>
      </c>
      <c r="K644" s="12"/>
      <c r="L644" s="12"/>
      <c r="M644" s="4" t="s">
        <v>23</v>
      </c>
      <c r="N644" s="8" t="str">
        <f t="shared" si="18"/>
        <v>057 - 47708474</v>
      </c>
      <c r="O644" s="9" t="s">
        <v>366</v>
      </c>
      <c r="P644" s="9" t="s">
        <v>386</v>
      </c>
      <c r="Q644" s="9"/>
      <c r="R644" s="9"/>
    </row>
    <row r="645" spans="2:18" ht="12.75" hidden="1" customHeight="1" thickBot="1">
      <c r="B645" s="6"/>
      <c r="C645" s="12" t="s">
        <v>213</v>
      </c>
      <c r="D645" s="12" t="s">
        <v>18</v>
      </c>
      <c r="E645" s="12" t="s">
        <v>19</v>
      </c>
      <c r="F645" s="12">
        <v>3</v>
      </c>
      <c r="G645" s="12" t="s">
        <v>20</v>
      </c>
      <c r="H645" s="12" t="s">
        <v>33</v>
      </c>
      <c r="I645" s="13">
        <v>45196.395358796297</v>
      </c>
      <c r="J645" s="12" t="s">
        <v>22</v>
      </c>
      <c r="K645" s="12"/>
      <c r="L645" s="12"/>
      <c r="M645" s="4" t="s">
        <v>23</v>
      </c>
      <c r="N645" s="8" t="str">
        <f t="shared" si="18"/>
        <v>057 - 48110790</v>
      </c>
      <c r="O645" s="9" t="s">
        <v>366</v>
      </c>
      <c r="P645" s="9" t="s">
        <v>346</v>
      </c>
      <c r="Q645" s="9"/>
      <c r="R645" s="9" t="s">
        <v>52</v>
      </c>
    </row>
    <row r="646" spans="2:18" ht="12.75" hidden="1" customHeight="1" thickBot="1">
      <c r="B646" s="5"/>
      <c r="C646" s="12" t="s">
        <v>209</v>
      </c>
      <c r="D646" s="12" t="s">
        <v>18</v>
      </c>
      <c r="E646" s="12" t="s">
        <v>19</v>
      </c>
      <c r="F646" s="12">
        <v>3</v>
      </c>
      <c r="G646" s="12" t="s">
        <v>20</v>
      </c>
      <c r="H646" s="12" t="s">
        <v>33</v>
      </c>
      <c r="I646" s="13">
        <v>45196.395335648151</v>
      </c>
      <c r="J646" s="12" t="s">
        <v>22</v>
      </c>
      <c r="K646" s="12"/>
      <c r="L646" s="12"/>
      <c r="M646" s="4" t="s">
        <v>23</v>
      </c>
      <c r="N646" s="8" t="str">
        <f t="shared" si="18"/>
        <v>057 - 48120660</v>
      </c>
      <c r="O646" s="9" t="s">
        <v>366</v>
      </c>
      <c r="P646" s="9" t="s">
        <v>386</v>
      </c>
      <c r="Q646" s="9"/>
      <c r="R646" s="9"/>
    </row>
    <row r="647" spans="2:18" ht="12.75" hidden="1" customHeight="1" thickBot="1">
      <c r="B647" s="6"/>
      <c r="C647" s="12" t="s">
        <v>387</v>
      </c>
      <c r="D647" s="12" t="s">
        <v>18</v>
      </c>
      <c r="E647" s="12" t="s">
        <v>19</v>
      </c>
      <c r="F647" s="12">
        <v>3</v>
      </c>
      <c r="G647" s="12" t="s">
        <v>20</v>
      </c>
      <c r="H647" s="12" t="s">
        <v>33</v>
      </c>
      <c r="I647" s="13">
        <v>45196.395335648151</v>
      </c>
      <c r="J647" s="12" t="s">
        <v>22</v>
      </c>
      <c r="K647" s="12"/>
      <c r="L647" s="12"/>
      <c r="M647" s="4" t="s">
        <v>23</v>
      </c>
      <c r="N647" s="8" t="str">
        <f t="shared" si="18"/>
        <v>057 - 48120995</v>
      </c>
      <c r="O647" s="9" t="s">
        <v>366</v>
      </c>
      <c r="P647" s="9" t="s">
        <v>386</v>
      </c>
      <c r="Q647" s="9"/>
      <c r="R647" s="9"/>
    </row>
    <row r="648" spans="2:18" ht="12.75" hidden="1" customHeight="1" thickBot="1">
      <c r="B648" s="5"/>
      <c r="C648" s="12" t="s">
        <v>209</v>
      </c>
      <c r="D648" s="12" t="s">
        <v>18</v>
      </c>
      <c r="E648" s="12" t="s">
        <v>19</v>
      </c>
      <c r="F648" s="12">
        <v>3</v>
      </c>
      <c r="G648" s="12" t="s">
        <v>20</v>
      </c>
      <c r="H648" s="12" t="s">
        <v>33</v>
      </c>
      <c r="I648" s="13">
        <v>45196.395312499997</v>
      </c>
      <c r="J648" s="12" t="s">
        <v>22</v>
      </c>
      <c r="K648" s="12"/>
      <c r="L648" s="12"/>
      <c r="M648" s="4" t="s">
        <v>23</v>
      </c>
      <c r="N648" s="8" t="str">
        <f t="shared" si="18"/>
        <v>057 - 48120660</v>
      </c>
      <c r="O648" s="9" t="s">
        <v>366</v>
      </c>
      <c r="P648" s="9" t="s">
        <v>386</v>
      </c>
      <c r="Q648" s="9"/>
      <c r="R648" s="9" t="s">
        <v>35</v>
      </c>
    </row>
    <row r="649" spans="2:18" ht="12.75" hidden="1" customHeight="1" thickBot="1">
      <c r="B649" s="6"/>
      <c r="C649" s="12" t="s">
        <v>387</v>
      </c>
      <c r="D649" s="12" t="s">
        <v>18</v>
      </c>
      <c r="E649" s="12" t="s">
        <v>19</v>
      </c>
      <c r="F649" s="12">
        <v>3</v>
      </c>
      <c r="G649" s="12" t="s">
        <v>20</v>
      </c>
      <c r="H649" s="12" t="s">
        <v>33</v>
      </c>
      <c r="I649" s="13">
        <v>45196.395312499997</v>
      </c>
      <c r="J649" s="12" t="s">
        <v>22</v>
      </c>
      <c r="K649" s="12"/>
      <c r="L649" s="12"/>
      <c r="M649" s="4" t="s">
        <v>23</v>
      </c>
      <c r="N649" s="8" t="str">
        <f t="shared" si="18"/>
        <v>057 - 48120995</v>
      </c>
      <c r="O649" s="9" t="s">
        <v>366</v>
      </c>
      <c r="P649" s="9" t="s">
        <v>346</v>
      </c>
      <c r="Q649" s="9"/>
      <c r="R649" s="9" t="s">
        <v>35</v>
      </c>
    </row>
    <row r="650" spans="2:18" ht="12.75" hidden="1" customHeight="1" thickBot="1">
      <c r="B650" s="5"/>
      <c r="C650" s="12" t="s">
        <v>209</v>
      </c>
      <c r="D650" s="12" t="s">
        <v>18</v>
      </c>
      <c r="E650" s="12" t="s">
        <v>19</v>
      </c>
      <c r="F650" s="12">
        <v>3</v>
      </c>
      <c r="G650" s="12" t="s">
        <v>20</v>
      </c>
      <c r="H650" s="12" t="s">
        <v>33</v>
      </c>
      <c r="I650" s="13">
        <v>45196.395289351851</v>
      </c>
      <c r="J650" s="12" t="s">
        <v>22</v>
      </c>
      <c r="K650" s="12"/>
      <c r="L650" s="12"/>
      <c r="M650" s="4" t="s">
        <v>23</v>
      </c>
      <c r="N650" s="8" t="str">
        <f t="shared" si="18"/>
        <v>057 - 48120660</v>
      </c>
      <c r="O650" s="9" t="s">
        <v>366</v>
      </c>
      <c r="P650" s="9" t="s">
        <v>346</v>
      </c>
      <c r="Q650" s="9"/>
      <c r="R650" s="9" t="s">
        <v>35</v>
      </c>
    </row>
    <row r="651" spans="2:18" ht="12.75" hidden="1" customHeight="1" thickBot="1">
      <c r="B651" s="6"/>
      <c r="C651" s="12" t="s">
        <v>388</v>
      </c>
      <c r="D651" s="12" t="s">
        <v>18</v>
      </c>
      <c r="E651" s="12" t="s">
        <v>19</v>
      </c>
      <c r="F651" s="12">
        <v>3</v>
      </c>
      <c r="G651" s="12" t="s">
        <v>20</v>
      </c>
      <c r="H651" s="12" t="s">
        <v>33</v>
      </c>
      <c r="I651" s="13">
        <v>45196.395173611112</v>
      </c>
      <c r="J651" s="12" t="s">
        <v>22</v>
      </c>
      <c r="K651" s="12"/>
      <c r="L651" s="12"/>
      <c r="M651" s="4" t="s">
        <v>23</v>
      </c>
      <c r="N651" s="8" t="str">
        <f t="shared" ref="N651:N665" si="19">LEFT(C651,14)</f>
        <v>057 - 48120612</v>
      </c>
      <c r="O651" s="9" t="s">
        <v>366</v>
      </c>
      <c r="P651" s="9" t="s">
        <v>386</v>
      </c>
      <c r="Q651" s="9"/>
      <c r="R651" s="9" t="s">
        <v>35</v>
      </c>
    </row>
    <row r="652" spans="2:18" ht="12.75" hidden="1" customHeight="1" thickBot="1">
      <c r="B652" s="5"/>
      <c r="C652" s="12" t="s">
        <v>373</v>
      </c>
      <c r="D652" s="12" t="s">
        <v>18</v>
      </c>
      <c r="E652" s="12" t="s">
        <v>19</v>
      </c>
      <c r="F652" s="12">
        <v>3</v>
      </c>
      <c r="G652" s="12" t="s">
        <v>20</v>
      </c>
      <c r="H652" s="12" t="s">
        <v>33</v>
      </c>
      <c r="I652" s="13">
        <v>45196.395162037035</v>
      </c>
      <c r="J652" s="12" t="s">
        <v>22</v>
      </c>
      <c r="K652" s="12"/>
      <c r="L652" s="12"/>
      <c r="M652" s="4" t="s">
        <v>23</v>
      </c>
      <c r="N652" s="8" t="str">
        <f t="shared" si="19"/>
        <v>057 - 04308920</v>
      </c>
      <c r="O652" s="9" t="s">
        <v>366</v>
      </c>
      <c r="P652" s="9" t="s">
        <v>386</v>
      </c>
      <c r="Q652" s="9"/>
      <c r="R652" s="9" t="s">
        <v>35</v>
      </c>
    </row>
    <row r="653" spans="2:18" ht="12.75" hidden="1" customHeight="1" thickBot="1">
      <c r="B653" s="6"/>
      <c r="C653" s="12" t="s">
        <v>388</v>
      </c>
      <c r="D653" s="12" t="s">
        <v>18</v>
      </c>
      <c r="E653" s="12" t="s">
        <v>19</v>
      </c>
      <c r="F653" s="12">
        <v>3</v>
      </c>
      <c r="G653" s="12" t="s">
        <v>20</v>
      </c>
      <c r="H653" s="12" t="s">
        <v>33</v>
      </c>
      <c r="I653" s="13">
        <v>45196.395150462966</v>
      </c>
      <c r="J653" s="12" t="s">
        <v>22</v>
      </c>
      <c r="K653" s="12"/>
      <c r="L653" s="12"/>
      <c r="M653" s="4" t="s">
        <v>23</v>
      </c>
      <c r="N653" s="8" t="str">
        <f t="shared" si="19"/>
        <v>057 - 48120612</v>
      </c>
      <c r="O653" s="9" t="s">
        <v>366</v>
      </c>
      <c r="P653" s="9" t="s">
        <v>346</v>
      </c>
      <c r="Q653" s="9"/>
      <c r="R653" s="9" t="s">
        <v>35</v>
      </c>
    </row>
    <row r="654" spans="2:18" ht="12.75" hidden="1" customHeight="1" thickBot="1">
      <c r="B654" s="5"/>
      <c r="C654" s="12" t="s">
        <v>373</v>
      </c>
      <c r="D654" s="12" t="s">
        <v>18</v>
      </c>
      <c r="E654" s="12" t="s">
        <v>19</v>
      </c>
      <c r="F654" s="12">
        <v>3</v>
      </c>
      <c r="G654" s="12" t="s">
        <v>20</v>
      </c>
      <c r="H654" s="12" t="s">
        <v>33</v>
      </c>
      <c r="I654" s="13">
        <v>45196.395138888889</v>
      </c>
      <c r="J654" s="12" t="s">
        <v>22</v>
      </c>
      <c r="K654" s="12"/>
      <c r="L654" s="12"/>
      <c r="M654" s="4" t="s">
        <v>23</v>
      </c>
      <c r="N654" s="8" t="str">
        <f t="shared" si="19"/>
        <v>057 - 04308920</v>
      </c>
      <c r="O654" s="9" t="s">
        <v>366</v>
      </c>
      <c r="P654" s="9" t="s">
        <v>346</v>
      </c>
      <c r="Q654" s="9"/>
      <c r="R654" s="9" t="s">
        <v>35</v>
      </c>
    </row>
    <row r="655" spans="2:18" ht="12.75" hidden="1" customHeight="1" thickBot="1">
      <c r="B655" s="6"/>
      <c r="C655" s="12" t="s">
        <v>364</v>
      </c>
      <c r="D655" s="12" t="s">
        <v>18</v>
      </c>
      <c r="E655" s="12" t="s">
        <v>19</v>
      </c>
      <c r="F655" s="12">
        <v>3</v>
      </c>
      <c r="G655" s="12" t="s">
        <v>20</v>
      </c>
      <c r="H655" s="12" t="s">
        <v>33</v>
      </c>
      <c r="I655" s="13">
        <v>45196.395127314812</v>
      </c>
      <c r="J655" s="12" t="s">
        <v>22</v>
      </c>
      <c r="K655" s="12"/>
      <c r="L655" s="12"/>
      <c r="M655" s="4" t="s">
        <v>23</v>
      </c>
      <c r="N655" s="8" t="str">
        <f t="shared" si="19"/>
        <v>057 - 46332425</v>
      </c>
      <c r="O655" s="9" t="s">
        <v>345</v>
      </c>
      <c r="P655" s="9" t="s">
        <v>354</v>
      </c>
      <c r="Q655" s="9"/>
      <c r="R655" s="9" t="s">
        <v>35</v>
      </c>
    </row>
    <row r="656" spans="2:18" ht="12.75" hidden="1" customHeight="1" thickBot="1">
      <c r="B656" s="5"/>
      <c r="C656" s="12" t="s">
        <v>389</v>
      </c>
      <c r="D656" s="12" t="s">
        <v>18</v>
      </c>
      <c r="E656" s="12" t="s">
        <v>19</v>
      </c>
      <c r="F656" s="12">
        <v>3</v>
      </c>
      <c r="G656" s="12" t="s">
        <v>20</v>
      </c>
      <c r="H656" s="12" t="s">
        <v>33</v>
      </c>
      <c r="I656" s="13">
        <v>45196.395127314812</v>
      </c>
      <c r="J656" s="12" t="s">
        <v>22</v>
      </c>
      <c r="K656" s="12"/>
      <c r="L656" s="12"/>
      <c r="M656" s="4" t="s">
        <v>23</v>
      </c>
      <c r="N656" s="8" t="str">
        <f t="shared" si="19"/>
        <v>057 - 04308953</v>
      </c>
      <c r="O656" s="9" t="s">
        <v>345</v>
      </c>
      <c r="P656" s="9" t="s">
        <v>354</v>
      </c>
      <c r="Q656" s="9"/>
      <c r="R656" s="9" t="s">
        <v>35</v>
      </c>
    </row>
    <row r="657" spans="2:18" ht="12.75" hidden="1" customHeight="1" thickBot="1">
      <c r="B657" s="7"/>
      <c r="C657" s="12" t="s">
        <v>364</v>
      </c>
      <c r="D657" s="12" t="s">
        <v>18</v>
      </c>
      <c r="E657" s="12" t="s">
        <v>19</v>
      </c>
      <c r="F657" s="12">
        <v>3</v>
      </c>
      <c r="G657" s="12" t="s">
        <v>20</v>
      </c>
      <c r="H657" s="12" t="s">
        <v>33</v>
      </c>
      <c r="I657" s="13">
        <v>45196.395104166666</v>
      </c>
      <c r="J657" s="12" t="s">
        <v>22</v>
      </c>
      <c r="K657" s="12"/>
      <c r="L657" s="12"/>
      <c r="M657" s="4" t="s">
        <v>23</v>
      </c>
      <c r="N657" s="8" t="str">
        <f t="shared" si="19"/>
        <v>057 - 46332425</v>
      </c>
      <c r="O657" s="9" t="s">
        <v>345</v>
      </c>
      <c r="P657" s="9" t="s">
        <v>354</v>
      </c>
      <c r="Q657" s="9"/>
      <c r="R657" s="9" t="s">
        <v>35</v>
      </c>
    </row>
    <row r="658" spans="2:18" ht="12.75" hidden="1" customHeight="1">
      <c r="C658" s="12" t="s">
        <v>389</v>
      </c>
      <c r="D658" s="12" t="s">
        <v>18</v>
      </c>
      <c r="E658" s="12" t="s">
        <v>19</v>
      </c>
      <c r="F658" s="12">
        <v>3</v>
      </c>
      <c r="G658" s="12" t="s">
        <v>20</v>
      </c>
      <c r="H658" s="12" t="s">
        <v>33</v>
      </c>
      <c r="I658" s="13">
        <v>45196.395104166666</v>
      </c>
      <c r="J658" s="12" t="s">
        <v>22</v>
      </c>
      <c r="K658" s="12"/>
      <c r="L658" s="12"/>
      <c r="M658" s="4" t="s">
        <v>23</v>
      </c>
      <c r="N658" s="8" t="str">
        <f t="shared" si="19"/>
        <v>057 - 04308953</v>
      </c>
      <c r="O658" s="9" t="s">
        <v>345</v>
      </c>
      <c r="P658" s="9" t="s">
        <v>354</v>
      </c>
      <c r="Q658" s="9"/>
      <c r="R658" s="9" t="s">
        <v>35</v>
      </c>
    </row>
    <row r="659" spans="2:18" ht="12.75" hidden="1" customHeight="1" thickBot="1">
      <c r="B659" s="5"/>
      <c r="C659" s="12" t="s">
        <v>389</v>
      </c>
      <c r="D659" s="12" t="s">
        <v>18</v>
      </c>
      <c r="E659" s="12" t="s">
        <v>19</v>
      </c>
      <c r="F659" s="12">
        <v>3</v>
      </c>
      <c r="G659" s="12" t="s">
        <v>20</v>
      </c>
      <c r="H659" s="12" t="s">
        <v>33</v>
      </c>
      <c r="I659" s="13">
        <v>45196.395104166666</v>
      </c>
      <c r="J659" s="12" t="s">
        <v>22</v>
      </c>
      <c r="K659" s="12"/>
      <c r="L659" s="12"/>
      <c r="M659" s="4" t="s">
        <v>23</v>
      </c>
      <c r="N659" s="8" t="str">
        <f t="shared" si="19"/>
        <v>057 - 04308953</v>
      </c>
      <c r="O659" s="9" t="s">
        <v>345</v>
      </c>
      <c r="P659" s="9" t="s">
        <v>354</v>
      </c>
      <c r="Q659" s="9"/>
      <c r="R659" s="9" t="s">
        <v>35</v>
      </c>
    </row>
    <row r="660" spans="2:18" ht="12.75" hidden="1" customHeight="1" thickBot="1">
      <c r="B660" s="6"/>
      <c r="C660" s="12" t="s">
        <v>389</v>
      </c>
      <c r="D660" s="12" t="s">
        <v>18</v>
      </c>
      <c r="E660" s="12" t="s">
        <v>19</v>
      </c>
      <c r="F660" s="12">
        <v>3</v>
      </c>
      <c r="G660" s="12" t="s">
        <v>20</v>
      </c>
      <c r="H660" s="12" t="s">
        <v>33</v>
      </c>
      <c r="I660" s="13">
        <v>45196.395092592589</v>
      </c>
      <c r="J660" s="12" t="s">
        <v>22</v>
      </c>
      <c r="K660" s="12"/>
      <c r="L660" s="12"/>
      <c r="M660" s="4" t="s">
        <v>23</v>
      </c>
      <c r="N660" s="8" t="str">
        <f t="shared" si="19"/>
        <v>057 - 04308953</v>
      </c>
      <c r="O660" s="9" t="s">
        <v>345</v>
      </c>
      <c r="P660" s="9" t="s">
        <v>354</v>
      </c>
      <c r="Q660" s="9"/>
      <c r="R660" s="9" t="s">
        <v>35</v>
      </c>
    </row>
    <row r="661" spans="2:18" ht="12.75" hidden="1" customHeight="1" thickBot="1">
      <c r="B661" s="5"/>
      <c r="C661" s="12" t="s">
        <v>389</v>
      </c>
      <c r="D661" s="12" t="s">
        <v>18</v>
      </c>
      <c r="E661" s="12" t="s">
        <v>19</v>
      </c>
      <c r="F661" s="12">
        <v>3</v>
      </c>
      <c r="G661" s="12" t="s">
        <v>20</v>
      </c>
      <c r="H661" s="12" t="s">
        <v>33</v>
      </c>
      <c r="I661" s="13">
        <v>45196.39508101852</v>
      </c>
      <c r="J661" s="12" t="s">
        <v>22</v>
      </c>
      <c r="K661" s="12"/>
      <c r="L661" s="12"/>
      <c r="M661" s="4" t="s">
        <v>23</v>
      </c>
      <c r="N661" s="8" t="str">
        <f t="shared" si="19"/>
        <v>057 - 04308953</v>
      </c>
      <c r="O661" s="9" t="s">
        <v>345</v>
      </c>
      <c r="P661" s="9" t="s">
        <v>362</v>
      </c>
      <c r="Q661" s="9"/>
      <c r="R661" s="9" t="s">
        <v>35</v>
      </c>
    </row>
    <row r="662" spans="2:18" ht="12.75" hidden="1" customHeight="1" thickBot="1">
      <c r="B662" s="6"/>
      <c r="C662" s="12" t="s">
        <v>364</v>
      </c>
      <c r="D662" s="12" t="s">
        <v>18</v>
      </c>
      <c r="E662" s="12" t="s">
        <v>19</v>
      </c>
      <c r="F662" s="12">
        <v>3</v>
      </c>
      <c r="G662" s="12" t="s">
        <v>20</v>
      </c>
      <c r="H662" s="12" t="s">
        <v>33</v>
      </c>
      <c r="I662" s="13">
        <v>45196.395057870373</v>
      </c>
      <c r="J662" s="12" t="s">
        <v>22</v>
      </c>
      <c r="K662" s="12"/>
      <c r="L662" s="12"/>
      <c r="M662" s="4" t="s">
        <v>23</v>
      </c>
      <c r="N662" s="8" t="str">
        <f t="shared" si="19"/>
        <v>057 - 46332425</v>
      </c>
      <c r="O662" s="9" t="s">
        <v>345</v>
      </c>
      <c r="P662" s="9" t="s">
        <v>362</v>
      </c>
      <c r="Q662" s="9"/>
      <c r="R662" s="9" t="s">
        <v>35</v>
      </c>
    </row>
    <row r="663" spans="2:18" ht="12.75" hidden="1" customHeight="1" thickBot="1">
      <c r="B663" s="5"/>
      <c r="C663" s="12" t="s">
        <v>390</v>
      </c>
      <c r="D663" s="12" t="s">
        <v>18</v>
      </c>
      <c r="E663" s="12" t="s">
        <v>19</v>
      </c>
      <c r="F663" s="12">
        <v>3</v>
      </c>
      <c r="G663" s="12" t="s">
        <v>20</v>
      </c>
      <c r="H663" s="12" t="s">
        <v>33</v>
      </c>
      <c r="I663" s="13">
        <v>45196.395057870373</v>
      </c>
      <c r="J663" s="12" t="s">
        <v>22</v>
      </c>
      <c r="K663" s="12"/>
      <c r="L663" s="12"/>
      <c r="M663" s="4" t="s">
        <v>23</v>
      </c>
      <c r="N663" s="8" t="str">
        <f t="shared" si="19"/>
        <v>057 - 04309266</v>
      </c>
      <c r="O663" s="9" t="s">
        <v>345</v>
      </c>
      <c r="P663" s="9" t="s">
        <v>362</v>
      </c>
      <c r="Q663" s="9" t="s">
        <v>391</v>
      </c>
      <c r="R663" s="9" t="s">
        <v>35</v>
      </c>
    </row>
    <row r="664" spans="2:18" ht="12.75" hidden="1" customHeight="1" thickBot="1">
      <c r="B664" s="6"/>
      <c r="C664" s="12" t="s">
        <v>392</v>
      </c>
      <c r="D664" s="12" t="s">
        <v>18</v>
      </c>
      <c r="E664" s="12" t="s">
        <v>19</v>
      </c>
      <c r="F664" s="12">
        <v>3</v>
      </c>
      <c r="G664" s="12" t="s">
        <v>20</v>
      </c>
      <c r="H664" s="12" t="s">
        <v>33</v>
      </c>
      <c r="I664" s="13">
        <v>45196.395011574074</v>
      </c>
      <c r="J664" s="12" t="s">
        <v>22</v>
      </c>
      <c r="K664" s="12"/>
      <c r="L664" s="12"/>
      <c r="M664" s="4" t="s">
        <v>23</v>
      </c>
      <c r="N664" s="8" t="str">
        <f t="shared" si="19"/>
        <v>057 - 12834765</v>
      </c>
      <c r="O664" s="9" t="s">
        <v>345</v>
      </c>
      <c r="P664" s="9" t="s">
        <v>362</v>
      </c>
      <c r="Q664" s="9" t="s">
        <v>391</v>
      </c>
      <c r="R664" s="9" t="s">
        <v>35</v>
      </c>
    </row>
    <row r="665" spans="2:18" ht="12.75" hidden="1" customHeight="1" thickBot="1">
      <c r="B665" s="7"/>
      <c r="C665" s="12" t="s">
        <v>364</v>
      </c>
      <c r="D665" s="12" t="s">
        <v>18</v>
      </c>
      <c r="E665" s="12" t="s">
        <v>19</v>
      </c>
      <c r="F665" s="12">
        <v>3</v>
      </c>
      <c r="G665" s="12" t="s">
        <v>20</v>
      </c>
      <c r="H665" s="12" t="s">
        <v>33</v>
      </c>
      <c r="I665" s="13">
        <v>45196.395011574074</v>
      </c>
      <c r="J665" s="12" t="s">
        <v>22</v>
      </c>
      <c r="K665" s="12"/>
      <c r="L665" s="12"/>
      <c r="M665" s="4" t="s">
        <v>23</v>
      </c>
      <c r="N665" s="8" t="str">
        <f t="shared" si="19"/>
        <v>057 - 46332425</v>
      </c>
      <c r="O665" s="9" t="s">
        <v>345</v>
      </c>
      <c r="P665" s="9" t="s">
        <v>362</v>
      </c>
      <c r="Q665" s="9" t="s">
        <v>391</v>
      </c>
      <c r="R665" s="9" t="s">
        <v>35</v>
      </c>
    </row>
  </sheetData>
  <hyperlinks>
    <hyperlink ref="M2" r:id="rId1" display="https://icargo-rc4-rct.afklcargo.com/icargo/msgbroker.message.checkselected.do?openPopUpFlg=VIEW&amp;selectedId=14044850,"/>
    <hyperlink ref="M3" r:id="rId2" display="https://icargo-rc4-rct.afklcargo.com/icargo/msgbroker.message.checkselected.do?openPopUpFlg=VIEW&amp;selectedId=14044850,"/>
    <hyperlink ref="M4" r:id="rId3" display="https://icargo-rc4-rct.afklcargo.com/icargo/msgbroker.message.checkselected.do?openPopUpFlg=VIEW&amp;selectedId=14044850,"/>
    <hyperlink ref="M5" r:id="rId4" display="https://icargo-rc4-rct.afklcargo.com/icargo/msgbroker.message.checkselected.do?openPopUpFlg=VIEW&amp;selectedId=14044850,"/>
    <hyperlink ref="M6" r:id="rId5" display="https://icargo-rc4-rct.afklcargo.com/icargo/msgbroker.message.checkselected.do?openPopUpFlg=VIEW&amp;selectedId=14044850,"/>
    <hyperlink ref="M7" r:id="rId6" display="https://icargo-rc4-rct.afklcargo.com/icargo/msgbroker.message.checkselected.do?openPopUpFlg=VIEW&amp;selectedId=14044850,"/>
    <hyperlink ref="M8" r:id="rId7" display="https://icargo-rc4-rct.afklcargo.com/icargo/msgbroker.message.checkselected.do?openPopUpFlg=VIEW&amp;selectedId=14044850,"/>
    <hyperlink ref="M9" r:id="rId8" display="https://icargo-rc4-rct.afklcargo.com/icargo/msgbroker.message.checkselected.do?openPopUpFlg=VIEW&amp;selectedId=14044850,"/>
    <hyperlink ref="M10" r:id="rId9" display="https://icargo-rc4-rct.afklcargo.com/icargo/msgbroker.message.checkselected.do?openPopUpFlg=VIEW&amp;selectedId=14044850,"/>
    <hyperlink ref="M11" r:id="rId10" display="https://icargo-rc4-rct.afklcargo.com/icargo/msgbroker.message.checkselected.do?openPopUpFlg=VIEW&amp;selectedId=14044850,"/>
    <hyperlink ref="M12" r:id="rId11" display="https://icargo-rc4-rct.afklcargo.com/icargo/msgbroker.message.checkselected.do?openPopUpFlg=VIEW&amp;selectedId=14044850,"/>
    <hyperlink ref="M13" r:id="rId12" display="https://icargo-rc4-rct.afklcargo.com/icargo/msgbroker.message.checkselected.do?openPopUpFlg=VIEW&amp;selectedId=14044850,"/>
    <hyperlink ref="M14" r:id="rId13" display="https://icargo-rc4-rct.afklcargo.com/icargo/msgbroker.message.checkselected.do?openPopUpFlg=VIEW&amp;selectedId=14044850,"/>
    <hyperlink ref="M15" r:id="rId14" display="https://icargo-rc4-rct.afklcargo.com/icargo/msgbroker.message.checkselected.do?openPopUpFlg=VIEW&amp;selectedId=14044850,"/>
    <hyperlink ref="M16" r:id="rId15" display="https://icargo-rc4-rct.afklcargo.com/icargo/msgbroker.message.checkselected.do?openPopUpFlg=VIEW&amp;selectedId=14044850,"/>
    <hyperlink ref="M17" r:id="rId16" display="https://icargo-rc4-rct.afklcargo.com/icargo/msgbroker.message.checkselected.do?openPopUpFlg=VIEW&amp;selectedId=14044850,"/>
    <hyperlink ref="M18" r:id="rId17" display="https://icargo-rc4-rct.afklcargo.com/icargo/msgbroker.message.checkselected.do?openPopUpFlg=VIEW&amp;selectedId=14044850,"/>
    <hyperlink ref="M19" r:id="rId18" display="https://icargo-rc4-rct.afklcargo.com/icargo/msgbroker.message.checkselected.do?openPopUpFlg=VIEW&amp;selectedId=14044850,"/>
    <hyperlink ref="M20" r:id="rId19" display="https://icargo-rc4-rct.afklcargo.com/icargo/msgbroker.message.checkselected.do?openPopUpFlg=VIEW&amp;selectedId=14044850,"/>
    <hyperlink ref="M21" r:id="rId20" display="https://icargo-rc4-rct.afklcargo.com/icargo/msgbroker.message.checkselected.do?openPopUpFlg=VIEW&amp;selectedId=14044850,"/>
    <hyperlink ref="M22" r:id="rId21" display="https://icargo-rc4-rct.afklcargo.com/icargo/msgbroker.message.checkselected.do?openPopUpFlg=VIEW&amp;selectedId=14044850,"/>
    <hyperlink ref="M23" r:id="rId22" display="https://icargo-rc4-rct.afklcargo.com/icargo/msgbroker.message.checkselected.do?openPopUpFlg=VIEW&amp;selectedId=14044850,"/>
    <hyperlink ref="M24" r:id="rId23" display="https://icargo-rc4-rct.afklcargo.com/icargo/msgbroker.message.checkselected.do?openPopUpFlg=VIEW&amp;selectedId=14044850,"/>
    <hyperlink ref="M25" r:id="rId24" display="https://icargo-rc4-rct.afklcargo.com/icargo/msgbroker.message.checkselected.do?openPopUpFlg=VIEW&amp;selectedId=14044850,"/>
    <hyperlink ref="M26" r:id="rId25" display="https://icargo-rc4-rct.afklcargo.com/icargo/msgbroker.message.checkselected.do?openPopUpFlg=VIEW&amp;selectedId=14044850,"/>
    <hyperlink ref="M27" r:id="rId26" display="https://icargo-rc4-rct.afklcargo.com/icargo/msgbroker.message.checkselected.do?openPopUpFlg=VIEW&amp;selectedId=14044850,"/>
    <hyperlink ref="M28" r:id="rId27" display="https://icargo-rc4-rct.afklcargo.com/icargo/msgbroker.message.checkselected.do?openPopUpFlg=VIEW&amp;selectedId=14044850,"/>
    <hyperlink ref="M29" r:id="rId28" display="https://icargo-rc4-rct.afklcargo.com/icargo/msgbroker.message.checkselected.do?openPopUpFlg=VIEW&amp;selectedId=14044850,"/>
    <hyperlink ref="M30" r:id="rId29" display="https://icargo-rc4-rct.afklcargo.com/icargo/msgbroker.message.checkselected.do?openPopUpFlg=VIEW&amp;selectedId=14044850,"/>
    <hyperlink ref="M31" r:id="rId30" display="https://icargo-rc4-rct.afklcargo.com/icargo/msgbroker.message.checkselected.do?openPopUpFlg=VIEW&amp;selectedId=14044850,"/>
    <hyperlink ref="M32" r:id="rId31" display="https://icargo-rc4-rct.afklcargo.com/icargo/msgbroker.message.checkselected.do?openPopUpFlg=VIEW&amp;selectedId=14044850,"/>
    <hyperlink ref="M33" r:id="rId32" display="https://icargo-rc4-rct.afklcargo.com/icargo/msgbroker.message.checkselected.do?openPopUpFlg=VIEW&amp;selectedId=14044850,"/>
    <hyperlink ref="M34" r:id="rId33" display="https://icargo-rc4-rct.afklcargo.com/icargo/msgbroker.message.checkselected.do?openPopUpFlg=VIEW&amp;selectedId=14044850,"/>
    <hyperlink ref="M35" r:id="rId34" display="https://icargo-rc4-rct.afklcargo.com/icargo/msgbroker.message.checkselected.do?openPopUpFlg=VIEW&amp;selectedId=14044850,"/>
    <hyperlink ref="M36" r:id="rId35" display="https://icargo-rc4-rct.afklcargo.com/icargo/msgbroker.message.checkselected.do?openPopUpFlg=VIEW&amp;selectedId=14044850,"/>
    <hyperlink ref="M37" r:id="rId36" display="https://icargo-rc4-rct.afklcargo.com/icargo/msgbroker.message.checkselected.do?openPopUpFlg=VIEW&amp;selectedId=14044850,"/>
    <hyperlink ref="M38" r:id="rId37" display="https://icargo-rc4-rct.afklcargo.com/icargo/msgbroker.message.checkselected.do?openPopUpFlg=VIEW&amp;selectedId=14044850,"/>
    <hyperlink ref="M39" r:id="rId38" display="https://icargo-rc4-rct.afklcargo.com/icargo/msgbroker.message.checkselected.do?openPopUpFlg=VIEW&amp;selectedId=14044850,"/>
    <hyperlink ref="M40" r:id="rId39" display="https://icargo-rc4-rct.afklcargo.com/icargo/msgbroker.message.checkselected.do?openPopUpFlg=VIEW&amp;selectedId=14044850,"/>
    <hyperlink ref="M41" r:id="rId40" display="https://icargo-rc4-rct.afklcargo.com/icargo/msgbroker.message.checkselected.do?openPopUpFlg=VIEW&amp;selectedId=14044850,"/>
    <hyperlink ref="M42" r:id="rId41" display="https://icargo-rc4-rct.afklcargo.com/icargo/msgbroker.message.checkselected.do?openPopUpFlg=VIEW&amp;selectedId=14044850,"/>
    <hyperlink ref="M43" r:id="rId42" display="https://icargo-rc4-rct.afklcargo.com/icargo/msgbroker.message.checkselected.do?openPopUpFlg=VIEW&amp;selectedId=14044850,"/>
    <hyperlink ref="M44" r:id="rId43" display="https://icargo-rc4-rct.afklcargo.com/icargo/msgbroker.message.checkselected.do?openPopUpFlg=VIEW&amp;selectedId=14044850,"/>
    <hyperlink ref="M45" r:id="rId44" display="https://icargo-rc4-rct.afklcargo.com/icargo/msgbroker.message.checkselected.do?openPopUpFlg=VIEW&amp;selectedId=14044850,"/>
    <hyperlink ref="M46" r:id="rId45" display="https://icargo-rc4-rct.afklcargo.com/icargo/msgbroker.message.checkselected.do?openPopUpFlg=VIEW&amp;selectedId=14044850,"/>
    <hyperlink ref="M47" r:id="rId46" display="https://icargo-rc4-rct.afklcargo.com/icargo/msgbroker.message.checkselected.do?openPopUpFlg=VIEW&amp;selectedId=14044850,"/>
    <hyperlink ref="M48" r:id="rId47" display="https://icargo-rc4-rct.afklcargo.com/icargo/msgbroker.message.checkselected.do?openPopUpFlg=VIEW&amp;selectedId=14044850,"/>
    <hyperlink ref="M49" r:id="rId48" display="https://icargo-rc4-rct.afklcargo.com/icargo/msgbroker.message.checkselected.do?openPopUpFlg=VIEW&amp;selectedId=14044850,"/>
    <hyperlink ref="M50" r:id="rId49" display="https://icargo-rc4-rct.afklcargo.com/icargo/msgbroker.message.checkselected.do?openPopUpFlg=VIEW&amp;selectedId=14044850,"/>
    <hyperlink ref="M51" r:id="rId50" display="https://icargo-rc4-rct.afklcargo.com/icargo/msgbroker.message.checkselected.do?openPopUpFlg=VIEW&amp;selectedId=14044850,"/>
    <hyperlink ref="M52" r:id="rId51" display="https://icargo-rc4-rct.afklcargo.com/icargo/msgbroker.message.checkselected.do?openPopUpFlg=VIEW&amp;selectedId=14044850,"/>
    <hyperlink ref="M53" r:id="rId52" display="https://icargo-rc4-rct.afklcargo.com/icargo/msgbroker.message.checkselected.do?openPopUpFlg=VIEW&amp;selectedId=14044850,"/>
    <hyperlink ref="M54" r:id="rId53" display="https://icargo-rc4-rct.afklcargo.com/icargo/msgbroker.message.checkselected.do?openPopUpFlg=VIEW&amp;selectedId=14044850,"/>
    <hyperlink ref="M55" r:id="rId54" display="https://icargo-rc4-rct.afklcargo.com/icargo/msgbroker.message.checkselected.do?openPopUpFlg=VIEW&amp;selectedId=14044850,"/>
    <hyperlink ref="M56" r:id="rId55" display="https://icargo-rc4-rct.afklcargo.com/icargo/msgbroker.message.checkselected.do?openPopUpFlg=VIEW&amp;selectedId=14044850,"/>
    <hyperlink ref="M57" r:id="rId56" display="https://icargo-rc4-rct.afklcargo.com/icargo/msgbroker.message.checkselected.do?openPopUpFlg=VIEW&amp;selectedId=14044850,"/>
    <hyperlink ref="M58" r:id="rId57" display="https://icargo-rc4-rct.afklcargo.com/icargo/msgbroker.message.checkselected.do?openPopUpFlg=VIEW&amp;selectedId=14044850,"/>
    <hyperlink ref="M59" r:id="rId58" display="https://icargo-rc4-rct.afklcargo.com/icargo/msgbroker.message.checkselected.do?openPopUpFlg=VIEW&amp;selectedId=14044850,"/>
    <hyperlink ref="M60" r:id="rId59" display="https://icargo-rc4-rct.afklcargo.com/icargo/msgbroker.message.checkselected.do?openPopUpFlg=VIEW&amp;selectedId=14044850,"/>
    <hyperlink ref="M61" r:id="rId60" display="https://icargo-rc4-rct.afklcargo.com/icargo/msgbroker.message.checkselected.do?openPopUpFlg=VIEW&amp;selectedId=14044850,"/>
    <hyperlink ref="M62" r:id="rId61" display="https://icargo-rc4-rct.afklcargo.com/icargo/msgbroker.message.checkselected.do?openPopUpFlg=VIEW&amp;selectedId=14044850,"/>
    <hyperlink ref="M63" r:id="rId62" display="https://icargo-rc4-rct.afklcargo.com/icargo/msgbroker.message.checkselected.do?openPopUpFlg=VIEW&amp;selectedId=14044850,"/>
    <hyperlink ref="M64" r:id="rId63" display="https://icargo-rc4-rct.afklcargo.com/icargo/msgbroker.message.checkselected.do?openPopUpFlg=VIEW&amp;selectedId=14044850,"/>
    <hyperlink ref="M65" r:id="rId64" display="https://icargo-rc4-rct.afklcargo.com/icargo/msgbroker.message.checkselected.do?openPopUpFlg=VIEW&amp;selectedId=14044850,"/>
    <hyperlink ref="M66" r:id="rId65" display="https://icargo-rc4-rct.afklcargo.com/icargo/msgbroker.message.checkselected.do?openPopUpFlg=VIEW&amp;selectedId=14044850,"/>
    <hyperlink ref="M67" r:id="rId66" display="https://icargo-rc4-rct.afklcargo.com/icargo/msgbroker.message.checkselected.do?openPopUpFlg=VIEW&amp;selectedId=14044850,"/>
    <hyperlink ref="M68" r:id="rId67" display="https://icargo-rc4-rct.afklcargo.com/icargo/msgbroker.message.checkselected.do?openPopUpFlg=VIEW&amp;selectedId=14044850,"/>
    <hyperlink ref="M69" r:id="rId68" display="https://icargo-rc4-rct.afklcargo.com/icargo/msgbroker.message.checkselected.do?openPopUpFlg=VIEW&amp;selectedId=14044850,"/>
    <hyperlink ref="M70" r:id="rId69" display="https://icargo-rc4-rct.afklcargo.com/icargo/msgbroker.message.checkselected.do?openPopUpFlg=VIEW&amp;selectedId=14044850,"/>
    <hyperlink ref="M71" r:id="rId70" display="https://icargo-rc4-rct.afklcargo.com/icargo/msgbroker.message.checkselected.do?openPopUpFlg=VIEW&amp;selectedId=14044850,"/>
    <hyperlink ref="M72" r:id="rId71" display="https://icargo-rc4-rct.afklcargo.com/icargo/msgbroker.message.checkselected.do?openPopUpFlg=VIEW&amp;selectedId=14044850,"/>
    <hyperlink ref="M73" r:id="rId72" display="https://icargo-rc4-rct.afklcargo.com/icargo/msgbroker.message.checkselected.do?openPopUpFlg=VIEW&amp;selectedId=14044850,"/>
    <hyperlink ref="M74" r:id="rId73" display="https://icargo-rc4-rct.afklcargo.com/icargo/msgbroker.message.checkselected.do?openPopUpFlg=VIEW&amp;selectedId=14044850,"/>
    <hyperlink ref="M75" r:id="rId74" display="https://icargo-rc4-rct.afklcargo.com/icargo/msgbroker.message.checkselected.do?openPopUpFlg=VIEW&amp;selectedId=14044850,"/>
    <hyperlink ref="M76" r:id="rId75" display="https://icargo-rc4-rct.afklcargo.com/icargo/msgbroker.message.checkselected.do?openPopUpFlg=VIEW&amp;selectedId=14044850,"/>
    <hyperlink ref="M77" r:id="rId76" display="https://icargo-rc4-rct.afklcargo.com/icargo/msgbroker.message.checkselected.do?openPopUpFlg=VIEW&amp;selectedId=14044850,"/>
    <hyperlink ref="M78" r:id="rId77" display="https://icargo-rc4-rct.afklcargo.com/icargo/msgbroker.message.checkselected.do?openPopUpFlg=VIEW&amp;selectedId=14044850,"/>
    <hyperlink ref="M79" r:id="rId78" display="https://icargo-rc4-rct.afklcargo.com/icargo/msgbroker.message.checkselected.do?openPopUpFlg=VIEW&amp;selectedId=14044850,"/>
    <hyperlink ref="M80" r:id="rId79" display="https://icargo-rc4-rct.afklcargo.com/icargo/msgbroker.message.checkselected.do?openPopUpFlg=VIEW&amp;selectedId=14044850,"/>
    <hyperlink ref="M81" r:id="rId80" display="https://icargo-rc4-rct.afklcargo.com/icargo/msgbroker.message.checkselected.do?openPopUpFlg=VIEW&amp;selectedId=14044850,"/>
    <hyperlink ref="M82" r:id="rId81" display="https://icargo-rc4-rct.afklcargo.com/icargo/msgbroker.message.checkselected.do?openPopUpFlg=VIEW&amp;selectedId=14044850,"/>
    <hyperlink ref="M83" r:id="rId82" display="https://icargo-rc4-rct.afklcargo.com/icargo/msgbroker.message.checkselected.do?openPopUpFlg=VIEW&amp;selectedId=14044850,"/>
    <hyperlink ref="M84" r:id="rId83" display="https://icargo-rc4-rct.afklcargo.com/icargo/msgbroker.message.checkselected.do?openPopUpFlg=VIEW&amp;selectedId=14044850,"/>
    <hyperlink ref="M85" r:id="rId84" display="https://icargo-rc4-rct.afklcargo.com/icargo/msgbroker.message.checkselected.do?openPopUpFlg=VIEW&amp;selectedId=14044850,"/>
    <hyperlink ref="M86" r:id="rId85" display="https://icargo-rc4-rct.afklcargo.com/icargo/msgbroker.message.checkselected.do?openPopUpFlg=VIEW&amp;selectedId=14044850,"/>
    <hyperlink ref="M87" r:id="rId86" display="https://icargo-rc4-rct.afklcargo.com/icargo/msgbroker.message.checkselected.do?openPopUpFlg=VIEW&amp;selectedId=14044850,"/>
    <hyperlink ref="M88" r:id="rId87" display="https://icargo-rc4-rct.afklcargo.com/icargo/msgbroker.message.checkselected.do?openPopUpFlg=VIEW&amp;selectedId=14044850,"/>
    <hyperlink ref="M89" r:id="rId88" display="https://icargo-rc4-rct.afklcargo.com/icargo/msgbroker.message.checkselected.do?openPopUpFlg=VIEW&amp;selectedId=14044850,"/>
    <hyperlink ref="M90" r:id="rId89" display="https://icargo-rc4-rct.afklcargo.com/icargo/msgbroker.message.checkselected.do?openPopUpFlg=VIEW&amp;selectedId=14044850,"/>
    <hyperlink ref="M91" r:id="rId90" display="https://icargo-rc4-rct.afklcargo.com/icargo/msgbroker.message.checkselected.do?openPopUpFlg=VIEW&amp;selectedId=14044850,"/>
    <hyperlink ref="M92" r:id="rId91" display="https://icargo-rc4-rct.afklcargo.com/icargo/msgbroker.message.checkselected.do?openPopUpFlg=VIEW&amp;selectedId=14044850,"/>
    <hyperlink ref="M93" r:id="rId92" display="https://icargo-rc4-rct.afklcargo.com/icargo/msgbroker.message.checkselected.do?openPopUpFlg=VIEW&amp;selectedId=14044850,"/>
    <hyperlink ref="M94" r:id="rId93" display="https://icargo-rc4-rct.afklcargo.com/icargo/msgbroker.message.checkselected.do?openPopUpFlg=VIEW&amp;selectedId=14044850,"/>
    <hyperlink ref="M95" r:id="rId94" display="https://icargo-rc4-rct.afklcargo.com/icargo/msgbroker.message.checkselected.do?openPopUpFlg=VIEW&amp;selectedId=14044850,"/>
    <hyperlink ref="M96" r:id="rId95" display="https://icargo-rc4-rct.afklcargo.com/icargo/msgbroker.message.checkselected.do?openPopUpFlg=VIEW&amp;selectedId=14044850,"/>
    <hyperlink ref="M97" r:id="rId96" display="https://icargo-rc4-rct.afklcargo.com/icargo/msgbroker.message.checkselected.do?openPopUpFlg=VIEW&amp;selectedId=14044850,"/>
    <hyperlink ref="M98" r:id="rId97" display="https://icargo-rc4-rct.afklcargo.com/icargo/msgbroker.message.checkselected.do?openPopUpFlg=VIEW&amp;selectedId=14044850,"/>
    <hyperlink ref="M99" r:id="rId98" display="https://icargo-rc4-rct.afklcargo.com/icargo/msgbroker.message.checkselected.do?openPopUpFlg=VIEW&amp;selectedId=14044850,"/>
    <hyperlink ref="M100" r:id="rId99" display="https://icargo-rc4-rct.afklcargo.com/icargo/msgbroker.message.checkselected.do?openPopUpFlg=VIEW&amp;selectedId=14044850,"/>
    <hyperlink ref="M101" r:id="rId100" display="https://icargo-rc4-rct.afklcargo.com/icargo/msgbroker.message.checkselected.do?openPopUpFlg=VIEW&amp;selectedId=14044850,"/>
    <hyperlink ref="M102" r:id="rId101" display="https://icargo-rc4-rct.afklcargo.com/icargo/showScreen.do"/>
    <hyperlink ref="M103" r:id="rId102" display="https://icargo-rc4-rct.afklcargo.com/icargo/showScreen.do"/>
    <hyperlink ref="M104" r:id="rId103" display="https://icargo-rc4-rct.afklcargo.com/icargo/showScreen.do"/>
    <hyperlink ref="M105" r:id="rId104" display="https://icargo-rc4-rct.afklcargo.com/icargo/showScreen.do"/>
    <hyperlink ref="M106" r:id="rId105" display="https://icargo-rc4-rct.afklcargo.com/icargo/showScreen.do"/>
    <hyperlink ref="M107" r:id="rId106" display="https://icargo-rc4-rct.afklcargo.com/icargo/showScreen.do"/>
    <hyperlink ref="M108" r:id="rId107" display="https://icargo-rc4-rct.afklcargo.com/icargo/showScreen.do"/>
    <hyperlink ref="M109" r:id="rId108" display="https://icargo-rc4-rct.afklcargo.com/icargo/showScreen.do"/>
    <hyperlink ref="M110" r:id="rId109" display="https://icargo-rc4-rct.afklcargo.com/icargo/showScreen.do"/>
    <hyperlink ref="M111" r:id="rId110" display="https://icargo-rc4-rct.afklcargo.com/icargo/showScreen.do"/>
    <hyperlink ref="M112" r:id="rId111" display="https://icargo-rc4-rct.afklcargo.com/icargo/showScreen.do"/>
    <hyperlink ref="M113" r:id="rId112" display="https://icargo-rc4-rct.afklcargo.com/icargo/showScreen.do"/>
    <hyperlink ref="M114" r:id="rId113" display="https://icargo-rc4-rct.afklcargo.com/icargo/showScreen.do"/>
    <hyperlink ref="M115" r:id="rId114" display="https://icargo-rc4-rct.afklcargo.com/icargo/showScreen.do"/>
    <hyperlink ref="M116" r:id="rId115" display="https://icargo-rc4-rct.afklcargo.com/icargo/showScreen.do"/>
    <hyperlink ref="M117" r:id="rId116" display="https://icargo-rc4-rct.afklcargo.com/icargo/showScreen.do"/>
    <hyperlink ref="M118" r:id="rId117" display="https://icargo-rc4-rct.afklcargo.com/icargo/showScreen.do"/>
    <hyperlink ref="M119" r:id="rId118" display="https://icargo-rc4-rct.afklcargo.com/icargo/showScreen.do"/>
    <hyperlink ref="M120" r:id="rId119" display="https://icargo-rc4-rct.afklcargo.com/icargo/showScreen.do"/>
    <hyperlink ref="M121" r:id="rId120" display="https://icargo-rc4-rct.afklcargo.com/icargo/showScreen.do"/>
    <hyperlink ref="M122" r:id="rId121" display="https://icargo-rc4-rct.afklcargo.com/icargo/showScreen.do"/>
    <hyperlink ref="M123" r:id="rId122" display="https://icargo-rc4-rct.afklcargo.com/icargo/showScreen.do"/>
    <hyperlink ref="M124" r:id="rId123" display="https://icargo-rc4-rct.afklcargo.com/icargo/showScreen.do"/>
    <hyperlink ref="M125" r:id="rId124" display="https://icargo-rc4-rct.afklcargo.com/icargo/showScreen.do"/>
    <hyperlink ref="M126" r:id="rId125" display="https://icargo-rc4-rct.afklcargo.com/icargo/showScreen.do"/>
    <hyperlink ref="M127" r:id="rId126" display="https://icargo-rc4-rct.afklcargo.com/icargo/showScreen.do"/>
    <hyperlink ref="M128" r:id="rId127" display="https://icargo-rc4-rct.afklcargo.com/icargo/showScreen.do"/>
    <hyperlink ref="M129" r:id="rId128" display="https://icargo-rc4-rct.afklcargo.com/icargo/showScreen.do"/>
    <hyperlink ref="M130" r:id="rId129" display="https://icargo-rc4-rct.afklcargo.com/icargo/showScreen.do"/>
    <hyperlink ref="M131" r:id="rId130" display="https://icargo-rc4-rct.afklcargo.com/icargo/showScreen.do"/>
    <hyperlink ref="M132" r:id="rId131" display="https://icargo-rc4-rct.afklcargo.com/icargo/showScreen.do"/>
    <hyperlink ref="M133" r:id="rId132" display="https://icargo-rc4-rct.afklcargo.com/icargo/showScreen.do"/>
    <hyperlink ref="M134" r:id="rId133" display="https://icargo-rc4-rct.afklcargo.com/icargo/showScreen.do"/>
    <hyperlink ref="M135" r:id="rId134" display="https://icargo-rc4-rct.afklcargo.com/icargo/showScreen.do"/>
    <hyperlink ref="M136" r:id="rId135" display="https://icargo-rc4-rct.afklcargo.com/icargo/showScreen.do"/>
    <hyperlink ref="M137" r:id="rId136" display="https://icargo-rc4-rct.afklcargo.com/icargo/showScreen.do"/>
    <hyperlink ref="M138" r:id="rId137" display="https://icargo-rc4-rct.afklcargo.com/icargo/showScreen.do"/>
    <hyperlink ref="M139" r:id="rId138" display="https://icargo-rc4-rct.afklcargo.com/icargo/showScreen.do"/>
    <hyperlink ref="M140" r:id="rId139" display="https://icargo-rc4-rct.afklcargo.com/icargo/showScreen.do"/>
    <hyperlink ref="M141" r:id="rId140" display="https://icargo-rc4-rct.afklcargo.com/icargo/showScreen.do"/>
    <hyperlink ref="M142" r:id="rId141" display="https://icargo-rc4-rct.afklcargo.com/icargo/showScreen.do"/>
    <hyperlink ref="M143" r:id="rId142" display="https://icargo-rc4-rct.afklcargo.com/icargo/showScreen.do"/>
    <hyperlink ref="M144" r:id="rId143" display="https://icargo-rc4-rct.afklcargo.com/icargo/showScreen.do"/>
    <hyperlink ref="M145" r:id="rId144" display="https://icargo-rc4-rct.afklcargo.com/icargo/showScreen.do"/>
    <hyperlink ref="M146" r:id="rId145" display="https://icargo-rc4-rct.afklcargo.com/icargo/showScreen.do"/>
    <hyperlink ref="M147" r:id="rId146" display="https://icargo-rc4-rct.afklcargo.com/icargo/showScreen.do"/>
    <hyperlink ref="M148" r:id="rId147" display="https://icargo-rc4-rct.afklcargo.com/icargo/showScreen.do"/>
    <hyperlink ref="M149" r:id="rId148" display="https://icargo-rc4-rct.afklcargo.com/icargo/showScreen.do"/>
    <hyperlink ref="M150" r:id="rId149" display="https://icargo-rc4-rct.afklcargo.com/icargo/showScreen.do"/>
    <hyperlink ref="M151" r:id="rId150" display="https://icargo-rc4-rct.afklcargo.com/icargo/showScreen.do"/>
    <hyperlink ref="M152" r:id="rId151" display="https://icargo-rc4-rct.afklcargo.com/icargo/showScreen.do"/>
    <hyperlink ref="M153" r:id="rId152" display="https://icargo-rc4-rct.afklcargo.com/icargo/showScreen.do"/>
    <hyperlink ref="M154" r:id="rId153" display="https://icargo-rc4-rct.afklcargo.com/icargo/showScreen.do"/>
    <hyperlink ref="M155" r:id="rId154" display="https://icargo-rc4-rct.afklcargo.com/icargo/showScreen.do"/>
    <hyperlink ref="M156" r:id="rId155" display="https://icargo-rc4-rct.afklcargo.com/icargo/showScreen.do"/>
    <hyperlink ref="M157" r:id="rId156" display="https://icargo-rc4-rct.afklcargo.com/icargo/showScreen.do"/>
    <hyperlink ref="M158" r:id="rId157" display="https://icargo-rc4-rct.afklcargo.com/icargo/showScreen.do"/>
    <hyperlink ref="M159" r:id="rId158" display="https://icargo-rc4-rct.afklcargo.com/icargo/showScreen.do"/>
    <hyperlink ref="M160" r:id="rId159" display="https://icargo-rc4-rct.afklcargo.com/icargo/showScreen.do"/>
    <hyperlink ref="M161" r:id="rId160" display="https://icargo-rc4-rct.afklcargo.com/icargo/showScreen.do"/>
    <hyperlink ref="M162" r:id="rId161" display="https://icargo-rc4-rct.afklcargo.com/icargo/showScreen.do"/>
    <hyperlink ref="M163" r:id="rId162" display="https://icargo-rc4-rct.afklcargo.com/icargo/showScreen.do"/>
    <hyperlink ref="M164" r:id="rId163" display="https://icargo-rc4-rct.afklcargo.com/icargo/showScreen.do"/>
    <hyperlink ref="M165" r:id="rId164" display="https://icargo-rc4-rct.afklcargo.com/icargo/showScreen.do"/>
    <hyperlink ref="M166" r:id="rId165" display="https://icargo-rc4-rct.afklcargo.com/icargo/showScreen.do"/>
    <hyperlink ref="M167" r:id="rId166" display="https://icargo-rc4-rct.afklcargo.com/icargo/showScreen.do"/>
    <hyperlink ref="M168" r:id="rId167" display="https://icargo-rc4-rct.afklcargo.com/icargo/showScreen.do"/>
    <hyperlink ref="M169" r:id="rId168" display="https://icargo-rc4-rct.afklcargo.com/icargo/showScreen.do"/>
    <hyperlink ref="M170" r:id="rId169" display="https://icargo-rc4-rct.afklcargo.com/icargo/showScreen.do"/>
    <hyperlink ref="M171" r:id="rId170" display="https://icargo-rc4-rct.afklcargo.com/icargo/showScreen.do"/>
    <hyperlink ref="M172" r:id="rId171" display="https://icargo-rc4-rct.afklcargo.com/icargo/showScreen.do"/>
    <hyperlink ref="M173" r:id="rId172" display="https://icargo-rc4-rct.afklcargo.com/icargo/showScreen.do"/>
    <hyperlink ref="M174" r:id="rId173" display="https://icargo-rc4-rct.afklcargo.com/icargo/showScreen.do"/>
    <hyperlink ref="M175" r:id="rId174" display="https://icargo-rc4-rct.afklcargo.com/icargo/showScreen.do"/>
    <hyperlink ref="M176" r:id="rId175" display="https://icargo-rc4-rct.afklcargo.com/icargo/showScreen.do"/>
    <hyperlink ref="M177" r:id="rId176" display="https://icargo-rc4-rct.afklcargo.com/icargo/showScreen.do"/>
    <hyperlink ref="M178" r:id="rId177" display="https://icargo-rc4-rct.afklcargo.com/icargo/showScreen.do"/>
    <hyperlink ref="M179" r:id="rId178" display="https://icargo-rc4-rct.afklcargo.com/icargo/showScreen.do"/>
    <hyperlink ref="M180" r:id="rId179" display="https://icargo-rc4-rct.afklcargo.com/icargo/showScreen.do"/>
    <hyperlink ref="M181" r:id="rId180" display="https://icargo-rc4-rct.afklcargo.com/icargo/showScreen.do"/>
    <hyperlink ref="M182" r:id="rId181" display="https://icargo-rc4-rct.afklcargo.com/icargo/showScreen.do"/>
    <hyperlink ref="M183" r:id="rId182" display="https://icargo-rc4-rct.afklcargo.com/icargo/showScreen.do"/>
    <hyperlink ref="M184" r:id="rId183" display="https://icargo-rc4-rct.afklcargo.com/icargo/showScreen.do"/>
    <hyperlink ref="M185" r:id="rId184" display="https://icargo-rc4-rct.afklcargo.com/icargo/showScreen.do"/>
    <hyperlink ref="M186" r:id="rId185" display="https://icargo-rc4-rct.afklcargo.com/icargo/showScreen.do"/>
    <hyperlink ref="M187" r:id="rId186" display="https://icargo-rc4-rct.afklcargo.com/icargo/showScreen.do"/>
    <hyperlink ref="M188" r:id="rId187" display="https://icargo-rc4-rct.afklcargo.com/icargo/showScreen.do"/>
    <hyperlink ref="M189" r:id="rId188" display="https://icargo-rc4-rct.afklcargo.com/icargo/showScreen.do"/>
    <hyperlink ref="M190" r:id="rId189" display="https://icargo-rc4-rct.afklcargo.com/icargo/showScreen.do"/>
    <hyperlink ref="M191" r:id="rId190" display="https://icargo-rc4-rct.afklcargo.com/icargo/showScreen.do"/>
    <hyperlink ref="M192" r:id="rId191" display="https://icargo-rc4-rct.afklcargo.com/icargo/showScreen.do"/>
    <hyperlink ref="M193" r:id="rId192" display="https://icargo-rc4-rct.afklcargo.com/icargo/showScreen.do"/>
    <hyperlink ref="M194" r:id="rId193" display="https://icargo-rc4-rct.afklcargo.com/icargo/showScreen.do"/>
    <hyperlink ref="M195" r:id="rId194" display="https://icargo-rc4-rct.afklcargo.com/icargo/showScreen.do"/>
    <hyperlink ref="M196" r:id="rId195" display="https://icargo-rc4-rct.afklcargo.com/icargo/showScreen.do"/>
    <hyperlink ref="M197" r:id="rId196" display="https://icargo-rc4-rct.afklcargo.com/icargo/showScreen.do"/>
    <hyperlink ref="M198" r:id="rId197" display="https://icargo-rc4-rct.afklcargo.com/icargo/showScreen.do"/>
    <hyperlink ref="M199" r:id="rId198" display="https://icargo-rc4-rct.afklcargo.com/icargo/showScreen.do"/>
    <hyperlink ref="M200" r:id="rId199" display="https://icargo-rc4-rct.afklcargo.com/icargo/showScreen.do"/>
    <hyperlink ref="M201" r:id="rId200" display="https://icargo-rc4-rct.afklcargo.com/icargo/showScreen.do"/>
    <hyperlink ref="M202" r:id="rId201" display="https://icargo-rc4-rct.afklcargo.com/icargo/showScreen.do"/>
    <hyperlink ref="M203" r:id="rId202" display="https://icargo-rc4-rct.afklcargo.com/icargo/showScreen.do"/>
    <hyperlink ref="M204" r:id="rId203" display="https://icargo-rc4-rct.afklcargo.com/icargo/showScreen.do"/>
    <hyperlink ref="M205" r:id="rId204" display="https://icargo-rc4-rct.afklcargo.com/icargo/showScreen.do"/>
    <hyperlink ref="M206" r:id="rId205" display="https://icargo-rc4-rct.afklcargo.com/icargo/showScreen.do"/>
    <hyperlink ref="M207" r:id="rId206" display="https://icargo-rc4-rct.afklcargo.com/icargo/showScreen.do"/>
    <hyperlink ref="M208" r:id="rId207" display="https://icargo-rc4-rct.afklcargo.com/icargo/showScreen.do"/>
    <hyperlink ref="M209" r:id="rId208" display="https://icargo-rc4-rct.afklcargo.com/icargo/showScreen.do"/>
    <hyperlink ref="M210" r:id="rId209" display="https://icargo-rc4-rct.afklcargo.com/icargo/showScreen.do"/>
    <hyperlink ref="M211" r:id="rId210" display="https://icargo-rc4-rct.afklcargo.com/icargo/showScreen.do"/>
    <hyperlink ref="M212" r:id="rId211" display="https://icargo-rc4-rct.afklcargo.com/icargo/showScreen.do"/>
    <hyperlink ref="M213" r:id="rId212" display="https://icargo-rc4-rct.afklcargo.com/icargo/showScreen.do"/>
    <hyperlink ref="M214" r:id="rId213" display="https://icargo-rc4-rct.afklcargo.com/icargo/showScreen.do"/>
    <hyperlink ref="M215" r:id="rId214" display="https://icargo-rc4-rct.afklcargo.com/icargo/showScreen.do"/>
    <hyperlink ref="M216" r:id="rId215" display="https://icargo-rc4-rct.afklcargo.com/icargo/showScreen.do"/>
    <hyperlink ref="M217" r:id="rId216" display="https://icargo-rc4-rct.afklcargo.com/icargo/showScreen.do"/>
    <hyperlink ref="M218" r:id="rId217" display="https://icargo-rc4-rct.afklcargo.com/icargo/showScreen.do"/>
    <hyperlink ref="M219" r:id="rId218" display="https://icargo-rc4-rct.afklcargo.com/icargo/showScreen.do"/>
    <hyperlink ref="M220" r:id="rId219" display="https://icargo-rc4-rct.afklcargo.com/icargo/showScreen.do"/>
    <hyperlink ref="M221" r:id="rId220" display="https://icargo-rc4-rct.afklcargo.com/icargo/showScreen.do"/>
    <hyperlink ref="M222" r:id="rId221" display="https://icargo-rc4-rct.afklcargo.com/icargo/showScreen.do"/>
    <hyperlink ref="M223" r:id="rId222" display="https://icargo-rc4-rct.afklcargo.com/icargo/showScreen.do"/>
    <hyperlink ref="M224" r:id="rId223" display="https://icargo-rc4-rct.afklcargo.com/icargo/showScreen.do"/>
    <hyperlink ref="M225" r:id="rId224" display="https://icargo-rc4-rct.afklcargo.com/icargo/showScreen.do"/>
    <hyperlink ref="M226" r:id="rId225" display="https://icargo-rc4-rct.afklcargo.com/icargo/showScreen.do"/>
    <hyperlink ref="M227" r:id="rId226" display="https://icargo-rc4-rct.afklcargo.com/icargo/showScreen.do"/>
    <hyperlink ref="M228" r:id="rId227" display="https://icargo-rc4-rct.afklcargo.com/icargo/showScreen.do"/>
    <hyperlink ref="M229" r:id="rId228" display="https://icargo-rc4-rct.afklcargo.com/icargo/showScreen.do"/>
    <hyperlink ref="M230" r:id="rId229" display="https://icargo-rc4-rct.afklcargo.com/icargo/showScreen.do"/>
    <hyperlink ref="M231" r:id="rId230" display="https://icargo-rc4-rct.afklcargo.com/icargo/showScreen.do"/>
    <hyperlink ref="M232" r:id="rId231" display="https://icargo-rc4-rct.afklcargo.com/icargo/showScreen.do"/>
    <hyperlink ref="M233" r:id="rId232" display="https://icargo-rc4-rct.afklcargo.com/icargo/showScreen.do"/>
    <hyperlink ref="M234" r:id="rId233" display="https://icargo-rc4-rct.afklcargo.com/icargo/showScreen.do"/>
    <hyperlink ref="M235" r:id="rId234" display="https://icargo-rc4-rct.afklcargo.com/icargo/showScreen.do"/>
    <hyperlink ref="M236" r:id="rId235" display="https://icargo-rc4-rct.afklcargo.com/icargo/showScreen.do"/>
    <hyperlink ref="M237" r:id="rId236" display="https://icargo-rc4-rct.afklcargo.com/icargo/showScreen.do"/>
    <hyperlink ref="M238" r:id="rId237" display="https://icargo-rc4-rct.afklcargo.com/icargo/showScreen.do"/>
    <hyperlink ref="M239" r:id="rId238" display="https://icargo-rc4-rct.afklcargo.com/icargo/showScreen.do"/>
    <hyperlink ref="M240" r:id="rId239" display="https://icargo-rc4-rct.afklcargo.com/icargo/showScreen.do"/>
    <hyperlink ref="M241" r:id="rId240" display="https://icargo-rc4-rct.afklcargo.com/icargo/showScreen.do"/>
    <hyperlink ref="M242" r:id="rId241" display="https://icargo-rc4-rct.afklcargo.com/icargo/showScreen.do"/>
    <hyperlink ref="M243" r:id="rId242" display="https://icargo-rc4-rct.afklcargo.com/icargo/showScreen.do"/>
    <hyperlink ref="M244" r:id="rId243" display="https://icargo-rc4-rct.afklcargo.com/icargo/showScreen.do"/>
    <hyperlink ref="M245" r:id="rId244" display="https://icargo-rc4-rct.afklcargo.com/icargo/showScreen.do"/>
    <hyperlink ref="M246" r:id="rId245" display="https://icargo-rc4-rct.afklcargo.com/icargo/showScreen.do"/>
    <hyperlink ref="M247" r:id="rId246" display="https://icargo-rc4-rct.afklcargo.com/icargo/showScreen.do"/>
    <hyperlink ref="M248" r:id="rId247" display="https://icargo-rc4-rct.afklcargo.com/icargo/showScreen.do"/>
    <hyperlink ref="M249" r:id="rId248" display="https://icargo-rc4-rct.afklcargo.com/icargo/showScreen.do"/>
    <hyperlink ref="M250" r:id="rId249" display="https://icargo-rc4-rct.afklcargo.com/icargo/showScreen.do"/>
    <hyperlink ref="M251" r:id="rId250" display="https://icargo-rc4-rct.afklcargo.com/icargo/showScreen.do"/>
    <hyperlink ref="M252" r:id="rId251" display="https://icargo-rc4-rct.afklcargo.com/icargo/showScreen.do"/>
    <hyperlink ref="M253" r:id="rId252" display="https://icargo-rc4-rct.afklcargo.com/icargo/showScreen.do"/>
    <hyperlink ref="M254" r:id="rId253" display="https://icargo-rc4-rct.afklcargo.com/icargo/showScreen.do"/>
    <hyperlink ref="M255" r:id="rId254" display="https://icargo-rc4-rct.afklcargo.com/icargo/showScreen.do"/>
    <hyperlink ref="M256" r:id="rId255" display="https://icargo-rc4-rct.afklcargo.com/icargo/showScreen.do"/>
    <hyperlink ref="M257" r:id="rId256" display="https://icargo-rc4-rct.afklcargo.com/icargo/showScreen.do"/>
    <hyperlink ref="M258" r:id="rId257" display="https://icargo-rc4-rct.afklcargo.com/icargo/showScreen.do"/>
    <hyperlink ref="M259" r:id="rId258" display="https://icargo-rc4-rct.afklcargo.com/icargo/showScreen.do"/>
    <hyperlink ref="M260" r:id="rId259" display="https://icargo-rc4-rct.afklcargo.com/icargo/showScreen.do"/>
    <hyperlink ref="M261" r:id="rId260" display="https://icargo-rc4-rct.afklcargo.com/icargo/showScreen.do"/>
    <hyperlink ref="M262" r:id="rId261" display="https://icargo-rc4-rct.afklcargo.com/icargo/showScreen.do"/>
    <hyperlink ref="M263" r:id="rId262" display="https://icargo-rc4-rct.afklcargo.com/icargo/showScreen.do"/>
    <hyperlink ref="M264" r:id="rId263" display="https://icargo-rc4-rct.afklcargo.com/icargo/showScreen.do"/>
    <hyperlink ref="M265" r:id="rId264" display="https://icargo-rc4-rct.afklcargo.com/icargo/showScreen.do"/>
    <hyperlink ref="M266" r:id="rId265" display="https://icargo-rc4-rct.afklcargo.com/icargo/showScreen.do"/>
    <hyperlink ref="M267" r:id="rId266" display="https://icargo-rc4-rct.afklcargo.com/icargo/showScreen.do"/>
    <hyperlink ref="M268" r:id="rId267" display="https://icargo-rc4-rct.afklcargo.com/icargo/showScreen.do"/>
    <hyperlink ref="M269" r:id="rId268" display="https://icargo-rc4-rct.afklcargo.com/icargo/showScreen.do"/>
    <hyperlink ref="M270" r:id="rId269" display="https://icargo-rc4-rct.afklcargo.com/icargo/showScreen.do"/>
    <hyperlink ref="M271" r:id="rId270" display="https://icargo-rc4-rct.afklcargo.com/icargo/showScreen.do"/>
    <hyperlink ref="M272" r:id="rId271" display="https://icargo-rc4-rct.afklcargo.com/icargo/showScreen.do"/>
    <hyperlink ref="M273" r:id="rId272" display="https://icargo-rc4-rct.afklcargo.com/icargo/showScreen.do"/>
    <hyperlink ref="M274" r:id="rId273" display="https://icargo-rc4-rct.afklcargo.com/icargo/showScreen.do"/>
    <hyperlink ref="M275" r:id="rId274" display="https://icargo-rc4-rct.afklcargo.com/icargo/showScreen.do"/>
    <hyperlink ref="M276" r:id="rId275" display="https://icargo-rc4-rct.afklcargo.com/icargo/showScreen.do"/>
    <hyperlink ref="M277" r:id="rId276" display="https://icargo-rc4-rct.afklcargo.com/icargo/showScreen.do"/>
    <hyperlink ref="M278" r:id="rId277" display="https://icargo-rc4-rct.afklcargo.com/icargo/showScreen.do"/>
    <hyperlink ref="M279" r:id="rId278" display="https://icargo-rc4-rct.afklcargo.com/icargo/showScreen.do"/>
    <hyperlink ref="M280" r:id="rId279" display="https://icargo-rc4-rct.afklcargo.com/icargo/showScreen.do"/>
    <hyperlink ref="M281" r:id="rId280" display="https://icargo-rc4-rct.afklcargo.com/icargo/showScreen.do"/>
    <hyperlink ref="M282" r:id="rId281" display="https://icargo-rc4-rct.afklcargo.com/icargo/showScreen.do"/>
    <hyperlink ref="M283" r:id="rId282" display="https://icargo-rct.afklcargo.com/icargo/showScreen.do"/>
    <hyperlink ref="M284" r:id="rId283" display="https://icargo-rct.afklcargo.com/icargo/showScreen.do"/>
    <hyperlink ref="M285" r:id="rId284" display="https://icargo-rct.afklcargo.com/icargo/showScreen.do"/>
    <hyperlink ref="M286" r:id="rId285" display="https://icargo-rct.afklcargo.com/icargo/showScreen.do"/>
    <hyperlink ref="M287" r:id="rId286" display="https://icargo-rct.afklcargo.com/icargo/showScreen.do"/>
    <hyperlink ref="M288" r:id="rId287" display="https://icargo-rct.afklcargo.com/icargo/showScreen.do"/>
    <hyperlink ref="M289" r:id="rId288" display="https://icargo-rct.afklcargo.com/icargo/showScreen.do"/>
    <hyperlink ref="M290" r:id="rId289" display="https://icargo-rct.afklcargo.com/icargo/showScreen.do"/>
    <hyperlink ref="M291" r:id="rId290" display="https://icargo-rct.afklcargo.com/icargo/showScreen.do"/>
    <hyperlink ref="M292" r:id="rId291" display="https://icargo-rct.afklcargo.com/icargo/showScreen.do"/>
    <hyperlink ref="M293" r:id="rId292" display="https://icargo-rct.afklcargo.com/icargo/showScreen.do"/>
    <hyperlink ref="M294" r:id="rId293" display="https://icargo-rct.afklcargo.com/icargo/showScreen.do"/>
    <hyperlink ref="M295" r:id="rId294" display="https://icargo-rct.afklcargo.com/icargo/showScreen.do"/>
    <hyperlink ref="M296" r:id="rId295" display="https://icargo-rct.afklcargo.com/icargo/showScreen.do"/>
    <hyperlink ref="M297" r:id="rId296" display="https://icargo-rct.afklcargo.com/icargo/showScreen.do"/>
    <hyperlink ref="M298" r:id="rId297" display="https://icargo-rct.afklcargo.com/icargo/showScreen.do"/>
    <hyperlink ref="M299" r:id="rId298" display="https://icargo-rct.afklcargo.com/icargo/showScreen.do"/>
    <hyperlink ref="M300" r:id="rId299" display="https://icargo-rct.afklcargo.com/icargo/showScreen.do"/>
    <hyperlink ref="M301" r:id="rId300" display="https://icargo-rct.afklcargo.com/icargo/showScreen.do"/>
    <hyperlink ref="M302" r:id="rId301" display="https://icargo-rct.afklcargo.com/icargo/showScreen.do"/>
    <hyperlink ref="M303" r:id="rId302" display="https://icargo-rct.afklcargo.com/icargo/showScreen.do"/>
    <hyperlink ref="M304" r:id="rId303" display="https://icargo-rct.afklcargo.com/icargo/showScreen.do"/>
    <hyperlink ref="M305" r:id="rId304" display="https://icargo-rct.afklcargo.com/icargo/showScreen.do"/>
    <hyperlink ref="M306" r:id="rId305" display="https://icargo-rct.afklcargo.com/icargo/showScreen.do"/>
    <hyperlink ref="M307" r:id="rId306" display="https://icargo-rct.afklcargo.com/icargo/showScreen.do"/>
    <hyperlink ref="M308" r:id="rId307" display="https://icargo-rct.afklcargo.com/icargo/showScreen.do"/>
    <hyperlink ref="M309" r:id="rId308" display="https://icargo-rct.afklcargo.com/icargo/showScreen.do"/>
    <hyperlink ref="M310" r:id="rId309" display="https://icargo-rct.afklcargo.com/icargo/showScreen.do"/>
    <hyperlink ref="M311" r:id="rId310" display="https://icargo-rct.afklcargo.com/icargo/showScreen.do"/>
    <hyperlink ref="M312" r:id="rId311" display="https://icargo-rct.afklcargo.com/icargo/showScreen.do"/>
    <hyperlink ref="M313" r:id="rId312" display="https://icargo-rct.afklcargo.com/icargo/showScreen.do"/>
    <hyperlink ref="M314" r:id="rId313" display="https://icargo-rct.afklcargo.com/icargo/showScreen.do"/>
    <hyperlink ref="M315" r:id="rId314" display="https://icargo-rct.afklcargo.com/icargo/showScreen.do"/>
    <hyperlink ref="M316" r:id="rId315" display="https://icargo-rct.afklcargo.com/icargo/showScreen.do"/>
    <hyperlink ref="M317" r:id="rId316" display="https://icargo-rct.afklcargo.com/icargo/showScreen.do"/>
    <hyperlink ref="M318" r:id="rId317" display="https://icargo-rct.afklcargo.com/icargo/showScreen.do"/>
    <hyperlink ref="M319" r:id="rId318" display="https://icargo-rct.afklcargo.com/icargo/showScreen.do"/>
    <hyperlink ref="M320" r:id="rId319" display="https://icargo-rct.afklcargo.com/icargo/showScreen.do"/>
    <hyperlink ref="M321" r:id="rId320" display="https://icargo-rct.afklcargo.com/icargo/showScreen.do"/>
    <hyperlink ref="M322" r:id="rId321" display="https://icargo-rct.afklcargo.com/icargo/showScreen.do"/>
    <hyperlink ref="M323" r:id="rId322" display="https://icargo-rct.afklcargo.com/icargo/showScreen.do"/>
    <hyperlink ref="M324" r:id="rId323" display="https://icargo-rct.afklcargo.com/icargo/showScreen.do"/>
    <hyperlink ref="M325" r:id="rId324" display="https://icargo-rct.afklcargo.com/icargo/showScreen.do"/>
    <hyperlink ref="M326" r:id="rId325" display="https://icargo-rct.afklcargo.com/icargo/showScreen.do"/>
    <hyperlink ref="M327" r:id="rId326" display="https://icargo-rct.afklcargo.com/icargo/showScreen.do"/>
    <hyperlink ref="M328" r:id="rId327" display="https://icargo-rct.afklcargo.com/icargo/showScreen.do"/>
    <hyperlink ref="M329" r:id="rId328" display="https://icargo-rct.afklcargo.com/icargo/showScreen.do"/>
    <hyperlink ref="M330" r:id="rId329" display="https://icargo-rct.afklcargo.com/icargo/showScreen.do"/>
    <hyperlink ref="M331" r:id="rId330" display="https://icargo-rct.afklcargo.com/icargo/showScreen.do"/>
    <hyperlink ref="M332" r:id="rId331" display="https://icargo-rct.afklcargo.com/icargo/showScreen.do"/>
    <hyperlink ref="M333" r:id="rId332" display="https://icargo-rct.afklcargo.com/icargo/showScreen.do"/>
    <hyperlink ref="M334" r:id="rId333" display="https://icargo-rct.afklcargo.com/icargo/showScreen.do"/>
    <hyperlink ref="M335" r:id="rId334" display="https://icargo-rct.afklcargo.com/icargo/showScreen.do"/>
    <hyperlink ref="M336" r:id="rId335" display="https://icargo-rct.afklcargo.com/icargo/showScreen.do"/>
    <hyperlink ref="M337" r:id="rId336" display="https://icargo-rct.afklcargo.com/icargo/showScreen.do"/>
    <hyperlink ref="M338" r:id="rId337" display="https://icargo-rct.afklcargo.com/icargo/showScreen.do"/>
    <hyperlink ref="M339" r:id="rId338" display="https://icargo-rct.afklcargo.com/icargo/showScreen.do"/>
    <hyperlink ref="M340" r:id="rId339" display="https://icargo-rct.afklcargo.com/icargo/showScreen.do"/>
    <hyperlink ref="M341" r:id="rId340" display="https://icargo-rct.afklcargo.com/icargo/showScreen.do"/>
    <hyperlink ref="M342" r:id="rId341" display="https://icargo-rct.afklcargo.com/icargo/showScreen.do"/>
    <hyperlink ref="M343" r:id="rId342" display="https://icargo-rct.afklcargo.com/icargo/showScreen.do"/>
    <hyperlink ref="M344" r:id="rId343" display="https://icargo-rct.afklcargo.com/icargo/showScreen.do"/>
    <hyperlink ref="M345" r:id="rId344" display="https://icargo-rct.afklcargo.com/icargo/showScreen.do"/>
    <hyperlink ref="M346" r:id="rId345" display="https://icargo-rct.afklcargo.com/icargo/showScreen.do"/>
    <hyperlink ref="M347" r:id="rId346" display="https://icargo-rct.afklcargo.com/icargo/showScreen.do"/>
    <hyperlink ref="M348" r:id="rId347" display="https://icargo-rct.afklcargo.com/icargo/showScreen.do"/>
    <hyperlink ref="M349" r:id="rId348" display="https://icargo-rct.afklcargo.com/icargo/showScreen.do"/>
    <hyperlink ref="M350" r:id="rId349" display="https://icargo-rct.afklcargo.com/icargo/showScreen.do"/>
    <hyperlink ref="M351" r:id="rId350" display="https://icargo-rct.afklcargo.com/icargo/showScreen.do"/>
    <hyperlink ref="M352" r:id="rId351" display="https://icargo-rct.afklcargo.com/icargo/showScreen.do"/>
    <hyperlink ref="M353" r:id="rId352" display="https://icargo-rct.afklcargo.com/icargo/showScreen.do"/>
    <hyperlink ref="M354" r:id="rId353" display="https://icargo-rct.afklcargo.com/icargo/showScreen.do"/>
    <hyperlink ref="M355" r:id="rId354" display="https://icargo-rct.afklcargo.com/icargo/showScreen.do"/>
    <hyperlink ref="M356" r:id="rId355" display="https://icargo-rct.afklcargo.com/icargo/showScreen.do"/>
    <hyperlink ref="M357" r:id="rId356" display="https://icargo-rct.afklcargo.com/icargo/showScreen.do"/>
    <hyperlink ref="M358" r:id="rId357" display="https://icargo-rct.afklcargo.com/icargo/showScreen.do"/>
    <hyperlink ref="M359" r:id="rId358" display="https://icargo-rct.afklcargo.com/icargo/showScreen.do"/>
    <hyperlink ref="M360" r:id="rId359" display="https://icargo-rct.afklcargo.com/icargo/showScreen.do"/>
    <hyperlink ref="M361" r:id="rId360" display="https://icargo-rct.afklcargo.com/icargo/showScreen.do"/>
    <hyperlink ref="M362" r:id="rId361" display="https://icargo-rct.afklcargo.com/icargo/showScreen.do"/>
    <hyperlink ref="M363" r:id="rId362" display="https://icargo-rct.afklcargo.com/icargo/showScreen.do"/>
    <hyperlink ref="M364" r:id="rId363" display="https://icargo-rct.afklcargo.com/icargo/showScreen.do"/>
    <hyperlink ref="M365" r:id="rId364" display="https://icargo-rct.afklcargo.com/icargo/showScreen.do"/>
    <hyperlink ref="M366" r:id="rId365" display="https://icargo-rct.afklcargo.com/icargo/showScreen.do"/>
    <hyperlink ref="M367" r:id="rId366" display="https://icargo-rct.afklcargo.com/icargo/showScreen.do"/>
    <hyperlink ref="M368" r:id="rId367" display="https://icargo-rct.afklcargo.com/icargo/showScreen.do"/>
    <hyperlink ref="M369" r:id="rId368" display="https://icargo-rct.afklcargo.com/icargo/showScreen.do"/>
    <hyperlink ref="M370" r:id="rId369" display="https://icargo-rct.afklcargo.com/icargo/showScreen.do"/>
    <hyperlink ref="M371" r:id="rId370" display="https://icargo-rct.afklcargo.com/icargo/showScreen.do"/>
    <hyperlink ref="M372" r:id="rId371" display="https://icargo-rct.afklcargo.com/icargo/showScreen.do"/>
    <hyperlink ref="M373" r:id="rId372" display="https://icargo-rct.afklcargo.com/icargo/showScreen.do"/>
    <hyperlink ref="M374" r:id="rId373" display="https://icargo-rct.afklcargo.com/icargo/showScreen.do"/>
    <hyperlink ref="M375" r:id="rId374" display="https://icargo-rct.afklcargo.com/icargo/showScreen.do"/>
    <hyperlink ref="M376" r:id="rId375" display="https://icargo-rct.afklcargo.com/icargo/showScreen.do"/>
    <hyperlink ref="M377" r:id="rId376" display="https://icargo-rct.afklcargo.com/icargo/showScreen.do"/>
    <hyperlink ref="M378" r:id="rId377" display="https://icargo-rct.afklcargo.com/icargo/showScreen.do"/>
    <hyperlink ref="M379" r:id="rId378" display="https://icargo-rct.afklcargo.com/icargo/showScreen.do"/>
    <hyperlink ref="M380" r:id="rId379" display="https://icargo-rct.afklcargo.com/icargo/showScreen.do"/>
    <hyperlink ref="M381" r:id="rId380" display="https://icargo-rct.afklcargo.com/icargo/showScreen.do"/>
    <hyperlink ref="M382" r:id="rId381" display="https://icargo-rct.afklcargo.com/icargo/showScreen.do"/>
    <hyperlink ref="M383" r:id="rId382" display="https://icargo-rct.afklcargo.com/icargo/showScreen.do"/>
    <hyperlink ref="M384" r:id="rId383" display="https://icargo-rct.afklcargo.com/icargo/showScreen.do"/>
    <hyperlink ref="M385" r:id="rId384" display="https://icargo-rct.afklcargo.com/icargo/showScreen.do"/>
    <hyperlink ref="M386" r:id="rId385" display="https://icargo-rct.afklcargo.com/icargo/showScreen.do"/>
    <hyperlink ref="M387" r:id="rId386" display="https://icargo-rct.afklcargo.com/icargo/showScreen.do"/>
    <hyperlink ref="M388" r:id="rId387" display="https://icargo-rct.afklcargo.com/icargo/showScreen.do"/>
    <hyperlink ref="M389" r:id="rId388" display="https://icargo-rct.afklcargo.com/icargo/showScreen.do"/>
    <hyperlink ref="M390" r:id="rId389" display="https://icargo-rct.afklcargo.com/icargo/showScreen.do"/>
    <hyperlink ref="M391" r:id="rId390" display="https://icargo-rct.afklcargo.com/icargo/showScreen.do"/>
    <hyperlink ref="M392" r:id="rId391" display="https://icargo-rct.afklcargo.com/icargo/showScreen.do"/>
    <hyperlink ref="M393" r:id="rId392" display="https://icargo-rct.afklcargo.com/icargo/showScreen.do"/>
    <hyperlink ref="M394" r:id="rId393" display="https://icargo-rct.afklcargo.com/icargo/showScreen.do"/>
    <hyperlink ref="M395" r:id="rId394" display="https://icargo-rct.afklcargo.com/icargo/showScreen.do"/>
    <hyperlink ref="M396" r:id="rId395" display="https://icargo-rct.afklcargo.com/icargo/showScreen.do"/>
    <hyperlink ref="M397" r:id="rId396" display="https://icargo-rct.afklcargo.com/icargo/showScreen.do"/>
    <hyperlink ref="M398" r:id="rId397" display="https://icargo-rct.afklcargo.com/icargo/showScreen.do"/>
    <hyperlink ref="M399" r:id="rId398" display="https://icargo-rct.afklcargo.com/icargo/showScreen.do"/>
    <hyperlink ref="M400" r:id="rId399" display="https://icargo-rct.afklcargo.com/icargo/showScreen.do"/>
    <hyperlink ref="M401" r:id="rId400" display="https://icargo-rct.afklcargo.com/icargo/showScreen.do"/>
    <hyperlink ref="M402" r:id="rId401" display="https://icargo-rct.afklcargo.com/icargo/showScreen.do"/>
    <hyperlink ref="M403" r:id="rId402" display="https://icargo-rct.afklcargo.com/icargo/showScreen.do"/>
    <hyperlink ref="M404" r:id="rId403" display="https://icargo-rct.afklcargo.com/icargo/showScreen.do"/>
    <hyperlink ref="M405" r:id="rId404" display="https://icargo-rct.afklcargo.com/icargo/showScreen.do"/>
    <hyperlink ref="M406" r:id="rId405" display="https://icargo-rct.afklcargo.com/icargo/showScreen.do"/>
    <hyperlink ref="M407" r:id="rId406" display="https://icargo-rct.afklcargo.com/icargo/showScreen.do"/>
    <hyperlink ref="M408" r:id="rId407" display="https://icargo-rct.afklcargo.com/icargo/showScreen.do"/>
    <hyperlink ref="M409" r:id="rId408" display="https://icargo-rct.afklcargo.com/icargo/showScreen.do"/>
    <hyperlink ref="M410" r:id="rId409" display="https://icargo-rct.afklcargo.com/icargo/showScreen.do"/>
    <hyperlink ref="M411" r:id="rId410" display="https://icargo-rct.afklcargo.com/icargo/showScreen.do"/>
    <hyperlink ref="M412" r:id="rId411" display="https://icargo-rct.afklcargo.com/icargo/showScreen.do"/>
    <hyperlink ref="M413" r:id="rId412" display="https://icargo-rct.afklcargo.com/icargo/showScreen.do"/>
    <hyperlink ref="M414" r:id="rId413" display="https://icargo-rct.afklcargo.com/icargo/showScreen.do"/>
    <hyperlink ref="M415" r:id="rId414" display="https://icargo-rct.afklcargo.com/icargo/showScreen.do"/>
    <hyperlink ref="M416" r:id="rId415" display="https://icargo-rct.afklcargo.com/icargo/showScreen.do"/>
    <hyperlink ref="M417" r:id="rId416" display="https://icargo-rct.afklcargo.com/icargo/showScreen.do"/>
    <hyperlink ref="M418" r:id="rId417" display="https://icargo-rct.afklcargo.com/icargo/showScreen.do"/>
    <hyperlink ref="M419" r:id="rId418" display="https://icargo-rct.afklcargo.com/icargo/showScreen.do"/>
    <hyperlink ref="M420" r:id="rId419" display="https://icargo-rct.afklcargo.com/icargo/showScreen.do"/>
    <hyperlink ref="M421" r:id="rId420" display="https://icargo-rct.afklcargo.com/icargo/showScreen.do"/>
    <hyperlink ref="M422" r:id="rId421" display="https://icargo-rct.afklcargo.com/icargo/showScreen.do"/>
    <hyperlink ref="M423" r:id="rId422" display="https://icargo-rct.afklcargo.com/icargo/showScreen.do"/>
    <hyperlink ref="M424" r:id="rId423" display="https://icargo-rct.afklcargo.com/icargo/showScreen.do"/>
    <hyperlink ref="M425" r:id="rId424" display="https://icargo-rct.afklcargo.com/icargo/showScreen.do"/>
    <hyperlink ref="M426" r:id="rId425" display="https://icargo-rct.afklcargo.com/icargo/showScreen.do"/>
    <hyperlink ref="M427" r:id="rId426" display="https://icargo-rct.afklcargo.com/icargo/showScreen.do"/>
    <hyperlink ref="M428" r:id="rId427" display="https://icargo-rct.afklcargo.com/icargo/showScreen.do"/>
    <hyperlink ref="M429" r:id="rId428" display="https://icargo-rct.afklcargo.com/icargo/showScreen.do"/>
    <hyperlink ref="M430" r:id="rId429" display="https://icargo-rct.afklcargo.com/icargo/showScreen.do"/>
    <hyperlink ref="M431" r:id="rId430" display="https://icargo-rct.afklcargo.com/icargo/showScreen.do"/>
    <hyperlink ref="M432" r:id="rId431" display="https://icargo-rct.afklcargo.com/icargo/showScreen.do"/>
    <hyperlink ref="M433" r:id="rId432" display="https://icargo-rct.afklcargo.com/icargo/showScreen.do"/>
    <hyperlink ref="M434" r:id="rId433" display="https://icargo-rct.afklcargo.com/icargo/showScreen.do"/>
    <hyperlink ref="M435" r:id="rId434" display="https://icargo-rct.afklcargo.com/icargo/showScreen.do"/>
    <hyperlink ref="M436" r:id="rId435" display="https://icargo-rct.afklcargo.com/icargo/showScreen.do"/>
    <hyperlink ref="M437" r:id="rId436" display="https://icargo-rct.afklcargo.com/icargo/showScreen.do"/>
    <hyperlink ref="M438" r:id="rId437" display="https://icargo-rct.afklcargo.com/icargo/showScreen.do"/>
    <hyperlink ref="M439" r:id="rId438" display="https://icargo-rct.afklcargo.com/icargo/showScreen.do"/>
    <hyperlink ref="M440" r:id="rId439" display="https://icargo-rct.afklcargo.com/icargo/showScreen.do"/>
    <hyperlink ref="M441" r:id="rId440" display="https://icargo-rct.afklcargo.com/icargo/showScreen.do"/>
    <hyperlink ref="M442" r:id="rId441" display="https://icargo-rct.afklcargo.com/icargo/showScreen.do"/>
    <hyperlink ref="M443" r:id="rId442" display="https://icargo-rct.afklcargo.com/icargo/showScreen.do"/>
    <hyperlink ref="M444" r:id="rId443" display="https://icargo-rct.afklcargo.com/icargo/showScreen.do"/>
    <hyperlink ref="M445" r:id="rId444" display="https://icargo-rct.afklcargo.com/icargo/showScreen.do"/>
    <hyperlink ref="M446" r:id="rId445" display="https://icargo-rct.afklcargo.com/icargo/showScreen.do"/>
    <hyperlink ref="M447" r:id="rId446" display="https://icargo-rct.afklcargo.com/icargo/showScreen.do"/>
    <hyperlink ref="M448" r:id="rId447" display="https://icargo-rct.afklcargo.com/icargo/showScreen.do"/>
    <hyperlink ref="M449" r:id="rId448" display="https://icargo-rct.afklcargo.com/icargo/showScreen.do"/>
    <hyperlink ref="M450" r:id="rId449" display="https://icargo-rct.afklcargo.com/icargo/showScreen.do"/>
    <hyperlink ref="M451" r:id="rId450" display="https://icargo-rct.afklcargo.com/icargo/showScreen.do"/>
    <hyperlink ref="M452" r:id="rId451" display="https://icargo-rct.afklcargo.com/icargo/showScreen.do"/>
    <hyperlink ref="M453" r:id="rId452" display="https://icargo-rct.afklcargo.com/icargo/showScreen.do"/>
    <hyperlink ref="M454" r:id="rId453" display="https://icargo-rct.afklcargo.com/icargo/showScreen.do"/>
    <hyperlink ref="M455" r:id="rId454" display="https://icargo-rct.afklcargo.com/icargo/showScreen.do"/>
    <hyperlink ref="M456" r:id="rId455" display="https://icargo-rct.afklcargo.com/icargo/showScreen.do"/>
    <hyperlink ref="M457" r:id="rId456" display="https://icargo-rct.afklcargo.com/icargo/showScreen.do"/>
    <hyperlink ref="M458" r:id="rId457" display="https://icargo-rct.afklcargo.com/icargo/showScreen.do"/>
    <hyperlink ref="M459" r:id="rId458" display="https://icargo-rct.afklcargo.com/icargo/showScreen.do"/>
    <hyperlink ref="M460" r:id="rId459" display="https://icargo-rct.afklcargo.com/icargo/showScreen.do"/>
    <hyperlink ref="M461" r:id="rId460" display="https://icargo-rct.afklcargo.com/icargo/showScreen.do"/>
    <hyperlink ref="M462" r:id="rId461" display="https://icargo-rct.afklcargo.com/icargo/showScreen.do"/>
    <hyperlink ref="M463" r:id="rId462" display="https://icargo-rct.afklcargo.com/icargo/showScreen.do"/>
    <hyperlink ref="M464" r:id="rId463" display="https://icargo-rct.afklcargo.com/icargo/showScreen.do"/>
    <hyperlink ref="M465" r:id="rId464" display="https://icargo-rct.afklcargo.com/icargo/showScreen.do"/>
    <hyperlink ref="M466" r:id="rId465" display="https://icargo-rct.afklcargo.com/icargo/showScreen.do"/>
    <hyperlink ref="M467" r:id="rId466" display="https://icargo-rct.afklcargo.com/icargo/showScreen.do"/>
    <hyperlink ref="M468" r:id="rId467" display="https://icargo-rct.afklcargo.com/icargo/showScreen.do"/>
    <hyperlink ref="M469" r:id="rId468" display="https://icargo-rct.afklcargo.com/icargo/showScreen.do"/>
    <hyperlink ref="M470" r:id="rId469" display="https://icargo-rct.afklcargo.com/icargo/showScreen.do"/>
    <hyperlink ref="M471" r:id="rId470" display="https://icargo-rct.afklcargo.com/icargo/showScreen.do"/>
    <hyperlink ref="M472" r:id="rId471" display="https://icargo-rct.afklcargo.com/icargo/showScreen.do"/>
    <hyperlink ref="M473" r:id="rId472" display="https://icargo-rct.afklcargo.com/icargo/showScreen.do"/>
    <hyperlink ref="M474" r:id="rId473" display="https://icargo-rct.afklcargo.com/icargo/showScreen.do"/>
    <hyperlink ref="M475" r:id="rId474" display="https://icargo-rct.afklcargo.com/icargo/showScreen.do"/>
    <hyperlink ref="M476" r:id="rId475" display="https://icargo-rct.afklcargo.com/icargo/showScreen.do"/>
    <hyperlink ref="M477" r:id="rId476" display="https://icargo-rct.afklcargo.com/icargo/showScreen.do"/>
    <hyperlink ref="M478" r:id="rId477" display="https://icargo-rct.afklcargo.com/icargo/showScreen.do"/>
    <hyperlink ref="M479" r:id="rId478" display="https://icargo-rct.afklcargo.com/icargo/showScreen.do"/>
    <hyperlink ref="M480" r:id="rId479" display="https://icargo-rct.afklcargo.com/icargo/showScreen.do"/>
    <hyperlink ref="M481" r:id="rId480" display="https://icargo-rct.afklcargo.com/icargo/showScreen.do"/>
    <hyperlink ref="M482" r:id="rId481" display="https://icargo-rct.afklcargo.com/icargo/showScreen.do"/>
    <hyperlink ref="M483" r:id="rId482" display="https://icargo-rct.afklcargo.com/icargo/showScreen.do"/>
    <hyperlink ref="M484" r:id="rId483" display="https://icargo-rct.afklcargo.com/icargo/showScreen.do"/>
    <hyperlink ref="M485" r:id="rId484" display="https://icargo-rct.afklcargo.com/icargo/showScreen.do"/>
    <hyperlink ref="M486" r:id="rId485" display="https://icargo-rct.afklcargo.com/icargo/showScreen.do"/>
    <hyperlink ref="M487" r:id="rId486" display="https://icargo-rct.afklcargo.com/icargo/showScreen.do"/>
    <hyperlink ref="M488" r:id="rId487" display="https://icargo-rct.afklcargo.com/icargo/showScreen.do"/>
    <hyperlink ref="M489" r:id="rId488" display="https://icargo-rct.afklcargo.com/icargo/showScreen.do"/>
    <hyperlink ref="M490" r:id="rId489" display="https://icargo-rct.afklcargo.com/icargo/showScreen.do"/>
    <hyperlink ref="M491" r:id="rId490" display="https://icargo-rct.afklcargo.com/icargo/showScreen.do"/>
    <hyperlink ref="M492" r:id="rId491" display="https://icargo-rct.afklcargo.com/icargo/showScreen.do"/>
    <hyperlink ref="M493" r:id="rId492" display="https://icargo-rct.afklcargo.com/icargo/showScreen.do"/>
    <hyperlink ref="M494" r:id="rId493" display="https://icargo-rct.afklcargo.com/icargo/showScreen.do"/>
    <hyperlink ref="M495" r:id="rId494" display="https://icargo-rct.afklcargo.com/icargo/showScreen.do"/>
    <hyperlink ref="M496" r:id="rId495" display="https://icargo-rct.afklcargo.com/icargo/showScreen.do"/>
    <hyperlink ref="M497" r:id="rId496" display="https://icargo-rct.afklcargo.com/icargo/showScreen.do"/>
    <hyperlink ref="M498" r:id="rId497" display="https://icargo-rct.afklcargo.com/icargo/showScreen.do"/>
    <hyperlink ref="M499" r:id="rId498" display="https://icargo-rct.afklcargo.com/icargo/showScreen.do"/>
    <hyperlink ref="M500" r:id="rId499" display="https://icargo-rct.afklcargo.com/icargo/showScreen.do"/>
    <hyperlink ref="M501" r:id="rId500" display="https://icargo-rct.afklcargo.com/icargo/showScreen.do"/>
    <hyperlink ref="M502" r:id="rId501" display="https://icargo-rct.afklcargo.com/icargo/showScreen.do"/>
    <hyperlink ref="M503" r:id="rId502" display="https://icargo-rct.afklcargo.com/icargo/showScreen.do"/>
    <hyperlink ref="M504" r:id="rId503" display="https://icargo-rct.afklcargo.com/icargo/showScreen.do"/>
    <hyperlink ref="M505" r:id="rId504" display="https://icargo-rct.afklcargo.com/icargo/showScreen.do"/>
    <hyperlink ref="M506" r:id="rId505" display="https://icargo-rct.afklcargo.com/icargo/showScreen.do"/>
    <hyperlink ref="M507" r:id="rId506" display="https://icargo-rct.afklcargo.com/icargo/showScreen.do"/>
    <hyperlink ref="M508" r:id="rId507" display="https://icargo-rct.afklcargo.com/icargo/showScreen.do"/>
    <hyperlink ref="M509" r:id="rId508" display="https://icargo-rct.afklcargo.com/icargo/showScreen.do"/>
    <hyperlink ref="M510" r:id="rId509" display="https://icargo-rct.afklcargo.com/icargo/showScreen.do"/>
    <hyperlink ref="M511" r:id="rId510" display="https://icargo-rct.afklcargo.com/icargo/showScreen.do"/>
    <hyperlink ref="M512" r:id="rId511" display="https://icargo-rct.afklcargo.com/icargo/showScreen.do"/>
    <hyperlink ref="M513" r:id="rId512" display="https://icargo-rct.afklcargo.com/icargo/showScreen.do"/>
    <hyperlink ref="M514" r:id="rId513" display="https://icargo-rct.afklcargo.com/icargo/showScreen.do"/>
    <hyperlink ref="M515" r:id="rId514" display="https://icargo-rct.afklcargo.com/icargo/showScreen.do"/>
    <hyperlink ref="M516" r:id="rId515" display="https://icargo-rct.afklcargo.com/icargo/showScreen.do"/>
    <hyperlink ref="M517" r:id="rId516" display="https://icargo-rct.afklcargo.com/icargo/showScreen.do"/>
    <hyperlink ref="M518" r:id="rId517" display="https://icargo-rct.afklcargo.com/icargo/showScreen.do"/>
    <hyperlink ref="M519" r:id="rId518" display="https://icargo-rct.afklcargo.com/icargo/showScreen.do"/>
    <hyperlink ref="M520" r:id="rId519" display="https://icargo-rct.afklcargo.com/icargo/showScreen.do"/>
    <hyperlink ref="M521" r:id="rId520" display="https://icargo-rct.afklcargo.com/icargo/showScreen.do"/>
    <hyperlink ref="M522" r:id="rId521" display="https://icargo-rct.afklcargo.com/icargo/showScreen.do"/>
    <hyperlink ref="M523" r:id="rId522" display="https://icargo-rct.afklcargo.com/icargo/showScreen.do"/>
    <hyperlink ref="M524" r:id="rId523" display="https://icargo-rct.afklcargo.com/icargo/showScreen.do"/>
    <hyperlink ref="M525" r:id="rId524" display="https://icargo-rct.afklcargo.com/icargo/showScreen.do"/>
    <hyperlink ref="M526" r:id="rId525" display="https://icargo-rct.afklcargo.com/icargo/showScreen.do"/>
    <hyperlink ref="M527" r:id="rId526" display="https://icargo-rct.afklcargo.com/icargo/showScreen.do"/>
    <hyperlink ref="M528" r:id="rId527" display="https://icargo-rct.afklcargo.com/icargo/showScreen.do"/>
    <hyperlink ref="M529" r:id="rId528" display="https://icargo-rct.afklcargo.com/icargo/showScreen.do"/>
    <hyperlink ref="M530" r:id="rId529" display="https://icargo-rct.afklcargo.com/icargo/showScreen.do"/>
    <hyperlink ref="M531" r:id="rId530" display="https://icargo-rct.afklcargo.com/icargo/showScreen.do"/>
    <hyperlink ref="M532" r:id="rId531" display="https://icargo-rct.afklcargo.com/icargo/showScreen.do"/>
    <hyperlink ref="M533" r:id="rId532" display="https://icargo-rct.afklcargo.com/icargo/showScreen.do"/>
    <hyperlink ref="M534" r:id="rId533" display="https://icargo-rct.afklcargo.com/icargo/showScreen.do"/>
    <hyperlink ref="M535" r:id="rId534" display="https://icargo-rct.afklcargo.com/icargo/showScreen.do"/>
    <hyperlink ref="M536" r:id="rId535" display="https://icargo-rct.afklcargo.com/icargo/showScreen.do"/>
    <hyperlink ref="M537" r:id="rId536" display="https://icargo-rct.afklcargo.com/icargo/showScreen.do"/>
    <hyperlink ref="M538" r:id="rId537" display="https://icargo-rct.afklcargo.com/icargo/showScreen.do"/>
    <hyperlink ref="M539" r:id="rId538" display="https://icargo-rct.afklcargo.com/icargo/showScreen.do"/>
    <hyperlink ref="M540" r:id="rId539" display="https://icargo-rct.afklcargo.com/icargo/showScreen.do"/>
    <hyperlink ref="M541" r:id="rId540" display="https://icargo-rct.afklcargo.com/icargo/showScreen.do"/>
    <hyperlink ref="M542" r:id="rId541" display="https://icargo-rct.afklcargo.com/icargo/showScreen.do"/>
    <hyperlink ref="M543" r:id="rId542" display="https://icargo-rct.afklcargo.com/icargo/showScreen.do"/>
    <hyperlink ref="M544" r:id="rId543" display="https://icargo-rct.afklcargo.com/icargo/showScreen.do"/>
    <hyperlink ref="M545" r:id="rId544" display="https://icargo-rct.afklcargo.com/icargo/showScreen.do"/>
    <hyperlink ref="M546" r:id="rId545" display="https://icargo-rct.afklcargo.com/icargo/showScreen.do"/>
    <hyperlink ref="M547" r:id="rId546" display="https://icargo-rct.afklcargo.com/icargo/showScreen.do"/>
    <hyperlink ref="M548" r:id="rId547" display="https://icargo-rct.afklcargo.com/icargo/showScreen.do"/>
    <hyperlink ref="M549" r:id="rId548" display="https://icargo-rct.afklcargo.com/icargo/showScreen.do"/>
    <hyperlink ref="M550" r:id="rId549" display="https://icargo-rct.afklcargo.com/icargo/showScreen.do"/>
    <hyperlink ref="M551" r:id="rId550" display="https://icargo-rct.afklcargo.com/icargo/showScreen.do"/>
    <hyperlink ref="M552" r:id="rId551" display="https://icargo-rct.afklcargo.com/icargo/showScreen.do"/>
    <hyperlink ref="M553" r:id="rId552" display="https://icargo-rct.afklcargo.com/icargo/showScreen.do"/>
    <hyperlink ref="M554" r:id="rId553" display="https://icargo-rct.afklcargo.com/icargo/showScreen.do"/>
    <hyperlink ref="M555" r:id="rId554" display="https://icargo-rct.afklcargo.com/icargo/showScreen.do"/>
    <hyperlink ref="M556" r:id="rId555" display="https://icargo-rct.afklcargo.com/icargo/showScreen.do"/>
    <hyperlink ref="M557" r:id="rId556" display="https://icargo-rct.afklcargo.com/icargo/showScreen.do"/>
    <hyperlink ref="M558" r:id="rId557" display="https://icargo-rct.afklcargo.com/icargo/showScreen.do"/>
    <hyperlink ref="M559" r:id="rId558" display="https://icargo-rct.afklcargo.com/icargo/showScreen.do"/>
    <hyperlink ref="M560" r:id="rId559" display="https://icargo-rct.afklcargo.com/icargo/showScreen.do"/>
    <hyperlink ref="M561" r:id="rId560" display="https://icargo-rct.afklcargo.com/icargo/showScreen.do"/>
    <hyperlink ref="M562" r:id="rId561" display="https://icargo-rct.afklcargo.com/icargo/showScreen.do"/>
    <hyperlink ref="M563" r:id="rId562" display="https://icargo-rct.afklcargo.com/icargo/showScreen.do"/>
    <hyperlink ref="M564" r:id="rId563" display="https://icargo-rct.afklcargo.com/icargo/showScreen.do"/>
    <hyperlink ref="M565" r:id="rId564" display="https://icargo-rct.afklcargo.com/icargo/showScreen.do"/>
    <hyperlink ref="M566" r:id="rId565" display="https://icargo-rct.afklcargo.com/icargo/showScreen.do"/>
    <hyperlink ref="M567" r:id="rId566" display="https://icargo-rct.afklcargo.com/icargo/showScreen.do"/>
    <hyperlink ref="M568" r:id="rId567" display="https://icargo-rct.afklcargo.com/icargo/showScreen.do"/>
    <hyperlink ref="M569" r:id="rId568" display="https://icargo-rct.afklcargo.com/icargo/showScreen.do"/>
    <hyperlink ref="M570" r:id="rId569" display="https://icargo-rct.afklcargo.com/icargo/showScreen.do"/>
    <hyperlink ref="M571" r:id="rId570" display="https://icargo-rct.afklcargo.com/icargo/showScreen.do"/>
    <hyperlink ref="M572" r:id="rId571" display="https://icargo-rct.afklcargo.com/icargo/showScreen.do"/>
    <hyperlink ref="M573" r:id="rId572" display="https://icargo-rct.afklcargo.com/icargo/showScreen.do"/>
    <hyperlink ref="M574" r:id="rId573" display="https://icargo-rct.afklcargo.com/icargo/showScreen.do"/>
    <hyperlink ref="M575" r:id="rId574" display="https://icargo-rct.afklcargo.com/icargo/showScreen.do"/>
    <hyperlink ref="M576" r:id="rId575" display="https://icargo-rct.afklcargo.com/icargo/showScreen.do"/>
    <hyperlink ref="M577" r:id="rId576" display="https://icargo-rct.afklcargo.com/icargo/showScreen.do"/>
    <hyperlink ref="M578" r:id="rId577" display="https://icargo-rct.afklcargo.com/icargo/showScreen.do"/>
    <hyperlink ref="M579" r:id="rId578" display="https://icargo-rct.afklcargo.com/icargo/showScreen.do"/>
    <hyperlink ref="M580" r:id="rId579" display="https://icargo-rct.afklcargo.com/icargo/showScreen.do"/>
    <hyperlink ref="M581" r:id="rId580" display="https://icargo-rct.afklcargo.com/icargo/showScreen.do"/>
    <hyperlink ref="M582" r:id="rId581" display="https://icargo-rct.afklcargo.com/icargo/showScreen.do"/>
    <hyperlink ref="M583" r:id="rId582" display="https://icargo-rct.afklcargo.com/icargo/showScreen.do"/>
    <hyperlink ref="M584" r:id="rId583" display="https://icargo-rct.afklcargo.com/icargo/showScreen.do"/>
    <hyperlink ref="M585" r:id="rId584" display="https://icargo-rct.afklcargo.com/icargo/showScreen.do"/>
    <hyperlink ref="M586" r:id="rId585" display="https://icargo-rct.afklcargo.com/icargo/showScreen.do"/>
    <hyperlink ref="M587" r:id="rId586" display="https://icargo-rct.afklcargo.com/icargo/showScreen.do"/>
    <hyperlink ref="M588" r:id="rId587" display="https://icargo-rct.afklcargo.com/icargo/showScreen.do"/>
    <hyperlink ref="M589" r:id="rId588" display="https://icargo-rct.afklcargo.com/icargo/showScreen.do"/>
    <hyperlink ref="M590" r:id="rId589" display="https://icargo-rct.afklcargo.com/icargo/showScreen.do"/>
    <hyperlink ref="M591" r:id="rId590" display="https://icargo-rct.afklcargo.com/icargo/showScreen.do"/>
    <hyperlink ref="M592" r:id="rId591" display="https://icargo-rct.afklcargo.com/icargo/showScreen.do"/>
    <hyperlink ref="M593" r:id="rId592" display="https://icargo-rct.afklcargo.com/icargo/showScreen.do"/>
    <hyperlink ref="M594" r:id="rId593" display="https://icargo-rct.afklcargo.com/icargo/showScreen.do"/>
    <hyperlink ref="M595" r:id="rId594" display="https://icargo-rct.afklcargo.com/icargo/showScreen.do"/>
    <hyperlink ref="M596" r:id="rId595" display="https://icargo-rct.afklcargo.com/icargo/showScreen.do"/>
    <hyperlink ref="M597" r:id="rId596" display="https://icargo-rct.afklcargo.com/icargo/showScreen.do"/>
    <hyperlink ref="M598" r:id="rId597" display="https://icargo-rct.afklcargo.com/icargo/showScreen.do"/>
    <hyperlink ref="M599" r:id="rId598" display="https://icargo-rct.afklcargo.com/icargo/showScreen.do"/>
    <hyperlink ref="M600" r:id="rId599" display="https://icargo-rct.afklcargo.com/icargo/showScreen.do"/>
    <hyperlink ref="M601" r:id="rId600" display="https://icargo-rct.afklcargo.com/icargo/showScreen.do"/>
    <hyperlink ref="M602" r:id="rId601" display="https://icargo-rct.afklcargo.com/icargo/showScreen.do"/>
    <hyperlink ref="M603" r:id="rId602" display="https://icargo-rct.afklcargo.com/icargo/showScreen.do"/>
    <hyperlink ref="M604" r:id="rId603" display="https://icargo-rct.afklcargo.com/icargo/showScreen.do"/>
    <hyperlink ref="M605" r:id="rId604" display="https://icargo-rct.afklcargo.com/icargo/showScreen.do"/>
    <hyperlink ref="M606" r:id="rId605" display="https://icargo-rct.afklcargo.com/icargo/showScreen.do"/>
    <hyperlink ref="M607" r:id="rId606" display="https://icargo-rct.afklcargo.com/icargo/showScreen.do"/>
    <hyperlink ref="M608" r:id="rId607" display="https://icargo-rct.afklcargo.com/icargo/showScreen.do"/>
    <hyperlink ref="M609" r:id="rId608" display="https://icargo-rct.afklcargo.com/icargo/showScreen.do"/>
    <hyperlink ref="M610" r:id="rId609" display="https://icargo-rct.afklcargo.com/icargo/showScreen.do"/>
    <hyperlink ref="M611" r:id="rId610" display="https://icargo-rct.afklcargo.com/icargo/showScreen.do"/>
    <hyperlink ref="M612" r:id="rId611" display="https://icargo-rct.afklcargo.com/icargo/showScreen.do"/>
    <hyperlink ref="M613" r:id="rId612" display="https://icargo-rct.afklcargo.com/icargo/showScreen.do"/>
    <hyperlink ref="M614" r:id="rId613" display="https://icargo-rct.afklcargo.com/icargo/showScreen.do"/>
    <hyperlink ref="M615" r:id="rId614" display="https://icargo-rct.afklcargo.com/icargo/showScreen.do"/>
    <hyperlink ref="M616" r:id="rId615" display="https://icargo-rct.afklcargo.com/icargo/showScreen.do"/>
    <hyperlink ref="M617" r:id="rId616" display="https://icargo-rct.afklcargo.com/icargo/showScreen.do"/>
    <hyperlink ref="M618" r:id="rId617" display="https://icargo-rct.afklcargo.com/icargo/showScreen.do"/>
    <hyperlink ref="M619" r:id="rId618" display="https://icargo-rct.afklcargo.com/icargo/showScreen.do"/>
    <hyperlink ref="M620" r:id="rId619" display="https://icargo-rct.afklcargo.com/icargo/showScreen.do"/>
    <hyperlink ref="M621" r:id="rId620" display="https://icargo-rct.afklcargo.com/icargo/showScreen.do"/>
    <hyperlink ref="M622" r:id="rId621" display="https://icargo-rct.afklcargo.com/icargo/showScreen.do"/>
    <hyperlink ref="M623" r:id="rId622" display="https://icargo-rct.afklcargo.com/icargo/showScreen.do"/>
    <hyperlink ref="M624" r:id="rId623" display="https://icargo-rct.afklcargo.com/icargo/showScreen.do"/>
    <hyperlink ref="M625" r:id="rId624" display="https://icargo-rct.afklcargo.com/icargo/showScreen.do"/>
    <hyperlink ref="M626" r:id="rId625" display="https://icargo-rct.afklcargo.com/icargo/showScreen.do"/>
    <hyperlink ref="M627" r:id="rId626" display="https://icargo-rct.afklcargo.com/icargo/showScreen.do"/>
    <hyperlink ref="M628" r:id="rId627" display="https://icargo-rct.afklcargo.com/icargo/showScreen.do"/>
    <hyperlink ref="M629" r:id="rId628" display="https://icargo-rct.afklcargo.com/icargo/showScreen.do"/>
    <hyperlink ref="M630" r:id="rId629" display="https://icargo-rct.afklcargo.com/icargo/showScreen.do"/>
    <hyperlink ref="M631" r:id="rId630" display="https://icargo-rct.afklcargo.com/icargo/showScreen.do"/>
    <hyperlink ref="M632" r:id="rId631" display="https://icargo-rct.afklcargo.com/icargo/showScreen.do"/>
    <hyperlink ref="M633" r:id="rId632" display="https://icargo-rct.afklcargo.com/icargo/showScreen.do"/>
    <hyperlink ref="M634" r:id="rId633" display="https://icargo-rct.afklcargo.com/icargo/showScreen.do"/>
    <hyperlink ref="M635" r:id="rId634" display="https://icargo-rct.afklcargo.com/icargo/showScreen.do"/>
    <hyperlink ref="M636" r:id="rId635" display="https://icargo-rct.afklcargo.com/icargo/showScreen.do"/>
    <hyperlink ref="M637" r:id="rId636" display="https://icargo-rct.afklcargo.com/icargo/showScreen.do"/>
    <hyperlink ref="M638" r:id="rId637" display="https://icargo-rct.afklcargo.com/icargo/showScreen.do"/>
    <hyperlink ref="M639" r:id="rId638" display="https://icargo-rct.afklcargo.com/icargo/showScreen.do"/>
    <hyperlink ref="M640" r:id="rId639" display="https://icargo-rct.afklcargo.com/icargo/showScreen.do"/>
    <hyperlink ref="M641" r:id="rId640" display="https://icargo-rct.afklcargo.com/icargo/showScreen.do"/>
    <hyperlink ref="M642" r:id="rId641" display="https://icargo-rct.afklcargo.com/icargo/showScreen.do"/>
    <hyperlink ref="M643" r:id="rId642" display="https://icargo-rct.afklcargo.com/icargo/showScreen.do"/>
    <hyperlink ref="M644" r:id="rId643" display="https://icargo-rct.afklcargo.com/icargo/showScreen.do"/>
    <hyperlink ref="M645" r:id="rId644" display="https://icargo-rct.afklcargo.com/icargo/showScreen.do"/>
    <hyperlink ref="M646" r:id="rId645" display="https://icargo-rct.afklcargo.com/icargo/showScreen.do"/>
    <hyperlink ref="M647" r:id="rId646" display="https://icargo-rct.afklcargo.com/icargo/showScreen.do"/>
    <hyperlink ref="M648" r:id="rId647" display="https://icargo-rct.afklcargo.com/icargo/showScreen.do"/>
    <hyperlink ref="M649" r:id="rId648" display="https://icargo-rct.afklcargo.com/icargo/showScreen.do"/>
    <hyperlink ref="M650" r:id="rId649" display="https://icargo-rct.afklcargo.com/icargo/showScreen.do"/>
    <hyperlink ref="M651" r:id="rId650" display="https://icargo-rct.afklcargo.com/icargo/showScreen.do"/>
    <hyperlink ref="M652" r:id="rId651" display="https://icargo-rct.afklcargo.com/icargo/showScreen.do"/>
    <hyperlink ref="M653" r:id="rId652" display="https://icargo-rct.afklcargo.com/icargo/showScreen.do"/>
    <hyperlink ref="M654" r:id="rId653" display="https://icargo-rct.afklcargo.com/icargo/showScreen.do"/>
    <hyperlink ref="M655" r:id="rId654" display="https://icargo-rct.afklcargo.com/icargo/showScreen.do"/>
    <hyperlink ref="M656" r:id="rId655" display="https://icargo-rct.afklcargo.com/icargo/showScreen.do"/>
    <hyperlink ref="M657" r:id="rId656" display="https://icargo-rct.afklcargo.com/icargo/showScreen.do"/>
    <hyperlink ref="M658" r:id="rId657" display="https://icargo-rct.afklcargo.com/icargo/showScreen.do"/>
    <hyperlink ref="M659" r:id="rId658" display="https://icargo-rct.afklcargo.com/icargo/showScreen.do"/>
    <hyperlink ref="M660" r:id="rId659" display="https://icargo-rct.afklcargo.com/icargo/showScreen.do"/>
    <hyperlink ref="M661" r:id="rId660" display="https://icargo-rct.afklcargo.com/icargo/showScreen.do"/>
    <hyperlink ref="M662" r:id="rId661" display="https://icargo-rct.afklcargo.com/icargo/showScreen.do"/>
    <hyperlink ref="M663" r:id="rId662" display="https://icargo-rct.afklcargo.com/icargo/showScreen.do"/>
    <hyperlink ref="M664" r:id="rId663" display="https://icargo-rct.afklcargo.com/icargo/showScreen.do"/>
    <hyperlink ref="M665" r:id="rId664" display="https://icargo-rct.afklcargo.com/icargo/showScreen.do"/>
  </hyperlinks>
  <pageMargins left="0.7" right="0.7" top="0.75" bottom="0.75" header="0.3" footer="0.3"/>
  <pageSetup paperSize="9" orientation="portrait" r:id="rId665"/>
  <drawing r:id="rId666"/>
  <legacyDrawing r:id="rId667"/>
  <controls>
    <mc:AlternateContent xmlns:mc="http://schemas.openxmlformats.org/markup-compatibility/2006">
      <mc:Choice Requires="x14">
        <control shapeId="4045" r:id="rId668" name="Control 97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4045" r:id="rId668" name="Control 973"/>
      </mc:Fallback>
    </mc:AlternateContent>
    <mc:AlternateContent xmlns:mc="http://schemas.openxmlformats.org/markup-compatibility/2006">
      <mc:Choice Requires="x14">
        <control shapeId="4044" r:id="rId670" name="Control 97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4044" r:id="rId670" name="Control 972"/>
      </mc:Fallback>
    </mc:AlternateContent>
    <mc:AlternateContent xmlns:mc="http://schemas.openxmlformats.org/markup-compatibility/2006">
      <mc:Choice Requires="x14">
        <control shapeId="4043" r:id="rId671" name="Control 97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4043" r:id="rId671" name="Control 971"/>
      </mc:Fallback>
    </mc:AlternateContent>
    <mc:AlternateContent xmlns:mc="http://schemas.openxmlformats.org/markup-compatibility/2006">
      <mc:Choice Requires="x14">
        <control shapeId="4042" r:id="rId672" name="Control 97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4042" r:id="rId672" name="Control 970"/>
      </mc:Fallback>
    </mc:AlternateContent>
    <mc:AlternateContent xmlns:mc="http://schemas.openxmlformats.org/markup-compatibility/2006">
      <mc:Choice Requires="x14">
        <control shapeId="4041" r:id="rId673" name="Control 96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4041" r:id="rId673" name="Control 969"/>
      </mc:Fallback>
    </mc:AlternateContent>
    <mc:AlternateContent xmlns:mc="http://schemas.openxmlformats.org/markup-compatibility/2006">
      <mc:Choice Requires="x14">
        <control shapeId="4040" r:id="rId674" name="Control 96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4040" r:id="rId674" name="Control 968"/>
      </mc:Fallback>
    </mc:AlternateContent>
    <mc:AlternateContent xmlns:mc="http://schemas.openxmlformats.org/markup-compatibility/2006">
      <mc:Choice Requires="x14">
        <control shapeId="4039" r:id="rId675" name="Control 96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4039" r:id="rId675" name="Control 967"/>
      </mc:Fallback>
    </mc:AlternateContent>
    <mc:AlternateContent xmlns:mc="http://schemas.openxmlformats.org/markup-compatibility/2006">
      <mc:Choice Requires="x14">
        <control shapeId="3989" r:id="rId676" name="Control 91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89" r:id="rId676" name="Control 917"/>
      </mc:Fallback>
    </mc:AlternateContent>
    <mc:AlternateContent xmlns:mc="http://schemas.openxmlformats.org/markup-compatibility/2006">
      <mc:Choice Requires="x14">
        <control shapeId="3988" r:id="rId677" name="Control 91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88" r:id="rId677" name="Control 916"/>
      </mc:Fallback>
    </mc:AlternateContent>
    <mc:AlternateContent xmlns:mc="http://schemas.openxmlformats.org/markup-compatibility/2006">
      <mc:Choice Requires="x14">
        <control shapeId="3987" r:id="rId678" name="Control 91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87" r:id="rId678" name="Control 915"/>
      </mc:Fallback>
    </mc:AlternateContent>
    <mc:AlternateContent xmlns:mc="http://schemas.openxmlformats.org/markup-compatibility/2006">
      <mc:Choice Requires="x14">
        <control shapeId="3986" r:id="rId679" name="Control 91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86" r:id="rId679" name="Control 914"/>
      </mc:Fallback>
    </mc:AlternateContent>
    <mc:AlternateContent xmlns:mc="http://schemas.openxmlformats.org/markup-compatibility/2006">
      <mc:Choice Requires="x14">
        <control shapeId="3985" r:id="rId680" name="Control 91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85" r:id="rId680" name="Control 913"/>
      </mc:Fallback>
    </mc:AlternateContent>
    <mc:AlternateContent xmlns:mc="http://schemas.openxmlformats.org/markup-compatibility/2006">
      <mc:Choice Requires="x14">
        <control shapeId="3984" r:id="rId681" name="Control 91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84" r:id="rId681" name="Control 912"/>
      </mc:Fallback>
    </mc:AlternateContent>
    <mc:AlternateContent xmlns:mc="http://schemas.openxmlformats.org/markup-compatibility/2006">
      <mc:Choice Requires="x14">
        <control shapeId="3983" r:id="rId682" name="Control 91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83" r:id="rId682" name="Control 911"/>
      </mc:Fallback>
    </mc:AlternateContent>
    <mc:AlternateContent xmlns:mc="http://schemas.openxmlformats.org/markup-compatibility/2006">
      <mc:Choice Requires="x14">
        <control shapeId="3982" r:id="rId683" name="Control 91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82" r:id="rId683" name="Control 910"/>
      </mc:Fallback>
    </mc:AlternateContent>
    <mc:AlternateContent xmlns:mc="http://schemas.openxmlformats.org/markup-compatibility/2006">
      <mc:Choice Requires="x14">
        <control shapeId="3981" r:id="rId684" name="Control 90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81" r:id="rId684" name="Control 909"/>
      </mc:Fallback>
    </mc:AlternateContent>
    <mc:AlternateContent xmlns:mc="http://schemas.openxmlformats.org/markup-compatibility/2006">
      <mc:Choice Requires="x14">
        <control shapeId="3980" r:id="rId685" name="Control 90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80" r:id="rId685" name="Control 908"/>
      </mc:Fallback>
    </mc:AlternateContent>
    <mc:AlternateContent xmlns:mc="http://schemas.openxmlformats.org/markup-compatibility/2006">
      <mc:Choice Requires="x14">
        <control shapeId="3979" r:id="rId686" name="Control 90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79" r:id="rId686" name="Control 907"/>
      </mc:Fallback>
    </mc:AlternateContent>
    <mc:AlternateContent xmlns:mc="http://schemas.openxmlformats.org/markup-compatibility/2006">
      <mc:Choice Requires="x14">
        <control shapeId="3978" r:id="rId687" name="Control 90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78" r:id="rId687" name="Control 906"/>
      </mc:Fallback>
    </mc:AlternateContent>
    <mc:AlternateContent xmlns:mc="http://schemas.openxmlformats.org/markup-compatibility/2006">
      <mc:Choice Requires="x14">
        <control shapeId="3977" r:id="rId688" name="Control 90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77" r:id="rId688" name="Control 905"/>
      </mc:Fallback>
    </mc:AlternateContent>
    <mc:AlternateContent xmlns:mc="http://schemas.openxmlformats.org/markup-compatibility/2006">
      <mc:Choice Requires="x14">
        <control shapeId="3976" r:id="rId689" name="Control 90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76" r:id="rId689" name="Control 904"/>
      </mc:Fallback>
    </mc:AlternateContent>
    <mc:AlternateContent xmlns:mc="http://schemas.openxmlformats.org/markup-compatibility/2006">
      <mc:Choice Requires="x14">
        <control shapeId="3975" r:id="rId690" name="Control 90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75" r:id="rId690" name="Control 903"/>
      </mc:Fallback>
    </mc:AlternateContent>
    <mc:AlternateContent xmlns:mc="http://schemas.openxmlformats.org/markup-compatibility/2006">
      <mc:Choice Requires="x14">
        <control shapeId="3974" r:id="rId691" name="Control 90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74" r:id="rId691" name="Control 902"/>
      </mc:Fallback>
    </mc:AlternateContent>
    <mc:AlternateContent xmlns:mc="http://schemas.openxmlformats.org/markup-compatibility/2006">
      <mc:Choice Requires="x14">
        <control shapeId="3973" r:id="rId692" name="Control 90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73" r:id="rId692" name="Control 901"/>
      </mc:Fallback>
    </mc:AlternateContent>
    <mc:AlternateContent xmlns:mc="http://schemas.openxmlformats.org/markup-compatibility/2006">
      <mc:Choice Requires="x14">
        <control shapeId="3972" r:id="rId693" name="Control 90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72" r:id="rId693" name="Control 900"/>
      </mc:Fallback>
    </mc:AlternateContent>
    <mc:AlternateContent xmlns:mc="http://schemas.openxmlformats.org/markup-compatibility/2006">
      <mc:Choice Requires="x14">
        <control shapeId="3971" r:id="rId694" name="Control 89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71" r:id="rId694" name="Control 899"/>
      </mc:Fallback>
    </mc:AlternateContent>
    <mc:AlternateContent xmlns:mc="http://schemas.openxmlformats.org/markup-compatibility/2006">
      <mc:Choice Requires="x14">
        <control shapeId="3970" r:id="rId695" name="Control 89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70" r:id="rId695" name="Control 898"/>
      </mc:Fallback>
    </mc:AlternateContent>
    <mc:AlternateContent xmlns:mc="http://schemas.openxmlformats.org/markup-compatibility/2006">
      <mc:Choice Requires="x14">
        <control shapeId="3969" r:id="rId696" name="Control 89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69" r:id="rId696" name="Control 897"/>
      </mc:Fallback>
    </mc:AlternateContent>
    <mc:AlternateContent xmlns:mc="http://schemas.openxmlformats.org/markup-compatibility/2006">
      <mc:Choice Requires="x14">
        <control shapeId="3968" r:id="rId697" name="Control 89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68" r:id="rId697" name="Control 896"/>
      </mc:Fallback>
    </mc:AlternateContent>
    <mc:AlternateContent xmlns:mc="http://schemas.openxmlformats.org/markup-compatibility/2006">
      <mc:Choice Requires="x14">
        <control shapeId="3967" r:id="rId698" name="Control 89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67" r:id="rId698" name="Control 895"/>
      </mc:Fallback>
    </mc:AlternateContent>
    <mc:AlternateContent xmlns:mc="http://schemas.openxmlformats.org/markup-compatibility/2006">
      <mc:Choice Requires="x14">
        <control shapeId="3966" r:id="rId699" name="Control 89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66" r:id="rId699" name="Control 894"/>
      </mc:Fallback>
    </mc:AlternateContent>
    <mc:AlternateContent xmlns:mc="http://schemas.openxmlformats.org/markup-compatibility/2006">
      <mc:Choice Requires="x14">
        <control shapeId="3941" r:id="rId700" name="Control 86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41" r:id="rId700" name="Control 869"/>
      </mc:Fallback>
    </mc:AlternateContent>
    <mc:AlternateContent xmlns:mc="http://schemas.openxmlformats.org/markup-compatibility/2006">
      <mc:Choice Requires="x14">
        <control shapeId="3940" r:id="rId701" name="Control 86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40" r:id="rId701" name="Control 868"/>
      </mc:Fallback>
    </mc:AlternateContent>
    <mc:AlternateContent xmlns:mc="http://schemas.openxmlformats.org/markup-compatibility/2006">
      <mc:Choice Requires="x14">
        <control shapeId="3939" r:id="rId702" name="Control 86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39" r:id="rId702" name="Control 867"/>
      </mc:Fallback>
    </mc:AlternateContent>
    <mc:AlternateContent xmlns:mc="http://schemas.openxmlformats.org/markup-compatibility/2006">
      <mc:Choice Requires="x14">
        <control shapeId="3938" r:id="rId703" name="Control 86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38" r:id="rId703" name="Control 866"/>
      </mc:Fallback>
    </mc:AlternateContent>
    <mc:AlternateContent xmlns:mc="http://schemas.openxmlformats.org/markup-compatibility/2006">
      <mc:Choice Requires="x14">
        <control shapeId="3937" r:id="rId704" name="Control 86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37" r:id="rId704" name="Control 865"/>
      </mc:Fallback>
    </mc:AlternateContent>
    <mc:AlternateContent xmlns:mc="http://schemas.openxmlformats.org/markup-compatibility/2006">
      <mc:Choice Requires="x14">
        <control shapeId="3936" r:id="rId705" name="Control 86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36" r:id="rId705" name="Control 864"/>
      </mc:Fallback>
    </mc:AlternateContent>
    <mc:AlternateContent xmlns:mc="http://schemas.openxmlformats.org/markup-compatibility/2006">
      <mc:Choice Requires="x14">
        <control shapeId="3935" r:id="rId706" name="Control 86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35" r:id="rId706" name="Control 863"/>
      </mc:Fallback>
    </mc:AlternateContent>
    <mc:AlternateContent xmlns:mc="http://schemas.openxmlformats.org/markup-compatibility/2006">
      <mc:Choice Requires="x14">
        <control shapeId="3934" r:id="rId707" name="Control 86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34" r:id="rId707" name="Control 862"/>
      </mc:Fallback>
    </mc:AlternateContent>
    <mc:AlternateContent xmlns:mc="http://schemas.openxmlformats.org/markup-compatibility/2006">
      <mc:Choice Requires="x14">
        <control shapeId="3933" r:id="rId708" name="Control 86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33" r:id="rId708" name="Control 861"/>
      </mc:Fallback>
    </mc:AlternateContent>
    <mc:AlternateContent xmlns:mc="http://schemas.openxmlformats.org/markup-compatibility/2006">
      <mc:Choice Requires="x14">
        <control shapeId="3932" r:id="rId709" name="Control 86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32" r:id="rId709" name="Control 860"/>
      </mc:Fallback>
    </mc:AlternateContent>
    <mc:AlternateContent xmlns:mc="http://schemas.openxmlformats.org/markup-compatibility/2006">
      <mc:Choice Requires="x14">
        <control shapeId="3931" r:id="rId710" name="Control 85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31" r:id="rId710" name="Control 859"/>
      </mc:Fallback>
    </mc:AlternateContent>
    <mc:AlternateContent xmlns:mc="http://schemas.openxmlformats.org/markup-compatibility/2006">
      <mc:Choice Requires="x14">
        <control shapeId="3930" r:id="rId711" name="Control 85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30" r:id="rId711" name="Control 858"/>
      </mc:Fallback>
    </mc:AlternateContent>
    <mc:AlternateContent xmlns:mc="http://schemas.openxmlformats.org/markup-compatibility/2006">
      <mc:Choice Requires="x14">
        <control shapeId="3929" r:id="rId712" name="Control 85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29" r:id="rId712" name="Control 857"/>
      </mc:Fallback>
    </mc:AlternateContent>
    <mc:AlternateContent xmlns:mc="http://schemas.openxmlformats.org/markup-compatibility/2006">
      <mc:Choice Requires="x14">
        <control shapeId="3928" r:id="rId713" name="Control 85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28" r:id="rId713" name="Control 856"/>
      </mc:Fallback>
    </mc:AlternateContent>
    <mc:AlternateContent xmlns:mc="http://schemas.openxmlformats.org/markup-compatibility/2006">
      <mc:Choice Requires="x14">
        <control shapeId="3927" r:id="rId714" name="Control 85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27" r:id="rId714" name="Control 855"/>
      </mc:Fallback>
    </mc:AlternateContent>
    <mc:AlternateContent xmlns:mc="http://schemas.openxmlformats.org/markup-compatibility/2006">
      <mc:Choice Requires="x14">
        <control shapeId="3926" r:id="rId715" name="Control 85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26" r:id="rId715" name="Control 854"/>
      </mc:Fallback>
    </mc:AlternateContent>
    <mc:AlternateContent xmlns:mc="http://schemas.openxmlformats.org/markup-compatibility/2006">
      <mc:Choice Requires="x14">
        <control shapeId="3925" r:id="rId716" name="Control 85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25" r:id="rId716" name="Control 853"/>
      </mc:Fallback>
    </mc:AlternateContent>
    <mc:AlternateContent xmlns:mc="http://schemas.openxmlformats.org/markup-compatibility/2006">
      <mc:Choice Requires="x14">
        <control shapeId="3924" r:id="rId717" name="Control 85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24" r:id="rId717" name="Control 852"/>
      </mc:Fallback>
    </mc:AlternateContent>
    <mc:AlternateContent xmlns:mc="http://schemas.openxmlformats.org/markup-compatibility/2006">
      <mc:Choice Requires="x14">
        <control shapeId="3923" r:id="rId718" name="Control 85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23" r:id="rId718" name="Control 851"/>
      </mc:Fallback>
    </mc:AlternateContent>
    <mc:AlternateContent xmlns:mc="http://schemas.openxmlformats.org/markup-compatibility/2006">
      <mc:Choice Requires="x14">
        <control shapeId="3922" r:id="rId719" name="Control 85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22" r:id="rId719" name="Control 850"/>
      </mc:Fallback>
    </mc:AlternateContent>
    <mc:AlternateContent xmlns:mc="http://schemas.openxmlformats.org/markup-compatibility/2006">
      <mc:Choice Requires="x14">
        <control shapeId="3921" r:id="rId720" name="Control 84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21" r:id="rId720" name="Control 849"/>
      </mc:Fallback>
    </mc:AlternateContent>
    <mc:AlternateContent xmlns:mc="http://schemas.openxmlformats.org/markup-compatibility/2006">
      <mc:Choice Requires="x14">
        <control shapeId="3920" r:id="rId721" name="Control 84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20" r:id="rId721" name="Control 848"/>
      </mc:Fallback>
    </mc:AlternateContent>
    <mc:AlternateContent xmlns:mc="http://schemas.openxmlformats.org/markup-compatibility/2006">
      <mc:Choice Requires="x14">
        <control shapeId="3919" r:id="rId722" name="Control 84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19" r:id="rId722" name="Control 847"/>
      </mc:Fallback>
    </mc:AlternateContent>
    <mc:AlternateContent xmlns:mc="http://schemas.openxmlformats.org/markup-compatibility/2006">
      <mc:Choice Requires="x14">
        <control shapeId="3918" r:id="rId723" name="Control 84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918" r:id="rId723" name="Control 846"/>
      </mc:Fallback>
    </mc:AlternateContent>
    <mc:AlternateContent xmlns:mc="http://schemas.openxmlformats.org/markup-compatibility/2006">
      <mc:Choice Requires="x14">
        <control shapeId="3869" r:id="rId724" name="Control 79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69" r:id="rId724" name="Control 797"/>
      </mc:Fallback>
    </mc:AlternateContent>
    <mc:AlternateContent xmlns:mc="http://schemas.openxmlformats.org/markup-compatibility/2006">
      <mc:Choice Requires="x14">
        <control shapeId="3868" r:id="rId725" name="Control 79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68" r:id="rId725" name="Control 796"/>
      </mc:Fallback>
    </mc:AlternateContent>
    <mc:AlternateContent xmlns:mc="http://schemas.openxmlformats.org/markup-compatibility/2006">
      <mc:Choice Requires="x14">
        <control shapeId="3867" r:id="rId726" name="Control 79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67" r:id="rId726" name="Control 795"/>
      </mc:Fallback>
    </mc:AlternateContent>
    <mc:AlternateContent xmlns:mc="http://schemas.openxmlformats.org/markup-compatibility/2006">
      <mc:Choice Requires="x14">
        <control shapeId="3866" r:id="rId727" name="Control 79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66" r:id="rId727" name="Control 794"/>
      </mc:Fallback>
    </mc:AlternateContent>
    <mc:AlternateContent xmlns:mc="http://schemas.openxmlformats.org/markup-compatibility/2006">
      <mc:Choice Requires="x14">
        <control shapeId="3865" r:id="rId728" name="Control 79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65" r:id="rId728" name="Control 793"/>
      </mc:Fallback>
    </mc:AlternateContent>
    <mc:AlternateContent xmlns:mc="http://schemas.openxmlformats.org/markup-compatibility/2006">
      <mc:Choice Requires="x14">
        <control shapeId="3864" r:id="rId729" name="Control 79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64" r:id="rId729" name="Control 792"/>
      </mc:Fallback>
    </mc:AlternateContent>
    <mc:AlternateContent xmlns:mc="http://schemas.openxmlformats.org/markup-compatibility/2006">
      <mc:Choice Requires="x14">
        <control shapeId="3863" r:id="rId730" name="Control 79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63" r:id="rId730" name="Control 791"/>
      </mc:Fallback>
    </mc:AlternateContent>
    <mc:AlternateContent xmlns:mc="http://schemas.openxmlformats.org/markup-compatibility/2006">
      <mc:Choice Requires="x14">
        <control shapeId="3862" r:id="rId731" name="Control 79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62" r:id="rId731" name="Control 790"/>
      </mc:Fallback>
    </mc:AlternateContent>
    <mc:AlternateContent xmlns:mc="http://schemas.openxmlformats.org/markup-compatibility/2006">
      <mc:Choice Requires="x14">
        <control shapeId="3861" r:id="rId732" name="Control 78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61" r:id="rId732" name="Control 789"/>
      </mc:Fallback>
    </mc:AlternateContent>
    <mc:AlternateContent xmlns:mc="http://schemas.openxmlformats.org/markup-compatibility/2006">
      <mc:Choice Requires="x14">
        <control shapeId="3860" r:id="rId733" name="Control 78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60" r:id="rId733" name="Control 788"/>
      </mc:Fallback>
    </mc:AlternateContent>
    <mc:AlternateContent xmlns:mc="http://schemas.openxmlformats.org/markup-compatibility/2006">
      <mc:Choice Requires="x14">
        <control shapeId="3859" r:id="rId734" name="Control 78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59" r:id="rId734" name="Control 787"/>
      </mc:Fallback>
    </mc:AlternateContent>
    <mc:AlternateContent xmlns:mc="http://schemas.openxmlformats.org/markup-compatibility/2006">
      <mc:Choice Requires="x14">
        <control shapeId="3858" r:id="rId735" name="Control 78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58" r:id="rId735" name="Control 786"/>
      </mc:Fallback>
    </mc:AlternateContent>
    <mc:AlternateContent xmlns:mc="http://schemas.openxmlformats.org/markup-compatibility/2006">
      <mc:Choice Requires="x14">
        <control shapeId="3857" r:id="rId736" name="Control 78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57" r:id="rId736" name="Control 785"/>
      </mc:Fallback>
    </mc:AlternateContent>
    <mc:AlternateContent xmlns:mc="http://schemas.openxmlformats.org/markup-compatibility/2006">
      <mc:Choice Requires="x14">
        <control shapeId="3856" r:id="rId737" name="Control 78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56" r:id="rId737" name="Control 784"/>
      </mc:Fallback>
    </mc:AlternateContent>
    <mc:AlternateContent xmlns:mc="http://schemas.openxmlformats.org/markup-compatibility/2006">
      <mc:Choice Requires="x14">
        <control shapeId="3855" r:id="rId738" name="Control 78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55" r:id="rId738" name="Control 783"/>
      </mc:Fallback>
    </mc:AlternateContent>
    <mc:AlternateContent xmlns:mc="http://schemas.openxmlformats.org/markup-compatibility/2006">
      <mc:Choice Requires="x14">
        <control shapeId="3854" r:id="rId739" name="Control 78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54" r:id="rId739" name="Control 782"/>
      </mc:Fallback>
    </mc:AlternateContent>
    <mc:AlternateContent xmlns:mc="http://schemas.openxmlformats.org/markup-compatibility/2006">
      <mc:Choice Requires="x14">
        <control shapeId="3853" r:id="rId740" name="Control 78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53" r:id="rId740" name="Control 781"/>
      </mc:Fallback>
    </mc:AlternateContent>
    <mc:AlternateContent xmlns:mc="http://schemas.openxmlformats.org/markup-compatibility/2006">
      <mc:Choice Requires="x14">
        <control shapeId="3852" r:id="rId741" name="Control 78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52" r:id="rId741" name="Control 780"/>
      </mc:Fallback>
    </mc:AlternateContent>
    <mc:AlternateContent xmlns:mc="http://schemas.openxmlformats.org/markup-compatibility/2006">
      <mc:Choice Requires="x14">
        <control shapeId="3851" r:id="rId742" name="Control 77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51" r:id="rId742" name="Control 779"/>
      </mc:Fallback>
    </mc:AlternateContent>
    <mc:AlternateContent xmlns:mc="http://schemas.openxmlformats.org/markup-compatibility/2006">
      <mc:Choice Requires="x14">
        <control shapeId="3850" r:id="rId743" name="Control 77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50" r:id="rId743" name="Control 778"/>
      </mc:Fallback>
    </mc:AlternateContent>
    <mc:AlternateContent xmlns:mc="http://schemas.openxmlformats.org/markup-compatibility/2006">
      <mc:Choice Requires="x14">
        <control shapeId="3849" r:id="rId744" name="Control 77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49" r:id="rId744" name="Control 777"/>
      </mc:Fallback>
    </mc:AlternateContent>
    <mc:AlternateContent xmlns:mc="http://schemas.openxmlformats.org/markup-compatibility/2006">
      <mc:Choice Requires="x14">
        <control shapeId="3848" r:id="rId745" name="Control 77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48" r:id="rId745" name="Control 776"/>
      </mc:Fallback>
    </mc:AlternateContent>
    <mc:AlternateContent xmlns:mc="http://schemas.openxmlformats.org/markup-compatibility/2006">
      <mc:Choice Requires="x14">
        <control shapeId="3847" r:id="rId746" name="Control 77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47" r:id="rId746" name="Control 775"/>
      </mc:Fallback>
    </mc:AlternateContent>
    <mc:AlternateContent xmlns:mc="http://schemas.openxmlformats.org/markup-compatibility/2006">
      <mc:Choice Requires="x14">
        <control shapeId="3846" r:id="rId747" name="Control 77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46" r:id="rId747" name="Control 774"/>
      </mc:Fallback>
    </mc:AlternateContent>
    <mc:AlternateContent xmlns:mc="http://schemas.openxmlformats.org/markup-compatibility/2006">
      <mc:Choice Requires="x14">
        <control shapeId="3845" r:id="rId748" name="Control 77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45" r:id="rId748" name="Control 773"/>
      </mc:Fallback>
    </mc:AlternateContent>
    <mc:AlternateContent xmlns:mc="http://schemas.openxmlformats.org/markup-compatibility/2006">
      <mc:Choice Requires="x14">
        <control shapeId="3844" r:id="rId749" name="Control 77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44" r:id="rId749" name="Control 772"/>
      </mc:Fallback>
    </mc:AlternateContent>
    <mc:AlternateContent xmlns:mc="http://schemas.openxmlformats.org/markup-compatibility/2006">
      <mc:Choice Requires="x14">
        <control shapeId="3843" r:id="rId750" name="Control 77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43" r:id="rId750" name="Control 771"/>
      </mc:Fallback>
    </mc:AlternateContent>
    <mc:AlternateContent xmlns:mc="http://schemas.openxmlformats.org/markup-compatibility/2006">
      <mc:Choice Requires="x14">
        <control shapeId="3842" r:id="rId751" name="Control 77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42" r:id="rId751" name="Control 770"/>
      </mc:Fallback>
    </mc:AlternateContent>
    <mc:AlternateContent xmlns:mc="http://schemas.openxmlformats.org/markup-compatibility/2006">
      <mc:Choice Requires="x14">
        <control shapeId="3841" r:id="rId752" name="Control 76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41" r:id="rId752" name="Control 769"/>
      </mc:Fallback>
    </mc:AlternateContent>
    <mc:AlternateContent xmlns:mc="http://schemas.openxmlformats.org/markup-compatibility/2006">
      <mc:Choice Requires="x14">
        <control shapeId="3840" r:id="rId753" name="Control 76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40" r:id="rId753" name="Control 768"/>
      </mc:Fallback>
    </mc:AlternateContent>
    <mc:AlternateContent xmlns:mc="http://schemas.openxmlformats.org/markup-compatibility/2006">
      <mc:Choice Requires="x14">
        <control shapeId="3839" r:id="rId754" name="Control 76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39" r:id="rId754" name="Control 767"/>
      </mc:Fallback>
    </mc:AlternateContent>
    <mc:AlternateContent xmlns:mc="http://schemas.openxmlformats.org/markup-compatibility/2006">
      <mc:Choice Requires="x14">
        <control shapeId="3838" r:id="rId755" name="Control 76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38" r:id="rId755" name="Control 766"/>
      </mc:Fallback>
    </mc:AlternateContent>
    <mc:AlternateContent xmlns:mc="http://schemas.openxmlformats.org/markup-compatibility/2006">
      <mc:Choice Requires="x14">
        <control shapeId="3837" r:id="rId756" name="Control 76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37" r:id="rId756" name="Control 765"/>
      </mc:Fallback>
    </mc:AlternateContent>
    <mc:AlternateContent xmlns:mc="http://schemas.openxmlformats.org/markup-compatibility/2006">
      <mc:Choice Requires="x14">
        <control shapeId="3836" r:id="rId757" name="Control 76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36" r:id="rId757" name="Control 764"/>
      </mc:Fallback>
    </mc:AlternateContent>
    <mc:AlternateContent xmlns:mc="http://schemas.openxmlformats.org/markup-compatibility/2006">
      <mc:Choice Requires="x14">
        <control shapeId="3835" r:id="rId758" name="Control 76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35" r:id="rId758" name="Control 763"/>
      </mc:Fallback>
    </mc:AlternateContent>
    <mc:AlternateContent xmlns:mc="http://schemas.openxmlformats.org/markup-compatibility/2006">
      <mc:Choice Requires="x14">
        <control shapeId="3834" r:id="rId759" name="Control 76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34" r:id="rId759" name="Control 762"/>
      </mc:Fallback>
    </mc:AlternateContent>
    <mc:AlternateContent xmlns:mc="http://schemas.openxmlformats.org/markup-compatibility/2006">
      <mc:Choice Requires="x14">
        <control shapeId="3833" r:id="rId760" name="Control 76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33" r:id="rId760" name="Control 761"/>
      </mc:Fallback>
    </mc:AlternateContent>
    <mc:AlternateContent xmlns:mc="http://schemas.openxmlformats.org/markup-compatibility/2006">
      <mc:Choice Requires="x14">
        <control shapeId="3832" r:id="rId761" name="Control 76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32" r:id="rId761" name="Control 760"/>
      </mc:Fallback>
    </mc:AlternateContent>
    <mc:AlternateContent xmlns:mc="http://schemas.openxmlformats.org/markup-compatibility/2006">
      <mc:Choice Requires="x14">
        <control shapeId="3831" r:id="rId762" name="Control 75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31" r:id="rId762" name="Control 759"/>
      </mc:Fallback>
    </mc:AlternateContent>
    <mc:AlternateContent xmlns:mc="http://schemas.openxmlformats.org/markup-compatibility/2006">
      <mc:Choice Requires="x14">
        <control shapeId="3830" r:id="rId763" name="Control 75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30" r:id="rId763" name="Control 758"/>
      </mc:Fallback>
    </mc:AlternateContent>
    <mc:AlternateContent xmlns:mc="http://schemas.openxmlformats.org/markup-compatibility/2006">
      <mc:Choice Requires="x14">
        <control shapeId="3829" r:id="rId764" name="Control 75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29" r:id="rId764" name="Control 757"/>
      </mc:Fallback>
    </mc:AlternateContent>
    <mc:AlternateContent xmlns:mc="http://schemas.openxmlformats.org/markup-compatibility/2006">
      <mc:Choice Requires="x14">
        <control shapeId="3828" r:id="rId765" name="Control 75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28" r:id="rId765" name="Control 756"/>
      </mc:Fallback>
    </mc:AlternateContent>
    <mc:AlternateContent xmlns:mc="http://schemas.openxmlformats.org/markup-compatibility/2006">
      <mc:Choice Requires="x14">
        <control shapeId="3827" r:id="rId766" name="Control 75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27" r:id="rId766" name="Control 755"/>
      </mc:Fallback>
    </mc:AlternateContent>
    <mc:AlternateContent xmlns:mc="http://schemas.openxmlformats.org/markup-compatibility/2006">
      <mc:Choice Requires="x14">
        <control shapeId="3826" r:id="rId767" name="Control 75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26" r:id="rId767" name="Control 754"/>
      </mc:Fallback>
    </mc:AlternateContent>
    <mc:AlternateContent xmlns:mc="http://schemas.openxmlformats.org/markup-compatibility/2006">
      <mc:Choice Requires="x14">
        <control shapeId="3825" r:id="rId768" name="Control 75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25" r:id="rId768" name="Control 753"/>
      </mc:Fallback>
    </mc:AlternateContent>
    <mc:AlternateContent xmlns:mc="http://schemas.openxmlformats.org/markup-compatibility/2006">
      <mc:Choice Requires="x14">
        <control shapeId="3824" r:id="rId769" name="Control 75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24" r:id="rId769" name="Control 752"/>
      </mc:Fallback>
    </mc:AlternateContent>
    <mc:AlternateContent xmlns:mc="http://schemas.openxmlformats.org/markup-compatibility/2006">
      <mc:Choice Requires="x14">
        <control shapeId="3823" r:id="rId770" name="Control 75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23" r:id="rId770" name="Control 751"/>
      </mc:Fallback>
    </mc:AlternateContent>
    <mc:AlternateContent xmlns:mc="http://schemas.openxmlformats.org/markup-compatibility/2006">
      <mc:Choice Requires="x14">
        <control shapeId="3822" r:id="rId771" name="Control 75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822" r:id="rId771" name="Control 750"/>
      </mc:Fallback>
    </mc:AlternateContent>
    <mc:AlternateContent xmlns:mc="http://schemas.openxmlformats.org/markup-compatibility/2006">
      <mc:Choice Requires="x14">
        <control shapeId="3797" r:id="rId772" name="Control 72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97" r:id="rId772" name="Control 725"/>
      </mc:Fallback>
    </mc:AlternateContent>
    <mc:AlternateContent xmlns:mc="http://schemas.openxmlformats.org/markup-compatibility/2006">
      <mc:Choice Requires="x14">
        <control shapeId="3796" r:id="rId773" name="Control 72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96" r:id="rId773" name="Control 724"/>
      </mc:Fallback>
    </mc:AlternateContent>
    <mc:AlternateContent xmlns:mc="http://schemas.openxmlformats.org/markup-compatibility/2006">
      <mc:Choice Requires="x14">
        <control shapeId="3795" r:id="rId774" name="Control 72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95" r:id="rId774" name="Control 723"/>
      </mc:Fallback>
    </mc:AlternateContent>
    <mc:AlternateContent xmlns:mc="http://schemas.openxmlformats.org/markup-compatibility/2006">
      <mc:Choice Requires="x14">
        <control shapeId="3794" r:id="rId775" name="Control 72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94" r:id="rId775" name="Control 722"/>
      </mc:Fallback>
    </mc:AlternateContent>
    <mc:AlternateContent xmlns:mc="http://schemas.openxmlformats.org/markup-compatibility/2006">
      <mc:Choice Requires="x14">
        <control shapeId="3793" r:id="rId776" name="Control 72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93" r:id="rId776" name="Control 721"/>
      </mc:Fallback>
    </mc:AlternateContent>
    <mc:AlternateContent xmlns:mc="http://schemas.openxmlformats.org/markup-compatibility/2006">
      <mc:Choice Requires="x14">
        <control shapeId="3792" r:id="rId777" name="Control 72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92" r:id="rId777" name="Control 720"/>
      </mc:Fallback>
    </mc:AlternateContent>
    <mc:AlternateContent xmlns:mc="http://schemas.openxmlformats.org/markup-compatibility/2006">
      <mc:Choice Requires="x14">
        <control shapeId="3791" r:id="rId778" name="Control 71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91" r:id="rId778" name="Control 719"/>
      </mc:Fallback>
    </mc:AlternateContent>
    <mc:AlternateContent xmlns:mc="http://schemas.openxmlformats.org/markup-compatibility/2006">
      <mc:Choice Requires="x14">
        <control shapeId="3790" r:id="rId779" name="Control 71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90" r:id="rId779" name="Control 718"/>
      </mc:Fallback>
    </mc:AlternateContent>
    <mc:AlternateContent xmlns:mc="http://schemas.openxmlformats.org/markup-compatibility/2006">
      <mc:Choice Requires="x14">
        <control shapeId="3789" r:id="rId780" name="Control 71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89" r:id="rId780" name="Control 717"/>
      </mc:Fallback>
    </mc:AlternateContent>
    <mc:AlternateContent xmlns:mc="http://schemas.openxmlformats.org/markup-compatibility/2006">
      <mc:Choice Requires="x14">
        <control shapeId="3788" r:id="rId781" name="Control 71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88" r:id="rId781" name="Control 716"/>
      </mc:Fallback>
    </mc:AlternateContent>
    <mc:AlternateContent xmlns:mc="http://schemas.openxmlformats.org/markup-compatibility/2006">
      <mc:Choice Requires="x14">
        <control shapeId="3787" r:id="rId782" name="Control 71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87" r:id="rId782" name="Control 715"/>
      </mc:Fallback>
    </mc:AlternateContent>
    <mc:AlternateContent xmlns:mc="http://schemas.openxmlformats.org/markup-compatibility/2006">
      <mc:Choice Requires="x14">
        <control shapeId="3786" r:id="rId783" name="Control 71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86" r:id="rId783" name="Control 714"/>
      </mc:Fallback>
    </mc:AlternateContent>
    <mc:AlternateContent xmlns:mc="http://schemas.openxmlformats.org/markup-compatibility/2006">
      <mc:Choice Requires="x14">
        <control shapeId="3785" r:id="rId784" name="Control 71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85" r:id="rId784" name="Control 713"/>
      </mc:Fallback>
    </mc:AlternateContent>
    <mc:AlternateContent xmlns:mc="http://schemas.openxmlformats.org/markup-compatibility/2006">
      <mc:Choice Requires="x14">
        <control shapeId="3784" r:id="rId785" name="Control 71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84" r:id="rId785" name="Control 712"/>
      </mc:Fallback>
    </mc:AlternateContent>
    <mc:AlternateContent xmlns:mc="http://schemas.openxmlformats.org/markup-compatibility/2006">
      <mc:Choice Requires="x14">
        <control shapeId="3783" r:id="rId786" name="Control 71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83" r:id="rId786" name="Control 711"/>
      </mc:Fallback>
    </mc:AlternateContent>
    <mc:AlternateContent xmlns:mc="http://schemas.openxmlformats.org/markup-compatibility/2006">
      <mc:Choice Requires="x14">
        <control shapeId="3782" r:id="rId787" name="Control 71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82" r:id="rId787" name="Control 710"/>
      </mc:Fallback>
    </mc:AlternateContent>
    <mc:AlternateContent xmlns:mc="http://schemas.openxmlformats.org/markup-compatibility/2006">
      <mc:Choice Requires="x14">
        <control shapeId="3781" r:id="rId788" name="Control 70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81" r:id="rId788" name="Control 709"/>
      </mc:Fallback>
    </mc:AlternateContent>
    <mc:AlternateContent xmlns:mc="http://schemas.openxmlformats.org/markup-compatibility/2006">
      <mc:Choice Requires="x14">
        <control shapeId="3780" r:id="rId789" name="Control 70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80" r:id="rId789" name="Control 708"/>
      </mc:Fallback>
    </mc:AlternateContent>
    <mc:AlternateContent xmlns:mc="http://schemas.openxmlformats.org/markup-compatibility/2006">
      <mc:Choice Requires="x14">
        <control shapeId="3779" r:id="rId790" name="Control 70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79" r:id="rId790" name="Control 707"/>
      </mc:Fallback>
    </mc:AlternateContent>
    <mc:AlternateContent xmlns:mc="http://schemas.openxmlformats.org/markup-compatibility/2006">
      <mc:Choice Requires="x14">
        <control shapeId="3778" r:id="rId791" name="Control 70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78" r:id="rId791" name="Control 706"/>
      </mc:Fallback>
    </mc:AlternateContent>
    <mc:AlternateContent xmlns:mc="http://schemas.openxmlformats.org/markup-compatibility/2006">
      <mc:Choice Requires="x14">
        <control shapeId="3777" r:id="rId792" name="Control 70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77" r:id="rId792" name="Control 705"/>
      </mc:Fallback>
    </mc:AlternateContent>
    <mc:AlternateContent xmlns:mc="http://schemas.openxmlformats.org/markup-compatibility/2006">
      <mc:Choice Requires="x14">
        <control shapeId="3776" r:id="rId793" name="Control 70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76" r:id="rId793" name="Control 704"/>
      </mc:Fallback>
    </mc:AlternateContent>
    <mc:AlternateContent xmlns:mc="http://schemas.openxmlformats.org/markup-compatibility/2006">
      <mc:Choice Requires="x14">
        <control shapeId="3775" r:id="rId794" name="Control 70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75" r:id="rId794" name="Control 703"/>
      </mc:Fallback>
    </mc:AlternateContent>
    <mc:AlternateContent xmlns:mc="http://schemas.openxmlformats.org/markup-compatibility/2006">
      <mc:Choice Requires="x14">
        <control shapeId="3774" r:id="rId795" name="Control 70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74" r:id="rId795" name="Control 702"/>
      </mc:Fallback>
    </mc:AlternateContent>
    <mc:AlternateContent xmlns:mc="http://schemas.openxmlformats.org/markup-compatibility/2006">
      <mc:Choice Requires="x14">
        <control shapeId="3773" r:id="rId796" name="Control 70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73" r:id="rId796" name="Control 701"/>
      </mc:Fallback>
    </mc:AlternateContent>
    <mc:AlternateContent xmlns:mc="http://schemas.openxmlformats.org/markup-compatibility/2006">
      <mc:Choice Requires="x14">
        <control shapeId="3772" r:id="rId797" name="Control 70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72" r:id="rId797" name="Control 700"/>
      </mc:Fallback>
    </mc:AlternateContent>
    <mc:AlternateContent xmlns:mc="http://schemas.openxmlformats.org/markup-compatibility/2006">
      <mc:Choice Requires="x14">
        <control shapeId="3771" r:id="rId798" name="Control 69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71" r:id="rId798" name="Control 699"/>
      </mc:Fallback>
    </mc:AlternateContent>
    <mc:AlternateContent xmlns:mc="http://schemas.openxmlformats.org/markup-compatibility/2006">
      <mc:Choice Requires="x14">
        <control shapeId="3770" r:id="rId799" name="Control 69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70" r:id="rId799" name="Control 698"/>
      </mc:Fallback>
    </mc:AlternateContent>
    <mc:AlternateContent xmlns:mc="http://schemas.openxmlformats.org/markup-compatibility/2006">
      <mc:Choice Requires="x14">
        <control shapeId="3769" r:id="rId800" name="Control 69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69" r:id="rId800" name="Control 697"/>
      </mc:Fallback>
    </mc:AlternateContent>
    <mc:AlternateContent xmlns:mc="http://schemas.openxmlformats.org/markup-compatibility/2006">
      <mc:Choice Requires="x14">
        <control shapeId="3768" r:id="rId801" name="Control 69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68" r:id="rId801" name="Control 696"/>
      </mc:Fallback>
    </mc:AlternateContent>
    <mc:AlternateContent xmlns:mc="http://schemas.openxmlformats.org/markup-compatibility/2006">
      <mc:Choice Requires="x14">
        <control shapeId="3767" r:id="rId802" name="Control 69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67" r:id="rId802" name="Control 695"/>
      </mc:Fallback>
    </mc:AlternateContent>
    <mc:AlternateContent xmlns:mc="http://schemas.openxmlformats.org/markup-compatibility/2006">
      <mc:Choice Requires="x14">
        <control shapeId="3766" r:id="rId803" name="Control 69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66" r:id="rId803" name="Control 694"/>
      </mc:Fallback>
    </mc:AlternateContent>
    <mc:AlternateContent xmlns:mc="http://schemas.openxmlformats.org/markup-compatibility/2006">
      <mc:Choice Requires="x14">
        <control shapeId="3765" r:id="rId804" name="Control 69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65" r:id="rId804" name="Control 693"/>
      </mc:Fallback>
    </mc:AlternateContent>
    <mc:AlternateContent xmlns:mc="http://schemas.openxmlformats.org/markup-compatibility/2006">
      <mc:Choice Requires="x14">
        <control shapeId="3764" r:id="rId805" name="Control 69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64" r:id="rId805" name="Control 692"/>
      </mc:Fallback>
    </mc:AlternateContent>
    <mc:AlternateContent xmlns:mc="http://schemas.openxmlformats.org/markup-compatibility/2006">
      <mc:Choice Requires="x14">
        <control shapeId="3763" r:id="rId806" name="Control 69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63" r:id="rId806" name="Control 691"/>
      </mc:Fallback>
    </mc:AlternateContent>
    <mc:AlternateContent xmlns:mc="http://schemas.openxmlformats.org/markup-compatibility/2006">
      <mc:Choice Requires="x14">
        <control shapeId="3762" r:id="rId807" name="Control 69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62" r:id="rId807" name="Control 690"/>
      </mc:Fallback>
    </mc:AlternateContent>
    <mc:AlternateContent xmlns:mc="http://schemas.openxmlformats.org/markup-compatibility/2006">
      <mc:Choice Requires="x14">
        <control shapeId="3761" r:id="rId808" name="Control 68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61" r:id="rId808" name="Control 689"/>
      </mc:Fallback>
    </mc:AlternateContent>
    <mc:AlternateContent xmlns:mc="http://schemas.openxmlformats.org/markup-compatibility/2006">
      <mc:Choice Requires="x14">
        <control shapeId="3760" r:id="rId809" name="Control 68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60" r:id="rId809" name="Control 688"/>
      </mc:Fallback>
    </mc:AlternateContent>
    <mc:AlternateContent xmlns:mc="http://schemas.openxmlformats.org/markup-compatibility/2006">
      <mc:Choice Requires="x14">
        <control shapeId="3759" r:id="rId810" name="Control 68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59" r:id="rId810" name="Control 687"/>
      </mc:Fallback>
    </mc:AlternateContent>
    <mc:AlternateContent xmlns:mc="http://schemas.openxmlformats.org/markup-compatibility/2006">
      <mc:Choice Requires="x14">
        <control shapeId="3758" r:id="rId811" name="Control 68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58" r:id="rId811" name="Control 686"/>
      </mc:Fallback>
    </mc:AlternateContent>
    <mc:AlternateContent xmlns:mc="http://schemas.openxmlformats.org/markup-compatibility/2006">
      <mc:Choice Requires="x14">
        <control shapeId="3757" r:id="rId812" name="Control 68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57" r:id="rId812" name="Control 685"/>
      </mc:Fallback>
    </mc:AlternateContent>
    <mc:AlternateContent xmlns:mc="http://schemas.openxmlformats.org/markup-compatibility/2006">
      <mc:Choice Requires="x14">
        <control shapeId="3756" r:id="rId813" name="Control 68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56" r:id="rId813" name="Control 684"/>
      </mc:Fallback>
    </mc:AlternateContent>
    <mc:AlternateContent xmlns:mc="http://schemas.openxmlformats.org/markup-compatibility/2006">
      <mc:Choice Requires="x14">
        <control shapeId="3755" r:id="rId814" name="Control 68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55" r:id="rId814" name="Control 683"/>
      </mc:Fallback>
    </mc:AlternateContent>
    <mc:AlternateContent xmlns:mc="http://schemas.openxmlformats.org/markup-compatibility/2006">
      <mc:Choice Requires="x14">
        <control shapeId="3754" r:id="rId815" name="Control 68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54" r:id="rId815" name="Control 682"/>
      </mc:Fallback>
    </mc:AlternateContent>
    <mc:AlternateContent xmlns:mc="http://schemas.openxmlformats.org/markup-compatibility/2006">
      <mc:Choice Requires="x14">
        <control shapeId="3753" r:id="rId816" name="Control 68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53" r:id="rId816" name="Control 681"/>
      </mc:Fallback>
    </mc:AlternateContent>
    <mc:AlternateContent xmlns:mc="http://schemas.openxmlformats.org/markup-compatibility/2006">
      <mc:Choice Requires="x14">
        <control shapeId="3752" r:id="rId817" name="Control 68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52" r:id="rId817" name="Control 680"/>
      </mc:Fallback>
    </mc:AlternateContent>
    <mc:AlternateContent xmlns:mc="http://schemas.openxmlformats.org/markup-compatibility/2006">
      <mc:Choice Requires="x14">
        <control shapeId="3751" r:id="rId818" name="Control 67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51" r:id="rId818" name="Control 679"/>
      </mc:Fallback>
    </mc:AlternateContent>
    <mc:AlternateContent xmlns:mc="http://schemas.openxmlformats.org/markup-compatibility/2006">
      <mc:Choice Requires="x14">
        <control shapeId="3750" r:id="rId819" name="Control 67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750" r:id="rId819" name="Control 678"/>
      </mc:Fallback>
    </mc:AlternateContent>
    <mc:AlternateContent xmlns:mc="http://schemas.openxmlformats.org/markup-compatibility/2006">
      <mc:Choice Requires="x14">
        <control shapeId="3653" r:id="rId820" name="Control 58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53" r:id="rId820" name="Control 581"/>
      </mc:Fallback>
    </mc:AlternateContent>
    <mc:AlternateContent xmlns:mc="http://schemas.openxmlformats.org/markup-compatibility/2006">
      <mc:Choice Requires="x14">
        <control shapeId="3652" r:id="rId821" name="Control 58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52" r:id="rId821" name="Control 580"/>
      </mc:Fallback>
    </mc:AlternateContent>
    <mc:AlternateContent xmlns:mc="http://schemas.openxmlformats.org/markup-compatibility/2006">
      <mc:Choice Requires="x14">
        <control shapeId="3651" r:id="rId822" name="Control 57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51" r:id="rId822" name="Control 579"/>
      </mc:Fallback>
    </mc:AlternateContent>
    <mc:AlternateContent xmlns:mc="http://schemas.openxmlformats.org/markup-compatibility/2006">
      <mc:Choice Requires="x14">
        <control shapeId="3650" r:id="rId823" name="Control 57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50" r:id="rId823" name="Control 578"/>
      </mc:Fallback>
    </mc:AlternateContent>
    <mc:AlternateContent xmlns:mc="http://schemas.openxmlformats.org/markup-compatibility/2006">
      <mc:Choice Requires="x14">
        <control shapeId="3649" r:id="rId824" name="Control 57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49" r:id="rId824" name="Control 577"/>
      </mc:Fallback>
    </mc:AlternateContent>
    <mc:AlternateContent xmlns:mc="http://schemas.openxmlformats.org/markup-compatibility/2006">
      <mc:Choice Requires="x14">
        <control shapeId="3648" r:id="rId825" name="Control 57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48" r:id="rId825" name="Control 576"/>
      </mc:Fallback>
    </mc:AlternateContent>
    <mc:AlternateContent xmlns:mc="http://schemas.openxmlformats.org/markup-compatibility/2006">
      <mc:Choice Requires="x14">
        <control shapeId="3647" r:id="rId826" name="Control 57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47" r:id="rId826" name="Control 575"/>
      </mc:Fallback>
    </mc:AlternateContent>
    <mc:AlternateContent xmlns:mc="http://schemas.openxmlformats.org/markup-compatibility/2006">
      <mc:Choice Requires="x14">
        <control shapeId="3646" r:id="rId827" name="Control 57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46" r:id="rId827" name="Control 574"/>
      </mc:Fallback>
    </mc:AlternateContent>
    <mc:AlternateContent xmlns:mc="http://schemas.openxmlformats.org/markup-compatibility/2006">
      <mc:Choice Requires="x14">
        <control shapeId="3645" r:id="rId828" name="Control 57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45" r:id="rId828" name="Control 573"/>
      </mc:Fallback>
    </mc:AlternateContent>
    <mc:AlternateContent xmlns:mc="http://schemas.openxmlformats.org/markup-compatibility/2006">
      <mc:Choice Requires="x14">
        <control shapeId="3644" r:id="rId829" name="Control 57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44" r:id="rId829" name="Control 572"/>
      </mc:Fallback>
    </mc:AlternateContent>
    <mc:AlternateContent xmlns:mc="http://schemas.openxmlformats.org/markup-compatibility/2006">
      <mc:Choice Requires="x14">
        <control shapeId="3643" r:id="rId830" name="Control 57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43" r:id="rId830" name="Control 571"/>
      </mc:Fallback>
    </mc:AlternateContent>
    <mc:AlternateContent xmlns:mc="http://schemas.openxmlformats.org/markup-compatibility/2006">
      <mc:Choice Requires="x14">
        <control shapeId="3642" r:id="rId831" name="Control 57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42" r:id="rId831" name="Control 570"/>
      </mc:Fallback>
    </mc:AlternateContent>
    <mc:AlternateContent xmlns:mc="http://schemas.openxmlformats.org/markup-compatibility/2006">
      <mc:Choice Requires="x14">
        <control shapeId="3641" r:id="rId832" name="Control 56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41" r:id="rId832" name="Control 569"/>
      </mc:Fallback>
    </mc:AlternateContent>
    <mc:AlternateContent xmlns:mc="http://schemas.openxmlformats.org/markup-compatibility/2006">
      <mc:Choice Requires="x14">
        <control shapeId="3640" r:id="rId833" name="Control 56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40" r:id="rId833" name="Control 568"/>
      </mc:Fallback>
    </mc:AlternateContent>
    <mc:AlternateContent xmlns:mc="http://schemas.openxmlformats.org/markup-compatibility/2006">
      <mc:Choice Requires="x14">
        <control shapeId="3639" r:id="rId834" name="Control 56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39" r:id="rId834" name="Control 567"/>
      </mc:Fallback>
    </mc:AlternateContent>
    <mc:AlternateContent xmlns:mc="http://schemas.openxmlformats.org/markup-compatibility/2006">
      <mc:Choice Requires="x14">
        <control shapeId="3638" r:id="rId835" name="Control 56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38" r:id="rId835" name="Control 566"/>
      </mc:Fallback>
    </mc:AlternateContent>
    <mc:AlternateContent xmlns:mc="http://schemas.openxmlformats.org/markup-compatibility/2006">
      <mc:Choice Requires="x14">
        <control shapeId="3637" r:id="rId836" name="Control 56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37" r:id="rId836" name="Control 565"/>
      </mc:Fallback>
    </mc:AlternateContent>
    <mc:AlternateContent xmlns:mc="http://schemas.openxmlformats.org/markup-compatibility/2006">
      <mc:Choice Requires="x14">
        <control shapeId="3636" r:id="rId837" name="Control 56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36" r:id="rId837" name="Control 564"/>
      </mc:Fallback>
    </mc:AlternateContent>
    <mc:AlternateContent xmlns:mc="http://schemas.openxmlformats.org/markup-compatibility/2006">
      <mc:Choice Requires="x14">
        <control shapeId="3635" r:id="rId838" name="Control 56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35" r:id="rId838" name="Control 563"/>
      </mc:Fallback>
    </mc:AlternateContent>
    <mc:AlternateContent xmlns:mc="http://schemas.openxmlformats.org/markup-compatibility/2006">
      <mc:Choice Requires="x14">
        <control shapeId="3634" r:id="rId839" name="Control 56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34" r:id="rId839" name="Control 562"/>
      </mc:Fallback>
    </mc:AlternateContent>
    <mc:AlternateContent xmlns:mc="http://schemas.openxmlformats.org/markup-compatibility/2006">
      <mc:Choice Requires="x14">
        <control shapeId="3633" r:id="rId840" name="Control 56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33" r:id="rId840" name="Control 561"/>
      </mc:Fallback>
    </mc:AlternateContent>
    <mc:AlternateContent xmlns:mc="http://schemas.openxmlformats.org/markup-compatibility/2006">
      <mc:Choice Requires="x14">
        <control shapeId="3632" r:id="rId841" name="Control 56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32" r:id="rId841" name="Control 560"/>
      </mc:Fallback>
    </mc:AlternateContent>
    <mc:AlternateContent xmlns:mc="http://schemas.openxmlformats.org/markup-compatibility/2006">
      <mc:Choice Requires="x14">
        <control shapeId="3631" r:id="rId842" name="Control 55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31" r:id="rId842" name="Control 559"/>
      </mc:Fallback>
    </mc:AlternateContent>
    <mc:AlternateContent xmlns:mc="http://schemas.openxmlformats.org/markup-compatibility/2006">
      <mc:Choice Requires="x14">
        <control shapeId="3630" r:id="rId843" name="Control 55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30" r:id="rId843" name="Control 558"/>
      </mc:Fallback>
    </mc:AlternateContent>
    <mc:AlternateContent xmlns:mc="http://schemas.openxmlformats.org/markup-compatibility/2006">
      <mc:Choice Requires="x14">
        <control shapeId="3629" r:id="rId844" name="Control 55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29" r:id="rId844" name="Control 557"/>
      </mc:Fallback>
    </mc:AlternateContent>
    <mc:AlternateContent xmlns:mc="http://schemas.openxmlformats.org/markup-compatibility/2006">
      <mc:Choice Requires="x14">
        <control shapeId="3628" r:id="rId845" name="Control 55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28" r:id="rId845" name="Control 556"/>
      </mc:Fallback>
    </mc:AlternateContent>
    <mc:AlternateContent xmlns:mc="http://schemas.openxmlformats.org/markup-compatibility/2006">
      <mc:Choice Requires="x14">
        <control shapeId="3627" r:id="rId846" name="Control 55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27" r:id="rId846" name="Control 555"/>
      </mc:Fallback>
    </mc:AlternateContent>
    <mc:AlternateContent xmlns:mc="http://schemas.openxmlformats.org/markup-compatibility/2006">
      <mc:Choice Requires="x14">
        <control shapeId="3626" r:id="rId847" name="Control 55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26" r:id="rId847" name="Control 554"/>
      </mc:Fallback>
    </mc:AlternateContent>
    <mc:AlternateContent xmlns:mc="http://schemas.openxmlformats.org/markup-compatibility/2006">
      <mc:Choice Requires="x14">
        <control shapeId="3625" r:id="rId848" name="Control 55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25" r:id="rId848" name="Control 553"/>
      </mc:Fallback>
    </mc:AlternateContent>
    <mc:AlternateContent xmlns:mc="http://schemas.openxmlformats.org/markup-compatibility/2006">
      <mc:Choice Requires="x14">
        <control shapeId="3624" r:id="rId849" name="Control 55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24" r:id="rId849" name="Control 552"/>
      </mc:Fallback>
    </mc:AlternateContent>
    <mc:AlternateContent xmlns:mc="http://schemas.openxmlformats.org/markup-compatibility/2006">
      <mc:Choice Requires="x14">
        <control shapeId="3623" r:id="rId850" name="Control 55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23" r:id="rId850" name="Control 551"/>
      </mc:Fallback>
    </mc:AlternateContent>
    <mc:AlternateContent xmlns:mc="http://schemas.openxmlformats.org/markup-compatibility/2006">
      <mc:Choice Requires="x14">
        <control shapeId="3622" r:id="rId851" name="Control 55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22" r:id="rId851" name="Control 550"/>
      </mc:Fallback>
    </mc:AlternateContent>
    <mc:AlternateContent xmlns:mc="http://schemas.openxmlformats.org/markup-compatibility/2006">
      <mc:Choice Requires="x14">
        <control shapeId="3621" r:id="rId852" name="Control 54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21" r:id="rId852" name="Control 549"/>
      </mc:Fallback>
    </mc:AlternateContent>
    <mc:AlternateContent xmlns:mc="http://schemas.openxmlformats.org/markup-compatibility/2006">
      <mc:Choice Requires="x14">
        <control shapeId="3620" r:id="rId853" name="Control 54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20" r:id="rId853" name="Control 548"/>
      </mc:Fallback>
    </mc:AlternateContent>
    <mc:AlternateContent xmlns:mc="http://schemas.openxmlformats.org/markup-compatibility/2006">
      <mc:Choice Requires="x14">
        <control shapeId="3619" r:id="rId854" name="Control 54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19" r:id="rId854" name="Control 547"/>
      </mc:Fallback>
    </mc:AlternateContent>
    <mc:AlternateContent xmlns:mc="http://schemas.openxmlformats.org/markup-compatibility/2006">
      <mc:Choice Requires="x14">
        <control shapeId="3618" r:id="rId855" name="Control 54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18" r:id="rId855" name="Control 546"/>
      </mc:Fallback>
    </mc:AlternateContent>
    <mc:AlternateContent xmlns:mc="http://schemas.openxmlformats.org/markup-compatibility/2006">
      <mc:Choice Requires="x14">
        <control shapeId="3617" r:id="rId856" name="Control 54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17" r:id="rId856" name="Control 545"/>
      </mc:Fallback>
    </mc:AlternateContent>
    <mc:AlternateContent xmlns:mc="http://schemas.openxmlformats.org/markup-compatibility/2006">
      <mc:Choice Requires="x14">
        <control shapeId="3616" r:id="rId857" name="Control 54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16" r:id="rId857" name="Control 544"/>
      </mc:Fallback>
    </mc:AlternateContent>
    <mc:AlternateContent xmlns:mc="http://schemas.openxmlformats.org/markup-compatibility/2006">
      <mc:Choice Requires="x14">
        <control shapeId="3615" r:id="rId858" name="Control 54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15" r:id="rId858" name="Control 543"/>
      </mc:Fallback>
    </mc:AlternateContent>
    <mc:AlternateContent xmlns:mc="http://schemas.openxmlformats.org/markup-compatibility/2006">
      <mc:Choice Requires="x14">
        <control shapeId="3614" r:id="rId859" name="Control 54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14" r:id="rId859" name="Control 542"/>
      </mc:Fallback>
    </mc:AlternateContent>
    <mc:AlternateContent xmlns:mc="http://schemas.openxmlformats.org/markup-compatibility/2006">
      <mc:Choice Requires="x14">
        <control shapeId="3613" r:id="rId860" name="Control 54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13" r:id="rId860" name="Control 541"/>
      </mc:Fallback>
    </mc:AlternateContent>
    <mc:AlternateContent xmlns:mc="http://schemas.openxmlformats.org/markup-compatibility/2006">
      <mc:Choice Requires="x14">
        <control shapeId="3612" r:id="rId861" name="Control 54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12" r:id="rId861" name="Control 540"/>
      </mc:Fallback>
    </mc:AlternateContent>
    <mc:AlternateContent xmlns:mc="http://schemas.openxmlformats.org/markup-compatibility/2006">
      <mc:Choice Requires="x14">
        <control shapeId="3611" r:id="rId862" name="Control 53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11" r:id="rId862" name="Control 539"/>
      </mc:Fallback>
    </mc:AlternateContent>
    <mc:AlternateContent xmlns:mc="http://schemas.openxmlformats.org/markup-compatibility/2006">
      <mc:Choice Requires="x14">
        <control shapeId="3610" r:id="rId863" name="Control 53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10" r:id="rId863" name="Control 538"/>
      </mc:Fallback>
    </mc:AlternateContent>
    <mc:AlternateContent xmlns:mc="http://schemas.openxmlformats.org/markup-compatibility/2006">
      <mc:Choice Requires="x14">
        <control shapeId="3609" r:id="rId864" name="Control 53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09" r:id="rId864" name="Control 537"/>
      </mc:Fallback>
    </mc:AlternateContent>
    <mc:AlternateContent xmlns:mc="http://schemas.openxmlformats.org/markup-compatibility/2006">
      <mc:Choice Requires="x14">
        <control shapeId="3608" r:id="rId865" name="Control 53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08" r:id="rId865" name="Control 536"/>
      </mc:Fallback>
    </mc:AlternateContent>
    <mc:AlternateContent xmlns:mc="http://schemas.openxmlformats.org/markup-compatibility/2006">
      <mc:Choice Requires="x14">
        <control shapeId="3607" r:id="rId866" name="Control 53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07" r:id="rId866" name="Control 535"/>
      </mc:Fallback>
    </mc:AlternateContent>
    <mc:AlternateContent xmlns:mc="http://schemas.openxmlformats.org/markup-compatibility/2006">
      <mc:Choice Requires="x14">
        <control shapeId="3606" r:id="rId867" name="Control 53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06" r:id="rId867" name="Control 534"/>
      </mc:Fallback>
    </mc:AlternateContent>
    <mc:AlternateContent xmlns:mc="http://schemas.openxmlformats.org/markup-compatibility/2006">
      <mc:Choice Requires="x14">
        <control shapeId="3605" r:id="rId868" name="Control 53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05" r:id="rId868" name="Control 533"/>
      </mc:Fallback>
    </mc:AlternateContent>
    <mc:AlternateContent xmlns:mc="http://schemas.openxmlformats.org/markup-compatibility/2006">
      <mc:Choice Requires="x14">
        <control shapeId="3604" r:id="rId869" name="Control 53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04" r:id="rId869" name="Control 532"/>
      </mc:Fallback>
    </mc:AlternateContent>
    <mc:AlternateContent xmlns:mc="http://schemas.openxmlformats.org/markup-compatibility/2006">
      <mc:Choice Requires="x14">
        <control shapeId="3603" r:id="rId870" name="Control 53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03" r:id="rId870" name="Control 531"/>
      </mc:Fallback>
    </mc:AlternateContent>
    <mc:AlternateContent xmlns:mc="http://schemas.openxmlformats.org/markup-compatibility/2006">
      <mc:Choice Requires="x14">
        <control shapeId="3602" r:id="rId871" name="Control 53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02" r:id="rId871" name="Control 530"/>
      </mc:Fallback>
    </mc:AlternateContent>
    <mc:AlternateContent xmlns:mc="http://schemas.openxmlformats.org/markup-compatibility/2006">
      <mc:Choice Requires="x14">
        <control shapeId="3601" r:id="rId872" name="Control 52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01" r:id="rId872" name="Control 529"/>
      </mc:Fallback>
    </mc:AlternateContent>
    <mc:AlternateContent xmlns:mc="http://schemas.openxmlformats.org/markup-compatibility/2006">
      <mc:Choice Requires="x14">
        <control shapeId="3600" r:id="rId873" name="Control 52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600" r:id="rId873" name="Control 528"/>
      </mc:Fallback>
    </mc:AlternateContent>
    <mc:AlternateContent xmlns:mc="http://schemas.openxmlformats.org/markup-compatibility/2006">
      <mc:Choice Requires="x14">
        <control shapeId="3599" r:id="rId874" name="Control 52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99" r:id="rId874" name="Control 527"/>
      </mc:Fallback>
    </mc:AlternateContent>
    <mc:AlternateContent xmlns:mc="http://schemas.openxmlformats.org/markup-compatibility/2006">
      <mc:Choice Requires="x14">
        <control shapeId="3598" r:id="rId875" name="Control 52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98" r:id="rId875" name="Control 526"/>
      </mc:Fallback>
    </mc:AlternateContent>
    <mc:AlternateContent xmlns:mc="http://schemas.openxmlformats.org/markup-compatibility/2006">
      <mc:Choice Requires="x14">
        <control shapeId="3597" r:id="rId876" name="Control 52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97" r:id="rId876" name="Control 525"/>
      </mc:Fallback>
    </mc:AlternateContent>
    <mc:AlternateContent xmlns:mc="http://schemas.openxmlformats.org/markup-compatibility/2006">
      <mc:Choice Requires="x14">
        <control shapeId="3596" r:id="rId877" name="Control 52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96" r:id="rId877" name="Control 524"/>
      </mc:Fallback>
    </mc:AlternateContent>
    <mc:AlternateContent xmlns:mc="http://schemas.openxmlformats.org/markup-compatibility/2006">
      <mc:Choice Requires="x14">
        <control shapeId="3595" r:id="rId878" name="Control 52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95" r:id="rId878" name="Control 523"/>
      </mc:Fallback>
    </mc:AlternateContent>
    <mc:AlternateContent xmlns:mc="http://schemas.openxmlformats.org/markup-compatibility/2006">
      <mc:Choice Requires="x14">
        <control shapeId="3594" r:id="rId879" name="Control 52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94" r:id="rId879" name="Control 522"/>
      </mc:Fallback>
    </mc:AlternateContent>
    <mc:AlternateContent xmlns:mc="http://schemas.openxmlformats.org/markup-compatibility/2006">
      <mc:Choice Requires="x14">
        <control shapeId="3593" r:id="rId880" name="Control 52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93" r:id="rId880" name="Control 521"/>
      </mc:Fallback>
    </mc:AlternateContent>
    <mc:AlternateContent xmlns:mc="http://schemas.openxmlformats.org/markup-compatibility/2006">
      <mc:Choice Requires="x14">
        <control shapeId="3592" r:id="rId881" name="Control 52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92" r:id="rId881" name="Control 520"/>
      </mc:Fallback>
    </mc:AlternateContent>
    <mc:AlternateContent xmlns:mc="http://schemas.openxmlformats.org/markup-compatibility/2006">
      <mc:Choice Requires="x14">
        <control shapeId="3591" r:id="rId882" name="Control 51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91" r:id="rId882" name="Control 519"/>
      </mc:Fallback>
    </mc:AlternateContent>
    <mc:AlternateContent xmlns:mc="http://schemas.openxmlformats.org/markup-compatibility/2006">
      <mc:Choice Requires="x14">
        <control shapeId="3590" r:id="rId883" name="Control 51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90" r:id="rId883" name="Control 518"/>
      </mc:Fallback>
    </mc:AlternateContent>
    <mc:AlternateContent xmlns:mc="http://schemas.openxmlformats.org/markup-compatibility/2006">
      <mc:Choice Requires="x14">
        <control shapeId="3589" r:id="rId884" name="Control 51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89" r:id="rId884" name="Control 517"/>
      </mc:Fallback>
    </mc:AlternateContent>
    <mc:AlternateContent xmlns:mc="http://schemas.openxmlformats.org/markup-compatibility/2006">
      <mc:Choice Requires="x14">
        <control shapeId="3588" r:id="rId885" name="Control 51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88" r:id="rId885" name="Control 516"/>
      </mc:Fallback>
    </mc:AlternateContent>
    <mc:AlternateContent xmlns:mc="http://schemas.openxmlformats.org/markup-compatibility/2006">
      <mc:Choice Requires="x14">
        <control shapeId="3587" r:id="rId886" name="Control 51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87" r:id="rId886" name="Control 515"/>
      </mc:Fallback>
    </mc:AlternateContent>
    <mc:AlternateContent xmlns:mc="http://schemas.openxmlformats.org/markup-compatibility/2006">
      <mc:Choice Requires="x14">
        <control shapeId="3586" r:id="rId887" name="Control 51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86" r:id="rId887" name="Control 514"/>
      </mc:Fallback>
    </mc:AlternateContent>
    <mc:AlternateContent xmlns:mc="http://schemas.openxmlformats.org/markup-compatibility/2006">
      <mc:Choice Requires="x14">
        <control shapeId="3585" r:id="rId888" name="Control 51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85" r:id="rId888" name="Control 513"/>
      </mc:Fallback>
    </mc:AlternateContent>
    <mc:AlternateContent xmlns:mc="http://schemas.openxmlformats.org/markup-compatibility/2006">
      <mc:Choice Requires="x14">
        <control shapeId="3584" r:id="rId889" name="Control 51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84" r:id="rId889" name="Control 512"/>
      </mc:Fallback>
    </mc:AlternateContent>
    <mc:AlternateContent xmlns:mc="http://schemas.openxmlformats.org/markup-compatibility/2006">
      <mc:Choice Requires="x14">
        <control shapeId="3583" r:id="rId890" name="Control 51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83" r:id="rId890" name="Control 511"/>
      </mc:Fallback>
    </mc:AlternateContent>
    <mc:AlternateContent xmlns:mc="http://schemas.openxmlformats.org/markup-compatibility/2006">
      <mc:Choice Requires="x14">
        <control shapeId="3582" r:id="rId891" name="Control 51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82" r:id="rId891" name="Control 510"/>
      </mc:Fallback>
    </mc:AlternateContent>
    <mc:AlternateContent xmlns:mc="http://schemas.openxmlformats.org/markup-compatibility/2006">
      <mc:Choice Requires="x14">
        <control shapeId="3581" r:id="rId892" name="Control 50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81" r:id="rId892" name="Control 509"/>
      </mc:Fallback>
    </mc:AlternateContent>
    <mc:AlternateContent xmlns:mc="http://schemas.openxmlformats.org/markup-compatibility/2006">
      <mc:Choice Requires="x14">
        <control shapeId="3580" r:id="rId893" name="Control 50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80" r:id="rId893" name="Control 508"/>
      </mc:Fallback>
    </mc:AlternateContent>
    <mc:AlternateContent xmlns:mc="http://schemas.openxmlformats.org/markup-compatibility/2006">
      <mc:Choice Requires="x14">
        <control shapeId="3579" r:id="rId894" name="Control 50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79" r:id="rId894" name="Control 507"/>
      </mc:Fallback>
    </mc:AlternateContent>
    <mc:AlternateContent xmlns:mc="http://schemas.openxmlformats.org/markup-compatibility/2006">
      <mc:Choice Requires="x14">
        <control shapeId="3578" r:id="rId895" name="Control 50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78" r:id="rId895" name="Control 506"/>
      </mc:Fallback>
    </mc:AlternateContent>
    <mc:AlternateContent xmlns:mc="http://schemas.openxmlformats.org/markup-compatibility/2006">
      <mc:Choice Requires="x14">
        <control shapeId="3577" r:id="rId896" name="Control 50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77" r:id="rId896" name="Control 505"/>
      </mc:Fallback>
    </mc:AlternateContent>
    <mc:AlternateContent xmlns:mc="http://schemas.openxmlformats.org/markup-compatibility/2006">
      <mc:Choice Requires="x14">
        <control shapeId="3576" r:id="rId897" name="Control 50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76" r:id="rId897" name="Control 504"/>
      </mc:Fallback>
    </mc:AlternateContent>
    <mc:AlternateContent xmlns:mc="http://schemas.openxmlformats.org/markup-compatibility/2006">
      <mc:Choice Requires="x14">
        <control shapeId="3575" r:id="rId898" name="Control 50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75" r:id="rId898" name="Control 503"/>
      </mc:Fallback>
    </mc:AlternateContent>
    <mc:AlternateContent xmlns:mc="http://schemas.openxmlformats.org/markup-compatibility/2006">
      <mc:Choice Requires="x14">
        <control shapeId="3574" r:id="rId899" name="Control 50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74" r:id="rId899" name="Control 502"/>
      </mc:Fallback>
    </mc:AlternateContent>
    <mc:AlternateContent xmlns:mc="http://schemas.openxmlformats.org/markup-compatibility/2006">
      <mc:Choice Requires="x14">
        <control shapeId="3573" r:id="rId900" name="Control 50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73" r:id="rId900" name="Control 501"/>
      </mc:Fallback>
    </mc:AlternateContent>
    <mc:AlternateContent xmlns:mc="http://schemas.openxmlformats.org/markup-compatibility/2006">
      <mc:Choice Requires="x14">
        <control shapeId="3572" r:id="rId901" name="Control 50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72" r:id="rId901" name="Control 500"/>
      </mc:Fallback>
    </mc:AlternateContent>
    <mc:AlternateContent xmlns:mc="http://schemas.openxmlformats.org/markup-compatibility/2006">
      <mc:Choice Requires="x14">
        <control shapeId="3571" r:id="rId902" name="Control 49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71" r:id="rId902" name="Control 499"/>
      </mc:Fallback>
    </mc:AlternateContent>
    <mc:AlternateContent xmlns:mc="http://schemas.openxmlformats.org/markup-compatibility/2006">
      <mc:Choice Requires="x14">
        <control shapeId="3570" r:id="rId903" name="Control 49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70" r:id="rId903" name="Control 498"/>
      </mc:Fallback>
    </mc:AlternateContent>
    <mc:AlternateContent xmlns:mc="http://schemas.openxmlformats.org/markup-compatibility/2006">
      <mc:Choice Requires="x14">
        <control shapeId="3569" r:id="rId904" name="Control 49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69" r:id="rId904" name="Control 497"/>
      </mc:Fallback>
    </mc:AlternateContent>
    <mc:AlternateContent xmlns:mc="http://schemas.openxmlformats.org/markup-compatibility/2006">
      <mc:Choice Requires="x14">
        <control shapeId="3568" r:id="rId905" name="Control 49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68" r:id="rId905" name="Control 496"/>
      </mc:Fallback>
    </mc:AlternateContent>
    <mc:AlternateContent xmlns:mc="http://schemas.openxmlformats.org/markup-compatibility/2006">
      <mc:Choice Requires="x14">
        <control shapeId="3567" r:id="rId906" name="Control 49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67" r:id="rId906" name="Control 495"/>
      </mc:Fallback>
    </mc:AlternateContent>
    <mc:AlternateContent xmlns:mc="http://schemas.openxmlformats.org/markup-compatibility/2006">
      <mc:Choice Requires="x14">
        <control shapeId="3566" r:id="rId907" name="Control 49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66" r:id="rId907" name="Control 494"/>
      </mc:Fallback>
    </mc:AlternateContent>
    <mc:AlternateContent xmlns:mc="http://schemas.openxmlformats.org/markup-compatibility/2006">
      <mc:Choice Requires="x14">
        <control shapeId="3565" r:id="rId908" name="Control 49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65" r:id="rId908" name="Control 493"/>
      </mc:Fallback>
    </mc:AlternateContent>
    <mc:AlternateContent xmlns:mc="http://schemas.openxmlformats.org/markup-compatibility/2006">
      <mc:Choice Requires="x14">
        <control shapeId="3564" r:id="rId909" name="Control 49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64" r:id="rId909" name="Control 492"/>
      </mc:Fallback>
    </mc:AlternateContent>
    <mc:AlternateContent xmlns:mc="http://schemas.openxmlformats.org/markup-compatibility/2006">
      <mc:Choice Requires="x14">
        <control shapeId="3563" r:id="rId910" name="Control 49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63" r:id="rId910" name="Control 491"/>
      </mc:Fallback>
    </mc:AlternateContent>
    <mc:AlternateContent xmlns:mc="http://schemas.openxmlformats.org/markup-compatibility/2006">
      <mc:Choice Requires="x14">
        <control shapeId="3562" r:id="rId911" name="Control 49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62" r:id="rId911" name="Control 490"/>
      </mc:Fallback>
    </mc:AlternateContent>
    <mc:AlternateContent xmlns:mc="http://schemas.openxmlformats.org/markup-compatibility/2006">
      <mc:Choice Requires="x14">
        <control shapeId="3561" r:id="rId912" name="Control 48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61" r:id="rId912" name="Control 489"/>
      </mc:Fallback>
    </mc:AlternateContent>
    <mc:AlternateContent xmlns:mc="http://schemas.openxmlformats.org/markup-compatibility/2006">
      <mc:Choice Requires="x14">
        <control shapeId="3560" r:id="rId913" name="Control 48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60" r:id="rId913" name="Control 488"/>
      </mc:Fallback>
    </mc:AlternateContent>
    <mc:AlternateContent xmlns:mc="http://schemas.openxmlformats.org/markup-compatibility/2006">
      <mc:Choice Requires="x14">
        <control shapeId="3559" r:id="rId914" name="Control 48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59" r:id="rId914" name="Control 487"/>
      </mc:Fallback>
    </mc:AlternateContent>
    <mc:AlternateContent xmlns:mc="http://schemas.openxmlformats.org/markup-compatibility/2006">
      <mc:Choice Requires="x14">
        <control shapeId="3558" r:id="rId915" name="Control 48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58" r:id="rId915" name="Control 486"/>
      </mc:Fallback>
    </mc:AlternateContent>
    <mc:AlternateContent xmlns:mc="http://schemas.openxmlformats.org/markup-compatibility/2006">
      <mc:Choice Requires="x14">
        <control shapeId="3557" r:id="rId916" name="Control 48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57" r:id="rId916" name="Control 485"/>
      </mc:Fallback>
    </mc:AlternateContent>
    <mc:AlternateContent xmlns:mc="http://schemas.openxmlformats.org/markup-compatibility/2006">
      <mc:Choice Requires="x14">
        <control shapeId="3556" r:id="rId917" name="Control 48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56" r:id="rId917" name="Control 484"/>
      </mc:Fallback>
    </mc:AlternateContent>
    <mc:AlternateContent xmlns:mc="http://schemas.openxmlformats.org/markup-compatibility/2006">
      <mc:Choice Requires="x14">
        <control shapeId="3555" r:id="rId918" name="Control 48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55" r:id="rId918" name="Control 483"/>
      </mc:Fallback>
    </mc:AlternateContent>
    <mc:AlternateContent xmlns:mc="http://schemas.openxmlformats.org/markup-compatibility/2006">
      <mc:Choice Requires="x14">
        <control shapeId="3554" r:id="rId919" name="Control 48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54" r:id="rId919" name="Control 482"/>
      </mc:Fallback>
    </mc:AlternateContent>
    <mc:AlternateContent xmlns:mc="http://schemas.openxmlformats.org/markup-compatibility/2006">
      <mc:Choice Requires="x14">
        <control shapeId="3553" r:id="rId920" name="Control 48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53" r:id="rId920" name="Control 481"/>
      </mc:Fallback>
    </mc:AlternateContent>
    <mc:AlternateContent xmlns:mc="http://schemas.openxmlformats.org/markup-compatibility/2006">
      <mc:Choice Requires="x14">
        <control shapeId="3552" r:id="rId921" name="Control 48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52" r:id="rId921" name="Control 480"/>
      </mc:Fallback>
    </mc:AlternateContent>
    <mc:AlternateContent xmlns:mc="http://schemas.openxmlformats.org/markup-compatibility/2006">
      <mc:Choice Requires="x14">
        <control shapeId="3551" r:id="rId922" name="Control 47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51" r:id="rId922" name="Control 479"/>
      </mc:Fallback>
    </mc:AlternateContent>
    <mc:AlternateContent xmlns:mc="http://schemas.openxmlformats.org/markup-compatibility/2006">
      <mc:Choice Requires="x14">
        <control shapeId="3550" r:id="rId923" name="Control 47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50" r:id="rId923" name="Control 478"/>
      </mc:Fallback>
    </mc:AlternateContent>
    <mc:AlternateContent xmlns:mc="http://schemas.openxmlformats.org/markup-compatibility/2006">
      <mc:Choice Requires="x14">
        <control shapeId="3549" r:id="rId924" name="Control 47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49" r:id="rId924" name="Control 477"/>
      </mc:Fallback>
    </mc:AlternateContent>
    <mc:AlternateContent xmlns:mc="http://schemas.openxmlformats.org/markup-compatibility/2006">
      <mc:Choice Requires="x14">
        <control shapeId="3548" r:id="rId925" name="Control 47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48" r:id="rId925" name="Control 476"/>
      </mc:Fallback>
    </mc:AlternateContent>
    <mc:AlternateContent xmlns:mc="http://schemas.openxmlformats.org/markup-compatibility/2006">
      <mc:Choice Requires="x14">
        <control shapeId="3547" r:id="rId926" name="Control 47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47" r:id="rId926" name="Control 475"/>
      </mc:Fallback>
    </mc:AlternateContent>
    <mc:AlternateContent xmlns:mc="http://schemas.openxmlformats.org/markup-compatibility/2006">
      <mc:Choice Requires="x14">
        <control shapeId="3546" r:id="rId927" name="Control 47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46" r:id="rId927" name="Control 474"/>
      </mc:Fallback>
    </mc:AlternateContent>
    <mc:AlternateContent xmlns:mc="http://schemas.openxmlformats.org/markup-compatibility/2006">
      <mc:Choice Requires="x14">
        <control shapeId="3545" r:id="rId928" name="Control 47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45" r:id="rId928" name="Control 473"/>
      </mc:Fallback>
    </mc:AlternateContent>
    <mc:AlternateContent xmlns:mc="http://schemas.openxmlformats.org/markup-compatibility/2006">
      <mc:Choice Requires="x14">
        <control shapeId="3544" r:id="rId929" name="Control 47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44" r:id="rId929" name="Control 472"/>
      </mc:Fallback>
    </mc:AlternateContent>
    <mc:AlternateContent xmlns:mc="http://schemas.openxmlformats.org/markup-compatibility/2006">
      <mc:Choice Requires="x14">
        <control shapeId="3543" r:id="rId930" name="Control 47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43" r:id="rId930" name="Control 471"/>
      </mc:Fallback>
    </mc:AlternateContent>
    <mc:AlternateContent xmlns:mc="http://schemas.openxmlformats.org/markup-compatibility/2006">
      <mc:Choice Requires="x14">
        <control shapeId="3542" r:id="rId931" name="Control 47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42" r:id="rId931" name="Control 470"/>
      </mc:Fallback>
    </mc:AlternateContent>
    <mc:AlternateContent xmlns:mc="http://schemas.openxmlformats.org/markup-compatibility/2006">
      <mc:Choice Requires="x14">
        <control shapeId="3541" r:id="rId932" name="Control 46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41" r:id="rId932" name="Control 469"/>
      </mc:Fallback>
    </mc:AlternateContent>
    <mc:AlternateContent xmlns:mc="http://schemas.openxmlformats.org/markup-compatibility/2006">
      <mc:Choice Requires="x14">
        <control shapeId="3540" r:id="rId933" name="Control 46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40" r:id="rId933" name="Control 468"/>
      </mc:Fallback>
    </mc:AlternateContent>
    <mc:AlternateContent xmlns:mc="http://schemas.openxmlformats.org/markup-compatibility/2006">
      <mc:Choice Requires="x14">
        <control shapeId="3539" r:id="rId934" name="Control 46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39" r:id="rId934" name="Control 467"/>
      </mc:Fallback>
    </mc:AlternateContent>
    <mc:AlternateContent xmlns:mc="http://schemas.openxmlformats.org/markup-compatibility/2006">
      <mc:Choice Requires="x14">
        <control shapeId="3538" r:id="rId935" name="Control 46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38" r:id="rId935" name="Control 466"/>
      </mc:Fallback>
    </mc:AlternateContent>
    <mc:AlternateContent xmlns:mc="http://schemas.openxmlformats.org/markup-compatibility/2006">
      <mc:Choice Requires="x14">
        <control shapeId="3537" r:id="rId936" name="Control 46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37" r:id="rId936" name="Control 465"/>
      </mc:Fallback>
    </mc:AlternateContent>
    <mc:AlternateContent xmlns:mc="http://schemas.openxmlformats.org/markup-compatibility/2006">
      <mc:Choice Requires="x14">
        <control shapeId="3536" r:id="rId937" name="Control 46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36" r:id="rId937" name="Control 464"/>
      </mc:Fallback>
    </mc:AlternateContent>
    <mc:AlternateContent xmlns:mc="http://schemas.openxmlformats.org/markup-compatibility/2006">
      <mc:Choice Requires="x14">
        <control shapeId="3535" r:id="rId938" name="Control 46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35" r:id="rId938" name="Control 463"/>
      </mc:Fallback>
    </mc:AlternateContent>
    <mc:AlternateContent xmlns:mc="http://schemas.openxmlformats.org/markup-compatibility/2006">
      <mc:Choice Requires="x14">
        <control shapeId="3534" r:id="rId939" name="Control 46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34" r:id="rId939" name="Control 462"/>
      </mc:Fallback>
    </mc:AlternateContent>
    <mc:AlternateContent xmlns:mc="http://schemas.openxmlformats.org/markup-compatibility/2006">
      <mc:Choice Requires="x14">
        <control shapeId="3533" r:id="rId940" name="Control 46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33" r:id="rId940" name="Control 461"/>
      </mc:Fallback>
    </mc:AlternateContent>
    <mc:AlternateContent xmlns:mc="http://schemas.openxmlformats.org/markup-compatibility/2006">
      <mc:Choice Requires="x14">
        <control shapeId="3532" r:id="rId941" name="Control 46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32" r:id="rId941" name="Control 460"/>
      </mc:Fallback>
    </mc:AlternateContent>
    <mc:AlternateContent xmlns:mc="http://schemas.openxmlformats.org/markup-compatibility/2006">
      <mc:Choice Requires="x14">
        <control shapeId="3531" r:id="rId942" name="Control 45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31" r:id="rId942" name="Control 459"/>
      </mc:Fallback>
    </mc:AlternateContent>
    <mc:AlternateContent xmlns:mc="http://schemas.openxmlformats.org/markup-compatibility/2006">
      <mc:Choice Requires="x14">
        <control shapeId="3530" r:id="rId943" name="Control 45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30" r:id="rId943" name="Control 458"/>
      </mc:Fallback>
    </mc:AlternateContent>
    <mc:AlternateContent xmlns:mc="http://schemas.openxmlformats.org/markup-compatibility/2006">
      <mc:Choice Requires="x14">
        <control shapeId="3529" r:id="rId944" name="Control 45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29" r:id="rId944" name="Control 457"/>
      </mc:Fallback>
    </mc:AlternateContent>
    <mc:AlternateContent xmlns:mc="http://schemas.openxmlformats.org/markup-compatibility/2006">
      <mc:Choice Requires="x14">
        <control shapeId="3528" r:id="rId945" name="Control 45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28" r:id="rId945" name="Control 456"/>
      </mc:Fallback>
    </mc:AlternateContent>
    <mc:AlternateContent xmlns:mc="http://schemas.openxmlformats.org/markup-compatibility/2006">
      <mc:Choice Requires="x14">
        <control shapeId="3527" r:id="rId946" name="Control 45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27" r:id="rId946" name="Control 455"/>
      </mc:Fallback>
    </mc:AlternateContent>
    <mc:AlternateContent xmlns:mc="http://schemas.openxmlformats.org/markup-compatibility/2006">
      <mc:Choice Requires="x14">
        <control shapeId="3526" r:id="rId947" name="Control 45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26" r:id="rId947" name="Control 454"/>
      </mc:Fallback>
    </mc:AlternateContent>
    <mc:AlternateContent xmlns:mc="http://schemas.openxmlformats.org/markup-compatibility/2006">
      <mc:Choice Requires="x14">
        <control shapeId="3525" r:id="rId948" name="Control 45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25" r:id="rId948" name="Control 453"/>
      </mc:Fallback>
    </mc:AlternateContent>
    <mc:AlternateContent xmlns:mc="http://schemas.openxmlformats.org/markup-compatibility/2006">
      <mc:Choice Requires="x14">
        <control shapeId="3524" r:id="rId949" name="Control 45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24" r:id="rId949" name="Control 452"/>
      </mc:Fallback>
    </mc:AlternateContent>
    <mc:AlternateContent xmlns:mc="http://schemas.openxmlformats.org/markup-compatibility/2006">
      <mc:Choice Requires="x14">
        <control shapeId="3523" r:id="rId950" name="Control 45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23" r:id="rId950" name="Control 451"/>
      </mc:Fallback>
    </mc:AlternateContent>
    <mc:AlternateContent xmlns:mc="http://schemas.openxmlformats.org/markup-compatibility/2006">
      <mc:Choice Requires="x14">
        <control shapeId="3522" r:id="rId951" name="Control 45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22" r:id="rId951" name="Control 450"/>
      </mc:Fallback>
    </mc:AlternateContent>
    <mc:AlternateContent xmlns:mc="http://schemas.openxmlformats.org/markup-compatibility/2006">
      <mc:Choice Requires="x14">
        <control shapeId="3521" r:id="rId952" name="Control 44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21" r:id="rId952" name="Control 449"/>
      </mc:Fallback>
    </mc:AlternateContent>
    <mc:AlternateContent xmlns:mc="http://schemas.openxmlformats.org/markup-compatibility/2006">
      <mc:Choice Requires="x14">
        <control shapeId="3520" r:id="rId953" name="Control 44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20" r:id="rId953" name="Control 448"/>
      </mc:Fallback>
    </mc:AlternateContent>
    <mc:AlternateContent xmlns:mc="http://schemas.openxmlformats.org/markup-compatibility/2006">
      <mc:Choice Requires="x14">
        <control shapeId="3519" r:id="rId954" name="Control 44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19" r:id="rId954" name="Control 447"/>
      </mc:Fallback>
    </mc:AlternateContent>
    <mc:AlternateContent xmlns:mc="http://schemas.openxmlformats.org/markup-compatibility/2006">
      <mc:Choice Requires="x14">
        <control shapeId="3518" r:id="rId955" name="Control 44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18" r:id="rId955" name="Control 446"/>
      </mc:Fallback>
    </mc:AlternateContent>
    <mc:AlternateContent xmlns:mc="http://schemas.openxmlformats.org/markup-compatibility/2006">
      <mc:Choice Requires="x14">
        <control shapeId="3517" r:id="rId956" name="Control 44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17" r:id="rId956" name="Control 445"/>
      </mc:Fallback>
    </mc:AlternateContent>
    <mc:AlternateContent xmlns:mc="http://schemas.openxmlformats.org/markup-compatibility/2006">
      <mc:Choice Requires="x14">
        <control shapeId="3516" r:id="rId957" name="Control 44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16" r:id="rId957" name="Control 444"/>
      </mc:Fallback>
    </mc:AlternateContent>
    <mc:AlternateContent xmlns:mc="http://schemas.openxmlformats.org/markup-compatibility/2006">
      <mc:Choice Requires="x14">
        <control shapeId="3515" r:id="rId958" name="Control 44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15" r:id="rId958" name="Control 443"/>
      </mc:Fallback>
    </mc:AlternateContent>
    <mc:AlternateContent xmlns:mc="http://schemas.openxmlformats.org/markup-compatibility/2006">
      <mc:Choice Requires="x14">
        <control shapeId="3514" r:id="rId959" name="Control 44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14" r:id="rId959" name="Control 442"/>
      </mc:Fallback>
    </mc:AlternateContent>
    <mc:AlternateContent xmlns:mc="http://schemas.openxmlformats.org/markup-compatibility/2006">
      <mc:Choice Requires="x14">
        <control shapeId="3513" r:id="rId960" name="Control 44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13" r:id="rId960" name="Control 441"/>
      </mc:Fallback>
    </mc:AlternateContent>
    <mc:AlternateContent xmlns:mc="http://schemas.openxmlformats.org/markup-compatibility/2006">
      <mc:Choice Requires="x14">
        <control shapeId="3512" r:id="rId961" name="Control 44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12" r:id="rId961" name="Control 440"/>
      </mc:Fallback>
    </mc:AlternateContent>
    <mc:AlternateContent xmlns:mc="http://schemas.openxmlformats.org/markup-compatibility/2006">
      <mc:Choice Requires="x14">
        <control shapeId="3511" r:id="rId962" name="Control 43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11" r:id="rId962" name="Control 439"/>
      </mc:Fallback>
    </mc:AlternateContent>
    <mc:AlternateContent xmlns:mc="http://schemas.openxmlformats.org/markup-compatibility/2006">
      <mc:Choice Requires="x14">
        <control shapeId="3510" r:id="rId963" name="Control 43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10" r:id="rId963" name="Control 438"/>
      </mc:Fallback>
    </mc:AlternateContent>
    <mc:AlternateContent xmlns:mc="http://schemas.openxmlformats.org/markup-compatibility/2006">
      <mc:Choice Requires="x14">
        <control shapeId="3509" r:id="rId964" name="Control 43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09" r:id="rId964" name="Control 437"/>
      </mc:Fallback>
    </mc:AlternateContent>
    <mc:AlternateContent xmlns:mc="http://schemas.openxmlformats.org/markup-compatibility/2006">
      <mc:Choice Requires="x14">
        <control shapeId="3508" r:id="rId965" name="Control 43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08" r:id="rId965" name="Control 436"/>
      </mc:Fallback>
    </mc:AlternateContent>
    <mc:AlternateContent xmlns:mc="http://schemas.openxmlformats.org/markup-compatibility/2006">
      <mc:Choice Requires="x14">
        <control shapeId="3507" r:id="rId966" name="Control 43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07" r:id="rId966" name="Control 435"/>
      </mc:Fallback>
    </mc:AlternateContent>
    <mc:AlternateContent xmlns:mc="http://schemas.openxmlformats.org/markup-compatibility/2006">
      <mc:Choice Requires="x14">
        <control shapeId="3506" r:id="rId967" name="Control 43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06" r:id="rId967" name="Control 434"/>
      </mc:Fallback>
    </mc:AlternateContent>
    <mc:AlternateContent xmlns:mc="http://schemas.openxmlformats.org/markup-compatibility/2006">
      <mc:Choice Requires="x14">
        <control shapeId="3505" r:id="rId968" name="Control 43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05" r:id="rId968" name="Control 433"/>
      </mc:Fallback>
    </mc:AlternateContent>
    <mc:AlternateContent xmlns:mc="http://schemas.openxmlformats.org/markup-compatibility/2006">
      <mc:Choice Requires="x14">
        <control shapeId="3504" r:id="rId969" name="Control 43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04" r:id="rId969" name="Control 432"/>
      </mc:Fallback>
    </mc:AlternateContent>
    <mc:AlternateContent xmlns:mc="http://schemas.openxmlformats.org/markup-compatibility/2006">
      <mc:Choice Requires="x14">
        <control shapeId="3503" r:id="rId970" name="Control 43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03" r:id="rId970" name="Control 431"/>
      </mc:Fallback>
    </mc:AlternateContent>
    <mc:AlternateContent xmlns:mc="http://schemas.openxmlformats.org/markup-compatibility/2006">
      <mc:Choice Requires="x14">
        <control shapeId="3502" r:id="rId971" name="Control 43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02" r:id="rId971" name="Control 430"/>
      </mc:Fallback>
    </mc:AlternateContent>
    <mc:AlternateContent xmlns:mc="http://schemas.openxmlformats.org/markup-compatibility/2006">
      <mc:Choice Requires="x14">
        <control shapeId="3501" r:id="rId972" name="Control 42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01" r:id="rId972" name="Control 429"/>
      </mc:Fallback>
    </mc:AlternateContent>
    <mc:AlternateContent xmlns:mc="http://schemas.openxmlformats.org/markup-compatibility/2006">
      <mc:Choice Requires="x14">
        <control shapeId="3500" r:id="rId973" name="Control 42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500" r:id="rId973" name="Control 428"/>
      </mc:Fallback>
    </mc:AlternateContent>
    <mc:AlternateContent xmlns:mc="http://schemas.openxmlformats.org/markup-compatibility/2006">
      <mc:Choice Requires="x14">
        <control shapeId="3499" r:id="rId974" name="Control 42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99" r:id="rId974" name="Control 427"/>
      </mc:Fallback>
    </mc:AlternateContent>
    <mc:AlternateContent xmlns:mc="http://schemas.openxmlformats.org/markup-compatibility/2006">
      <mc:Choice Requires="x14">
        <control shapeId="3498" r:id="rId975" name="Control 42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98" r:id="rId975" name="Control 426"/>
      </mc:Fallback>
    </mc:AlternateContent>
    <mc:AlternateContent xmlns:mc="http://schemas.openxmlformats.org/markup-compatibility/2006">
      <mc:Choice Requires="x14">
        <control shapeId="3497" r:id="rId976" name="Control 42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97" r:id="rId976" name="Control 425"/>
      </mc:Fallback>
    </mc:AlternateContent>
    <mc:AlternateContent xmlns:mc="http://schemas.openxmlformats.org/markup-compatibility/2006">
      <mc:Choice Requires="x14">
        <control shapeId="3496" r:id="rId977" name="Control 42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96" r:id="rId977" name="Control 424"/>
      </mc:Fallback>
    </mc:AlternateContent>
    <mc:AlternateContent xmlns:mc="http://schemas.openxmlformats.org/markup-compatibility/2006">
      <mc:Choice Requires="x14">
        <control shapeId="3495" r:id="rId978" name="Control 42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95" r:id="rId978" name="Control 423"/>
      </mc:Fallback>
    </mc:AlternateContent>
    <mc:AlternateContent xmlns:mc="http://schemas.openxmlformats.org/markup-compatibility/2006">
      <mc:Choice Requires="x14">
        <control shapeId="3494" r:id="rId979" name="Control 42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94" r:id="rId979" name="Control 422"/>
      </mc:Fallback>
    </mc:AlternateContent>
    <mc:AlternateContent xmlns:mc="http://schemas.openxmlformats.org/markup-compatibility/2006">
      <mc:Choice Requires="x14">
        <control shapeId="3493" r:id="rId980" name="Control 42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93" r:id="rId980" name="Control 421"/>
      </mc:Fallback>
    </mc:AlternateContent>
    <mc:AlternateContent xmlns:mc="http://schemas.openxmlformats.org/markup-compatibility/2006">
      <mc:Choice Requires="x14">
        <control shapeId="3492" r:id="rId981" name="Control 42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92" r:id="rId981" name="Control 420"/>
      </mc:Fallback>
    </mc:AlternateContent>
    <mc:AlternateContent xmlns:mc="http://schemas.openxmlformats.org/markup-compatibility/2006">
      <mc:Choice Requires="x14">
        <control shapeId="3491" r:id="rId982" name="Control 41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91" r:id="rId982" name="Control 419"/>
      </mc:Fallback>
    </mc:AlternateContent>
    <mc:AlternateContent xmlns:mc="http://schemas.openxmlformats.org/markup-compatibility/2006">
      <mc:Choice Requires="x14">
        <control shapeId="3490" r:id="rId983" name="Control 41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90" r:id="rId983" name="Control 418"/>
      </mc:Fallback>
    </mc:AlternateContent>
    <mc:AlternateContent xmlns:mc="http://schemas.openxmlformats.org/markup-compatibility/2006">
      <mc:Choice Requires="x14">
        <control shapeId="3489" r:id="rId984" name="Control 41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89" r:id="rId984" name="Control 417"/>
      </mc:Fallback>
    </mc:AlternateContent>
    <mc:AlternateContent xmlns:mc="http://schemas.openxmlformats.org/markup-compatibility/2006">
      <mc:Choice Requires="x14">
        <control shapeId="3488" r:id="rId985" name="Control 41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88" r:id="rId985" name="Control 416"/>
      </mc:Fallback>
    </mc:AlternateContent>
    <mc:AlternateContent xmlns:mc="http://schemas.openxmlformats.org/markup-compatibility/2006">
      <mc:Choice Requires="x14">
        <control shapeId="3487" r:id="rId986" name="Control 41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87" r:id="rId986" name="Control 415"/>
      </mc:Fallback>
    </mc:AlternateContent>
    <mc:AlternateContent xmlns:mc="http://schemas.openxmlformats.org/markup-compatibility/2006">
      <mc:Choice Requires="x14">
        <control shapeId="3486" r:id="rId987" name="Control 41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86" r:id="rId987" name="Control 414"/>
      </mc:Fallback>
    </mc:AlternateContent>
    <mc:AlternateContent xmlns:mc="http://schemas.openxmlformats.org/markup-compatibility/2006">
      <mc:Choice Requires="x14">
        <control shapeId="3485" r:id="rId988" name="Control 41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85" r:id="rId988" name="Control 413"/>
      </mc:Fallback>
    </mc:AlternateContent>
    <mc:AlternateContent xmlns:mc="http://schemas.openxmlformats.org/markup-compatibility/2006">
      <mc:Choice Requires="x14">
        <control shapeId="3484" r:id="rId989" name="Control 41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84" r:id="rId989" name="Control 412"/>
      </mc:Fallback>
    </mc:AlternateContent>
    <mc:AlternateContent xmlns:mc="http://schemas.openxmlformats.org/markup-compatibility/2006">
      <mc:Choice Requires="x14">
        <control shapeId="3483" r:id="rId990" name="Control 41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83" r:id="rId990" name="Control 411"/>
      </mc:Fallback>
    </mc:AlternateContent>
    <mc:AlternateContent xmlns:mc="http://schemas.openxmlformats.org/markup-compatibility/2006">
      <mc:Choice Requires="x14">
        <control shapeId="3482" r:id="rId991" name="Control 41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82" r:id="rId991" name="Control 410"/>
      </mc:Fallback>
    </mc:AlternateContent>
    <mc:AlternateContent xmlns:mc="http://schemas.openxmlformats.org/markup-compatibility/2006">
      <mc:Choice Requires="x14">
        <control shapeId="3481" r:id="rId992" name="Control 40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81" r:id="rId992" name="Control 409"/>
      </mc:Fallback>
    </mc:AlternateContent>
    <mc:AlternateContent xmlns:mc="http://schemas.openxmlformats.org/markup-compatibility/2006">
      <mc:Choice Requires="x14">
        <control shapeId="3480" r:id="rId993" name="Control 40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80" r:id="rId993" name="Control 408"/>
      </mc:Fallback>
    </mc:AlternateContent>
    <mc:AlternateContent xmlns:mc="http://schemas.openxmlformats.org/markup-compatibility/2006">
      <mc:Choice Requires="x14">
        <control shapeId="3479" r:id="rId994" name="Control 40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79" r:id="rId994" name="Control 407"/>
      </mc:Fallback>
    </mc:AlternateContent>
    <mc:AlternateContent xmlns:mc="http://schemas.openxmlformats.org/markup-compatibility/2006">
      <mc:Choice Requires="x14">
        <control shapeId="3478" r:id="rId995" name="Control 40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78" r:id="rId995" name="Control 406"/>
      </mc:Fallback>
    </mc:AlternateContent>
    <mc:AlternateContent xmlns:mc="http://schemas.openxmlformats.org/markup-compatibility/2006">
      <mc:Choice Requires="x14">
        <control shapeId="3477" r:id="rId996" name="Control 40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77" r:id="rId996" name="Control 405"/>
      </mc:Fallback>
    </mc:AlternateContent>
    <mc:AlternateContent xmlns:mc="http://schemas.openxmlformats.org/markup-compatibility/2006">
      <mc:Choice Requires="x14">
        <control shapeId="3476" r:id="rId997" name="Control 40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76" r:id="rId997" name="Control 404"/>
      </mc:Fallback>
    </mc:AlternateContent>
    <mc:AlternateContent xmlns:mc="http://schemas.openxmlformats.org/markup-compatibility/2006">
      <mc:Choice Requires="x14">
        <control shapeId="3475" r:id="rId998" name="Control 40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75" r:id="rId998" name="Control 403"/>
      </mc:Fallback>
    </mc:AlternateContent>
    <mc:AlternateContent xmlns:mc="http://schemas.openxmlformats.org/markup-compatibility/2006">
      <mc:Choice Requires="x14">
        <control shapeId="3474" r:id="rId999" name="Control 40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74" r:id="rId999" name="Control 402"/>
      </mc:Fallback>
    </mc:AlternateContent>
    <mc:AlternateContent xmlns:mc="http://schemas.openxmlformats.org/markup-compatibility/2006">
      <mc:Choice Requires="x14">
        <control shapeId="3473" r:id="rId1000" name="Control 40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73" r:id="rId1000" name="Control 401"/>
      </mc:Fallback>
    </mc:AlternateContent>
    <mc:AlternateContent xmlns:mc="http://schemas.openxmlformats.org/markup-compatibility/2006">
      <mc:Choice Requires="x14">
        <control shapeId="3472" r:id="rId1001" name="Control 40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72" r:id="rId1001" name="Control 400"/>
      </mc:Fallback>
    </mc:AlternateContent>
    <mc:AlternateContent xmlns:mc="http://schemas.openxmlformats.org/markup-compatibility/2006">
      <mc:Choice Requires="x14">
        <control shapeId="3471" r:id="rId1002" name="Control 39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71" r:id="rId1002" name="Control 399"/>
      </mc:Fallback>
    </mc:AlternateContent>
    <mc:AlternateContent xmlns:mc="http://schemas.openxmlformats.org/markup-compatibility/2006">
      <mc:Choice Requires="x14">
        <control shapeId="3470" r:id="rId1003" name="Control 39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70" r:id="rId1003" name="Control 398"/>
      </mc:Fallback>
    </mc:AlternateContent>
    <mc:AlternateContent xmlns:mc="http://schemas.openxmlformats.org/markup-compatibility/2006">
      <mc:Choice Requires="x14">
        <control shapeId="3469" r:id="rId1004" name="Control 39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69" r:id="rId1004" name="Control 397"/>
      </mc:Fallback>
    </mc:AlternateContent>
    <mc:AlternateContent xmlns:mc="http://schemas.openxmlformats.org/markup-compatibility/2006">
      <mc:Choice Requires="x14">
        <control shapeId="3468" r:id="rId1005" name="Control 39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68" r:id="rId1005" name="Control 396"/>
      </mc:Fallback>
    </mc:AlternateContent>
    <mc:AlternateContent xmlns:mc="http://schemas.openxmlformats.org/markup-compatibility/2006">
      <mc:Choice Requires="x14">
        <control shapeId="3467" r:id="rId1006" name="Control 39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67" r:id="rId1006" name="Control 395"/>
      </mc:Fallback>
    </mc:AlternateContent>
    <mc:AlternateContent xmlns:mc="http://schemas.openxmlformats.org/markup-compatibility/2006">
      <mc:Choice Requires="x14">
        <control shapeId="3466" r:id="rId1007" name="Control 39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66" r:id="rId1007" name="Control 394"/>
      </mc:Fallback>
    </mc:AlternateContent>
    <mc:AlternateContent xmlns:mc="http://schemas.openxmlformats.org/markup-compatibility/2006">
      <mc:Choice Requires="x14">
        <control shapeId="3465" r:id="rId1008" name="Control 39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65" r:id="rId1008" name="Control 393"/>
      </mc:Fallback>
    </mc:AlternateContent>
    <mc:AlternateContent xmlns:mc="http://schemas.openxmlformats.org/markup-compatibility/2006">
      <mc:Choice Requires="x14">
        <control shapeId="3464" r:id="rId1009" name="Control 39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64" r:id="rId1009" name="Control 392"/>
      </mc:Fallback>
    </mc:AlternateContent>
    <mc:AlternateContent xmlns:mc="http://schemas.openxmlformats.org/markup-compatibility/2006">
      <mc:Choice Requires="x14">
        <control shapeId="3463" r:id="rId1010" name="Control 39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63" r:id="rId1010" name="Control 391"/>
      </mc:Fallback>
    </mc:AlternateContent>
    <mc:AlternateContent xmlns:mc="http://schemas.openxmlformats.org/markup-compatibility/2006">
      <mc:Choice Requires="x14">
        <control shapeId="3462" r:id="rId1011" name="Control 39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62" r:id="rId1011" name="Control 390"/>
      </mc:Fallback>
    </mc:AlternateContent>
    <mc:AlternateContent xmlns:mc="http://schemas.openxmlformats.org/markup-compatibility/2006">
      <mc:Choice Requires="x14">
        <control shapeId="3413" r:id="rId1012" name="Control 34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13" r:id="rId1012" name="Control 341"/>
      </mc:Fallback>
    </mc:AlternateContent>
    <mc:AlternateContent xmlns:mc="http://schemas.openxmlformats.org/markup-compatibility/2006">
      <mc:Choice Requires="x14">
        <control shapeId="3412" r:id="rId1013" name="Control 34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12" r:id="rId1013" name="Control 340"/>
      </mc:Fallback>
    </mc:AlternateContent>
    <mc:AlternateContent xmlns:mc="http://schemas.openxmlformats.org/markup-compatibility/2006">
      <mc:Choice Requires="x14">
        <control shapeId="3411" r:id="rId1014" name="Control 33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11" r:id="rId1014" name="Control 339"/>
      </mc:Fallback>
    </mc:AlternateContent>
    <mc:AlternateContent xmlns:mc="http://schemas.openxmlformats.org/markup-compatibility/2006">
      <mc:Choice Requires="x14">
        <control shapeId="3410" r:id="rId1015" name="Control 33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10" r:id="rId1015" name="Control 338"/>
      </mc:Fallback>
    </mc:AlternateContent>
    <mc:AlternateContent xmlns:mc="http://schemas.openxmlformats.org/markup-compatibility/2006">
      <mc:Choice Requires="x14">
        <control shapeId="3409" r:id="rId1016" name="Control 33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09" r:id="rId1016" name="Control 337"/>
      </mc:Fallback>
    </mc:AlternateContent>
    <mc:AlternateContent xmlns:mc="http://schemas.openxmlformats.org/markup-compatibility/2006">
      <mc:Choice Requires="x14">
        <control shapeId="3408" r:id="rId1017" name="Control 33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08" r:id="rId1017" name="Control 336"/>
      </mc:Fallback>
    </mc:AlternateContent>
    <mc:AlternateContent xmlns:mc="http://schemas.openxmlformats.org/markup-compatibility/2006">
      <mc:Choice Requires="x14">
        <control shapeId="3407" r:id="rId1018" name="Control 33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07" r:id="rId1018" name="Control 335"/>
      </mc:Fallback>
    </mc:AlternateContent>
    <mc:AlternateContent xmlns:mc="http://schemas.openxmlformats.org/markup-compatibility/2006">
      <mc:Choice Requires="x14">
        <control shapeId="3406" r:id="rId1019" name="Control 33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06" r:id="rId1019" name="Control 334"/>
      </mc:Fallback>
    </mc:AlternateContent>
    <mc:AlternateContent xmlns:mc="http://schemas.openxmlformats.org/markup-compatibility/2006">
      <mc:Choice Requires="x14">
        <control shapeId="3405" r:id="rId1020" name="Control 33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05" r:id="rId1020" name="Control 333"/>
      </mc:Fallback>
    </mc:AlternateContent>
    <mc:AlternateContent xmlns:mc="http://schemas.openxmlformats.org/markup-compatibility/2006">
      <mc:Choice Requires="x14">
        <control shapeId="3404" r:id="rId1021" name="Control 33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04" r:id="rId1021" name="Control 332"/>
      </mc:Fallback>
    </mc:AlternateContent>
    <mc:AlternateContent xmlns:mc="http://schemas.openxmlformats.org/markup-compatibility/2006">
      <mc:Choice Requires="x14">
        <control shapeId="3403" r:id="rId1022" name="Control 33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03" r:id="rId1022" name="Control 331"/>
      </mc:Fallback>
    </mc:AlternateContent>
    <mc:AlternateContent xmlns:mc="http://schemas.openxmlformats.org/markup-compatibility/2006">
      <mc:Choice Requires="x14">
        <control shapeId="3402" r:id="rId1023" name="Control 33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02" r:id="rId1023" name="Control 330"/>
      </mc:Fallback>
    </mc:AlternateContent>
    <mc:AlternateContent xmlns:mc="http://schemas.openxmlformats.org/markup-compatibility/2006">
      <mc:Choice Requires="x14">
        <control shapeId="3401" r:id="rId1024" name="Control 32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01" r:id="rId1024" name="Control 329"/>
      </mc:Fallback>
    </mc:AlternateContent>
    <mc:AlternateContent xmlns:mc="http://schemas.openxmlformats.org/markup-compatibility/2006">
      <mc:Choice Requires="x14">
        <control shapeId="3400" r:id="rId1025" name="Control 32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400" r:id="rId1025" name="Control 328"/>
      </mc:Fallback>
    </mc:AlternateContent>
    <mc:AlternateContent xmlns:mc="http://schemas.openxmlformats.org/markup-compatibility/2006">
      <mc:Choice Requires="x14">
        <control shapeId="3399" r:id="rId1026" name="Control 32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99" r:id="rId1026" name="Control 327"/>
      </mc:Fallback>
    </mc:AlternateContent>
    <mc:AlternateContent xmlns:mc="http://schemas.openxmlformats.org/markup-compatibility/2006">
      <mc:Choice Requires="x14">
        <control shapeId="3398" r:id="rId1027" name="Control 32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98" r:id="rId1027" name="Control 326"/>
      </mc:Fallback>
    </mc:AlternateContent>
    <mc:AlternateContent xmlns:mc="http://schemas.openxmlformats.org/markup-compatibility/2006">
      <mc:Choice Requires="x14">
        <control shapeId="3397" r:id="rId1028" name="Control 32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97" r:id="rId1028" name="Control 325"/>
      </mc:Fallback>
    </mc:AlternateContent>
    <mc:AlternateContent xmlns:mc="http://schemas.openxmlformats.org/markup-compatibility/2006">
      <mc:Choice Requires="x14">
        <control shapeId="3396" r:id="rId1029" name="Control 32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96" r:id="rId1029" name="Control 324"/>
      </mc:Fallback>
    </mc:AlternateContent>
    <mc:AlternateContent xmlns:mc="http://schemas.openxmlformats.org/markup-compatibility/2006">
      <mc:Choice Requires="x14">
        <control shapeId="3395" r:id="rId1030" name="Control 32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95" r:id="rId1030" name="Control 323"/>
      </mc:Fallback>
    </mc:AlternateContent>
    <mc:AlternateContent xmlns:mc="http://schemas.openxmlformats.org/markup-compatibility/2006">
      <mc:Choice Requires="x14">
        <control shapeId="3394" r:id="rId1031" name="Control 32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94" r:id="rId1031" name="Control 322"/>
      </mc:Fallback>
    </mc:AlternateContent>
    <mc:AlternateContent xmlns:mc="http://schemas.openxmlformats.org/markup-compatibility/2006">
      <mc:Choice Requires="x14">
        <control shapeId="3393" r:id="rId1032" name="Control 32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93" r:id="rId1032" name="Control 321"/>
      </mc:Fallback>
    </mc:AlternateContent>
    <mc:AlternateContent xmlns:mc="http://schemas.openxmlformats.org/markup-compatibility/2006">
      <mc:Choice Requires="x14">
        <control shapeId="3392" r:id="rId1033" name="Control 32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92" r:id="rId1033" name="Control 320"/>
      </mc:Fallback>
    </mc:AlternateContent>
    <mc:AlternateContent xmlns:mc="http://schemas.openxmlformats.org/markup-compatibility/2006">
      <mc:Choice Requires="x14">
        <control shapeId="3391" r:id="rId1034" name="Control 31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91" r:id="rId1034" name="Control 319"/>
      </mc:Fallback>
    </mc:AlternateContent>
    <mc:AlternateContent xmlns:mc="http://schemas.openxmlformats.org/markup-compatibility/2006">
      <mc:Choice Requires="x14">
        <control shapeId="3390" r:id="rId1035" name="Control 31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90" r:id="rId1035" name="Control 318"/>
      </mc:Fallback>
    </mc:AlternateContent>
    <mc:AlternateContent xmlns:mc="http://schemas.openxmlformats.org/markup-compatibility/2006">
      <mc:Choice Requires="x14">
        <control shapeId="3389" r:id="rId1036" name="Control 31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89" r:id="rId1036" name="Control 317"/>
      </mc:Fallback>
    </mc:AlternateContent>
    <mc:AlternateContent xmlns:mc="http://schemas.openxmlformats.org/markup-compatibility/2006">
      <mc:Choice Requires="x14">
        <control shapeId="3388" r:id="rId1037" name="Control 31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88" r:id="rId1037" name="Control 316"/>
      </mc:Fallback>
    </mc:AlternateContent>
    <mc:AlternateContent xmlns:mc="http://schemas.openxmlformats.org/markup-compatibility/2006">
      <mc:Choice Requires="x14">
        <control shapeId="3387" r:id="rId1038" name="Control 31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87" r:id="rId1038" name="Control 315"/>
      </mc:Fallback>
    </mc:AlternateContent>
    <mc:AlternateContent xmlns:mc="http://schemas.openxmlformats.org/markup-compatibility/2006">
      <mc:Choice Requires="x14">
        <control shapeId="3386" r:id="rId1039" name="Control 31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86" r:id="rId1039" name="Control 314"/>
      </mc:Fallback>
    </mc:AlternateContent>
    <mc:AlternateContent xmlns:mc="http://schemas.openxmlformats.org/markup-compatibility/2006">
      <mc:Choice Requires="x14">
        <control shapeId="3385" r:id="rId1040" name="Control 31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85" r:id="rId1040" name="Control 313"/>
      </mc:Fallback>
    </mc:AlternateContent>
    <mc:AlternateContent xmlns:mc="http://schemas.openxmlformats.org/markup-compatibility/2006">
      <mc:Choice Requires="x14">
        <control shapeId="3384" r:id="rId1041" name="Control 31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84" r:id="rId1041" name="Control 312"/>
      </mc:Fallback>
    </mc:AlternateContent>
    <mc:AlternateContent xmlns:mc="http://schemas.openxmlformats.org/markup-compatibility/2006">
      <mc:Choice Requires="x14">
        <control shapeId="3383" r:id="rId1042" name="Control 31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83" r:id="rId1042" name="Control 311"/>
      </mc:Fallback>
    </mc:AlternateContent>
    <mc:AlternateContent xmlns:mc="http://schemas.openxmlformats.org/markup-compatibility/2006">
      <mc:Choice Requires="x14">
        <control shapeId="3382" r:id="rId1043" name="Control 31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82" r:id="rId1043" name="Control 310"/>
      </mc:Fallback>
    </mc:AlternateContent>
    <mc:AlternateContent xmlns:mc="http://schemas.openxmlformats.org/markup-compatibility/2006">
      <mc:Choice Requires="x14">
        <control shapeId="3381" r:id="rId1044" name="Control 30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81" r:id="rId1044" name="Control 309"/>
      </mc:Fallback>
    </mc:AlternateContent>
    <mc:AlternateContent xmlns:mc="http://schemas.openxmlformats.org/markup-compatibility/2006">
      <mc:Choice Requires="x14">
        <control shapeId="3380" r:id="rId1045" name="Control 30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80" r:id="rId1045" name="Control 308"/>
      </mc:Fallback>
    </mc:AlternateContent>
    <mc:AlternateContent xmlns:mc="http://schemas.openxmlformats.org/markup-compatibility/2006">
      <mc:Choice Requires="x14">
        <control shapeId="3379" r:id="rId1046" name="Control 30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79" r:id="rId1046" name="Control 307"/>
      </mc:Fallback>
    </mc:AlternateContent>
    <mc:AlternateContent xmlns:mc="http://schemas.openxmlformats.org/markup-compatibility/2006">
      <mc:Choice Requires="x14">
        <control shapeId="3378" r:id="rId1047" name="Control 30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78" r:id="rId1047" name="Control 306"/>
      </mc:Fallback>
    </mc:AlternateContent>
    <mc:AlternateContent xmlns:mc="http://schemas.openxmlformats.org/markup-compatibility/2006">
      <mc:Choice Requires="x14">
        <control shapeId="3377" r:id="rId1048" name="Control 30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77" r:id="rId1048" name="Control 305"/>
      </mc:Fallback>
    </mc:AlternateContent>
    <mc:AlternateContent xmlns:mc="http://schemas.openxmlformats.org/markup-compatibility/2006">
      <mc:Choice Requires="x14">
        <control shapeId="3376" r:id="rId1049" name="Control 30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76" r:id="rId1049" name="Control 304"/>
      </mc:Fallback>
    </mc:AlternateContent>
    <mc:AlternateContent xmlns:mc="http://schemas.openxmlformats.org/markup-compatibility/2006">
      <mc:Choice Requires="x14">
        <control shapeId="3375" r:id="rId1050" name="Control 30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75" r:id="rId1050" name="Control 303"/>
      </mc:Fallback>
    </mc:AlternateContent>
    <mc:AlternateContent xmlns:mc="http://schemas.openxmlformats.org/markup-compatibility/2006">
      <mc:Choice Requires="x14">
        <control shapeId="3374" r:id="rId1051" name="Control 30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74" r:id="rId1051" name="Control 302"/>
      </mc:Fallback>
    </mc:AlternateContent>
    <mc:AlternateContent xmlns:mc="http://schemas.openxmlformats.org/markup-compatibility/2006">
      <mc:Choice Requires="x14">
        <control shapeId="3373" r:id="rId1052" name="Control 30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73" r:id="rId1052" name="Control 301"/>
      </mc:Fallback>
    </mc:AlternateContent>
    <mc:AlternateContent xmlns:mc="http://schemas.openxmlformats.org/markup-compatibility/2006">
      <mc:Choice Requires="x14">
        <control shapeId="3372" r:id="rId1053" name="Control 30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72" r:id="rId1053" name="Control 300"/>
      </mc:Fallback>
    </mc:AlternateContent>
    <mc:AlternateContent xmlns:mc="http://schemas.openxmlformats.org/markup-compatibility/2006">
      <mc:Choice Requires="x14">
        <control shapeId="3371" r:id="rId1054" name="Control 29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71" r:id="rId1054" name="Control 299"/>
      </mc:Fallback>
    </mc:AlternateContent>
    <mc:AlternateContent xmlns:mc="http://schemas.openxmlformats.org/markup-compatibility/2006">
      <mc:Choice Requires="x14">
        <control shapeId="3370" r:id="rId1055" name="Control 29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70" r:id="rId1055" name="Control 298"/>
      </mc:Fallback>
    </mc:AlternateContent>
    <mc:AlternateContent xmlns:mc="http://schemas.openxmlformats.org/markup-compatibility/2006">
      <mc:Choice Requires="x14">
        <control shapeId="3369" r:id="rId1056" name="Control 29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69" r:id="rId1056" name="Control 297"/>
      </mc:Fallback>
    </mc:AlternateContent>
    <mc:AlternateContent xmlns:mc="http://schemas.openxmlformats.org/markup-compatibility/2006">
      <mc:Choice Requires="x14">
        <control shapeId="3368" r:id="rId1057" name="Control 29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68" r:id="rId1057" name="Control 296"/>
      </mc:Fallback>
    </mc:AlternateContent>
    <mc:AlternateContent xmlns:mc="http://schemas.openxmlformats.org/markup-compatibility/2006">
      <mc:Choice Requires="x14">
        <control shapeId="3367" r:id="rId1058" name="Control 29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67" r:id="rId1058" name="Control 295"/>
      </mc:Fallback>
    </mc:AlternateContent>
    <mc:AlternateContent xmlns:mc="http://schemas.openxmlformats.org/markup-compatibility/2006">
      <mc:Choice Requires="x14">
        <control shapeId="3366" r:id="rId1059" name="Control 29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66" r:id="rId1059" name="Control 294"/>
      </mc:Fallback>
    </mc:AlternateContent>
    <mc:AlternateContent xmlns:mc="http://schemas.openxmlformats.org/markup-compatibility/2006">
      <mc:Choice Requires="x14">
        <control shapeId="3365" r:id="rId1060" name="Control 29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65" r:id="rId1060" name="Control 293"/>
      </mc:Fallback>
    </mc:AlternateContent>
    <mc:AlternateContent xmlns:mc="http://schemas.openxmlformats.org/markup-compatibility/2006">
      <mc:Choice Requires="x14">
        <control shapeId="3364" r:id="rId1061" name="Control 29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64" r:id="rId1061" name="Control 292"/>
      </mc:Fallback>
    </mc:AlternateContent>
    <mc:AlternateContent xmlns:mc="http://schemas.openxmlformats.org/markup-compatibility/2006">
      <mc:Choice Requires="x14">
        <control shapeId="3363" r:id="rId1062" name="Control 29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63" r:id="rId1062" name="Control 291"/>
      </mc:Fallback>
    </mc:AlternateContent>
    <mc:AlternateContent xmlns:mc="http://schemas.openxmlformats.org/markup-compatibility/2006">
      <mc:Choice Requires="x14">
        <control shapeId="3362" r:id="rId1063" name="Control 29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62" r:id="rId1063" name="Control 290"/>
      </mc:Fallback>
    </mc:AlternateContent>
    <mc:AlternateContent xmlns:mc="http://schemas.openxmlformats.org/markup-compatibility/2006">
      <mc:Choice Requires="x14">
        <control shapeId="3361" r:id="rId1064" name="Control 28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61" r:id="rId1064" name="Control 289"/>
      </mc:Fallback>
    </mc:AlternateContent>
    <mc:AlternateContent xmlns:mc="http://schemas.openxmlformats.org/markup-compatibility/2006">
      <mc:Choice Requires="x14">
        <control shapeId="3360" r:id="rId1065" name="Control 28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60" r:id="rId1065" name="Control 288"/>
      </mc:Fallback>
    </mc:AlternateContent>
    <mc:AlternateContent xmlns:mc="http://schemas.openxmlformats.org/markup-compatibility/2006">
      <mc:Choice Requires="x14">
        <control shapeId="3359" r:id="rId1066" name="Control 28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59" r:id="rId1066" name="Control 287"/>
      </mc:Fallback>
    </mc:AlternateContent>
    <mc:AlternateContent xmlns:mc="http://schemas.openxmlformats.org/markup-compatibility/2006">
      <mc:Choice Requires="x14">
        <control shapeId="3358" r:id="rId1067" name="Control 28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58" r:id="rId1067" name="Control 286"/>
      </mc:Fallback>
    </mc:AlternateContent>
    <mc:AlternateContent xmlns:mc="http://schemas.openxmlformats.org/markup-compatibility/2006">
      <mc:Choice Requires="x14">
        <control shapeId="3357" r:id="rId1068" name="Control 28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57" r:id="rId1068" name="Control 285"/>
      </mc:Fallback>
    </mc:AlternateContent>
    <mc:AlternateContent xmlns:mc="http://schemas.openxmlformats.org/markup-compatibility/2006">
      <mc:Choice Requires="x14">
        <control shapeId="3356" r:id="rId1069" name="Control 28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56" r:id="rId1069" name="Control 284"/>
      </mc:Fallback>
    </mc:AlternateContent>
    <mc:AlternateContent xmlns:mc="http://schemas.openxmlformats.org/markup-compatibility/2006">
      <mc:Choice Requires="x14">
        <control shapeId="3355" r:id="rId1070" name="Control 28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55" r:id="rId1070" name="Control 283"/>
      </mc:Fallback>
    </mc:AlternateContent>
    <mc:AlternateContent xmlns:mc="http://schemas.openxmlformats.org/markup-compatibility/2006">
      <mc:Choice Requires="x14">
        <control shapeId="3354" r:id="rId1071" name="Control 28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54" r:id="rId1071" name="Control 282"/>
      </mc:Fallback>
    </mc:AlternateContent>
    <mc:AlternateContent xmlns:mc="http://schemas.openxmlformats.org/markup-compatibility/2006">
      <mc:Choice Requires="x14">
        <control shapeId="3353" r:id="rId1072" name="Control 28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53" r:id="rId1072" name="Control 281"/>
      </mc:Fallback>
    </mc:AlternateContent>
    <mc:AlternateContent xmlns:mc="http://schemas.openxmlformats.org/markup-compatibility/2006">
      <mc:Choice Requires="x14">
        <control shapeId="3352" r:id="rId1073" name="Control 28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52" r:id="rId1073" name="Control 280"/>
      </mc:Fallback>
    </mc:AlternateContent>
    <mc:AlternateContent xmlns:mc="http://schemas.openxmlformats.org/markup-compatibility/2006">
      <mc:Choice Requires="x14">
        <control shapeId="3351" r:id="rId1074" name="Control 27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51" r:id="rId1074" name="Control 279"/>
      </mc:Fallback>
    </mc:AlternateContent>
    <mc:AlternateContent xmlns:mc="http://schemas.openxmlformats.org/markup-compatibility/2006">
      <mc:Choice Requires="x14">
        <control shapeId="3350" r:id="rId1075" name="Control 27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50" r:id="rId1075" name="Control 278"/>
      </mc:Fallback>
    </mc:AlternateContent>
    <mc:AlternateContent xmlns:mc="http://schemas.openxmlformats.org/markup-compatibility/2006">
      <mc:Choice Requires="x14">
        <control shapeId="3349" r:id="rId1076" name="Control 27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49" r:id="rId1076" name="Control 277"/>
      </mc:Fallback>
    </mc:AlternateContent>
    <mc:AlternateContent xmlns:mc="http://schemas.openxmlformats.org/markup-compatibility/2006">
      <mc:Choice Requires="x14">
        <control shapeId="3348" r:id="rId1077" name="Control 27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48" r:id="rId1077" name="Control 276"/>
      </mc:Fallback>
    </mc:AlternateContent>
    <mc:AlternateContent xmlns:mc="http://schemas.openxmlformats.org/markup-compatibility/2006">
      <mc:Choice Requires="x14">
        <control shapeId="3347" r:id="rId1078" name="Control 27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47" r:id="rId1078" name="Control 275"/>
      </mc:Fallback>
    </mc:AlternateContent>
    <mc:AlternateContent xmlns:mc="http://schemas.openxmlformats.org/markup-compatibility/2006">
      <mc:Choice Requires="x14">
        <control shapeId="3346" r:id="rId1079" name="Control 27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46" r:id="rId1079" name="Control 274"/>
      </mc:Fallback>
    </mc:AlternateContent>
    <mc:AlternateContent xmlns:mc="http://schemas.openxmlformats.org/markup-compatibility/2006">
      <mc:Choice Requires="x14">
        <control shapeId="3345" r:id="rId1080" name="Control 27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45" r:id="rId1080" name="Control 273"/>
      </mc:Fallback>
    </mc:AlternateContent>
    <mc:AlternateContent xmlns:mc="http://schemas.openxmlformats.org/markup-compatibility/2006">
      <mc:Choice Requires="x14">
        <control shapeId="3344" r:id="rId1081" name="Control 27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44" r:id="rId1081" name="Control 272"/>
      </mc:Fallback>
    </mc:AlternateContent>
    <mc:AlternateContent xmlns:mc="http://schemas.openxmlformats.org/markup-compatibility/2006">
      <mc:Choice Requires="x14">
        <control shapeId="3343" r:id="rId1082" name="Control 27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43" r:id="rId1082" name="Control 271"/>
      </mc:Fallback>
    </mc:AlternateContent>
    <mc:AlternateContent xmlns:mc="http://schemas.openxmlformats.org/markup-compatibility/2006">
      <mc:Choice Requires="x14">
        <control shapeId="3342" r:id="rId1083" name="Control 27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42" r:id="rId1083" name="Control 270"/>
      </mc:Fallback>
    </mc:AlternateContent>
    <mc:AlternateContent xmlns:mc="http://schemas.openxmlformats.org/markup-compatibility/2006">
      <mc:Choice Requires="x14">
        <control shapeId="3341" r:id="rId1084" name="Control 26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41" r:id="rId1084" name="Control 269"/>
      </mc:Fallback>
    </mc:AlternateContent>
    <mc:AlternateContent xmlns:mc="http://schemas.openxmlformats.org/markup-compatibility/2006">
      <mc:Choice Requires="x14">
        <control shapeId="3340" r:id="rId1085" name="Control 26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40" r:id="rId1085" name="Control 268"/>
      </mc:Fallback>
    </mc:AlternateContent>
    <mc:AlternateContent xmlns:mc="http://schemas.openxmlformats.org/markup-compatibility/2006">
      <mc:Choice Requires="x14">
        <control shapeId="3339" r:id="rId1086" name="Control 26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39" r:id="rId1086" name="Control 267"/>
      </mc:Fallback>
    </mc:AlternateContent>
    <mc:AlternateContent xmlns:mc="http://schemas.openxmlformats.org/markup-compatibility/2006">
      <mc:Choice Requires="x14">
        <control shapeId="3338" r:id="rId1087" name="Control 26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38" r:id="rId1087" name="Control 266"/>
      </mc:Fallback>
    </mc:AlternateContent>
    <mc:AlternateContent xmlns:mc="http://schemas.openxmlformats.org/markup-compatibility/2006">
      <mc:Choice Requires="x14">
        <control shapeId="3337" r:id="rId1088" name="Control 26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37" r:id="rId1088" name="Control 265"/>
      </mc:Fallback>
    </mc:AlternateContent>
    <mc:AlternateContent xmlns:mc="http://schemas.openxmlformats.org/markup-compatibility/2006">
      <mc:Choice Requires="x14">
        <control shapeId="3312" r:id="rId1089" name="Control 24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12" r:id="rId1089" name="Control 240"/>
      </mc:Fallback>
    </mc:AlternateContent>
    <mc:AlternateContent xmlns:mc="http://schemas.openxmlformats.org/markup-compatibility/2006">
      <mc:Choice Requires="x14">
        <control shapeId="3311" r:id="rId1090" name="Control 23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11" r:id="rId1090" name="Control 239"/>
      </mc:Fallback>
    </mc:AlternateContent>
    <mc:AlternateContent xmlns:mc="http://schemas.openxmlformats.org/markup-compatibility/2006">
      <mc:Choice Requires="x14">
        <control shapeId="3310" r:id="rId1091" name="Control 23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10" r:id="rId1091" name="Control 238"/>
      </mc:Fallback>
    </mc:AlternateContent>
    <mc:AlternateContent xmlns:mc="http://schemas.openxmlformats.org/markup-compatibility/2006">
      <mc:Choice Requires="x14">
        <control shapeId="3309" r:id="rId1092" name="Control 23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09" r:id="rId1092" name="Control 237"/>
      </mc:Fallback>
    </mc:AlternateContent>
    <mc:AlternateContent xmlns:mc="http://schemas.openxmlformats.org/markup-compatibility/2006">
      <mc:Choice Requires="x14">
        <control shapeId="3308" r:id="rId1093" name="Control 23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08" r:id="rId1093" name="Control 236"/>
      </mc:Fallback>
    </mc:AlternateContent>
    <mc:AlternateContent xmlns:mc="http://schemas.openxmlformats.org/markup-compatibility/2006">
      <mc:Choice Requires="x14">
        <control shapeId="3307" r:id="rId1094" name="Control 23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07" r:id="rId1094" name="Control 235"/>
      </mc:Fallback>
    </mc:AlternateContent>
    <mc:AlternateContent xmlns:mc="http://schemas.openxmlformats.org/markup-compatibility/2006">
      <mc:Choice Requires="x14">
        <control shapeId="3306" r:id="rId1095" name="Control 23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06" r:id="rId1095" name="Control 234"/>
      </mc:Fallback>
    </mc:AlternateContent>
    <mc:AlternateContent xmlns:mc="http://schemas.openxmlformats.org/markup-compatibility/2006">
      <mc:Choice Requires="x14">
        <control shapeId="3305" r:id="rId1096" name="Control 23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05" r:id="rId1096" name="Control 233"/>
      </mc:Fallback>
    </mc:AlternateContent>
    <mc:AlternateContent xmlns:mc="http://schemas.openxmlformats.org/markup-compatibility/2006">
      <mc:Choice Requires="x14">
        <control shapeId="3304" r:id="rId1097" name="Control 23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04" r:id="rId1097" name="Control 232"/>
      </mc:Fallback>
    </mc:AlternateContent>
    <mc:AlternateContent xmlns:mc="http://schemas.openxmlformats.org/markup-compatibility/2006">
      <mc:Choice Requires="x14">
        <control shapeId="3303" r:id="rId1098" name="Control 23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03" r:id="rId1098" name="Control 231"/>
      </mc:Fallback>
    </mc:AlternateContent>
    <mc:AlternateContent xmlns:mc="http://schemas.openxmlformats.org/markup-compatibility/2006">
      <mc:Choice Requires="x14">
        <control shapeId="3302" r:id="rId1099" name="Control 23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02" r:id="rId1099" name="Control 230"/>
      </mc:Fallback>
    </mc:AlternateContent>
    <mc:AlternateContent xmlns:mc="http://schemas.openxmlformats.org/markup-compatibility/2006">
      <mc:Choice Requires="x14">
        <control shapeId="3301" r:id="rId1100" name="Control 22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01" r:id="rId1100" name="Control 229"/>
      </mc:Fallback>
    </mc:AlternateContent>
    <mc:AlternateContent xmlns:mc="http://schemas.openxmlformats.org/markup-compatibility/2006">
      <mc:Choice Requires="x14">
        <control shapeId="3300" r:id="rId1101" name="Control 22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300" r:id="rId1101" name="Control 228"/>
      </mc:Fallback>
    </mc:AlternateContent>
    <mc:AlternateContent xmlns:mc="http://schemas.openxmlformats.org/markup-compatibility/2006">
      <mc:Choice Requires="x14">
        <control shapeId="3299" r:id="rId1102" name="Control 22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99" r:id="rId1102" name="Control 227"/>
      </mc:Fallback>
    </mc:AlternateContent>
    <mc:AlternateContent xmlns:mc="http://schemas.openxmlformats.org/markup-compatibility/2006">
      <mc:Choice Requires="x14">
        <control shapeId="3298" r:id="rId1103" name="Control 22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98" r:id="rId1103" name="Control 226"/>
      </mc:Fallback>
    </mc:AlternateContent>
    <mc:AlternateContent xmlns:mc="http://schemas.openxmlformats.org/markup-compatibility/2006">
      <mc:Choice Requires="x14">
        <control shapeId="3297" r:id="rId1104" name="Control 22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97" r:id="rId1104" name="Control 225"/>
      </mc:Fallback>
    </mc:AlternateContent>
    <mc:AlternateContent xmlns:mc="http://schemas.openxmlformats.org/markup-compatibility/2006">
      <mc:Choice Requires="x14">
        <control shapeId="3296" r:id="rId1105" name="Control 22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96" r:id="rId1105" name="Control 224"/>
      </mc:Fallback>
    </mc:AlternateContent>
    <mc:AlternateContent xmlns:mc="http://schemas.openxmlformats.org/markup-compatibility/2006">
      <mc:Choice Requires="x14">
        <control shapeId="3295" r:id="rId1106" name="Control 22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95" r:id="rId1106" name="Control 223"/>
      </mc:Fallback>
    </mc:AlternateContent>
    <mc:AlternateContent xmlns:mc="http://schemas.openxmlformats.org/markup-compatibility/2006">
      <mc:Choice Requires="x14">
        <control shapeId="3294" r:id="rId1107" name="Control 22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94" r:id="rId1107" name="Control 222"/>
      </mc:Fallback>
    </mc:AlternateContent>
    <mc:AlternateContent xmlns:mc="http://schemas.openxmlformats.org/markup-compatibility/2006">
      <mc:Choice Requires="x14">
        <control shapeId="3293" r:id="rId1108" name="Control 22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93" r:id="rId1108" name="Control 221"/>
      </mc:Fallback>
    </mc:AlternateContent>
    <mc:AlternateContent xmlns:mc="http://schemas.openxmlformats.org/markup-compatibility/2006">
      <mc:Choice Requires="x14">
        <control shapeId="3292" r:id="rId1109" name="Control 22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92" r:id="rId1109" name="Control 220"/>
      </mc:Fallback>
    </mc:AlternateContent>
    <mc:AlternateContent xmlns:mc="http://schemas.openxmlformats.org/markup-compatibility/2006">
      <mc:Choice Requires="x14">
        <control shapeId="3291" r:id="rId1110" name="Control 21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91" r:id="rId1110" name="Control 219"/>
      </mc:Fallback>
    </mc:AlternateContent>
    <mc:AlternateContent xmlns:mc="http://schemas.openxmlformats.org/markup-compatibility/2006">
      <mc:Choice Requires="x14">
        <control shapeId="3290" r:id="rId1111" name="Control 21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90" r:id="rId1111" name="Control 218"/>
      </mc:Fallback>
    </mc:AlternateContent>
    <mc:AlternateContent xmlns:mc="http://schemas.openxmlformats.org/markup-compatibility/2006">
      <mc:Choice Requires="x14">
        <control shapeId="3289" r:id="rId1112" name="Control 21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89" r:id="rId1112" name="Control 217"/>
      </mc:Fallback>
    </mc:AlternateContent>
    <mc:AlternateContent xmlns:mc="http://schemas.openxmlformats.org/markup-compatibility/2006">
      <mc:Choice Requires="x14">
        <control shapeId="3288" r:id="rId1113" name="Control 21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88" r:id="rId1113" name="Control 216"/>
      </mc:Fallback>
    </mc:AlternateContent>
    <mc:AlternateContent xmlns:mc="http://schemas.openxmlformats.org/markup-compatibility/2006">
      <mc:Choice Requires="x14">
        <control shapeId="3287" r:id="rId1114" name="Control 21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87" r:id="rId1114" name="Control 215"/>
      </mc:Fallback>
    </mc:AlternateContent>
    <mc:AlternateContent xmlns:mc="http://schemas.openxmlformats.org/markup-compatibility/2006">
      <mc:Choice Requires="x14">
        <control shapeId="3286" r:id="rId1115" name="Control 21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86" r:id="rId1115" name="Control 214"/>
      </mc:Fallback>
    </mc:AlternateContent>
    <mc:AlternateContent xmlns:mc="http://schemas.openxmlformats.org/markup-compatibility/2006">
      <mc:Choice Requires="x14">
        <control shapeId="3285" r:id="rId1116" name="Control 21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85" r:id="rId1116" name="Control 213"/>
      </mc:Fallback>
    </mc:AlternateContent>
    <mc:AlternateContent xmlns:mc="http://schemas.openxmlformats.org/markup-compatibility/2006">
      <mc:Choice Requires="x14">
        <control shapeId="3284" r:id="rId1117" name="Control 21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84" r:id="rId1117" name="Control 212"/>
      </mc:Fallback>
    </mc:AlternateContent>
    <mc:AlternateContent xmlns:mc="http://schemas.openxmlformats.org/markup-compatibility/2006">
      <mc:Choice Requires="x14">
        <control shapeId="3283" r:id="rId1118" name="Control 21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83" r:id="rId1118" name="Control 211"/>
      </mc:Fallback>
    </mc:AlternateContent>
    <mc:AlternateContent xmlns:mc="http://schemas.openxmlformats.org/markup-compatibility/2006">
      <mc:Choice Requires="x14">
        <control shapeId="3282" r:id="rId1119" name="Control 21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82" r:id="rId1119" name="Control 210"/>
      </mc:Fallback>
    </mc:AlternateContent>
    <mc:AlternateContent xmlns:mc="http://schemas.openxmlformats.org/markup-compatibility/2006">
      <mc:Choice Requires="x14">
        <control shapeId="3281" r:id="rId1120" name="Control 20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81" r:id="rId1120" name="Control 209"/>
      </mc:Fallback>
    </mc:AlternateContent>
    <mc:AlternateContent xmlns:mc="http://schemas.openxmlformats.org/markup-compatibility/2006">
      <mc:Choice Requires="x14">
        <control shapeId="3280" r:id="rId1121" name="Control 20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80" r:id="rId1121" name="Control 208"/>
      </mc:Fallback>
    </mc:AlternateContent>
    <mc:AlternateContent xmlns:mc="http://schemas.openxmlformats.org/markup-compatibility/2006">
      <mc:Choice Requires="x14">
        <control shapeId="3279" r:id="rId1122" name="Control 20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79" r:id="rId1122" name="Control 207"/>
      </mc:Fallback>
    </mc:AlternateContent>
    <mc:AlternateContent xmlns:mc="http://schemas.openxmlformats.org/markup-compatibility/2006">
      <mc:Choice Requires="x14">
        <control shapeId="3278" r:id="rId1123" name="Control 20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78" r:id="rId1123" name="Control 206"/>
      </mc:Fallback>
    </mc:AlternateContent>
    <mc:AlternateContent xmlns:mc="http://schemas.openxmlformats.org/markup-compatibility/2006">
      <mc:Choice Requires="x14">
        <control shapeId="3277" r:id="rId1124" name="Control 20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77" r:id="rId1124" name="Control 205"/>
      </mc:Fallback>
    </mc:AlternateContent>
    <mc:AlternateContent xmlns:mc="http://schemas.openxmlformats.org/markup-compatibility/2006">
      <mc:Choice Requires="x14">
        <control shapeId="3276" r:id="rId1125" name="Control 20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76" r:id="rId1125" name="Control 204"/>
      </mc:Fallback>
    </mc:AlternateContent>
    <mc:AlternateContent xmlns:mc="http://schemas.openxmlformats.org/markup-compatibility/2006">
      <mc:Choice Requires="x14">
        <control shapeId="3275" r:id="rId1126" name="Control 20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75" r:id="rId1126" name="Control 203"/>
      </mc:Fallback>
    </mc:AlternateContent>
    <mc:AlternateContent xmlns:mc="http://schemas.openxmlformats.org/markup-compatibility/2006">
      <mc:Choice Requires="x14">
        <control shapeId="3274" r:id="rId1127" name="Control 20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74" r:id="rId1127" name="Control 202"/>
      </mc:Fallback>
    </mc:AlternateContent>
    <mc:AlternateContent xmlns:mc="http://schemas.openxmlformats.org/markup-compatibility/2006">
      <mc:Choice Requires="x14">
        <control shapeId="3273" r:id="rId1128" name="Control 20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73" r:id="rId1128" name="Control 201"/>
      </mc:Fallback>
    </mc:AlternateContent>
    <mc:AlternateContent xmlns:mc="http://schemas.openxmlformats.org/markup-compatibility/2006">
      <mc:Choice Requires="x14">
        <control shapeId="3272" r:id="rId1129" name="Control 20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72" r:id="rId1129" name="Control 200"/>
      </mc:Fallback>
    </mc:AlternateContent>
    <mc:AlternateContent xmlns:mc="http://schemas.openxmlformats.org/markup-compatibility/2006">
      <mc:Choice Requires="x14">
        <control shapeId="3271" r:id="rId1130" name="Control 19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71" r:id="rId1130" name="Control 199"/>
      </mc:Fallback>
    </mc:AlternateContent>
    <mc:AlternateContent xmlns:mc="http://schemas.openxmlformats.org/markup-compatibility/2006">
      <mc:Choice Requires="x14">
        <control shapeId="3270" r:id="rId1131" name="Control 19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70" r:id="rId1131" name="Control 198"/>
      </mc:Fallback>
    </mc:AlternateContent>
    <mc:AlternateContent xmlns:mc="http://schemas.openxmlformats.org/markup-compatibility/2006">
      <mc:Choice Requires="x14">
        <control shapeId="3269" r:id="rId1132" name="Control 19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69" r:id="rId1132" name="Control 197"/>
      </mc:Fallback>
    </mc:AlternateContent>
    <mc:AlternateContent xmlns:mc="http://schemas.openxmlformats.org/markup-compatibility/2006">
      <mc:Choice Requires="x14">
        <control shapeId="3268" r:id="rId1133" name="Control 19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68" r:id="rId1133" name="Control 196"/>
      </mc:Fallback>
    </mc:AlternateContent>
    <mc:AlternateContent xmlns:mc="http://schemas.openxmlformats.org/markup-compatibility/2006">
      <mc:Choice Requires="x14">
        <control shapeId="3267" r:id="rId1134" name="Control 19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67" r:id="rId1134" name="Control 195"/>
      </mc:Fallback>
    </mc:AlternateContent>
    <mc:AlternateContent xmlns:mc="http://schemas.openxmlformats.org/markup-compatibility/2006">
      <mc:Choice Requires="x14">
        <control shapeId="3266" r:id="rId1135" name="Control 19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66" r:id="rId1135" name="Control 194"/>
      </mc:Fallback>
    </mc:AlternateContent>
    <mc:AlternateContent xmlns:mc="http://schemas.openxmlformats.org/markup-compatibility/2006">
      <mc:Choice Requires="x14">
        <control shapeId="3265" r:id="rId1136" name="Control 19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65" r:id="rId1136" name="Control 193"/>
      </mc:Fallback>
    </mc:AlternateContent>
    <mc:AlternateContent xmlns:mc="http://schemas.openxmlformats.org/markup-compatibility/2006">
      <mc:Choice Requires="x14">
        <control shapeId="3264" r:id="rId1137" name="Control 19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64" r:id="rId1137" name="Control 192"/>
      </mc:Fallback>
    </mc:AlternateContent>
    <mc:AlternateContent xmlns:mc="http://schemas.openxmlformats.org/markup-compatibility/2006">
      <mc:Choice Requires="x14">
        <control shapeId="3263" r:id="rId1138" name="Control 19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63" r:id="rId1138" name="Control 191"/>
      </mc:Fallback>
    </mc:AlternateContent>
    <mc:AlternateContent xmlns:mc="http://schemas.openxmlformats.org/markup-compatibility/2006">
      <mc:Choice Requires="x14">
        <control shapeId="3262" r:id="rId1139" name="Control 19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62" r:id="rId1139" name="Control 190"/>
      </mc:Fallback>
    </mc:AlternateContent>
    <mc:AlternateContent xmlns:mc="http://schemas.openxmlformats.org/markup-compatibility/2006">
      <mc:Choice Requires="x14">
        <control shapeId="3261" r:id="rId1140" name="Control 18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61" r:id="rId1140" name="Control 189"/>
      </mc:Fallback>
    </mc:AlternateContent>
    <mc:AlternateContent xmlns:mc="http://schemas.openxmlformats.org/markup-compatibility/2006">
      <mc:Choice Requires="x14">
        <control shapeId="3260" r:id="rId1141" name="Control 18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60" r:id="rId1141" name="Control 188"/>
      </mc:Fallback>
    </mc:AlternateContent>
    <mc:AlternateContent xmlns:mc="http://schemas.openxmlformats.org/markup-compatibility/2006">
      <mc:Choice Requires="x14">
        <control shapeId="3259" r:id="rId1142" name="Control 18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59" r:id="rId1142" name="Control 187"/>
      </mc:Fallback>
    </mc:AlternateContent>
    <mc:AlternateContent xmlns:mc="http://schemas.openxmlformats.org/markup-compatibility/2006">
      <mc:Choice Requires="x14">
        <control shapeId="3258" r:id="rId1143" name="Control 18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58" r:id="rId1143" name="Control 186"/>
      </mc:Fallback>
    </mc:AlternateContent>
    <mc:AlternateContent xmlns:mc="http://schemas.openxmlformats.org/markup-compatibility/2006">
      <mc:Choice Requires="x14">
        <control shapeId="3257" r:id="rId1144" name="Control 18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57" r:id="rId1144" name="Control 185"/>
      </mc:Fallback>
    </mc:AlternateContent>
    <mc:AlternateContent xmlns:mc="http://schemas.openxmlformats.org/markup-compatibility/2006">
      <mc:Choice Requires="x14">
        <control shapeId="3256" r:id="rId1145" name="Control 18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56" r:id="rId1145" name="Control 184"/>
      </mc:Fallback>
    </mc:AlternateContent>
    <mc:AlternateContent xmlns:mc="http://schemas.openxmlformats.org/markup-compatibility/2006">
      <mc:Choice Requires="x14">
        <control shapeId="3255" r:id="rId1146" name="Control 18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55" r:id="rId1146" name="Control 183"/>
      </mc:Fallback>
    </mc:AlternateContent>
    <mc:AlternateContent xmlns:mc="http://schemas.openxmlformats.org/markup-compatibility/2006">
      <mc:Choice Requires="x14">
        <control shapeId="3254" r:id="rId1147" name="Control 18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54" r:id="rId1147" name="Control 182"/>
      </mc:Fallback>
    </mc:AlternateContent>
    <mc:AlternateContent xmlns:mc="http://schemas.openxmlformats.org/markup-compatibility/2006">
      <mc:Choice Requires="x14">
        <control shapeId="3253" r:id="rId1148" name="Control 18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53" r:id="rId1148" name="Control 181"/>
      </mc:Fallback>
    </mc:AlternateContent>
    <mc:AlternateContent xmlns:mc="http://schemas.openxmlformats.org/markup-compatibility/2006">
      <mc:Choice Requires="x14">
        <control shapeId="3252" r:id="rId1149" name="Control 18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52" r:id="rId1149" name="Control 180"/>
      </mc:Fallback>
    </mc:AlternateContent>
    <mc:AlternateContent xmlns:mc="http://schemas.openxmlformats.org/markup-compatibility/2006">
      <mc:Choice Requires="x14">
        <control shapeId="3251" r:id="rId1150" name="Control 17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51" r:id="rId1150" name="Control 179"/>
      </mc:Fallback>
    </mc:AlternateContent>
    <mc:AlternateContent xmlns:mc="http://schemas.openxmlformats.org/markup-compatibility/2006">
      <mc:Choice Requires="x14">
        <control shapeId="3250" r:id="rId1151" name="Control 17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50" r:id="rId1151" name="Control 178"/>
      </mc:Fallback>
    </mc:AlternateContent>
    <mc:AlternateContent xmlns:mc="http://schemas.openxmlformats.org/markup-compatibility/2006">
      <mc:Choice Requires="x14">
        <control shapeId="3249" r:id="rId1152" name="Control 17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49" r:id="rId1152" name="Control 177"/>
      </mc:Fallback>
    </mc:AlternateContent>
    <mc:AlternateContent xmlns:mc="http://schemas.openxmlformats.org/markup-compatibility/2006">
      <mc:Choice Requires="x14">
        <control shapeId="3248" r:id="rId1153" name="Control 17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48" r:id="rId1153" name="Control 176"/>
      </mc:Fallback>
    </mc:AlternateContent>
    <mc:AlternateContent xmlns:mc="http://schemas.openxmlformats.org/markup-compatibility/2006">
      <mc:Choice Requires="x14">
        <control shapeId="3247" r:id="rId1154" name="Control 17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47" r:id="rId1154" name="Control 175"/>
      </mc:Fallback>
    </mc:AlternateContent>
    <mc:AlternateContent xmlns:mc="http://schemas.openxmlformats.org/markup-compatibility/2006">
      <mc:Choice Requires="x14">
        <control shapeId="3246" r:id="rId1155" name="Control 17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46" r:id="rId1155" name="Control 174"/>
      </mc:Fallback>
    </mc:AlternateContent>
    <mc:AlternateContent xmlns:mc="http://schemas.openxmlformats.org/markup-compatibility/2006">
      <mc:Choice Requires="x14">
        <control shapeId="3245" r:id="rId1156" name="Control 17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45" r:id="rId1156" name="Control 173"/>
      </mc:Fallback>
    </mc:AlternateContent>
    <mc:AlternateContent xmlns:mc="http://schemas.openxmlformats.org/markup-compatibility/2006">
      <mc:Choice Requires="x14">
        <control shapeId="3244" r:id="rId1157" name="Control 17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44" r:id="rId1157" name="Control 172"/>
      </mc:Fallback>
    </mc:AlternateContent>
    <mc:AlternateContent xmlns:mc="http://schemas.openxmlformats.org/markup-compatibility/2006">
      <mc:Choice Requires="x14">
        <control shapeId="3243" r:id="rId1158" name="Control 17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43" r:id="rId1158" name="Control 171"/>
      </mc:Fallback>
    </mc:AlternateContent>
    <mc:AlternateContent xmlns:mc="http://schemas.openxmlformats.org/markup-compatibility/2006">
      <mc:Choice Requires="x14">
        <control shapeId="3242" r:id="rId1159" name="Control 17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42" r:id="rId1159" name="Control 170"/>
      </mc:Fallback>
    </mc:AlternateContent>
    <mc:AlternateContent xmlns:mc="http://schemas.openxmlformats.org/markup-compatibility/2006">
      <mc:Choice Requires="x14">
        <control shapeId="3241" r:id="rId1160" name="Control 16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41" r:id="rId1160" name="Control 169"/>
      </mc:Fallback>
    </mc:AlternateContent>
    <mc:AlternateContent xmlns:mc="http://schemas.openxmlformats.org/markup-compatibility/2006">
      <mc:Choice Requires="x14">
        <control shapeId="3240" r:id="rId1161" name="Control 16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40" r:id="rId1161" name="Control 168"/>
      </mc:Fallback>
    </mc:AlternateContent>
    <mc:AlternateContent xmlns:mc="http://schemas.openxmlformats.org/markup-compatibility/2006">
      <mc:Choice Requires="x14">
        <control shapeId="3239" r:id="rId1162" name="Control 16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39" r:id="rId1162" name="Control 167"/>
      </mc:Fallback>
    </mc:AlternateContent>
    <mc:AlternateContent xmlns:mc="http://schemas.openxmlformats.org/markup-compatibility/2006">
      <mc:Choice Requires="x14">
        <control shapeId="3238" r:id="rId1163" name="Control 16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38" r:id="rId1163" name="Control 166"/>
      </mc:Fallback>
    </mc:AlternateContent>
    <mc:AlternateContent xmlns:mc="http://schemas.openxmlformats.org/markup-compatibility/2006">
      <mc:Choice Requires="x14">
        <control shapeId="3237" r:id="rId1164" name="Control 16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37" r:id="rId1164" name="Control 165"/>
      </mc:Fallback>
    </mc:AlternateContent>
    <mc:AlternateContent xmlns:mc="http://schemas.openxmlformats.org/markup-compatibility/2006">
      <mc:Choice Requires="x14">
        <control shapeId="3236" r:id="rId1165" name="Control 16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36" r:id="rId1165" name="Control 164"/>
      </mc:Fallback>
    </mc:AlternateContent>
    <mc:AlternateContent xmlns:mc="http://schemas.openxmlformats.org/markup-compatibility/2006">
      <mc:Choice Requires="x14">
        <control shapeId="3235" r:id="rId1166" name="Control 16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35" r:id="rId1166" name="Control 163"/>
      </mc:Fallback>
    </mc:AlternateContent>
    <mc:AlternateContent xmlns:mc="http://schemas.openxmlformats.org/markup-compatibility/2006">
      <mc:Choice Requires="x14">
        <control shapeId="3234" r:id="rId1167" name="Control 16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34" r:id="rId1167" name="Control 162"/>
      </mc:Fallback>
    </mc:AlternateContent>
    <mc:AlternateContent xmlns:mc="http://schemas.openxmlformats.org/markup-compatibility/2006">
      <mc:Choice Requires="x14">
        <control shapeId="3233" r:id="rId1168" name="Control 16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33" r:id="rId1168" name="Control 161"/>
      </mc:Fallback>
    </mc:AlternateContent>
    <mc:AlternateContent xmlns:mc="http://schemas.openxmlformats.org/markup-compatibility/2006">
      <mc:Choice Requires="x14">
        <control shapeId="3232" r:id="rId1169" name="Control 16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32" r:id="rId1169" name="Control 160"/>
      </mc:Fallback>
    </mc:AlternateContent>
    <mc:AlternateContent xmlns:mc="http://schemas.openxmlformats.org/markup-compatibility/2006">
      <mc:Choice Requires="x14">
        <control shapeId="3231" r:id="rId1170" name="Control 15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31" r:id="rId1170" name="Control 159"/>
      </mc:Fallback>
    </mc:AlternateContent>
    <mc:AlternateContent xmlns:mc="http://schemas.openxmlformats.org/markup-compatibility/2006">
      <mc:Choice Requires="x14">
        <control shapeId="3230" r:id="rId1171" name="Control 15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30" r:id="rId1171" name="Control 158"/>
      </mc:Fallback>
    </mc:AlternateContent>
    <mc:AlternateContent xmlns:mc="http://schemas.openxmlformats.org/markup-compatibility/2006">
      <mc:Choice Requires="x14">
        <control shapeId="3229" r:id="rId1172" name="Control 15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29" r:id="rId1172" name="Control 157"/>
      </mc:Fallback>
    </mc:AlternateContent>
    <mc:AlternateContent xmlns:mc="http://schemas.openxmlformats.org/markup-compatibility/2006">
      <mc:Choice Requires="x14">
        <control shapeId="3228" r:id="rId1173" name="Control 156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28" r:id="rId1173" name="Control 156"/>
      </mc:Fallback>
    </mc:AlternateContent>
    <mc:AlternateContent xmlns:mc="http://schemas.openxmlformats.org/markup-compatibility/2006">
      <mc:Choice Requires="x14">
        <control shapeId="3227" r:id="rId1174" name="Control 155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27" r:id="rId1174" name="Control 155"/>
      </mc:Fallback>
    </mc:AlternateContent>
    <mc:AlternateContent xmlns:mc="http://schemas.openxmlformats.org/markup-compatibility/2006">
      <mc:Choice Requires="x14">
        <control shapeId="3226" r:id="rId1175" name="Control 154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26" r:id="rId1175" name="Control 154"/>
      </mc:Fallback>
    </mc:AlternateContent>
    <mc:AlternateContent xmlns:mc="http://schemas.openxmlformats.org/markup-compatibility/2006">
      <mc:Choice Requires="x14">
        <control shapeId="3225" r:id="rId1176" name="Control 153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25" r:id="rId1176" name="Control 153"/>
      </mc:Fallback>
    </mc:AlternateContent>
    <mc:AlternateContent xmlns:mc="http://schemas.openxmlformats.org/markup-compatibility/2006">
      <mc:Choice Requires="x14">
        <control shapeId="3224" r:id="rId1177" name="Control 152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24" r:id="rId1177" name="Control 152"/>
      </mc:Fallback>
    </mc:AlternateContent>
    <mc:AlternateContent xmlns:mc="http://schemas.openxmlformats.org/markup-compatibility/2006">
      <mc:Choice Requires="x14">
        <control shapeId="3223" r:id="rId1178" name="Control 151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23" r:id="rId1178" name="Control 151"/>
      </mc:Fallback>
    </mc:AlternateContent>
    <mc:AlternateContent xmlns:mc="http://schemas.openxmlformats.org/markup-compatibility/2006">
      <mc:Choice Requires="x14">
        <control shapeId="3222" r:id="rId1179" name="Control 150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22" r:id="rId1179" name="Control 150"/>
      </mc:Fallback>
    </mc:AlternateContent>
    <mc:AlternateContent xmlns:mc="http://schemas.openxmlformats.org/markup-compatibility/2006">
      <mc:Choice Requires="x14">
        <control shapeId="3221" r:id="rId1180" name="Control 149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21" r:id="rId1180" name="Control 149"/>
      </mc:Fallback>
    </mc:AlternateContent>
    <mc:AlternateContent xmlns:mc="http://schemas.openxmlformats.org/markup-compatibility/2006">
      <mc:Choice Requires="x14">
        <control shapeId="3220" r:id="rId1181" name="Control 148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20" r:id="rId1181" name="Control 148"/>
      </mc:Fallback>
    </mc:AlternateContent>
    <mc:AlternateContent xmlns:mc="http://schemas.openxmlformats.org/markup-compatibility/2006">
      <mc:Choice Requires="x14">
        <control shapeId="3219" r:id="rId1182" name="Control 147">
          <controlPr defaultSize="0" autoPict="0" r:id="rId669">
            <anchor moveWithCells="1">
              <from>
                <xdr:col>0</xdr:col>
                <xdr:colOff>0</xdr:colOff>
                <xdr:row>580</xdr:row>
                <xdr:rowOff>0</xdr:rowOff>
              </from>
              <to>
                <xdr:col>1</xdr:col>
                <xdr:colOff>257175</xdr:colOff>
                <xdr:row>666</xdr:row>
                <xdr:rowOff>76200</xdr:rowOff>
              </to>
            </anchor>
          </controlPr>
        </control>
      </mc:Choice>
      <mc:Fallback>
        <control shapeId="3219" r:id="rId1182" name="Control 147"/>
      </mc:Fallback>
    </mc:AlternateContent>
    <mc:AlternateContent xmlns:mc="http://schemas.openxmlformats.org/markup-compatibility/2006">
      <mc:Choice Requires="x14">
        <control shapeId="3218" r:id="rId1183" name="Control 146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18" r:id="rId1183" name="Control 146"/>
      </mc:Fallback>
    </mc:AlternateContent>
    <mc:AlternateContent xmlns:mc="http://schemas.openxmlformats.org/markup-compatibility/2006">
      <mc:Choice Requires="x14">
        <control shapeId="3217" r:id="rId1185" name="Control 145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17" r:id="rId1185" name="Control 145"/>
      </mc:Fallback>
    </mc:AlternateContent>
    <mc:AlternateContent xmlns:mc="http://schemas.openxmlformats.org/markup-compatibility/2006">
      <mc:Choice Requires="x14">
        <control shapeId="3216" r:id="rId1186" name="Control 144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16" r:id="rId1186" name="Control 144"/>
      </mc:Fallback>
    </mc:AlternateContent>
    <mc:AlternateContent xmlns:mc="http://schemas.openxmlformats.org/markup-compatibility/2006">
      <mc:Choice Requires="x14">
        <control shapeId="3215" r:id="rId1187" name="Control 143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15" r:id="rId1187" name="Control 143"/>
      </mc:Fallback>
    </mc:AlternateContent>
    <mc:AlternateContent xmlns:mc="http://schemas.openxmlformats.org/markup-compatibility/2006">
      <mc:Choice Requires="x14">
        <control shapeId="3214" r:id="rId1188" name="Control 142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14" r:id="rId1188" name="Control 142"/>
      </mc:Fallback>
    </mc:AlternateContent>
    <mc:AlternateContent xmlns:mc="http://schemas.openxmlformats.org/markup-compatibility/2006">
      <mc:Choice Requires="x14">
        <control shapeId="3213" r:id="rId1189" name="Control 141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13" r:id="rId1189" name="Control 141"/>
      </mc:Fallback>
    </mc:AlternateContent>
    <mc:AlternateContent xmlns:mc="http://schemas.openxmlformats.org/markup-compatibility/2006">
      <mc:Choice Requires="x14">
        <control shapeId="3212" r:id="rId1190" name="Control 140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12" r:id="rId1190" name="Control 140"/>
      </mc:Fallback>
    </mc:AlternateContent>
    <mc:AlternateContent xmlns:mc="http://schemas.openxmlformats.org/markup-compatibility/2006">
      <mc:Choice Requires="x14">
        <control shapeId="3211" r:id="rId1191" name="Control 139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11" r:id="rId1191" name="Control 139"/>
      </mc:Fallback>
    </mc:AlternateContent>
    <mc:AlternateContent xmlns:mc="http://schemas.openxmlformats.org/markup-compatibility/2006">
      <mc:Choice Requires="x14">
        <control shapeId="3210" r:id="rId1192" name="Control 138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10" r:id="rId1192" name="Control 138"/>
      </mc:Fallback>
    </mc:AlternateContent>
    <mc:AlternateContent xmlns:mc="http://schemas.openxmlformats.org/markup-compatibility/2006">
      <mc:Choice Requires="x14">
        <control shapeId="3209" r:id="rId1193" name="Control 137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09" r:id="rId1193" name="Control 137"/>
      </mc:Fallback>
    </mc:AlternateContent>
    <mc:AlternateContent xmlns:mc="http://schemas.openxmlformats.org/markup-compatibility/2006">
      <mc:Choice Requires="x14">
        <control shapeId="3208" r:id="rId1194" name="Control 136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08" r:id="rId1194" name="Control 136"/>
      </mc:Fallback>
    </mc:AlternateContent>
    <mc:AlternateContent xmlns:mc="http://schemas.openxmlformats.org/markup-compatibility/2006">
      <mc:Choice Requires="x14">
        <control shapeId="3207" r:id="rId1195" name="Control 135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07" r:id="rId1195" name="Control 135"/>
      </mc:Fallback>
    </mc:AlternateContent>
    <mc:AlternateContent xmlns:mc="http://schemas.openxmlformats.org/markup-compatibility/2006">
      <mc:Choice Requires="x14">
        <control shapeId="3206" r:id="rId1196" name="Control 134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06" r:id="rId1196" name="Control 134"/>
      </mc:Fallback>
    </mc:AlternateContent>
    <mc:AlternateContent xmlns:mc="http://schemas.openxmlformats.org/markup-compatibility/2006">
      <mc:Choice Requires="x14">
        <control shapeId="3205" r:id="rId1197" name="Control 133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05" r:id="rId1197" name="Control 133"/>
      </mc:Fallback>
    </mc:AlternateContent>
    <mc:AlternateContent xmlns:mc="http://schemas.openxmlformats.org/markup-compatibility/2006">
      <mc:Choice Requires="x14">
        <control shapeId="3204" r:id="rId1198" name="Control 132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04" r:id="rId1198" name="Control 132"/>
      </mc:Fallback>
    </mc:AlternateContent>
    <mc:AlternateContent xmlns:mc="http://schemas.openxmlformats.org/markup-compatibility/2006">
      <mc:Choice Requires="x14">
        <control shapeId="3203" r:id="rId1199" name="Control 131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03" r:id="rId1199" name="Control 131"/>
      </mc:Fallback>
    </mc:AlternateContent>
    <mc:AlternateContent xmlns:mc="http://schemas.openxmlformats.org/markup-compatibility/2006">
      <mc:Choice Requires="x14">
        <control shapeId="3202" r:id="rId1200" name="Control 130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02" r:id="rId1200" name="Control 130"/>
      </mc:Fallback>
    </mc:AlternateContent>
    <mc:AlternateContent xmlns:mc="http://schemas.openxmlformats.org/markup-compatibility/2006">
      <mc:Choice Requires="x14">
        <control shapeId="3201" r:id="rId1201" name="Control 129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01" r:id="rId1201" name="Control 129"/>
      </mc:Fallback>
    </mc:AlternateContent>
    <mc:AlternateContent xmlns:mc="http://schemas.openxmlformats.org/markup-compatibility/2006">
      <mc:Choice Requires="x14">
        <control shapeId="3200" r:id="rId1202" name="Control 128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200" r:id="rId1202" name="Control 128"/>
      </mc:Fallback>
    </mc:AlternateContent>
    <mc:AlternateContent xmlns:mc="http://schemas.openxmlformats.org/markup-compatibility/2006">
      <mc:Choice Requires="x14">
        <control shapeId="3199" r:id="rId1203" name="Control 127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99" r:id="rId1203" name="Control 127"/>
      </mc:Fallback>
    </mc:AlternateContent>
    <mc:AlternateContent xmlns:mc="http://schemas.openxmlformats.org/markup-compatibility/2006">
      <mc:Choice Requires="x14">
        <control shapeId="3198" r:id="rId1204" name="Control 126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98" r:id="rId1204" name="Control 126"/>
      </mc:Fallback>
    </mc:AlternateContent>
    <mc:AlternateContent xmlns:mc="http://schemas.openxmlformats.org/markup-compatibility/2006">
      <mc:Choice Requires="x14">
        <control shapeId="3197" r:id="rId1205" name="Control 125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97" r:id="rId1205" name="Control 125"/>
      </mc:Fallback>
    </mc:AlternateContent>
    <mc:AlternateContent xmlns:mc="http://schemas.openxmlformats.org/markup-compatibility/2006">
      <mc:Choice Requires="x14">
        <control shapeId="3196" r:id="rId1206" name="Control 124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96" r:id="rId1206" name="Control 124"/>
      </mc:Fallback>
    </mc:AlternateContent>
    <mc:AlternateContent xmlns:mc="http://schemas.openxmlformats.org/markup-compatibility/2006">
      <mc:Choice Requires="x14">
        <control shapeId="3195" r:id="rId1207" name="Control 123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95" r:id="rId1207" name="Control 123"/>
      </mc:Fallback>
    </mc:AlternateContent>
    <mc:AlternateContent xmlns:mc="http://schemas.openxmlformats.org/markup-compatibility/2006">
      <mc:Choice Requires="x14">
        <control shapeId="3194" r:id="rId1208" name="Control 122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94" r:id="rId1208" name="Control 122"/>
      </mc:Fallback>
    </mc:AlternateContent>
    <mc:AlternateContent xmlns:mc="http://schemas.openxmlformats.org/markup-compatibility/2006">
      <mc:Choice Requires="x14">
        <control shapeId="3193" r:id="rId1209" name="Control 121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93" r:id="rId1209" name="Control 121"/>
      </mc:Fallback>
    </mc:AlternateContent>
    <mc:AlternateContent xmlns:mc="http://schemas.openxmlformats.org/markup-compatibility/2006">
      <mc:Choice Requires="x14">
        <control shapeId="3192" r:id="rId1210" name="Control 120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92" r:id="rId1210" name="Control 120"/>
      </mc:Fallback>
    </mc:AlternateContent>
    <mc:AlternateContent xmlns:mc="http://schemas.openxmlformats.org/markup-compatibility/2006">
      <mc:Choice Requires="x14">
        <control shapeId="3191" r:id="rId1211" name="Control 119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91" r:id="rId1211" name="Control 119"/>
      </mc:Fallback>
    </mc:AlternateContent>
    <mc:AlternateContent xmlns:mc="http://schemas.openxmlformats.org/markup-compatibility/2006">
      <mc:Choice Requires="x14">
        <control shapeId="3190" r:id="rId1212" name="Control 118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90" r:id="rId1212" name="Control 118"/>
      </mc:Fallback>
    </mc:AlternateContent>
    <mc:AlternateContent xmlns:mc="http://schemas.openxmlformats.org/markup-compatibility/2006">
      <mc:Choice Requires="x14">
        <control shapeId="3189" r:id="rId1213" name="Control 117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89" r:id="rId1213" name="Control 117"/>
      </mc:Fallback>
    </mc:AlternateContent>
    <mc:AlternateContent xmlns:mc="http://schemas.openxmlformats.org/markup-compatibility/2006">
      <mc:Choice Requires="x14">
        <control shapeId="3188" r:id="rId1214" name="Control 116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88" r:id="rId1214" name="Control 116"/>
      </mc:Fallback>
    </mc:AlternateContent>
    <mc:AlternateContent xmlns:mc="http://schemas.openxmlformats.org/markup-compatibility/2006">
      <mc:Choice Requires="x14">
        <control shapeId="3187" r:id="rId1215" name="Control 115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87" r:id="rId1215" name="Control 115"/>
      </mc:Fallback>
    </mc:AlternateContent>
    <mc:AlternateContent xmlns:mc="http://schemas.openxmlformats.org/markup-compatibility/2006">
      <mc:Choice Requires="x14">
        <control shapeId="3186" r:id="rId1216" name="Control 114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86" r:id="rId1216" name="Control 114"/>
      </mc:Fallback>
    </mc:AlternateContent>
    <mc:AlternateContent xmlns:mc="http://schemas.openxmlformats.org/markup-compatibility/2006">
      <mc:Choice Requires="x14">
        <control shapeId="3185" r:id="rId1217" name="Control 113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85" r:id="rId1217" name="Control 113"/>
      </mc:Fallback>
    </mc:AlternateContent>
    <mc:AlternateContent xmlns:mc="http://schemas.openxmlformats.org/markup-compatibility/2006">
      <mc:Choice Requires="x14">
        <control shapeId="3184" r:id="rId1218" name="Control 112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84" r:id="rId1218" name="Control 112"/>
      </mc:Fallback>
    </mc:AlternateContent>
    <mc:AlternateContent xmlns:mc="http://schemas.openxmlformats.org/markup-compatibility/2006">
      <mc:Choice Requires="x14">
        <control shapeId="3183" r:id="rId1219" name="Control 111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83" r:id="rId1219" name="Control 111"/>
      </mc:Fallback>
    </mc:AlternateContent>
    <mc:AlternateContent xmlns:mc="http://schemas.openxmlformats.org/markup-compatibility/2006">
      <mc:Choice Requires="x14">
        <control shapeId="3182" r:id="rId1220" name="Control 110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82" r:id="rId1220" name="Control 110"/>
      </mc:Fallback>
    </mc:AlternateContent>
    <mc:AlternateContent xmlns:mc="http://schemas.openxmlformats.org/markup-compatibility/2006">
      <mc:Choice Requires="x14">
        <control shapeId="3181" r:id="rId1221" name="Control 109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81" r:id="rId1221" name="Control 109"/>
      </mc:Fallback>
    </mc:AlternateContent>
    <mc:AlternateContent xmlns:mc="http://schemas.openxmlformats.org/markup-compatibility/2006">
      <mc:Choice Requires="x14">
        <control shapeId="3180" r:id="rId1222" name="Control 108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80" r:id="rId1222" name="Control 108"/>
      </mc:Fallback>
    </mc:AlternateContent>
    <mc:AlternateContent xmlns:mc="http://schemas.openxmlformats.org/markup-compatibility/2006">
      <mc:Choice Requires="x14">
        <control shapeId="3179" r:id="rId1223" name="Control 107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79" r:id="rId1223" name="Control 107"/>
      </mc:Fallback>
    </mc:AlternateContent>
    <mc:AlternateContent xmlns:mc="http://schemas.openxmlformats.org/markup-compatibility/2006">
      <mc:Choice Requires="x14">
        <control shapeId="3178" r:id="rId1224" name="Control 106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78" r:id="rId1224" name="Control 106"/>
      </mc:Fallback>
    </mc:AlternateContent>
    <mc:AlternateContent xmlns:mc="http://schemas.openxmlformats.org/markup-compatibility/2006">
      <mc:Choice Requires="x14">
        <control shapeId="3177" r:id="rId1225" name="Control 105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77" r:id="rId1225" name="Control 105"/>
      </mc:Fallback>
    </mc:AlternateContent>
    <mc:AlternateContent xmlns:mc="http://schemas.openxmlformats.org/markup-compatibility/2006">
      <mc:Choice Requires="x14">
        <control shapeId="3176" r:id="rId1226" name="Control 104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76" r:id="rId1226" name="Control 104"/>
      </mc:Fallback>
    </mc:AlternateContent>
    <mc:AlternateContent xmlns:mc="http://schemas.openxmlformats.org/markup-compatibility/2006">
      <mc:Choice Requires="x14">
        <control shapeId="3175" r:id="rId1227" name="Control 103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75" r:id="rId1227" name="Control 103"/>
      </mc:Fallback>
    </mc:AlternateContent>
    <mc:AlternateContent xmlns:mc="http://schemas.openxmlformats.org/markup-compatibility/2006">
      <mc:Choice Requires="x14">
        <control shapeId="3174" r:id="rId1228" name="Control 102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74" r:id="rId1228" name="Control 102"/>
      </mc:Fallback>
    </mc:AlternateContent>
    <mc:AlternateContent xmlns:mc="http://schemas.openxmlformats.org/markup-compatibility/2006">
      <mc:Choice Requires="x14">
        <control shapeId="3173" r:id="rId1229" name="Control 101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73" r:id="rId1229" name="Control 101"/>
      </mc:Fallback>
    </mc:AlternateContent>
    <mc:AlternateContent xmlns:mc="http://schemas.openxmlformats.org/markup-compatibility/2006">
      <mc:Choice Requires="x14">
        <control shapeId="3172" r:id="rId1230" name="Control 100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72" r:id="rId1230" name="Control 100"/>
      </mc:Fallback>
    </mc:AlternateContent>
    <mc:AlternateContent xmlns:mc="http://schemas.openxmlformats.org/markup-compatibility/2006">
      <mc:Choice Requires="x14">
        <control shapeId="3171" r:id="rId1231" name="Control 99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71" r:id="rId1231" name="Control 99"/>
      </mc:Fallback>
    </mc:AlternateContent>
    <mc:AlternateContent xmlns:mc="http://schemas.openxmlformats.org/markup-compatibility/2006">
      <mc:Choice Requires="x14">
        <control shapeId="3170" r:id="rId1232" name="Control 98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70" r:id="rId1232" name="Control 98"/>
      </mc:Fallback>
    </mc:AlternateContent>
    <mc:AlternateContent xmlns:mc="http://schemas.openxmlformats.org/markup-compatibility/2006">
      <mc:Choice Requires="x14">
        <control shapeId="3169" r:id="rId1233" name="Control 97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69" r:id="rId1233" name="Control 97"/>
      </mc:Fallback>
    </mc:AlternateContent>
    <mc:AlternateContent xmlns:mc="http://schemas.openxmlformats.org/markup-compatibility/2006">
      <mc:Choice Requires="x14">
        <control shapeId="3168" r:id="rId1234" name="Control 96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68" r:id="rId1234" name="Control 96"/>
      </mc:Fallback>
    </mc:AlternateContent>
    <mc:AlternateContent xmlns:mc="http://schemas.openxmlformats.org/markup-compatibility/2006">
      <mc:Choice Requires="x14">
        <control shapeId="3167" r:id="rId1235" name="Control 95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67" r:id="rId1235" name="Control 95"/>
      </mc:Fallback>
    </mc:AlternateContent>
    <mc:AlternateContent xmlns:mc="http://schemas.openxmlformats.org/markup-compatibility/2006">
      <mc:Choice Requires="x14">
        <control shapeId="3166" r:id="rId1236" name="Control 94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66" r:id="rId1236" name="Control 94"/>
      </mc:Fallback>
    </mc:AlternateContent>
    <mc:AlternateContent xmlns:mc="http://schemas.openxmlformats.org/markup-compatibility/2006">
      <mc:Choice Requires="x14">
        <control shapeId="3165" r:id="rId1237" name="Control 93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65" r:id="rId1237" name="Control 93"/>
      </mc:Fallback>
    </mc:AlternateContent>
    <mc:AlternateContent xmlns:mc="http://schemas.openxmlformats.org/markup-compatibility/2006">
      <mc:Choice Requires="x14">
        <control shapeId="3164" r:id="rId1238" name="Control 92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64" r:id="rId1238" name="Control 92"/>
      </mc:Fallback>
    </mc:AlternateContent>
    <mc:AlternateContent xmlns:mc="http://schemas.openxmlformats.org/markup-compatibility/2006">
      <mc:Choice Requires="x14">
        <control shapeId="3163" r:id="rId1239" name="Control 91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63" r:id="rId1239" name="Control 91"/>
      </mc:Fallback>
    </mc:AlternateContent>
    <mc:AlternateContent xmlns:mc="http://schemas.openxmlformats.org/markup-compatibility/2006">
      <mc:Choice Requires="x14">
        <control shapeId="3162" r:id="rId1240" name="Control 90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62" r:id="rId1240" name="Control 90"/>
      </mc:Fallback>
    </mc:AlternateContent>
    <mc:AlternateContent xmlns:mc="http://schemas.openxmlformats.org/markup-compatibility/2006">
      <mc:Choice Requires="x14">
        <control shapeId="3161" r:id="rId1241" name="Control 89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61" r:id="rId1241" name="Control 89"/>
      </mc:Fallback>
    </mc:AlternateContent>
    <mc:AlternateContent xmlns:mc="http://schemas.openxmlformats.org/markup-compatibility/2006">
      <mc:Choice Requires="x14">
        <control shapeId="3160" r:id="rId1242" name="Control 88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60" r:id="rId1242" name="Control 88"/>
      </mc:Fallback>
    </mc:AlternateContent>
    <mc:AlternateContent xmlns:mc="http://schemas.openxmlformats.org/markup-compatibility/2006">
      <mc:Choice Requires="x14">
        <control shapeId="3159" r:id="rId1243" name="Control 87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59" r:id="rId1243" name="Control 87"/>
      </mc:Fallback>
    </mc:AlternateContent>
    <mc:AlternateContent xmlns:mc="http://schemas.openxmlformats.org/markup-compatibility/2006">
      <mc:Choice Requires="x14">
        <control shapeId="3158" r:id="rId1244" name="Control 86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58" r:id="rId1244" name="Control 86"/>
      </mc:Fallback>
    </mc:AlternateContent>
    <mc:AlternateContent xmlns:mc="http://schemas.openxmlformats.org/markup-compatibility/2006">
      <mc:Choice Requires="x14">
        <control shapeId="3157" r:id="rId1245" name="Control 85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57" r:id="rId1245" name="Control 85"/>
      </mc:Fallback>
    </mc:AlternateContent>
    <mc:AlternateContent xmlns:mc="http://schemas.openxmlformats.org/markup-compatibility/2006">
      <mc:Choice Requires="x14">
        <control shapeId="3156" r:id="rId1246" name="Control 84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56" r:id="rId1246" name="Control 84"/>
      </mc:Fallback>
    </mc:AlternateContent>
    <mc:AlternateContent xmlns:mc="http://schemas.openxmlformats.org/markup-compatibility/2006">
      <mc:Choice Requires="x14">
        <control shapeId="3155" r:id="rId1247" name="Control 83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55" r:id="rId1247" name="Control 83"/>
      </mc:Fallback>
    </mc:AlternateContent>
    <mc:AlternateContent xmlns:mc="http://schemas.openxmlformats.org/markup-compatibility/2006">
      <mc:Choice Requires="x14">
        <control shapeId="3154" r:id="rId1248" name="Control 82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54" r:id="rId1248" name="Control 82"/>
      </mc:Fallback>
    </mc:AlternateContent>
    <mc:AlternateContent xmlns:mc="http://schemas.openxmlformats.org/markup-compatibility/2006">
      <mc:Choice Requires="x14">
        <control shapeId="3153" r:id="rId1249" name="Control 81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53" r:id="rId1249" name="Control 81"/>
      </mc:Fallback>
    </mc:AlternateContent>
    <mc:AlternateContent xmlns:mc="http://schemas.openxmlformats.org/markup-compatibility/2006">
      <mc:Choice Requires="x14">
        <control shapeId="3152" r:id="rId1250" name="Control 80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52" r:id="rId1250" name="Control 80"/>
      </mc:Fallback>
    </mc:AlternateContent>
    <mc:AlternateContent xmlns:mc="http://schemas.openxmlformats.org/markup-compatibility/2006">
      <mc:Choice Requires="x14">
        <control shapeId="3151" r:id="rId1251" name="Control 79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51" r:id="rId1251" name="Control 79"/>
      </mc:Fallback>
    </mc:AlternateContent>
    <mc:AlternateContent xmlns:mc="http://schemas.openxmlformats.org/markup-compatibility/2006">
      <mc:Choice Requires="x14">
        <control shapeId="3150" r:id="rId1252" name="Control 78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50" r:id="rId1252" name="Control 78"/>
      </mc:Fallback>
    </mc:AlternateContent>
    <mc:AlternateContent xmlns:mc="http://schemas.openxmlformats.org/markup-compatibility/2006">
      <mc:Choice Requires="x14">
        <control shapeId="3149" r:id="rId1253" name="Control 77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49" r:id="rId1253" name="Control 77"/>
      </mc:Fallback>
    </mc:AlternateContent>
    <mc:AlternateContent xmlns:mc="http://schemas.openxmlformats.org/markup-compatibility/2006">
      <mc:Choice Requires="x14">
        <control shapeId="3148" r:id="rId1254" name="Control 76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48" r:id="rId1254" name="Control 76"/>
      </mc:Fallback>
    </mc:AlternateContent>
    <mc:AlternateContent xmlns:mc="http://schemas.openxmlformats.org/markup-compatibility/2006">
      <mc:Choice Requires="x14">
        <control shapeId="3147" r:id="rId1255" name="Control 75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47" r:id="rId1255" name="Control 75"/>
      </mc:Fallback>
    </mc:AlternateContent>
    <mc:AlternateContent xmlns:mc="http://schemas.openxmlformats.org/markup-compatibility/2006">
      <mc:Choice Requires="x14">
        <control shapeId="3146" r:id="rId1256" name="Control 74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46" r:id="rId1256" name="Control 74"/>
      </mc:Fallback>
    </mc:AlternateContent>
    <mc:AlternateContent xmlns:mc="http://schemas.openxmlformats.org/markup-compatibility/2006">
      <mc:Choice Requires="x14">
        <control shapeId="3145" r:id="rId1257" name="Control 73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45" r:id="rId1257" name="Control 73"/>
      </mc:Fallback>
    </mc:AlternateContent>
    <mc:AlternateContent xmlns:mc="http://schemas.openxmlformats.org/markup-compatibility/2006">
      <mc:Choice Requires="x14">
        <control shapeId="3144" r:id="rId1258" name="Control 72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44" r:id="rId1258" name="Control 72"/>
      </mc:Fallback>
    </mc:AlternateContent>
    <mc:AlternateContent xmlns:mc="http://schemas.openxmlformats.org/markup-compatibility/2006">
      <mc:Choice Requires="x14">
        <control shapeId="3143" r:id="rId1259" name="Control 71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43" r:id="rId1259" name="Control 71"/>
      </mc:Fallback>
    </mc:AlternateContent>
    <mc:AlternateContent xmlns:mc="http://schemas.openxmlformats.org/markup-compatibility/2006">
      <mc:Choice Requires="x14">
        <control shapeId="3142" r:id="rId1260" name="Control 70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42" r:id="rId1260" name="Control 70"/>
      </mc:Fallback>
    </mc:AlternateContent>
    <mc:AlternateContent xmlns:mc="http://schemas.openxmlformats.org/markup-compatibility/2006">
      <mc:Choice Requires="x14">
        <control shapeId="3141" r:id="rId1261" name="Control 69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41" r:id="rId1261" name="Control 69"/>
      </mc:Fallback>
    </mc:AlternateContent>
    <mc:AlternateContent xmlns:mc="http://schemas.openxmlformats.org/markup-compatibility/2006">
      <mc:Choice Requires="x14">
        <control shapeId="3140" r:id="rId1262" name="Control 68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40" r:id="rId1262" name="Control 68"/>
      </mc:Fallback>
    </mc:AlternateContent>
    <mc:AlternateContent xmlns:mc="http://schemas.openxmlformats.org/markup-compatibility/2006">
      <mc:Choice Requires="x14">
        <control shapeId="3139" r:id="rId1263" name="Control 67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39" r:id="rId1263" name="Control 67"/>
      </mc:Fallback>
    </mc:AlternateContent>
    <mc:AlternateContent xmlns:mc="http://schemas.openxmlformats.org/markup-compatibility/2006">
      <mc:Choice Requires="x14">
        <control shapeId="3138" r:id="rId1264" name="Control 66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38" r:id="rId1264" name="Control 66"/>
      </mc:Fallback>
    </mc:AlternateContent>
    <mc:AlternateContent xmlns:mc="http://schemas.openxmlformats.org/markup-compatibility/2006">
      <mc:Choice Requires="x14">
        <control shapeId="3137" r:id="rId1265" name="Control 65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37" r:id="rId1265" name="Control 65"/>
      </mc:Fallback>
    </mc:AlternateContent>
    <mc:AlternateContent xmlns:mc="http://schemas.openxmlformats.org/markup-compatibility/2006">
      <mc:Choice Requires="x14">
        <control shapeId="3136" r:id="rId1266" name="Control 64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36" r:id="rId1266" name="Control 64"/>
      </mc:Fallback>
    </mc:AlternateContent>
    <mc:AlternateContent xmlns:mc="http://schemas.openxmlformats.org/markup-compatibility/2006">
      <mc:Choice Requires="x14">
        <control shapeId="3135" r:id="rId1267" name="Control 63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35" r:id="rId1267" name="Control 63"/>
      </mc:Fallback>
    </mc:AlternateContent>
    <mc:AlternateContent xmlns:mc="http://schemas.openxmlformats.org/markup-compatibility/2006">
      <mc:Choice Requires="x14">
        <control shapeId="3134" r:id="rId1268" name="Control 62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34" r:id="rId1268" name="Control 62"/>
      </mc:Fallback>
    </mc:AlternateContent>
    <mc:AlternateContent xmlns:mc="http://schemas.openxmlformats.org/markup-compatibility/2006">
      <mc:Choice Requires="x14">
        <control shapeId="3133" r:id="rId1269" name="Control 61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33" r:id="rId1269" name="Control 61"/>
      </mc:Fallback>
    </mc:AlternateContent>
    <mc:AlternateContent xmlns:mc="http://schemas.openxmlformats.org/markup-compatibility/2006">
      <mc:Choice Requires="x14">
        <control shapeId="3132" r:id="rId1270" name="Control 60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32" r:id="rId1270" name="Control 60"/>
      </mc:Fallback>
    </mc:AlternateContent>
    <mc:AlternateContent xmlns:mc="http://schemas.openxmlformats.org/markup-compatibility/2006">
      <mc:Choice Requires="x14">
        <control shapeId="3131" r:id="rId1271" name="Control 59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31" r:id="rId1271" name="Control 59"/>
      </mc:Fallback>
    </mc:AlternateContent>
    <mc:AlternateContent xmlns:mc="http://schemas.openxmlformats.org/markup-compatibility/2006">
      <mc:Choice Requires="x14">
        <control shapeId="3130" r:id="rId1272" name="Control 58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30" r:id="rId1272" name="Control 58"/>
      </mc:Fallback>
    </mc:AlternateContent>
    <mc:AlternateContent xmlns:mc="http://schemas.openxmlformats.org/markup-compatibility/2006">
      <mc:Choice Requires="x14">
        <control shapeId="3129" r:id="rId1273" name="Control 57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29" r:id="rId1273" name="Control 57"/>
      </mc:Fallback>
    </mc:AlternateContent>
    <mc:AlternateContent xmlns:mc="http://schemas.openxmlformats.org/markup-compatibility/2006">
      <mc:Choice Requires="x14">
        <control shapeId="3128" r:id="rId1274" name="Control 56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28" r:id="rId1274" name="Control 56"/>
      </mc:Fallback>
    </mc:AlternateContent>
    <mc:AlternateContent xmlns:mc="http://schemas.openxmlformats.org/markup-compatibility/2006">
      <mc:Choice Requires="x14">
        <control shapeId="3127" r:id="rId1275" name="Control 55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27" r:id="rId1275" name="Control 55"/>
      </mc:Fallback>
    </mc:AlternateContent>
    <mc:AlternateContent xmlns:mc="http://schemas.openxmlformats.org/markup-compatibility/2006">
      <mc:Choice Requires="x14">
        <control shapeId="3126" r:id="rId1276" name="Control 54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26" r:id="rId1276" name="Control 54"/>
      </mc:Fallback>
    </mc:AlternateContent>
    <mc:AlternateContent xmlns:mc="http://schemas.openxmlformats.org/markup-compatibility/2006">
      <mc:Choice Requires="x14">
        <control shapeId="3125" r:id="rId1277" name="Control 53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25" r:id="rId1277" name="Control 53"/>
      </mc:Fallback>
    </mc:AlternateContent>
    <mc:AlternateContent xmlns:mc="http://schemas.openxmlformats.org/markup-compatibility/2006">
      <mc:Choice Requires="x14">
        <control shapeId="3124" r:id="rId1278" name="Control 52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24" r:id="rId1278" name="Control 52"/>
      </mc:Fallback>
    </mc:AlternateContent>
    <mc:AlternateContent xmlns:mc="http://schemas.openxmlformats.org/markup-compatibility/2006">
      <mc:Choice Requires="x14">
        <control shapeId="3123" r:id="rId1279" name="Control 51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23" r:id="rId1279" name="Control 51"/>
      </mc:Fallback>
    </mc:AlternateContent>
    <mc:AlternateContent xmlns:mc="http://schemas.openxmlformats.org/markup-compatibility/2006">
      <mc:Choice Requires="x14">
        <control shapeId="3122" r:id="rId1280" name="Control 50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22" r:id="rId1280" name="Control 50"/>
      </mc:Fallback>
    </mc:AlternateContent>
    <mc:AlternateContent xmlns:mc="http://schemas.openxmlformats.org/markup-compatibility/2006">
      <mc:Choice Requires="x14">
        <control shapeId="3121" r:id="rId1281" name="Control 49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121" r:id="rId1281" name="Control 49"/>
      </mc:Fallback>
    </mc:AlternateContent>
    <mc:AlternateContent xmlns:mc="http://schemas.openxmlformats.org/markup-compatibility/2006">
      <mc:Choice Requires="x14">
        <control shapeId="3096" r:id="rId1282" name="Control 24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96" r:id="rId1282" name="Control 24"/>
      </mc:Fallback>
    </mc:AlternateContent>
    <mc:AlternateContent xmlns:mc="http://schemas.openxmlformats.org/markup-compatibility/2006">
      <mc:Choice Requires="x14">
        <control shapeId="3095" r:id="rId1283" name="Control 23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95" r:id="rId1283" name="Control 23"/>
      </mc:Fallback>
    </mc:AlternateContent>
    <mc:AlternateContent xmlns:mc="http://schemas.openxmlformats.org/markup-compatibility/2006">
      <mc:Choice Requires="x14">
        <control shapeId="3094" r:id="rId1284" name="Control 22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94" r:id="rId1284" name="Control 22"/>
      </mc:Fallback>
    </mc:AlternateContent>
    <mc:AlternateContent xmlns:mc="http://schemas.openxmlformats.org/markup-compatibility/2006">
      <mc:Choice Requires="x14">
        <control shapeId="3093" r:id="rId1285" name="Control 21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93" r:id="rId1285" name="Control 21"/>
      </mc:Fallback>
    </mc:AlternateContent>
    <mc:AlternateContent xmlns:mc="http://schemas.openxmlformats.org/markup-compatibility/2006">
      <mc:Choice Requires="x14">
        <control shapeId="3092" r:id="rId1286" name="Control 20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92" r:id="rId1286" name="Control 20"/>
      </mc:Fallback>
    </mc:AlternateContent>
    <mc:AlternateContent xmlns:mc="http://schemas.openxmlformats.org/markup-compatibility/2006">
      <mc:Choice Requires="x14">
        <control shapeId="3091" r:id="rId1287" name="Control 19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91" r:id="rId1287" name="Control 19"/>
      </mc:Fallback>
    </mc:AlternateContent>
    <mc:AlternateContent xmlns:mc="http://schemas.openxmlformats.org/markup-compatibility/2006">
      <mc:Choice Requires="x14">
        <control shapeId="3090" r:id="rId1288" name="Control 18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90" r:id="rId1288" name="Control 18"/>
      </mc:Fallback>
    </mc:AlternateContent>
    <mc:AlternateContent xmlns:mc="http://schemas.openxmlformats.org/markup-compatibility/2006">
      <mc:Choice Requires="x14">
        <control shapeId="3089" r:id="rId1289" name="Control 17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89" r:id="rId1289" name="Control 17"/>
      </mc:Fallback>
    </mc:AlternateContent>
    <mc:AlternateContent xmlns:mc="http://schemas.openxmlformats.org/markup-compatibility/2006">
      <mc:Choice Requires="x14">
        <control shapeId="3088" r:id="rId1290" name="Control 16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88" r:id="rId1290" name="Control 16"/>
      </mc:Fallback>
    </mc:AlternateContent>
    <mc:AlternateContent xmlns:mc="http://schemas.openxmlformats.org/markup-compatibility/2006">
      <mc:Choice Requires="x14">
        <control shapeId="3087" r:id="rId1291" name="Control 15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87" r:id="rId1291" name="Control 15"/>
      </mc:Fallback>
    </mc:AlternateContent>
    <mc:AlternateContent xmlns:mc="http://schemas.openxmlformats.org/markup-compatibility/2006">
      <mc:Choice Requires="x14">
        <control shapeId="3086" r:id="rId1292" name="Control 14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86" r:id="rId1292" name="Control 14"/>
      </mc:Fallback>
    </mc:AlternateContent>
    <mc:AlternateContent xmlns:mc="http://schemas.openxmlformats.org/markup-compatibility/2006">
      <mc:Choice Requires="x14">
        <control shapeId="3085" r:id="rId1293" name="Control 13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85" r:id="rId1293" name="Control 13"/>
      </mc:Fallback>
    </mc:AlternateContent>
    <mc:AlternateContent xmlns:mc="http://schemas.openxmlformats.org/markup-compatibility/2006">
      <mc:Choice Requires="x14">
        <control shapeId="3084" r:id="rId1294" name="Control 12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84" r:id="rId1294" name="Control 12"/>
      </mc:Fallback>
    </mc:AlternateContent>
    <mc:AlternateContent xmlns:mc="http://schemas.openxmlformats.org/markup-compatibility/2006">
      <mc:Choice Requires="x14">
        <control shapeId="3083" r:id="rId1295" name="Control 11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83" r:id="rId1295" name="Control 11"/>
      </mc:Fallback>
    </mc:AlternateContent>
    <mc:AlternateContent xmlns:mc="http://schemas.openxmlformats.org/markup-compatibility/2006">
      <mc:Choice Requires="x14">
        <control shapeId="3082" r:id="rId1296" name="Control 10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82" r:id="rId1296" name="Control 10"/>
      </mc:Fallback>
    </mc:AlternateContent>
    <mc:AlternateContent xmlns:mc="http://schemas.openxmlformats.org/markup-compatibility/2006">
      <mc:Choice Requires="x14">
        <control shapeId="3081" r:id="rId1297" name="Control 9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81" r:id="rId1297" name="Control 9"/>
      </mc:Fallback>
    </mc:AlternateContent>
    <mc:AlternateContent xmlns:mc="http://schemas.openxmlformats.org/markup-compatibility/2006">
      <mc:Choice Requires="x14">
        <control shapeId="3080" r:id="rId1298" name="Control 8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80" r:id="rId1298" name="Control 8"/>
      </mc:Fallback>
    </mc:AlternateContent>
    <mc:AlternateContent xmlns:mc="http://schemas.openxmlformats.org/markup-compatibility/2006">
      <mc:Choice Requires="x14">
        <control shapeId="3079" r:id="rId1299" name="Control 7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79" r:id="rId1299" name="Control 7"/>
      </mc:Fallback>
    </mc:AlternateContent>
    <mc:AlternateContent xmlns:mc="http://schemas.openxmlformats.org/markup-compatibility/2006">
      <mc:Choice Requires="x14">
        <control shapeId="3078" r:id="rId1300" name="Control 6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78" r:id="rId1300" name="Control 6"/>
      </mc:Fallback>
    </mc:AlternateContent>
    <mc:AlternateContent xmlns:mc="http://schemas.openxmlformats.org/markup-compatibility/2006">
      <mc:Choice Requires="x14">
        <control shapeId="3077" r:id="rId1301" name="Control 5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77" r:id="rId1301" name="Control 5"/>
      </mc:Fallback>
    </mc:AlternateContent>
    <mc:AlternateContent xmlns:mc="http://schemas.openxmlformats.org/markup-compatibility/2006">
      <mc:Choice Requires="x14">
        <control shapeId="3076" r:id="rId1302" name="Control 4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76" r:id="rId1302" name="Control 4"/>
      </mc:Fallback>
    </mc:AlternateContent>
    <mc:AlternateContent xmlns:mc="http://schemas.openxmlformats.org/markup-compatibility/2006">
      <mc:Choice Requires="x14">
        <control shapeId="3075" r:id="rId1303" name="Control 3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75" r:id="rId1303" name="Control 3"/>
      </mc:Fallback>
    </mc:AlternateContent>
    <mc:AlternateContent xmlns:mc="http://schemas.openxmlformats.org/markup-compatibility/2006">
      <mc:Choice Requires="x14">
        <control shapeId="3074" r:id="rId1304" name="Control 2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74" r:id="rId1304" name="Control 2"/>
      </mc:Fallback>
    </mc:AlternateContent>
    <mc:AlternateContent xmlns:mc="http://schemas.openxmlformats.org/markup-compatibility/2006">
      <mc:Choice Requires="x14">
        <control shapeId="3073" r:id="rId1305" name="Control 1">
          <controlPr defaultSize="0" autoPict="0" r:id="rId1184">
            <anchor moveWithCells="1">
              <from>
                <xdr:col>0</xdr:col>
                <xdr:colOff>0</xdr:colOff>
                <xdr:row>449</xdr:row>
                <xdr:rowOff>0</xdr:rowOff>
              </from>
              <to>
                <xdr:col>1</xdr:col>
                <xdr:colOff>257175</xdr:colOff>
                <xdr:row>507</xdr:row>
                <xdr:rowOff>76200</xdr:rowOff>
              </to>
            </anchor>
          </controlPr>
        </control>
      </mc:Choice>
      <mc:Fallback>
        <control shapeId="3073" r:id="rId1305" name="Control 1"/>
      </mc:Fallback>
    </mc:AlternateContent>
  </controls>
  <tableParts count="1">
    <tablePart r:id="rId130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:E54"/>
  <sheetViews>
    <sheetView topLeftCell="A31" zoomScale="115" zoomScaleNormal="115" workbookViewId="0">
      <selection activeCell="D60" sqref="D60"/>
    </sheetView>
  </sheetViews>
  <sheetFormatPr defaultColWidth="11.42578125" defaultRowHeight="12.75"/>
  <cols>
    <col min="1" max="1" width="13.7109375" style="28" customWidth="1"/>
    <col min="2" max="2" width="54" style="28" customWidth="1"/>
    <col min="3" max="3" width="16.140625" style="28" customWidth="1"/>
    <col min="4" max="4" width="49.28515625" style="28" bestFit="1" customWidth="1"/>
    <col min="5" max="5" width="69.28515625" style="28" bestFit="1" customWidth="1"/>
    <col min="6" max="16384" width="11.42578125" style="28"/>
  </cols>
  <sheetData>
    <row r="1" spans="1:5" ht="15">
      <c r="A1" s="144" t="s">
        <v>393</v>
      </c>
      <c r="B1" s="144"/>
    </row>
    <row r="2" spans="1:5">
      <c r="A2" s="41" t="s">
        <v>394</v>
      </c>
      <c r="B2" s="41" t="s">
        <v>395</v>
      </c>
      <c r="C2" s="41" t="s">
        <v>396</v>
      </c>
      <c r="D2" s="41" t="s">
        <v>397</v>
      </c>
      <c r="E2" s="41" t="s">
        <v>398</v>
      </c>
    </row>
    <row r="3" spans="1:5">
      <c r="A3" s="42" t="s">
        <v>399</v>
      </c>
      <c r="B3" s="42" t="s">
        <v>400</v>
      </c>
      <c r="C3" s="42" t="s">
        <v>401</v>
      </c>
      <c r="D3" s="42" t="s">
        <v>402</v>
      </c>
      <c r="E3" s="42" t="str">
        <f>CONCATENATE(A3,C3,B3,D3)</f>
        <v>S1U01_Export Local Acceptance_Loose</v>
      </c>
    </row>
    <row r="4" spans="1:5">
      <c r="A4" s="42" t="s">
        <v>399</v>
      </c>
      <c r="B4" s="42" t="s">
        <v>400</v>
      </c>
      <c r="C4" s="42" t="s">
        <v>403</v>
      </c>
      <c r="D4" s="54" t="s">
        <v>404</v>
      </c>
      <c r="E4" s="42" t="str">
        <f t="shared" ref="E4:E10" si="0">CONCATENATE(A4,C4,B4,D4)</f>
        <v>S1U02_Export Local Acceptance_ULD and/or BUP (both)</v>
      </c>
    </row>
    <row r="5" spans="1:5">
      <c r="A5" s="42" t="s">
        <v>399</v>
      </c>
      <c r="B5" s="42" t="s">
        <v>400</v>
      </c>
      <c r="C5" s="42" t="s">
        <v>405</v>
      </c>
      <c r="D5" s="54" t="s">
        <v>406</v>
      </c>
      <c r="E5" s="42" t="str">
        <f t="shared" si="0"/>
        <v>S1U03_Export Local Acceptance_Mix Load (loose + ULD)</v>
      </c>
    </row>
    <row r="6" spans="1:5">
      <c r="A6" s="42" t="s">
        <v>399</v>
      </c>
      <c r="B6" s="42" t="s">
        <v>400</v>
      </c>
      <c r="C6" s="42" t="s">
        <v>407</v>
      </c>
      <c r="D6" s="54" t="s">
        <v>408</v>
      </c>
      <c r="E6" s="42" t="str">
        <f>CONCATENATE(A6,C6,B6,D6)</f>
        <v>S1U04_Export Local Acceptance_DG</v>
      </c>
    </row>
    <row r="7" spans="1:5">
      <c r="A7" s="43" t="s">
        <v>409</v>
      </c>
      <c r="B7" s="43" t="s">
        <v>410</v>
      </c>
      <c r="C7" s="43" t="s">
        <v>401</v>
      </c>
      <c r="D7" s="55" t="s">
        <v>402</v>
      </c>
      <c r="E7" s="43" t="str">
        <f t="shared" si="0"/>
        <v>S2U01_Transit Acceptance / Outstation = iCargo_Loose</v>
      </c>
    </row>
    <row r="8" spans="1:5">
      <c r="A8" s="43" t="s">
        <v>409</v>
      </c>
      <c r="B8" s="43" t="s">
        <v>410</v>
      </c>
      <c r="C8" s="43" t="s">
        <v>403</v>
      </c>
      <c r="D8" s="55" t="s">
        <v>404</v>
      </c>
      <c r="E8" s="43" t="str">
        <f t="shared" si="0"/>
        <v>S2U02_Transit Acceptance / Outstation = iCargo_ULD and/or BUP (both)</v>
      </c>
    </row>
    <row r="9" spans="1:5">
      <c r="A9" s="43" t="s">
        <v>409</v>
      </c>
      <c r="B9" s="43" t="s">
        <v>410</v>
      </c>
      <c r="C9" s="43" t="s">
        <v>405</v>
      </c>
      <c r="D9" s="55" t="s">
        <v>406</v>
      </c>
      <c r="E9" s="43" t="str">
        <f t="shared" si="0"/>
        <v>S2U03_Transit Acceptance / Outstation = iCargo_Mix Load (loose + ULD)</v>
      </c>
    </row>
    <row r="10" spans="1:5">
      <c r="A10" s="43" t="s">
        <v>409</v>
      </c>
      <c r="B10" s="43" t="s">
        <v>410</v>
      </c>
      <c r="C10" s="43" t="s">
        <v>407</v>
      </c>
      <c r="D10" s="43" t="s">
        <v>411</v>
      </c>
      <c r="E10" s="43" t="str">
        <f t="shared" si="0"/>
        <v>S2U04_Transit Acceptance / Outstation = iCargo_DG with iCargo Oustation</v>
      </c>
    </row>
    <row r="11" spans="1:5">
      <c r="A11" s="44" t="s">
        <v>412</v>
      </c>
      <c r="B11" s="44" t="s">
        <v>413</v>
      </c>
      <c r="C11" s="44" t="s">
        <v>401</v>
      </c>
      <c r="D11" s="44" t="s">
        <v>402</v>
      </c>
      <c r="E11" s="44" t="str">
        <f>CONCATENATE(A11,C11,B11,D11)</f>
        <v>S3U01_Transit Acceptance / Outstation = NOT iCargo_Loose</v>
      </c>
    </row>
    <row r="12" spans="1:5">
      <c r="A12" s="44" t="s">
        <v>412</v>
      </c>
      <c r="B12" s="44" t="s">
        <v>413</v>
      </c>
      <c r="C12" s="44" t="s">
        <v>403</v>
      </c>
      <c r="D12" s="44" t="s">
        <v>404</v>
      </c>
      <c r="E12" s="44" t="str">
        <f>CONCATENATE(A12,C12,B12,D12)</f>
        <v>S3U02_Transit Acceptance / Outstation = NOT iCargo_ULD and/or BUP (both)</v>
      </c>
    </row>
    <row r="13" spans="1:5">
      <c r="A13" s="44" t="s">
        <v>412</v>
      </c>
      <c r="B13" s="44" t="s">
        <v>413</v>
      </c>
      <c r="C13" s="44" t="s">
        <v>405</v>
      </c>
      <c r="D13" s="44" t="s">
        <v>406</v>
      </c>
      <c r="E13" s="44" t="str">
        <f>CONCATENATE(A13,C13,B13,D13)</f>
        <v>S3U03_Transit Acceptance / Outstation = NOT iCargo_Mix Load (loose + ULD)</v>
      </c>
    </row>
    <row r="14" spans="1:5">
      <c r="A14" s="44" t="s">
        <v>412</v>
      </c>
      <c r="B14" s="44" t="s">
        <v>413</v>
      </c>
      <c r="C14" s="44" t="s">
        <v>407</v>
      </c>
      <c r="D14" s="44" t="s">
        <v>411</v>
      </c>
      <c r="E14" s="44" t="str">
        <f>CONCATENATE(A14,C14,B14,D14)</f>
        <v>S3U04_Transit Acceptance / Outstation = NOT iCargo_DG with iCargo Oustation</v>
      </c>
    </row>
    <row r="15" spans="1:5">
      <c r="A15" s="28" t="s">
        <v>414</v>
      </c>
      <c r="B15" s="28" t="s">
        <v>415</v>
      </c>
      <c r="C15" s="28" t="s">
        <v>416</v>
      </c>
      <c r="D15" s="28" t="s">
        <v>417</v>
      </c>
      <c r="E15" s="28" t="str">
        <f>CONCATENATE(A15,C15,B15,D15)</f>
        <v>S4U06_Unhappy Flow_Part Shipment</v>
      </c>
    </row>
    <row r="18" spans="1:4" ht="15">
      <c r="A18" s="144" t="s">
        <v>418</v>
      </c>
      <c r="B18" s="144"/>
    </row>
    <row r="19" spans="1:4">
      <c r="A19" s="47" t="s">
        <v>419</v>
      </c>
      <c r="B19" s="47" t="s">
        <v>420</v>
      </c>
      <c r="C19" s="47" t="s">
        <v>421</v>
      </c>
      <c r="D19" s="47" t="s">
        <v>422</v>
      </c>
    </row>
    <row r="20" spans="1:4">
      <c r="A20" s="46" t="s">
        <v>423</v>
      </c>
      <c r="B20" s="46" t="s">
        <v>424</v>
      </c>
      <c r="C20" s="46" t="s">
        <v>425</v>
      </c>
      <c r="D20" s="46" t="s">
        <v>426</v>
      </c>
    </row>
    <row r="21" spans="1:4">
      <c r="A21" s="46"/>
      <c r="B21" s="46"/>
      <c r="C21" s="46" t="s">
        <v>427</v>
      </c>
      <c r="D21" s="46" t="s">
        <v>428</v>
      </c>
    </row>
    <row r="22" spans="1:4">
      <c r="A22" s="46"/>
      <c r="B22" s="46"/>
      <c r="C22" s="46" t="s">
        <v>429</v>
      </c>
      <c r="D22" s="46" t="s">
        <v>430</v>
      </c>
    </row>
    <row r="23" spans="1:4">
      <c r="A23" s="46"/>
      <c r="B23" s="46"/>
      <c r="C23" s="46" t="s">
        <v>431</v>
      </c>
      <c r="D23" s="46" t="s">
        <v>432</v>
      </c>
    </row>
    <row r="24" spans="1:4">
      <c r="A24" s="46"/>
      <c r="B24" s="46"/>
      <c r="C24" s="46" t="s">
        <v>433</v>
      </c>
      <c r="D24" s="46" t="s">
        <v>434</v>
      </c>
    </row>
    <row r="25" spans="1:4" ht="51">
      <c r="A25" s="46"/>
      <c r="B25" s="116" t="s">
        <v>435</v>
      </c>
      <c r="C25" s="46"/>
      <c r="D25" s="115" t="s">
        <v>436</v>
      </c>
    </row>
    <row r="26" spans="1:4">
      <c r="A26" s="46" t="s">
        <v>437</v>
      </c>
      <c r="B26" s="46" t="s">
        <v>438</v>
      </c>
      <c r="C26" s="46"/>
      <c r="D26" s="46"/>
    </row>
    <row r="30" spans="1:4" ht="15">
      <c r="A30" s="144" t="s">
        <v>439</v>
      </c>
      <c r="B30" s="144"/>
    </row>
    <row r="31" spans="1:4">
      <c r="A31" s="48" t="s">
        <v>440</v>
      </c>
      <c r="B31" s="28" t="s">
        <v>441</v>
      </c>
    </row>
    <row r="32" spans="1:4">
      <c r="A32" s="48">
        <v>1</v>
      </c>
      <c r="B32" s="28" t="s">
        <v>442</v>
      </c>
    </row>
    <row r="33" spans="1:5">
      <c r="A33" s="48">
        <v>2</v>
      </c>
      <c r="B33" s="28" t="s">
        <v>443</v>
      </c>
    </row>
    <row r="34" spans="1:5">
      <c r="A34" s="48">
        <v>3</v>
      </c>
      <c r="B34" s="28" t="s">
        <v>444</v>
      </c>
    </row>
    <row r="35" spans="1:5">
      <c r="A35" s="48">
        <v>4</v>
      </c>
      <c r="B35" s="28" t="s">
        <v>445</v>
      </c>
    </row>
    <row r="36" spans="1:5">
      <c r="A36" s="48">
        <v>5</v>
      </c>
      <c r="B36" s="28" t="s">
        <v>446</v>
      </c>
    </row>
    <row r="39" spans="1:5">
      <c r="A39" s="145" t="s">
        <v>447</v>
      </c>
      <c r="B39" s="146"/>
    </row>
    <row r="40" spans="1:5">
      <c r="A40" s="46" t="s">
        <v>448</v>
      </c>
      <c r="B40" s="46" t="s">
        <v>449</v>
      </c>
    </row>
    <row r="41" spans="1:5">
      <c r="A41" s="46" t="s">
        <v>450</v>
      </c>
      <c r="B41" s="46" t="s">
        <v>451</v>
      </c>
    </row>
    <row r="45" spans="1:5" ht="15">
      <c r="A45" s="51" t="s">
        <v>452</v>
      </c>
      <c r="B45" s="51"/>
      <c r="C45" s="51"/>
      <c r="D45" s="51"/>
      <c r="E45" s="51"/>
    </row>
    <row r="46" spans="1:5" ht="15">
      <c r="A46" s="52"/>
      <c r="B46" s="53" t="s">
        <v>453</v>
      </c>
      <c r="C46" s="53" t="s">
        <v>454</v>
      </c>
      <c r="D46" s="53" t="s">
        <v>455</v>
      </c>
      <c r="E46" s="53" t="s">
        <v>456</v>
      </c>
    </row>
    <row r="47" spans="1:5" ht="15">
      <c r="A47" s="53" t="s">
        <v>457</v>
      </c>
      <c r="B47" s="52">
        <v>836</v>
      </c>
      <c r="C47" s="52">
        <v>933</v>
      </c>
      <c r="D47" s="52">
        <v>0</v>
      </c>
      <c r="E47" s="52">
        <v>0</v>
      </c>
    </row>
    <row r="48" spans="1:5" ht="15">
      <c r="A48" s="53" t="s">
        <v>458</v>
      </c>
      <c r="B48" s="52">
        <v>747</v>
      </c>
      <c r="C48" s="52">
        <v>847</v>
      </c>
      <c r="D48" s="52">
        <v>29</v>
      </c>
      <c r="E48" s="52">
        <v>68</v>
      </c>
    </row>
    <row r="49" spans="1:5" ht="15">
      <c r="A49" s="52"/>
      <c r="B49" s="52"/>
      <c r="C49" s="52"/>
      <c r="D49" s="52"/>
      <c r="E49" s="52"/>
    </row>
    <row r="50" spans="1:5" ht="15">
      <c r="A50" s="52"/>
      <c r="B50" s="52"/>
      <c r="C50" s="52"/>
      <c r="D50" s="52"/>
      <c r="E50" s="52"/>
    </row>
    <row r="51" spans="1:5" ht="15">
      <c r="A51" s="51" t="s">
        <v>459</v>
      </c>
      <c r="B51" s="51"/>
      <c r="C51" s="51"/>
      <c r="D51" s="51"/>
      <c r="E51" s="51"/>
    </row>
    <row r="52" spans="1:5" ht="15">
      <c r="A52" s="52"/>
      <c r="B52" s="53" t="s">
        <v>453</v>
      </c>
      <c r="C52" s="53" t="s">
        <v>454</v>
      </c>
      <c r="D52" s="53" t="s">
        <v>455</v>
      </c>
      <c r="E52" s="53" t="s">
        <v>456</v>
      </c>
    </row>
    <row r="53" spans="1:5" ht="15">
      <c r="A53" s="53" t="s">
        <v>457</v>
      </c>
      <c r="B53" s="52">
        <v>370</v>
      </c>
      <c r="C53" s="52">
        <v>421</v>
      </c>
      <c r="D53" s="52">
        <v>0</v>
      </c>
      <c r="E53" s="52">
        <v>0</v>
      </c>
    </row>
    <row r="54" spans="1:5" ht="15">
      <c r="A54" s="53" t="s">
        <v>458</v>
      </c>
      <c r="B54" s="52">
        <v>368</v>
      </c>
      <c r="C54" s="52">
        <v>413</v>
      </c>
      <c r="D54" s="52">
        <v>14</v>
      </c>
      <c r="E54" s="52">
        <v>43</v>
      </c>
    </row>
  </sheetData>
  <mergeCells count="4">
    <mergeCell ref="A1:B1"/>
    <mergeCell ref="A18:B18"/>
    <mergeCell ref="A30:B30"/>
    <mergeCell ref="A39:B39"/>
  </mergeCells>
  <conditionalFormatting sqref="A3:A15">
    <cfRule type="containsText" dxfId="243" priority="1" operator="containsText" text="Transit">
      <formula>NOT(ISERROR(SEARCH("Transit",A3)))</formula>
    </cfRule>
    <cfRule type="containsText" dxfId="242" priority="2" operator="containsText" text="Export">
      <formula>NOT(ISERROR(SEARCH("Export",A3)))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"/>
  <sheetViews>
    <sheetView workbookViewId="0"/>
  </sheetViews>
  <sheetFormatPr defaultColWidth="9.140625"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</sheetPr>
  <dimension ref="A1:AS1961"/>
  <sheetViews>
    <sheetView tabSelected="1" topLeftCell="G1" zoomScale="85" zoomScaleNormal="85" workbookViewId="0">
      <pane ySplit="3" topLeftCell="A1714" activePane="bottomLeft" state="frozen"/>
      <selection pane="bottomLeft" activeCell="B3" sqref="B3:Y1733"/>
    </sheetView>
  </sheetViews>
  <sheetFormatPr defaultColWidth="11.42578125" defaultRowHeight="12.75"/>
  <cols>
    <col min="1" max="1" width="11.42578125" style="60"/>
    <col min="2" max="2" width="14.28515625" style="28" customWidth="1"/>
    <col min="3" max="3" width="11.42578125" style="28"/>
    <col min="4" max="4" width="15.85546875" style="28" customWidth="1"/>
    <col min="5" max="12" width="11.42578125" style="28"/>
    <col min="13" max="13" width="11.7109375" style="28" customWidth="1"/>
    <col min="14" max="24" width="11.42578125" style="28"/>
    <col min="25" max="25" width="15" style="28" customWidth="1"/>
    <col min="26" max="26" width="18.7109375" style="28" customWidth="1"/>
    <col min="27" max="27" width="22.7109375" style="28" hidden="1" customWidth="1"/>
    <col min="28" max="28" width="34.85546875" style="28" bestFit="1" customWidth="1"/>
    <col min="29" max="33" width="18.7109375" style="28" customWidth="1"/>
    <col min="34" max="34" width="11.42578125" style="28"/>
    <col min="35" max="35" width="60.7109375" style="28" customWidth="1"/>
    <col min="36" max="36" width="11.42578125" style="28"/>
    <col min="37" max="37" width="12.7109375" style="60" customWidth="1"/>
    <col min="38" max="38" width="12.7109375" style="28" customWidth="1"/>
    <col min="39" max="43" width="8.7109375" style="60" customWidth="1"/>
    <col min="44" max="44" width="8.7109375" style="28" customWidth="1"/>
    <col min="45" max="16384" width="11.42578125" style="28"/>
  </cols>
  <sheetData>
    <row r="1" spans="1:45" ht="30" customHeight="1">
      <c r="B1" s="150" t="s">
        <v>460</v>
      </c>
      <c r="C1" s="150"/>
      <c r="D1" s="150"/>
      <c r="E1" s="150"/>
      <c r="F1" s="150"/>
      <c r="G1" s="150"/>
      <c r="H1" s="150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150"/>
      <c r="T1" s="150"/>
      <c r="U1" s="150"/>
      <c r="V1" s="150"/>
      <c r="W1" s="150"/>
      <c r="X1" s="150"/>
      <c r="Y1" s="150"/>
      <c r="Z1" s="150"/>
      <c r="AA1" s="150"/>
      <c r="AB1" s="100"/>
      <c r="AC1" s="100"/>
      <c r="AD1" s="151" t="s">
        <v>461</v>
      </c>
      <c r="AE1" s="151"/>
      <c r="AF1" s="151"/>
      <c r="AG1" s="151"/>
      <c r="AH1" s="151"/>
      <c r="AI1" s="151"/>
      <c r="AK1" s="147" t="s">
        <v>462</v>
      </c>
      <c r="AL1" s="147"/>
      <c r="AM1" s="147"/>
      <c r="AN1" s="147"/>
      <c r="AO1" s="147"/>
      <c r="AP1" s="147"/>
      <c r="AQ1" s="147"/>
      <c r="AR1" s="147"/>
      <c r="AS1" s="147"/>
    </row>
    <row r="2" spans="1:45" ht="30" customHeight="1">
      <c r="B2" s="148" t="s">
        <v>463</v>
      </c>
      <c r="C2" s="148"/>
      <c r="D2" s="148"/>
      <c r="E2" s="148"/>
      <c r="F2" s="148"/>
      <c r="G2" s="148"/>
      <c r="H2" s="148"/>
      <c r="I2" s="148"/>
      <c r="J2" s="148"/>
      <c r="K2" s="148"/>
      <c r="L2" s="148"/>
      <c r="M2" s="148"/>
      <c r="N2" s="148"/>
      <c r="O2" s="148"/>
      <c r="P2" s="148"/>
      <c r="Q2" s="148"/>
      <c r="R2" s="148"/>
      <c r="S2" s="148"/>
      <c r="T2" s="148"/>
      <c r="U2" s="148"/>
      <c r="V2" s="148"/>
      <c r="W2" s="148"/>
      <c r="X2" s="148"/>
      <c r="Y2" s="148"/>
      <c r="Z2" s="153" t="s">
        <v>464</v>
      </c>
      <c r="AA2" s="153"/>
      <c r="AB2" s="153"/>
      <c r="AC2" s="101"/>
      <c r="AD2" s="149" t="s">
        <v>465</v>
      </c>
      <c r="AE2" s="149"/>
      <c r="AF2" s="149"/>
      <c r="AG2" s="119"/>
      <c r="AH2" s="152" t="s">
        <v>466</v>
      </c>
      <c r="AI2" s="152"/>
      <c r="AK2" s="147"/>
      <c r="AL2" s="147"/>
      <c r="AM2" s="147"/>
      <c r="AN2" s="147"/>
      <c r="AO2" s="147"/>
      <c r="AP2" s="147"/>
      <c r="AQ2" s="147"/>
      <c r="AR2" s="147"/>
      <c r="AS2" s="147"/>
    </row>
    <row r="3" spans="1:45" ht="24.95" customHeight="1">
      <c r="A3" s="59" t="s">
        <v>467</v>
      </c>
      <c r="B3" s="29" t="s">
        <v>468</v>
      </c>
      <c r="C3" s="142" t="s">
        <v>469</v>
      </c>
      <c r="D3" s="29" t="s">
        <v>470</v>
      </c>
      <c r="E3" s="29" t="s">
        <v>427</v>
      </c>
      <c r="F3" s="29" t="s">
        <v>471</v>
      </c>
      <c r="G3" s="29" t="s">
        <v>472</v>
      </c>
      <c r="H3" s="29" t="s">
        <v>473</v>
      </c>
      <c r="I3" s="29" t="s">
        <v>474</v>
      </c>
      <c r="J3" s="29" t="s">
        <v>475</v>
      </c>
      <c r="K3" s="29" t="s">
        <v>476</v>
      </c>
      <c r="L3" s="29" t="s">
        <v>477</v>
      </c>
      <c r="M3" s="29" t="s">
        <v>478</v>
      </c>
      <c r="N3" s="29" t="s">
        <v>479</v>
      </c>
      <c r="O3" s="29" t="s">
        <v>480</v>
      </c>
      <c r="P3" s="29" t="s">
        <v>481</v>
      </c>
      <c r="Q3" s="29" t="s">
        <v>482</v>
      </c>
      <c r="R3" s="29" t="s">
        <v>483</v>
      </c>
      <c r="S3" s="29" t="s">
        <v>484</v>
      </c>
      <c r="T3" s="29" t="s">
        <v>485</v>
      </c>
      <c r="U3" s="29" t="s">
        <v>486</v>
      </c>
      <c r="V3" s="29" t="s">
        <v>487</v>
      </c>
      <c r="W3" s="142" t="s">
        <v>488</v>
      </c>
      <c r="X3" s="29" t="s">
        <v>489</v>
      </c>
      <c r="Y3" s="29" t="s">
        <v>490</v>
      </c>
      <c r="Z3" s="30" t="s">
        <v>13</v>
      </c>
      <c r="AA3" s="30" t="s">
        <v>491</v>
      </c>
      <c r="AB3" s="30" t="s">
        <v>492</v>
      </c>
      <c r="AC3" s="30" t="s">
        <v>493</v>
      </c>
      <c r="AD3" s="31" t="s">
        <v>494</v>
      </c>
      <c r="AE3" s="31" t="s">
        <v>495</v>
      </c>
      <c r="AF3" s="31" t="s">
        <v>496</v>
      </c>
      <c r="AG3" s="124" t="s">
        <v>497</v>
      </c>
      <c r="AH3" s="32" t="s">
        <v>498</v>
      </c>
      <c r="AI3" s="32" t="s">
        <v>499</v>
      </c>
      <c r="AJ3" s="29" t="s">
        <v>500</v>
      </c>
      <c r="AK3" s="56" t="s">
        <v>501</v>
      </c>
      <c r="AL3" s="56" t="s">
        <v>502</v>
      </c>
      <c r="AM3" s="56" t="s">
        <v>503</v>
      </c>
      <c r="AN3" s="56" t="s">
        <v>504</v>
      </c>
      <c r="AO3" s="56" t="s">
        <v>505</v>
      </c>
      <c r="AP3" s="56" t="s">
        <v>506</v>
      </c>
      <c r="AQ3" s="56" t="s">
        <v>507</v>
      </c>
      <c r="AR3" s="56" t="s">
        <v>508</v>
      </c>
      <c r="AS3" s="56" t="s">
        <v>509</v>
      </c>
    </row>
    <row r="4" spans="1:45" ht="15" hidden="1">
      <c r="A4" s="103">
        <v>45240</v>
      </c>
      <c r="B4" s="117" t="s">
        <v>510</v>
      </c>
      <c r="C4" s="73" t="s">
        <v>511</v>
      </c>
      <c r="D4" s="73" t="s">
        <v>512</v>
      </c>
      <c r="E4" s="73"/>
      <c r="F4" s="73" t="s">
        <v>513</v>
      </c>
      <c r="G4" s="73" t="s">
        <v>514</v>
      </c>
      <c r="H4" s="73" t="s">
        <v>515</v>
      </c>
      <c r="I4" s="73" t="s">
        <v>516</v>
      </c>
      <c r="J4" s="73" t="s">
        <v>517</v>
      </c>
      <c r="K4" s="73" t="s">
        <v>518</v>
      </c>
      <c r="L4" s="73" t="s">
        <v>519</v>
      </c>
      <c r="M4" s="73" t="s">
        <v>520</v>
      </c>
      <c r="N4" s="73" t="s">
        <v>521</v>
      </c>
      <c r="O4" s="73" t="s">
        <v>522</v>
      </c>
      <c r="P4" s="73"/>
      <c r="Q4" s="73"/>
      <c r="R4" s="73"/>
      <c r="S4" s="73" t="s">
        <v>523</v>
      </c>
      <c r="T4" s="73" t="s">
        <v>524</v>
      </c>
      <c r="U4" s="73" t="s">
        <v>524</v>
      </c>
      <c r="V4" s="73" t="s">
        <v>517</v>
      </c>
      <c r="W4" s="73" t="s">
        <v>525</v>
      </c>
      <c r="Z4" s="73" t="s">
        <v>526</v>
      </c>
      <c r="AB4" s="73" t="s">
        <v>527</v>
      </c>
      <c r="AC4" s="73" t="s">
        <v>35</v>
      </c>
      <c r="AD4" s="118" t="s">
        <v>528</v>
      </c>
      <c r="AF4" s="125" t="s">
        <v>512</v>
      </c>
      <c r="AG4" s="28" t="s">
        <v>529</v>
      </c>
      <c r="AK4" s="60">
        <v>1</v>
      </c>
      <c r="AL4" s="28">
        <f>1/COUNTIF(Tableau6[LAT],B4)</f>
        <v>1</v>
      </c>
      <c r="AM4" s="60" t="b">
        <f t="shared" ref="AM4:AQ8" si="0">IF(N4="ALM","Y",IF(N4="ALI","Y",IF(N4="CAO","Y",IF(N4="ICE","Y",IF(N4="MAG","Y",IF(N4="MAG","Y",IF(N4="RBI","Y",IF(N4="RBM","Y",IF(N4="RCL","Y",IF(N4="RCM","Y",IF(N4="RCX","Y",IF(N4="RDS","Y",IF(N4="REQ","Y",IF(N4="REX","Y",IF(N4="RFG","Y",IF(N4="RFL","Y",IF(N4="RFS","Y",IF(N4="RFW","Y",IF(N4="RGX","Y",IF(N4="RIS",IF(N4="RLI","Y",IF(N4="RLM","Y",IF(N4="RMD","Y",IF(N4="RNG","Y",IF(N4="ROP","Y",IF(N4="ROX","Y",IF(N4="RPB","Y",IF(N4="RPG","Y",IF(N4="RRE","Y",IF(N4="RRW","Y",IF(N4="RRY","Y",IF(N4="RSB","Y",IF(N4="RSC","Y",IF(N4="RXB","Y",IF(N4="RXC","Y",IF(N4="RXD","Y",IF(N4="RXE","Y",IF(N4="RXG","Y",IF(N4="RXS","Y",)))))))))))))))))))))))))))))))))))))))</f>
        <v>0</v>
      </c>
      <c r="AN4" s="60" t="b">
        <f t="shared" si="0"/>
        <v>0</v>
      </c>
      <c r="AO4" s="60" t="b">
        <f t="shared" si="0"/>
        <v>0</v>
      </c>
      <c r="AP4" s="60" t="b">
        <f t="shared" si="0"/>
        <v>0</v>
      </c>
      <c r="AQ4" s="60" t="b">
        <f t="shared" si="0"/>
        <v>0</v>
      </c>
      <c r="AR4" s="60" t="str">
        <f t="shared" ref="AR4:AR67" si="1">IF(AM4="Yes","Yes",IF(AN4="Yes","Yes",IF(AO4="yes","Yes",IF(AP4="Yes","Yes","No"))))</f>
        <v>No</v>
      </c>
      <c r="AS4" s="60" t="str">
        <f t="shared" ref="AS4:AS67" si="2">IF(S4="QFA","Yes",IF(S4="LCJ","Yes",IF(S4="CAJ","Yes",IF(S4="WRO","Yes",IF(S4="BEY","Yes",IF(S4="TUN","Yes",IF(S4="LFW","Yes",IF(S4="DLA","Yes",IF(S4="NSI","Yes",IF(S4="OUA","Yes",IF(S4="IAH","Yes",IF(S4="LYS","Yes",IF(S4="DSS","Yes",IF(S4="BKO","Yes",IF(S4="BZV","Yes",IF(S4="COO","Yes",IF(S4="EZE","Yes",IF(S4="CKY","Yes",IF(S4="PTP","Yes",IF(S4="ORD","Yes",IF(S4="CFE","Yes",IF(S4="NKC","Yes",IF(S4="FDF","Yes",IF(S4="SDQ","Yes",IF(S4="PNR","Yes",IF(S4="ICAY","Yes",IF(S4="DTW","Yes",IF(S4="TNR","Yes",IF(S4="RUN","Yes",IF(S4="NIM","Yes","No"))))))))))))))))))))))))))))))</f>
        <v>No</v>
      </c>
    </row>
    <row r="5" spans="1:45" ht="15" hidden="1">
      <c r="A5" s="103">
        <v>45240</v>
      </c>
      <c r="B5" s="117" t="s">
        <v>530</v>
      </c>
      <c r="C5" s="73" t="s">
        <v>511</v>
      </c>
      <c r="D5" s="73" t="s">
        <v>531</v>
      </c>
      <c r="E5" s="73"/>
      <c r="F5" s="73" t="s">
        <v>532</v>
      </c>
      <c r="G5" s="73" t="s">
        <v>514</v>
      </c>
      <c r="H5" s="73" t="s">
        <v>533</v>
      </c>
      <c r="I5" s="73" t="s">
        <v>516</v>
      </c>
      <c r="J5" s="73" t="s">
        <v>517</v>
      </c>
      <c r="K5" s="73" t="s">
        <v>518</v>
      </c>
      <c r="L5" s="73" t="s">
        <v>534</v>
      </c>
      <c r="M5" s="73" t="s">
        <v>535</v>
      </c>
      <c r="N5" s="73" t="s">
        <v>521</v>
      </c>
      <c r="O5" s="73" t="s">
        <v>522</v>
      </c>
      <c r="P5" s="73"/>
      <c r="Q5" s="73"/>
      <c r="R5" s="73"/>
      <c r="S5" s="73" t="s">
        <v>536</v>
      </c>
      <c r="T5" s="73" t="s">
        <v>537</v>
      </c>
      <c r="U5" s="73" t="s">
        <v>537</v>
      </c>
      <c r="V5" s="73" t="s">
        <v>517</v>
      </c>
      <c r="W5" s="73" t="s">
        <v>538</v>
      </c>
      <c r="Z5" s="73" t="s">
        <v>526</v>
      </c>
      <c r="AB5" s="73" t="s">
        <v>25</v>
      </c>
      <c r="AC5" s="73"/>
      <c r="AD5" s="118" t="s">
        <v>528</v>
      </c>
      <c r="AF5" s="125" t="s">
        <v>531</v>
      </c>
      <c r="AG5" s="28" t="s">
        <v>529</v>
      </c>
      <c r="AK5" s="60">
        <v>1</v>
      </c>
      <c r="AL5" s="28">
        <f>1/COUNTIF(Tableau6[LAT],B5)</f>
        <v>1</v>
      </c>
      <c r="AM5" s="60" t="b">
        <f t="shared" si="0"/>
        <v>0</v>
      </c>
      <c r="AN5" s="60" t="b">
        <f t="shared" si="0"/>
        <v>0</v>
      </c>
      <c r="AO5" s="60" t="b">
        <f t="shared" si="0"/>
        <v>0</v>
      </c>
      <c r="AP5" s="60" t="b">
        <f t="shared" si="0"/>
        <v>0</v>
      </c>
      <c r="AQ5" s="60" t="b">
        <f t="shared" si="0"/>
        <v>0</v>
      </c>
      <c r="AR5" s="60" t="str">
        <f t="shared" si="1"/>
        <v>No</v>
      </c>
      <c r="AS5" s="60" t="str">
        <f t="shared" si="2"/>
        <v>Yes</v>
      </c>
    </row>
    <row r="6" spans="1:45" ht="15" hidden="1">
      <c r="A6" s="103">
        <v>45240</v>
      </c>
      <c r="B6" s="117" t="s">
        <v>539</v>
      </c>
      <c r="C6" s="73" t="s">
        <v>511</v>
      </c>
      <c r="D6" s="73" t="s">
        <v>540</v>
      </c>
      <c r="E6" s="73"/>
      <c r="F6" s="73" t="s">
        <v>541</v>
      </c>
      <c r="G6" s="73" t="s">
        <v>514</v>
      </c>
      <c r="H6" s="73" t="s">
        <v>542</v>
      </c>
      <c r="I6" s="73" t="s">
        <v>516</v>
      </c>
      <c r="J6" s="73" t="s">
        <v>517</v>
      </c>
      <c r="K6" s="73" t="s">
        <v>518</v>
      </c>
      <c r="L6" s="73" t="s">
        <v>543</v>
      </c>
      <c r="M6" s="73" t="s">
        <v>535</v>
      </c>
      <c r="N6" s="73" t="s">
        <v>544</v>
      </c>
      <c r="O6" s="73" t="s">
        <v>522</v>
      </c>
      <c r="P6" s="73"/>
      <c r="Q6" s="73"/>
      <c r="R6" s="73"/>
      <c r="S6" s="73" t="s">
        <v>545</v>
      </c>
      <c r="T6" s="73" t="s">
        <v>546</v>
      </c>
      <c r="U6" s="73" t="s">
        <v>546</v>
      </c>
      <c r="V6" s="73" t="s">
        <v>517</v>
      </c>
      <c r="W6" s="73" t="s">
        <v>547</v>
      </c>
      <c r="Z6" s="104" t="s">
        <v>526</v>
      </c>
      <c r="AB6" s="73" t="s">
        <v>527</v>
      </c>
      <c r="AC6" s="73" t="s">
        <v>35</v>
      </c>
      <c r="AD6" s="118" t="s">
        <v>528</v>
      </c>
      <c r="AF6" s="126" t="s">
        <v>540</v>
      </c>
      <c r="AG6" s="28" t="s">
        <v>529</v>
      </c>
      <c r="AK6" s="60">
        <v>1</v>
      </c>
      <c r="AL6" s="28">
        <f>1/COUNTIF(Tableau6[LAT],B6)</f>
        <v>0.5</v>
      </c>
      <c r="AM6" s="60" t="b">
        <f t="shared" si="0"/>
        <v>0</v>
      </c>
      <c r="AN6" s="60" t="b">
        <f t="shared" si="0"/>
        <v>0</v>
      </c>
      <c r="AO6" s="60" t="b">
        <f t="shared" si="0"/>
        <v>0</v>
      </c>
      <c r="AP6" s="60" t="b">
        <f t="shared" si="0"/>
        <v>0</v>
      </c>
      <c r="AQ6" s="60" t="b">
        <f t="shared" si="0"/>
        <v>0</v>
      </c>
      <c r="AR6" s="60" t="str">
        <f t="shared" si="1"/>
        <v>No</v>
      </c>
      <c r="AS6" s="60" t="str">
        <f t="shared" si="2"/>
        <v>No</v>
      </c>
    </row>
    <row r="7" spans="1:45" ht="15" hidden="1">
      <c r="A7" s="103">
        <v>45240</v>
      </c>
      <c r="B7" s="117" t="s">
        <v>539</v>
      </c>
      <c r="C7" s="73" t="s">
        <v>548</v>
      </c>
      <c r="D7" s="73" t="s">
        <v>549</v>
      </c>
      <c r="E7" s="73"/>
      <c r="F7" s="73" t="s">
        <v>541</v>
      </c>
      <c r="G7" s="73" t="s">
        <v>514</v>
      </c>
      <c r="H7" s="73" t="s">
        <v>542</v>
      </c>
      <c r="I7" s="73" t="s">
        <v>516</v>
      </c>
      <c r="J7" s="73" t="s">
        <v>517</v>
      </c>
      <c r="K7" s="73" t="s">
        <v>518</v>
      </c>
      <c r="L7" s="73" t="s">
        <v>543</v>
      </c>
      <c r="M7" s="73" t="s">
        <v>535</v>
      </c>
      <c r="N7" s="73" t="s">
        <v>544</v>
      </c>
      <c r="O7" s="73" t="s">
        <v>522</v>
      </c>
      <c r="P7" s="73"/>
      <c r="Q7" s="73"/>
      <c r="R7" s="73"/>
      <c r="S7" s="73" t="s">
        <v>545</v>
      </c>
      <c r="T7" s="73" t="s">
        <v>546</v>
      </c>
      <c r="U7" s="73" t="s">
        <v>546</v>
      </c>
      <c r="V7" s="73" t="s">
        <v>517</v>
      </c>
      <c r="W7" s="73" t="s">
        <v>550</v>
      </c>
      <c r="Z7" s="73" t="s">
        <v>526</v>
      </c>
      <c r="AB7" s="73" t="s">
        <v>527</v>
      </c>
      <c r="AC7" s="73" t="s">
        <v>35</v>
      </c>
      <c r="AD7" s="118" t="s">
        <v>528</v>
      </c>
      <c r="AF7" s="126" t="s">
        <v>549</v>
      </c>
      <c r="AG7" s="28" t="s">
        <v>529</v>
      </c>
      <c r="AK7" s="60">
        <v>1</v>
      </c>
      <c r="AL7" s="28">
        <f>1/COUNTIF(Tableau6[LAT],B7)</f>
        <v>0.5</v>
      </c>
      <c r="AM7" s="60" t="b">
        <f t="shared" si="0"/>
        <v>0</v>
      </c>
      <c r="AN7" s="60" t="b">
        <f t="shared" si="0"/>
        <v>0</v>
      </c>
      <c r="AO7" s="60" t="b">
        <f t="shared" si="0"/>
        <v>0</v>
      </c>
      <c r="AP7" s="60" t="b">
        <f t="shared" si="0"/>
        <v>0</v>
      </c>
      <c r="AQ7" s="60" t="b">
        <f t="shared" si="0"/>
        <v>0</v>
      </c>
      <c r="AR7" s="60" t="str">
        <f t="shared" si="1"/>
        <v>No</v>
      </c>
      <c r="AS7" s="60" t="str">
        <f t="shared" si="2"/>
        <v>No</v>
      </c>
    </row>
    <row r="8" spans="1:45" ht="15" hidden="1">
      <c r="A8" s="103">
        <v>45240</v>
      </c>
      <c r="B8" s="117" t="s">
        <v>551</v>
      </c>
      <c r="C8" s="73" t="s">
        <v>511</v>
      </c>
      <c r="D8" s="73" t="s">
        <v>552</v>
      </c>
      <c r="E8" s="73" t="s">
        <v>553</v>
      </c>
      <c r="F8" s="73" t="s">
        <v>554</v>
      </c>
      <c r="G8" s="73" t="s">
        <v>514</v>
      </c>
      <c r="H8" s="73" t="s">
        <v>555</v>
      </c>
      <c r="I8" s="73" t="s">
        <v>516</v>
      </c>
      <c r="J8" s="73" t="s">
        <v>516</v>
      </c>
      <c r="K8" s="73" t="s">
        <v>518</v>
      </c>
      <c r="L8" s="73" t="s">
        <v>556</v>
      </c>
      <c r="M8" s="73" t="s">
        <v>535</v>
      </c>
      <c r="N8" s="73" t="s">
        <v>557</v>
      </c>
      <c r="O8" s="73" t="s">
        <v>544</v>
      </c>
      <c r="P8" s="73" t="s">
        <v>558</v>
      </c>
      <c r="Q8" s="73" t="s">
        <v>559</v>
      </c>
      <c r="R8" s="73"/>
      <c r="S8" s="73" t="s">
        <v>560</v>
      </c>
      <c r="T8" s="73" t="s">
        <v>561</v>
      </c>
      <c r="U8" s="73" t="s">
        <v>561</v>
      </c>
      <c r="V8" s="73" t="s">
        <v>517</v>
      </c>
      <c r="W8" s="73" t="s">
        <v>562</v>
      </c>
      <c r="Z8" s="73" t="s">
        <v>563</v>
      </c>
      <c r="AB8" s="73" t="s">
        <v>564</v>
      </c>
      <c r="AC8" s="73"/>
      <c r="AD8" s="118" t="s">
        <v>528</v>
      </c>
      <c r="AE8" s="118"/>
      <c r="AF8" s="137" t="s">
        <v>553</v>
      </c>
      <c r="AG8" s="28" t="s">
        <v>529</v>
      </c>
      <c r="AK8" s="60">
        <v>1</v>
      </c>
      <c r="AL8" s="28">
        <f>1/COUNTIF(Tableau6[LAT],B8)</f>
        <v>0.33333333333333331</v>
      </c>
      <c r="AM8" s="60" t="b">
        <f t="shared" si="0"/>
        <v>0</v>
      </c>
      <c r="AN8" s="60" t="b">
        <f t="shared" si="0"/>
        <v>0</v>
      </c>
      <c r="AO8" s="60" t="b">
        <f t="shared" si="0"/>
        <v>0</v>
      </c>
      <c r="AP8" s="60" t="b">
        <f t="shared" si="0"/>
        <v>0</v>
      </c>
      <c r="AQ8" s="60" t="b">
        <f t="shared" si="0"/>
        <v>0</v>
      </c>
      <c r="AR8" s="60" t="str">
        <f t="shared" si="1"/>
        <v>No</v>
      </c>
      <c r="AS8" s="60" t="str">
        <f t="shared" si="2"/>
        <v>No</v>
      </c>
    </row>
    <row r="9" spans="1:45" ht="15" hidden="1">
      <c r="A9" s="103">
        <v>45240</v>
      </c>
      <c r="B9" s="117" t="s">
        <v>565</v>
      </c>
      <c r="C9" s="73" t="s">
        <v>511</v>
      </c>
      <c r="D9" s="73" t="s">
        <v>566</v>
      </c>
      <c r="E9" s="73"/>
      <c r="F9" s="73" t="s">
        <v>567</v>
      </c>
      <c r="G9" s="73" t="s">
        <v>514</v>
      </c>
      <c r="H9" s="73" t="s">
        <v>568</v>
      </c>
      <c r="I9" s="73" t="s">
        <v>517</v>
      </c>
      <c r="J9" s="73" t="s">
        <v>517</v>
      </c>
      <c r="K9" s="73" t="s">
        <v>518</v>
      </c>
      <c r="L9" s="73" t="s">
        <v>569</v>
      </c>
      <c r="M9" s="73" t="s">
        <v>570</v>
      </c>
      <c r="N9" s="73" t="s">
        <v>571</v>
      </c>
      <c r="O9" s="73" t="s">
        <v>572</v>
      </c>
      <c r="P9" s="73"/>
      <c r="Q9" s="73"/>
      <c r="R9" s="73"/>
      <c r="S9" s="73" t="s">
        <v>573</v>
      </c>
      <c r="T9" s="73" t="s">
        <v>574</v>
      </c>
      <c r="U9" s="73" t="s">
        <v>574</v>
      </c>
      <c r="V9" s="73" t="s">
        <v>517</v>
      </c>
      <c r="W9" s="73" t="s">
        <v>575</v>
      </c>
      <c r="Z9" s="73" t="s">
        <v>526</v>
      </c>
      <c r="AB9" s="73" t="s">
        <v>527</v>
      </c>
      <c r="AC9" s="73" t="s">
        <v>35</v>
      </c>
      <c r="AD9" s="118"/>
      <c r="AF9" s="125"/>
      <c r="AK9" s="60">
        <v>1</v>
      </c>
      <c r="AL9" s="28">
        <f>1/COUNTIF(Tableau6[LAT],B9)</f>
        <v>1</v>
      </c>
      <c r="AM9" s="60" t="b">
        <f>IF(N9="ALM","Yes",IF(N9="ALI","Yes",IF(N9="CAO","Yes",IF(N9="ICE","Yes",IF(N9="MAG","Yes",IF(N9="MAG","Yes",IF(N9="RBI","Yes",IF(N9="RBM","Yes",IF(N9="RCL","Yes",IF(N9="RCM","Yes",IF(N9="RCX","Yes",IF(N9="RDS","Yes",IF(N9="REQ","Yes",IF(N9="REX","Yes",IF(N9="RFG","Yes",IF(N9="RFL","Yes",IF(N9="RFS","Yes",IF(N9="RFW","Yes",IF(N9="RGX","Yes",IF(N9="RIS",IF(N9="RLI","Yes",IF(N9="RLM","Yes",IF(N9="RMD","Yes",IF(N9="RNG","Yes",IF(N9="ROP","Yes",IF(N9="ROX","Yes",IF(N9="RPB","Yes",IF(N9="RPG","Yes",IF(N9="RRE","Yes",IF(N9="RRW","Yes",IF(N9="RRY","Yes",IF(N9="RSB","Yes",IF(N9="RSC","Yes",IF(N9="RXB","Yes",IF(N9="RXC","Yes",IF(N9="RXD","Yes",IF(N9="RXE","Yes",IF(N9="RXG","Yes",IF(N9="RXS","Yes",)))))))))))))))))))))))))))))))))))))))</f>
        <v>0</v>
      </c>
      <c r="AN9" s="60" t="b">
        <f>IF(O9="ALM","Yes",IF(O9="ALI","Yes",IF(O9="CAO","Yes",IF(O9="ICE","Yes",IF(O9="MAG","Yes",IF(O9="MAG","Yes",IF(O9="RBI","Yes",IF(O9="RBM","Yes",IF(O9="RCL","Yes",IF(O9="RCM","Yes",IF(O9="RCX","Yes",IF(O9="RDS","Yes",IF(O9="REQ","Yes",IF(O9="REX","Yes",IF(O9="RFG","Yes",IF(O9="RFL","Yes",IF(O9="RFS","Yes",IF(O9="RFW","Yes",IF(O9="RGX","Yes",IF(O9="RIS",IF(O9="RLI","Yes",IF(O9="RLM","Yes",IF(O9="RMD","Yes",IF(O9="RNG","Yes",IF(O9="ROP","Yes",IF(O9="ROX","Yes",IF(O9="RPB","Yes",IF(O9="RPG","Yes",IF(O9="RRE","Yes",IF(O9="RRW","Yes",IF(O9="RRY","Yes",IF(O9="RSB","Yes",IF(O9="RSC","Yes",IF(O9="RXB","Yes",IF(O9="RXC","Yes",IF(O9="RXD","Yes",IF(O9="RXE","Yes",IF(O9="RXG","Yes",IF(O9="RXS","Yes",)))))))))))))))))))))))))))))))))))))))</f>
        <v>0</v>
      </c>
      <c r="AO9" s="60" t="b">
        <f>IF(P9="ALM","Yes",IF(P9="ALI","Yes",IF(P9="CAO","Yes",IF(P9="ICE","Yes",IF(P9="MAG","Yes",IF(P9="MAG","Yes",IF(P9="RBI","Yes",IF(P9="RBM","Yes",IF(P9="RCL","Yes",IF(P9="RCM","Yes",IF(P9="RCX","Yes",IF(P9="RDS","Yes",IF(P9="REQ","Yes",IF(P9="REX","Yes",IF(P9="RFG","Yes",IF(P9="RFL","Yes",IF(P9="RFS","Yes",IF(P9="RFW","Yes",IF(P9="RGX","Yes",IF(P9="RIS",IF(P9="RLI","Yes",IF(P9="RLM","Yes",IF(P9="RMD","Yes",IF(P9="RNG","Yes",IF(P9="ROP","Yes",IF(P9="ROX","Yes",IF(P9="RPB","Yes",IF(P9="RPG","Yes",IF(P9="RRE","Yes",IF(P9="RRW","Yes",IF(P9="RRY","Yes",IF(P9="RSB","Yes",IF(P9="RSC","Yes",IF(P9="RXB","Yes",IF(P9="RXC","Yes",IF(P9="RXD","Yes",IF(P9="RXE","Yes",IF(P9="RXG","Yes",IF(P9="RXS","Yes",)))))))))))))))))))))))))))))))))))))))</f>
        <v>0</v>
      </c>
      <c r="AP9" s="60" t="b">
        <f>IF(Q9="ALM","Yes",IF(Q9="ALI","Yes",IF(Q9="CAO","Yes",IF(Q9="ICE","Yes",IF(Q9="MAG","Yes",IF(Q9="MAG","Yes",IF(Q9="RBI","Yes",IF(Q9="RBM","Yes",IF(Q9="RCL","Yes",IF(Q9="RCM","Yes",IF(Q9="RCX","Yes",IF(Q9="RDS","Yes",IF(Q9="REQ","Yes",IF(Q9="REX","Yes",IF(Q9="RFG","Yes",IF(Q9="RFL","Yes",IF(Q9="RFS","Yes",IF(Q9="RFW","Yes",IF(Q9="RGX","Yes",IF(Q9="RIS",IF(Q9="RLI","Yes",IF(Q9="RLM","Yes",IF(Q9="RMD","Yes",IF(Q9="RNG","Yes",IF(Q9="ROP","Yes",IF(Q9="ROX","Yes",IF(Q9="RPB","Yes",IF(Q9="RPG","Yes",IF(Q9="RRE","Yes",IF(Q9="RRW","Yes",IF(Q9="RRY","Yes",IF(Q9="RSB","Yes",IF(Q9="RSC","Yes",IF(Q9="RXB","Yes",IF(Q9="RXC","Yes",IF(Q9="RXD","Yes",IF(Q9="RXE","Yes",IF(Q9="RXG","Yes",IF(Q9="RXS","Yes",)))))))))))))))))))))))))))))))))))))))</f>
        <v>0</v>
      </c>
      <c r="AQ9" s="60" t="b">
        <f>IF(R9="ALM","Yes",IF(R9="ALI","Yes",IF(R9="CAO","Yes",IF(R9="ICE","Yes",IF(R9="MAG","Yes",IF(R9="MAG","Yes",IF(R9="RBI","Yes",IF(R9="RBM","Yes",IF(R9="RCL","Yes",IF(R9="RCM","Yes",IF(R9="RCX","Yes",IF(R9="RDS","Yes",IF(R9="REQ","Yes",IF(R9="REX","Yes",IF(R9="RFG","Yes",IF(R9="RFL","Yes",IF(R9="RFS","Yes",IF(R9="RFW","Yes",IF(R9="RGX","Yes",IF(R9="RIS",IF(R9="RLI","Yes",IF(R9="RLM","Yes",IF(R9="RMD","Yes",IF(R9="RNG","Yes",IF(R9="ROP","Yes",IF(R9="ROX","Yes",IF(R9="RPB","Yes",IF(R9="RPG","Yes",IF(R9="RRE","Yes",IF(R9="RRW","Yes",IF(R9="RRY","Yes",IF(R9="RSB","Yes",IF(R9="RSC","Yes",IF(R9="RXB","Yes",IF(R9="RXC","Yes",IF(R9="RXD","Yes",IF(R9="RXE","Yes",IF(R9="RXG","Yes",IF(R9="RXS","Yes",)))))))))))))))))))))))))))))))))))))))</f>
        <v>0</v>
      </c>
      <c r="AR9" s="60" t="str">
        <f t="shared" si="1"/>
        <v>No</v>
      </c>
      <c r="AS9" s="60" t="str">
        <f t="shared" si="2"/>
        <v>No</v>
      </c>
    </row>
    <row r="10" spans="1:45" ht="15" hidden="1">
      <c r="A10" s="103">
        <v>45240</v>
      </c>
      <c r="B10" s="117" t="s">
        <v>576</v>
      </c>
      <c r="C10" s="73" t="s">
        <v>511</v>
      </c>
      <c r="D10" s="73" t="s">
        <v>577</v>
      </c>
      <c r="E10" s="73"/>
      <c r="F10" s="73" t="s">
        <v>578</v>
      </c>
      <c r="G10" s="73" t="s">
        <v>514</v>
      </c>
      <c r="H10" s="73" t="s">
        <v>579</v>
      </c>
      <c r="I10" s="73" t="s">
        <v>516</v>
      </c>
      <c r="J10" s="73" t="s">
        <v>517</v>
      </c>
      <c r="K10" s="73" t="s">
        <v>518</v>
      </c>
      <c r="L10" s="73" t="s">
        <v>580</v>
      </c>
      <c r="M10" s="73" t="s">
        <v>520</v>
      </c>
      <c r="N10" s="73" t="s">
        <v>572</v>
      </c>
      <c r="O10" s="73" t="s">
        <v>521</v>
      </c>
      <c r="P10" s="73"/>
      <c r="Q10" s="73"/>
      <c r="R10" s="73"/>
      <c r="S10" s="73" t="s">
        <v>581</v>
      </c>
      <c r="T10" s="73" t="s">
        <v>582</v>
      </c>
      <c r="U10" s="73" t="s">
        <v>582</v>
      </c>
      <c r="V10" s="73" t="s">
        <v>517</v>
      </c>
      <c r="W10" s="73" t="s">
        <v>583</v>
      </c>
      <c r="Z10" s="73" t="s">
        <v>526</v>
      </c>
      <c r="AB10" s="73" t="s">
        <v>25</v>
      </c>
      <c r="AC10" s="73"/>
      <c r="AD10" s="118" t="s">
        <v>528</v>
      </c>
      <c r="AF10" s="125" t="s">
        <v>577</v>
      </c>
      <c r="AG10" s="28" t="s">
        <v>529</v>
      </c>
      <c r="AK10" s="60">
        <v>1</v>
      </c>
      <c r="AL10" s="28">
        <f>1/COUNTIF(Tableau6[LAT],B10)</f>
        <v>1</v>
      </c>
      <c r="AM10" s="60" t="b">
        <f t="shared" ref="AM10:AQ16" si="3">IF(N10="ALM","Y",IF(N10="ALI","Y",IF(N10="CAO","Y",IF(N10="ICE","Y",IF(N10="MAG","Y",IF(N10="MAG","Y",IF(N10="RBI","Y",IF(N10="RBM","Y",IF(N10="RCL","Y",IF(N10="RCM","Y",IF(N10="RCX","Y",IF(N10="RDS","Y",IF(N10="REQ","Y",IF(N10="REX","Y",IF(N10="RFG","Y",IF(N10="RFL","Y",IF(N10="RFS","Y",IF(N10="RFW","Y",IF(N10="RGX","Y",IF(N10="RIS",IF(N10="RLI","Y",IF(N10="RLM","Y",IF(N10="RMD","Y",IF(N10="RNG","Y",IF(N10="ROP","Y",IF(N10="ROX","Y",IF(N10="RPB","Y",IF(N10="RPG","Y",IF(N10="RRE","Y",IF(N10="RRW","Y",IF(N10="RRY","Y",IF(N10="RSB","Y",IF(N10="RSC","Y",IF(N10="RXB","Y",IF(N10="RXC","Y",IF(N10="RXD","Y",IF(N10="RXE","Y",IF(N10="RXG","Y",IF(N10="RXS","Y",)))))))))))))))))))))))))))))))))))))))</f>
        <v>0</v>
      </c>
      <c r="AN10" s="60" t="b">
        <f t="shared" si="3"/>
        <v>0</v>
      </c>
      <c r="AO10" s="60" t="b">
        <f t="shared" si="3"/>
        <v>0</v>
      </c>
      <c r="AP10" s="60" t="b">
        <f t="shared" si="3"/>
        <v>0</v>
      </c>
      <c r="AQ10" s="60" t="b">
        <f t="shared" si="3"/>
        <v>0</v>
      </c>
      <c r="AR10" s="60" t="str">
        <f t="shared" si="1"/>
        <v>No</v>
      </c>
      <c r="AS10" s="60" t="str">
        <f t="shared" si="2"/>
        <v>No</v>
      </c>
    </row>
    <row r="11" spans="1:45" ht="15" hidden="1">
      <c r="A11" s="103">
        <v>45240</v>
      </c>
      <c r="B11" s="117" t="s">
        <v>584</v>
      </c>
      <c r="C11" s="73" t="s">
        <v>511</v>
      </c>
      <c r="D11" s="73" t="s">
        <v>585</v>
      </c>
      <c r="E11" s="73"/>
      <c r="F11" s="73" t="s">
        <v>586</v>
      </c>
      <c r="G11" s="73" t="s">
        <v>514</v>
      </c>
      <c r="H11" s="73" t="s">
        <v>587</v>
      </c>
      <c r="I11" s="73" t="s">
        <v>516</v>
      </c>
      <c r="J11" s="73" t="s">
        <v>517</v>
      </c>
      <c r="K11" s="73" t="s">
        <v>518</v>
      </c>
      <c r="L11" s="73" t="s">
        <v>588</v>
      </c>
      <c r="M11" s="73" t="s">
        <v>520</v>
      </c>
      <c r="N11" s="73" t="s">
        <v>544</v>
      </c>
      <c r="O11" s="73"/>
      <c r="P11" s="73"/>
      <c r="Q11" s="73"/>
      <c r="R11" s="73"/>
      <c r="S11" s="73" t="s">
        <v>589</v>
      </c>
      <c r="T11" s="73" t="s">
        <v>590</v>
      </c>
      <c r="U11" s="73" t="s">
        <v>590</v>
      </c>
      <c r="V11" s="73" t="s">
        <v>517</v>
      </c>
      <c r="W11" s="73" t="s">
        <v>591</v>
      </c>
      <c r="Z11" s="73" t="s">
        <v>526</v>
      </c>
      <c r="AB11" s="73" t="s">
        <v>527</v>
      </c>
      <c r="AC11" s="73" t="s">
        <v>35</v>
      </c>
      <c r="AD11" s="118" t="s">
        <v>528</v>
      </c>
      <c r="AF11" s="125" t="s">
        <v>585</v>
      </c>
      <c r="AG11" s="28" t="s">
        <v>529</v>
      </c>
      <c r="AK11" s="60">
        <v>1</v>
      </c>
      <c r="AL11" s="28">
        <f>1/COUNTIF(Tableau6[LAT],B11)</f>
        <v>1</v>
      </c>
      <c r="AM11" s="60" t="b">
        <f t="shared" si="3"/>
        <v>0</v>
      </c>
      <c r="AN11" s="60" t="b">
        <f t="shared" si="3"/>
        <v>0</v>
      </c>
      <c r="AO11" s="60" t="b">
        <f t="shared" si="3"/>
        <v>0</v>
      </c>
      <c r="AP11" s="60" t="b">
        <f t="shared" si="3"/>
        <v>0</v>
      </c>
      <c r="AQ11" s="60" t="b">
        <f t="shared" si="3"/>
        <v>0</v>
      </c>
      <c r="AR11" s="60" t="str">
        <f t="shared" si="1"/>
        <v>No</v>
      </c>
      <c r="AS11" s="60" t="str">
        <f t="shared" si="2"/>
        <v>No</v>
      </c>
    </row>
    <row r="12" spans="1:45" ht="15" hidden="1">
      <c r="A12" s="103">
        <v>45240</v>
      </c>
      <c r="B12" s="117" t="s">
        <v>592</v>
      </c>
      <c r="C12" s="73" t="s">
        <v>511</v>
      </c>
      <c r="D12" s="73" t="s">
        <v>593</v>
      </c>
      <c r="E12" s="73"/>
      <c r="F12" s="73" t="s">
        <v>594</v>
      </c>
      <c r="G12" s="73" t="s">
        <v>514</v>
      </c>
      <c r="H12" s="73" t="s">
        <v>595</v>
      </c>
      <c r="I12" s="73" t="s">
        <v>516</v>
      </c>
      <c r="J12" s="73" t="s">
        <v>517</v>
      </c>
      <c r="K12" s="73" t="s">
        <v>518</v>
      </c>
      <c r="L12" s="73" t="s">
        <v>596</v>
      </c>
      <c r="M12" s="73" t="s">
        <v>535</v>
      </c>
      <c r="N12" s="73" t="s">
        <v>544</v>
      </c>
      <c r="O12" s="73"/>
      <c r="P12" s="73"/>
      <c r="Q12" s="73"/>
      <c r="R12" s="73"/>
      <c r="S12" s="73" t="s">
        <v>589</v>
      </c>
      <c r="T12" s="73" t="s">
        <v>597</v>
      </c>
      <c r="U12" s="73" t="s">
        <v>597</v>
      </c>
      <c r="V12" s="73" t="s">
        <v>517</v>
      </c>
      <c r="W12" s="73" t="s">
        <v>598</v>
      </c>
      <c r="Z12" s="73" t="s">
        <v>526</v>
      </c>
      <c r="AB12" s="73" t="s">
        <v>527</v>
      </c>
      <c r="AC12" s="73" t="s">
        <v>35</v>
      </c>
      <c r="AD12" s="118" t="s">
        <v>528</v>
      </c>
      <c r="AF12" s="125" t="s">
        <v>593</v>
      </c>
      <c r="AG12" s="28" t="s">
        <v>529</v>
      </c>
      <c r="AK12" s="60">
        <v>1</v>
      </c>
      <c r="AL12" s="28">
        <f>1/COUNTIF(Tableau6[LAT],B12)</f>
        <v>1</v>
      </c>
      <c r="AM12" s="60" t="b">
        <f t="shared" si="3"/>
        <v>0</v>
      </c>
      <c r="AN12" s="60" t="b">
        <f t="shared" si="3"/>
        <v>0</v>
      </c>
      <c r="AO12" s="60" t="b">
        <f t="shared" si="3"/>
        <v>0</v>
      </c>
      <c r="AP12" s="60" t="b">
        <f t="shared" si="3"/>
        <v>0</v>
      </c>
      <c r="AQ12" s="60" t="b">
        <f t="shared" si="3"/>
        <v>0</v>
      </c>
      <c r="AR12" s="60" t="str">
        <f t="shared" si="1"/>
        <v>No</v>
      </c>
      <c r="AS12" s="60" t="str">
        <f t="shared" si="2"/>
        <v>No</v>
      </c>
    </row>
    <row r="13" spans="1:45" ht="15" hidden="1">
      <c r="A13" s="103" t="s">
        <v>599</v>
      </c>
      <c r="B13" s="117" t="s">
        <v>600</v>
      </c>
      <c r="C13" s="73" t="s">
        <v>511</v>
      </c>
      <c r="D13" s="73" t="s">
        <v>601</v>
      </c>
      <c r="E13" s="73"/>
      <c r="F13" s="73" t="s">
        <v>602</v>
      </c>
      <c r="G13" s="73" t="s">
        <v>514</v>
      </c>
      <c r="H13" s="73" t="s">
        <v>603</v>
      </c>
      <c r="I13" s="73" t="s">
        <v>516</v>
      </c>
      <c r="J13" s="73" t="s">
        <v>517</v>
      </c>
      <c r="K13" s="73" t="s">
        <v>518</v>
      </c>
      <c r="L13" s="73" t="s">
        <v>604</v>
      </c>
      <c r="M13" s="73" t="s">
        <v>605</v>
      </c>
      <c r="N13" s="73" t="s">
        <v>557</v>
      </c>
      <c r="O13" s="73" t="s">
        <v>544</v>
      </c>
      <c r="P13" s="73" t="s">
        <v>522</v>
      </c>
      <c r="Q13" s="73"/>
      <c r="R13" s="73"/>
      <c r="S13" s="73" t="s">
        <v>606</v>
      </c>
      <c r="T13" s="73" t="s">
        <v>607</v>
      </c>
      <c r="U13" s="73" t="s">
        <v>607</v>
      </c>
      <c r="V13" s="73" t="s">
        <v>517</v>
      </c>
      <c r="W13" s="73" t="s">
        <v>608</v>
      </c>
      <c r="Z13" s="73" t="s">
        <v>526</v>
      </c>
      <c r="AB13" s="73" t="s">
        <v>609</v>
      </c>
      <c r="AC13" s="73" t="s">
        <v>35</v>
      </c>
      <c r="AD13" s="118" t="s">
        <v>528</v>
      </c>
      <c r="AF13" s="126" t="s">
        <v>601</v>
      </c>
      <c r="AG13" s="28" t="s">
        <v>529</v>
      </c>
      <c r="AK13" s="60">
        <v>1</v>
      </c>
      <c r="AL13" s="28">
        <f>1/COUNTIF(Tableau6[LAT],B13)</f>
        <v>0.33333333333333331</v>
      </c>
      <c r="AM13" s="60" t="b">
        <f t="shared" si="3"/>
        <v>0</v>
      </c>
      <c r="AN13" s="60" t="b">
        <f t="shared" si="3"/>
        <v>0</v>
      </c>
      <c r="AO13" s="60" t="b">
        <f t="shared" si="3"/>
        <v>0</v>
      </c>
      <c r="AP13" s="60" t="b">
        <f t="shared" si="3"/>
        <v>0</v>
      </c>
      <c r="AQ13" s="60" t="b">
        <f t="shared" si="3"/>
        <v>0</v>
      </c>
      <c r="AR13" s="60" t="str">
        <f t="shared" si="1"/>
        <v>No</v>
      </c>
      <c r="AS13" s="60" t="str">
        <f t="shared" si="2"/>
        <v>No</v>
      </c>
    </row>
    <row r="14" spans="1:45" ht="15" hidden="1">
      <c r="A14" s="103">
        <v>45240</v>
      </c>
      <c r="B14" s="117" t="s">
        <v>600</v>
      </c>
      <c r="C14" s="73" t="s">
        <v>548</v>
      </c>
      <c r="D14" s="73" t="s">
        <v>610</v>
      </c>
      <c r="E14" s="73"/>
      <c r="F14" s="73" t="s">
        <v>602</v>
      </c>
      <c r="G14" s="73" t="s">
        <v>514</v>
      </c>
      <c r="H14" s="73" t="s">
        <v>603</v>
      </c>
      <c r="I14" s="73" t="s">
        <v>516</v>
      </c>
      <c r="J14" s="73" t="s">
        <v>517</v>
      </c>
      <c r="K14" s="73" t="s">
        <v>518</v>
      </c>
      <c r="L14" s="73" t="s">
        <v>604</v>
      </c>
      <c r="M14" s="73" t="s">
        <v>605</v>
      </c>
      <c r="N14" s="73" t="s">
        <v>557</v>
      </c>
      <c r="O14" s="73" t="s">
        <v>544</v>
      </c>
      <c r="P14" s="73" t="s">
        <v>522</v>
      </c>
      <c r="Q14" s="73"/>
      <c r="R14" s="73"/>
      <c r="S14" s="73" t="s">
        <v>606</v>
      </c>
      <c r="T14" s="73" t="s">
        <v>607</v>
      </c>
      <c r="U14" s="73" t="s">
        <v>607</v>
      </c>
      <c r="V14" s="73" t="s">
        <v>517</v>
      </c>
      <c r="W14" s="73" t="s">
        <v>611</v>
      </c>
      <c r="Z14" s="73" t="s">
        <v>526</v>
      </c>
      <c r="AB14" s="73" t="s">
        <v>609</v>
      </c>
      <c r="AC14" s="73" t="s">
        <v>35</v>
      </c>
      <c r="AD14" s="118" t="s">
        <v>528</v>
      </c>
      <c r="AF14" s="126" t="s">
        <v>610</v>
      </c>
      <c r="AG14" s="28" t="s">
        <v>529</v>
      </c>
      <c r="AK14" s="60">
        <v>1</v>
      </c>
      <c r="AL14" s="28">
        <f>1/COUNTIF(Tableau6[LAT],B14)</f>
        <v>0.33333333333333331</v>
      </c>
      <c r="AM14" s="60" t="b">
        <f t="shared" si="3"/>
        <v>0</v>
      </c>
      <c r="AN14" s="60" t="b">
        <f t="shared" si="3"/>
        <v>0</v>
      </c>
      <c r="AO14" s="60" t="b">
        <f t="shared" si="3"/>
        <v>0</v>
      </c>
      <c r="AP14" s="60" t="b">
        <f t="shared" si="3"/>
        <v>0</v>
      </c>
      <c r="AQ14" s="60" t="b">
        <f t="shared" si="3"/>
        <v>0</v>
      </c>
      <c r="AR14" s="60" t="str">
        <f t="shared" si="1"/>
        <v>No</v>
      </c>
      <c r="AS14" s="60" t="str">
        <f t="shared" si="2"/>
        <v>No</v>
      </c>
    </row>
    <row r="15" spans="1:45" ht="15" hidden="1">
      <c r="A15" s="103">
        <v>45240</v>
      </c>
      <c r="B15" s="117" t="s">
        <v>600</v>
      </c>
      <c r="C15" s="73" t="s">
        <v>612</v>
      </c>
      <c r="D15" s="73" t="s">
        <v>613</v>
      </c>
      <c r="E15" s="73"/>
      <c r="F15" s="73" t="s">
        <v>602</v>
      </c>
      <c r="G15" s="73" t="s">
        <v>514</v>
      </c>
      <c r="H15" s="73" t="s">
        <v>603</v>
      </c>
      <c r="I15" s="73" t="s">
        <v>516</v>
      </c>
      <c r="J15" s="73" t="s">
        <v>517</v>
      </c>
      <c r="K15" s="73" t="s">
        <v>518</v>
      </c>
      <c r="L15" s="73" t="s">
        <v>604</v>
      </c>
      <c r="M15" s="73" t="s">
        <v>605</v>
      </c>
      <c r="N15" s="73" t="s">
        <v>557</v>
      </c>
      <c r="O15" s="73" t="s">
        <v>544</v>
      </c>
      <c r="P15" s="73" t="s">
        <v>522</v>
      </c>
      <c r="Q15" s="73"/>
      <c r="R15" s="73"/>
      <c r="S15" s="73" t="s">
        <v>606</v>
      </c>
      <c r="T15" s="73" t="s">
        <v>607</v>
      </c>
      <c r="U15" s="73" t="s">
        <v>607</v>
      </c>
      <c r="V15" s="73" t="s">
        <v>517</v>
      </c>
      <c r="W15" s="73" t="s">
        <v>614</v>
      </c>
      <c r="Z15" s="73" t="s">
        <v>526</v>
      </c>
      <c r="AB15" s="73" t="s">
        <v>609</v>
      </c>
      <c r="AC15" s="73" t="s">
        <v>35</v>
      </c>
      <c r="AD15" s="118" t="s">
        <v>528</v>
      </c>
      <c r="AF15" s="126" t="s">
        <v>613</v>
      </c>
      <c r="AG15" s="28" t="s">
        <v>529</v>
      </c>
      <c r="AK15" s="60">
        <v>1</v>
      </c>
      <c r="AL15" s="28">
        <f>1/COUNTIF(Tableau6[LAT],B15)</f>
        <v>0.33333333333333331</v>
      </c>
      <c r="AM15" s="60" t="b">
        <f t="shared" si="3"/>
        <v>0</v>
      </c>
      <c r="AN15" s="60" t="b">
        <f t="shared" si="3"/>
        <v>0</v>
      </c>
      <c r="AO15" s="60" t="b">
        <f t="shared" si="3"/>
        <v>0</v>
      </c>
      <c r="AP15" s="60" t="b">
        <f t="shared" si="3"/>
        <v>0</v>
      </c>
      <c r="AQ15" s="60" t="b">
        <f t="shared" si="3"/>
        <v>0</v>
      </c>
      <c r="AR15" s="60" t="str">
        <f t="shared" si="1"/>
        <v>No</v>
      </c>
      <c r="AS15" s="60" t="str">
        <f t="shared" si="2"/>
        <v>No</v>
      </c>
    </row>
    <row r="16" spans="1:45" ht="15" hidden="1">
      <c r="A16" s="103">
        <v>45240</v>
      </c>
      <c r="B16" s="117" t="s">
        <v>615</v>
      </c>
      <c r="C16" s="73" t="s">
        <v>511</v>
      </c>
      <c r="D16" s="73" t="s">
        <v>616</v>
      </c>
      <c r="E16" s="73"/>
      <c r="F16" s="73" t="s">
        <v>617</v>
      </c>
      <c r="G16" s="73" t="s">
        <v>514</v>
      </c>
      <c r="H16" s="73" t="s">
        <v>618</v>
      </c>
      <c r="I16" s="73" t="s">
        <v>516</v>
      </c>
      <c r="J16" s="73" t="s">
        <v>517</v>
      </c>
      <c r="K16" s="73" t="s">
        <v>518</v>
      </c>
      <c r="L16" s="73" t="s">
        <v>534</v>
      </c>
      <c r="M16" s="73" t="s">
        <v>535</v>
      </c>
      <c r="N16" s="73" t="s">
        <v>619</v>
      </c>
      <c r="O16" s="73" t="s">
        <v>544</v>
      </c>
      <c r="P16" s="73"/>
      <c r="Q16" s="73"/>
      <c r="R16" s="73"/>
      <c r="S16" s="73" t="s">
        <v>545</v>
      </c>
      <c r="T16" s="73" t="s">
        <v>537</v>
      </c>
      <c r="U16" s="73" t="s">
        <v>537</v>
      </c>
      <c r="V16" s="73" t="s">
        <v>517</v>
      </c>
      <c r="W16" s="73" t="s">
        <v>620</v>
      </c>
      <c r="Z16" s="73" t="s">
        <v>526</v>
      </c>
      <c r="AB16" s="73" t="s">
        <v>25</v>
      </c>
      <c r="AC16" s="73"/>
      <c r="AD16" s="118" t="s">
        <v>528</v>
      </c>
      <c r="AF16" s="125" t="s">
        <v>616</v>
      </c>
      <c r="AG16" s="28" t="s">
        <v>529</v>
      </c>
      <c r="AK16" s="60">
        <v>1</v>
      </c>
      <c r="AL16" s="28">
        <f>1/COUNTIF(Tableau6[LAT],B16)</f>
        <v>1</v>
      </c>
      <c r="AM16" s="60" t="b">
        <f t="shared" si="3"/>
        <v>0</v>
      </c>
      <c r="AN16" s="60" t="b">
        <f t="shared" si="3"/>
        <v>0</v>
      </c>
      <c r="AO16" s="60" t="b">
        <f t="shared" si="3"/>
        <v>0</v>
      </c>
      <c r="AP16" s="60" t="b">
        <f t="shared" si="3"/>
        <v>0</v>
      </c>
      <c r="AQ16" s="60" t="b">
        <f t="shared" si="3"/>
        <v>0</v>
      </c>
      <c r="AR16" s="60" t="str">
        <f t="shared" si="1"/>
        <v>No</v>
      </c>
      <c r="AS16" s="60" t="str">
        <f t="shared" si="2"/>
        <v>No</v>
      </c>
    </row>
    <row r="17" spans="1:45" ht="15" hidden="1">
      <c r="A17" s="103">
        <v>45240</v>
      </c>
      <c r="B17" s="117" t="s">
        <v>621</v>
      </c>
      <c r="C17" s="73" t="s">
        <v>511</v>
      </c>
      <c r="D17" s="73" t="s">
        <v>622</v>
      </c>
      <c r="E17" s="73"/>
      <c r="F17" s="73" t="s">
        <v>623</v>
      </c>
      <c r="G17" s="73" t="s">
        <v>514</v>
      </c>
      <c r="H17" s="73" t="s">
        <v>624</v>
      </c>
      <c r="I17" s="73" t="s">
        <v>517</v>
      </c>
      <c r="J17" s="73" t="s">
        <v>517</v>
      </c>
      <c r="K17" s="73" t="s">
        <v>518</v>
      </c>
      <c r="L17" s="73" t="s">
        <v>625</v>
      </c>
      <c r="M17" s="73" t="s">
        <v>535</v>
      </c>
      <c r="N17" s="73" t="s">
        <v>521</v>
      </c>
      <c r="O17" s="73" t="s">
        <v>544</v>
      </c>
      <c r="P17" s="73" t="s">
        <v>626</v>
      </c>
      <c r="Q17" s="73" t="s">
        <v>559</v>
      </c>
      <c r="R17" s="73" t="s">
        <v>627</v>
      </c>
      <c r="S17" s="73" t="s">
        <v>573</v>
      </c>
      <c r="T17" s="73" t="s">
        <v>628</v>
      </c>
      <c r="U17" s="73" t="s">
        <v>628</v>
      </c>
      <c r="V17" s="73" t="s">
        <v>517</v>
      </c>
      <c r="W17" s="73" t="s">
        <v>629</v>
      </c>
      <c r="Z17" s="73" t="s">
        <v>526</v>
      </c>
      <c r="AB17" s="73" t="s">
        <v>630</v>
      </c>
      <c r="AC17" s="73" t="s">
        <v>35</v>
      </c>
      <c r="AD17" s="118" t="s">
        <v>528</v>
      </c>
      <c r="AF17" s="126" t="s">
        <v>622</v>
      </c>
      <c r="AG17" s="28" t="s">
        <v>529</v>
      </c>
      <c r="AK17" s="60">
        <v>1</v>
      </c>
      <c r="AL17" s="28">
        <f>1/COUNTIF(Tableau6[LAT],B17)</f>
        <v>0.33333333333333331</v>
      </c>
      <c r="AM17" s="60" t="b">
        <f t="shared" ref="AM17:AQ22" si="4">IF(N17="ALM","Yes",IF(N17="ALI","Yes",IF(N17="CAO","Yes",IF(N17="ICE","Yes",IF(N17="MAG","Yes",IF(N17="MAG","Yes",IF(N17="RBI","Yes",IF(N17="RBM","Yes",IF(N17="RCL","Yes",IF(N17="RCM","Yes",IF(N17="RCX","Yes",IF(N17="RDS","Yes",IF(N17="REQ","Yes",IF(N17="REX","Yes",IF(N17="RFG","Yes",IF(N17="RFL","Yes",IF(N17="RFS","Yes",IF(N17="RFW","Yes",IF(N17="RGX","Yes",IF(N17="RIS",IF(N17="RLI","Yes",IF(N17="RLM","Yes",IF(N17="RMD","Yes",IF(N17="RNG","Yes",IF(N17="ROP","Yes",IF(N17="ROX","Yes",IF(N17="RPB","Yes",IF(N17="RPG","Yes",IF(N17="RRE","Yes",IF(N17="RRW","Yes",IF(N17="RRY","Yes",IF(N17="RSB","Yes",IF(N17="RSC","Yes",IF(N17="RXB","Yes",IF(N17="RXC","Yes",IF(N17="RXD","Yes",IF(N17="RXE","Yes",IF(N17="RXG","Yes",IF(N17="RXS","Yes",)))))))))))))))))))))))))))))))))))))))</f>
        <v>0</v>
      </c>
      <c r="AN17" s="60" t="b">
        <f t="shared" si="4"/>
        <v>0</v>
      </c>
      <c r="AO17" s="60" t="b">
        <f t="shared" si="4"/>
        <v>0</v>
      </c>
      <c r="AP17" s="60" t="b">
        <f t="shared" si="4"/>
        <v>0</v>
      </c>
      <c r="AQ17" s="60" t="b">
        <f t="shared" si="4"/>
        <v>0</v>
      </c>
      <c r="AR17" s="60" t="str">
        <f t="shared" si="1"/>
        <v>No</v>
      </c>
      <c r="AS17" s="60" t="str">
        <f t="shared" si="2"/>
        <v>No</v>
      </c>
    </row>
    <row r="18" spans="1:45" ht="15" hidden="1">
      <c r="A18" s="103">
        <v>45240</v>
      </c>
      <c r="B18" s="117" t="s">
        <v>621</v>
      </c>
      <c r="C18" s="73" t="s">
        <v>548</v>
      </c>
      <c r="D18" s="73" t="s">
        <v>631</v>
      </c>
      <c r="E18" s="73"/>
      <c r="F18" s="73" t="s">
        <v>623</v>
      </c>
      <c r="G18" s="73" t="s">
        <v>514</v>
      </c>
      <c r="H18" s="73" t="s">
        <v>624</v>
      </c>
      <c r="I18" s="73" t="s">
        <v>517</v>
      </c>
      <c r="J18" s="73" t="s">
        <v>517</v>
      </c>
      <c r="K18" s="73" t="s">
        <v>518</v>
      </c>
      <c r="L18" s="73" t="s">
        <v>625</v>
      </c>
      <c r="M18" s="73" t="s">
        <v>535</v>
      </c>
      <c r="N18" s="73" t="s">
        <v>521</v>
      </c>
      <c r="O18" s="73" t="s">
        <v>544</v>
      </c>
      <c r="P18" s="73" t="s">
        <v>626</v>
      </c>
      <c r="Q18" s="73" t="s">
        <v>559</v>
      </c>
      <c r="R18" s="73" t="s">
        <v>627</v>
      </c>
      <c r="S18" s="73" t="s">
        <v>573</v>
      </c>
      <c r="T18" s="73" t="s">
        <v>628</v>
      </c>
      <c r="U18" s="73" t="s">
        <v>628</v>
      </c>
      <c r="V18" s="73" t="s">
        <v>517</v>
      </c>
      <c r="W18" s="73" t="s">
        <v>632</v>
      </c>
      <c r="Z18" s="73" t="s">
        <v>526</v>
      </c>
      <c r="AB18" s="73" t="s">
        <v>630</v>
      </c>
      <c r="AC18" s="73" t="s">
        <v>35</v>
      </c>
      <c r="AD18" s="118" t="s">
        <v>528</v>
      </c>
      <c r="AF18" s="126" t="s">
        <v>631</v>
      </c>
      <c r="AG18" s="28" t="s">
        <v>529</v>
      </c>
      <c r="AK18" s="60">
        <v>1</v>
      </c>
      <c r="AL18" s="28">
        <f>1/COUNTIF(Tableau6[LAT],B18)</f>
        <v>0.33333333333333331</v>
      </c>
      <c r="AM18" s="60" t="b">
        <f t="shared" si="4"/>
        <v>0</v>
      </c>
      <c r="AN18" s="60" t="b">
        <f t="shared" si="4"/>
        <v>0</v>
      </c>
      <c r="AO18" s="60" t="b">
        <f t="shared" si="4"/>
        <v>0</v>
      </c>
      <c r="AP18" s="60" t="b">
        <f t="shared" si="4"/>
        <v>0</v>
      </c>
      <c r="AQ18" s="60" t="b">
        <f t="shared" si="4"/>
        <v>0</v>
      </c>
      <c r="AR18" s="60" t="str">
        <f t="shared" si="1"/>
        <v>No</v>
      </c>
      <c r="AS18" s="60" t="str">
        <f t="shared" si="2"/>
        <v>No</v>
      </c>
    </row>
    <row r="19" spans="1:45" ht="15" hidden="1">
      <c r="A19" s="103">
        <v>45240</v>
      </c>
      <c r="B19" s="117" t="s">
        <v>621</v>
      </c>
      <c r="C19" s="73" t="s">
        <v>612</v>
      </c>
      <c r="D19" s="73" t="s">
        <v>633</v>
      </c>
      <c r="E19" s="73"/>
      <c r="F19" s="73" t="s">
        <v>634</v>
      </c>
      <c r="G19" s="73" t="s">
        <v>514</v>
      </c>
      <c r="H19" s="73" t="s">
        <v>624</v>
      </c>
      <c r="I19" s="73" t="s">
        <v>517</v>
      </c>
      <c r="J19" s="73" t="s">
        <v>517</v>
      </c>
      <c r="K19" s="73" t="s">
        <v>518</v>
      </c>
      <c r="L19" s="73" t="s">
        <v>625</v>
      </c>
      <c r="M19" s="73" t="s">
        <v>535</v>
      </c>
      <c r="N19" s="73" t="s">
        <v>521</v>
      </c>
      <c r="O19" s="73" t="s">
        <v>544</v>
      </c>
      <c r="P19" s="73" t="s">
        <v>626</v>
      </c>
      <c r="Q19" s="73" t="s">
        <v>559</v>
      </c>
      <c r="R19" s="73" t="s">
        <v>627</v>
      </c>
      <c r="S19" s="73" t="s">
        <v>573</v>
      </c>
      <c r="T19" s="73" t="s">
        <v>628</v>
      </c>
      <c r="U19" s="73" t="s">
        <v>628</v>
      </c>
      <c r="V19" s="73" t="s">
        <v>517</v>
      </c>
      <c r="W19" s="73" t="s">
        <v>635</v>
      </c>
      <c r="Z19" s="73" t="s">
        <v>526</v>
      </c>
      <c r="AB19" s="73" t="s">
        <v>630</v>
      </c>
      <c r="AC19" s="73" t="s">
        <v>35</v>
      </c>
      <c r="AD19" s="118" t="s">
        <v>528</v>
      </c>
      <c r="AF19" s="126" t="s">
        <v>633</v>
      </c>
      <c r="AG19" s="28" t="s">
        <v>529</v>
      </c>
      <c r="AK19" s="60">
        <v>1</v>
      </c>
      <c r="AL19" s="28">
        <f>1/COUNTIF(Tableau6[LAT],B19)</f>
        <v>0.33333333333333331</v>
      </c>
      <c r="AM19" s="60" t="b">
        <f t="shared" si="4"/>
        <v>0</v>
      </c>
      <c r="AN19" s="60" t="b">
        <f t="shared" si="4"/>
        <v>0</v>
      </c>
      <c r="AO19" s="60" t="b">
        <f t="shared" si="4"/>
        <v>0</v>
      </c>
      <c r="AP19" s="60" t="b">
        <f t="shared" si="4"/>
        <v>0</v>
      </c>
      <c r="AQ19" s="60" t="b">
        <f t="shared" si="4"/>
        <v>0</v>
      </c>
      <c r="AR19" s="60" t="str">
        <f t="shared" si="1"/>
        <v>No</v>
      </c>
      <c r="AS19" s="60" t="str">
        <f t="shared" si="2"/>
        <v>No</v>
      </c>
    </row>
    <row r="20" spans="1:45" ht="15" hidden="1">
      <c r="A20" s="103">
        <v>45240</v>
      </c>
      <c r="B20" s="117" t="s">
        <v>636</v>
      </c>
      <c r="C20" s="73" t="s">
        <v>511</v>
      </c>
      <c r="D20" s="73" t="s">
        <v>637</v>
      </c>
      <c r="E20" s="73"/>
      <c r="F20" s="73" t="s">
        <v>638</v>
      </c>
      <c r="G20" s="73" t="s">
        <v>514</v>
      </c>
      <c r="H20" s="73" t="s">
        <v>639</v>
      </c>
      <c r="I20" s="73" t="s">
        <v>517</v>
      </c>
      <c r="J20" s="73" t="s">
        <v>517</v>
      </c>
      <c r="K20" s="73" t="s">
        <v>518</v>
      </c>
      <c r="L20" s="73" t="s">
        <v>534</v>
      </c>
      <c r="M20" s="73" t="s">
        <v>535</v>
      </c>
      <c r="N20" s="73" t="s">
        <v>521</v>
      </c>
      <c r="O20" s="73" t="s">
        <v>544</v>
      </c>
      <c r="P20" s="73" t="s">
        <v>626</v>
      </c>
      <c r="Q20" s="73" t="s">
        <v>522</v>
      </c>
      <c r="R20" s="73" t="s">
        <v>627</v>
      </c>
      <c r="S20" s="73" t="s">
        <v>573</v>
      </c>
      <c r="T20" s="73" t="s">
        <v>537</v>
      </c>
      <c r="U20" s="73" t="s">
        <v>537</v>
      </c>
      <c r="V20" s="73" t="s">
        <v>517</v>
      </c>
      <c r="W20" s="73" t="s">
        <v>640</v>
      </c>
      <c r="Z20" s="73" t="s">
        <v>526</v>
      </c>
      <c r="AB20" s="73" t="s">
        <v>630</v>
      </c>
      <c r="AC20" s="73" t="s">
        <v>35</v>
      </c>
      <c r="AD20" s="118" t="s">
        <v>528</v>
      </c>
      <c r="AF20" s="126" t="s">
        <v>637</v>
      </c>
      <c r="AG20" s="28" t="s">
        <v>529</v>
      </c>
      <c r="AK20" s="60">
        <v>1</v>
      </c>
      <c r="AL20" s="28">
        <f>1/COUNTIF(Tableau6[LAT],B20)</f>
        <v>0.5</v>
      </c>
      <c r="AM20" s="60" t="b">
        <f t="shared" si="4"/>
        <v>0</v>
      </c>
      <c r="AN20" s="60" t="b">
        <f t="shared" si="4"/>
        <v>0</v>
      </c>
      <c r="AO20" s="60" t="b">
        <f t="shared" si="4"/>
        <v>0</v>
      </c>
      <c r="AP20" s="60" t="b">
        <f t="shared" si="4"/>
        <v>0</v>
      </c>
      <c r="AQ20" s="60" t="b">
        <f t="shared" si="4"/>
        <v>0</v>
      </c>
      <c r="AR20" s="60" t="str">
        <f t="shared" si="1"/>
        <v>No</v>
      </c>
      <c r="AS20" s="60" t="str">
        <f t="shared" si="2"/>
        <v>No</v>
      </c>
    </row>
    <row r="21" spans="1:45" ht="15" hidden="1">
      <c r="A21" s="103">
        <v>45240</v>
      </c>
      <c r="B21" s="117" t="s">
        <v>636</v>
      </c>
      <c r="C21" s="73" t="s">
        <v>548</v>
      </c>
      <c r="D21" s="73" t="s">
        <v>641</v>
      </c>
      <c r="E21" s="73"/>
      <c r="F21" s="73" t="s">
        <v>642</v>
      </c>
      <c r="G21" s="73" t="s">
        <v>514</v>
      </c>
      <c r="H21" s="73" t="s">
        <v>639</v>
      </c>
      <c r="I21" s="73" t="s">
        <v>517</v>
      </c>
      <c r="J21" s="73" t="s">
        <v>517</v>
      </c>
      <c r="K21" s="73" t="s">
        <v>518</v>
      </c>
      <c r="L21" s="73" t="s">
        <v>534</v>
      </c>
      <c r="M21" s="73" t="s">
        <v>535</v>
      </c>
      <c r="N21" s="73" t="s">
        <v>521</v>
      </c>
      <c r="O21" s="73" t="s">
        <v>544</v>
      </c>
      <c r="P21" s="73" t="s">
        <v>626</v>
      </c>
      <c r="Q21" s="73" t="s">
        <v>522</v>
      </c>
      <c r="R21" s="73" t="s">
        <v>627</v>
      </c>
      <c r="S21" s="73" t="s">
        <v>573</v>
      </c>
      <c r="T21" s="73" t="s">
        <v>537</v>
      </c>
      <c r="U21" s="73" t="s">
        <v>537</v>
      </c>
      <c r="V21" s="73" t="s">
        <v>517</v>
      </c>
      <c r="W21" s="73" t="s">
        <v>643</v>
      </c>
      <c r="Z21" s="73" t="s">
        <v>526</v>
      </c>
      <c r="AB21" s="73" t="s">
        <v>630</v>
      </c>
      <c r="AC21" s="73" t="s">
        <v>35</v>
      </c>
      <c r="AD21" s="118" t="s">
        <v>528</v>
      </c>
      <c r="AF21" s="126" t="s">
        <v>641</v>
      </c>
      <c r="AG21" s="28" t="s">
        <v>529</v>
      </c>
      <c r="AK21" s="60">
        <v>1</v>
      </c>
      <c r="AL21" s="28">
        <f>1/COUNTIF(Tableau6[LAT],B21)</f>
        <v>0.5</v>
      </c>
      <c r="AM21" s="60" t="b">
        <f t="shared" si="4"/>
        <v>0</v>
      </c>
      <c r="AN21" s="60" t="b">
        <f t="shared" si="4"/>
        <v>0</v>
      </c>
      <c r="AO21" s="60" t="b">
        <f t="shared" si="4"/>
        <v>0</v>
      </c>
      <c r="AP21" s="60" t="b">
        <f t="shared" si="4"/>
        <v>0</v>
      </c>
      <c r="AQ21" s="60" t="b">
        <f t="shared" si="4"/>
        <v>0</v>
      </c>
      <c r="AR21" s="60" t="str">
        <f t="shared" si="1"/>
        <v>No</v>
      </c>
      <c r="AS21" s="60" t="str">
        <f t="shared" si="2"/>
        <v>No</v>
      </c>
    </row>
    <row r="22" spans="1:45" ht="15" hidden="1">
      <c r="A22" s="103">
        <v>45240</v>
      </c>
      <c r="B22" s="117" t="s">
        <v>644</v>
      </c>
      <c r="C22" s="73" t="s">
        <v>511</v>
      </c>
      <c r="D22" s="73" t="s">
        <v>645</v>
      </c>
      <c r="E22" s="73" t="s">
        <v>646</v>
      </c>
      <c r="F22" s="73" t="s">
        <v>647</v>
      </c>
      <c r="G22" s="73" t="s">
        <v>648</v>
      </c>
      <c r="H22" s="73" t="s">
        <v>555</v>
      </c>
      <c r="I22" s="73" t="s">
        <v>517</v>
      </c>
      <c r="J22" s="73" t="s">
        <v>517</v>
      </c>
      <c r="K22" s="73" t="s">
        <v>518</v>
      </c>
      <c r="L22" s="73" t="s">
        <v>649</v>
      </c>
      <c r="M22" s="73" t="s">
        <v>535</v>
      </c>
      <c r="N22" s="73" t="s">
        <v>544</v>
      </c>
      <c r="O22" s="73" t="s">
        <v>650</v>
      </c>
      <c r="P22" s="73" t="s">
        <v>427</v>
      </c>
      <c r="Q22" s="73" t="s">
        <v>559</v>
      </c>
      <c r="R22" s="73"/>
      <c r="S22" s="73" t="s">
        <v>573</v>
      </c>
      <c r="T22" s="73" t="s">
        <v>651</v>
      </c>
      <c r="U22" s="73" t="s">
        <v>651</v>
      </c>
      <c r="V22" s="73" t="s">
        <v>517</v>
      </c>
      <c r="W22" s="73" t="s">
        <v>652</v>
      </c>
      <c r="Z22" s="73" t="s">
        <v>526</v>
      </c>
      <c r="AB22" s="73" t="s">
        <v>630</v>
      </c>
      <c r="AC22" s="73"/>
      <c r="AD22" s="118" t="s">
        <v>528</v>
      </c>
      <c r="AF22" s="125" t="s">
        <v>653</v>
      </c>
      <c r="AG22" s="28" t="s">
        <v>529</v>
      </c>
      <c r="AK22" s="60">
        <v>1</v>
      </c>
      <c r="AL22" s="28">
        <f>1/COUNTIF(Tableau6[LAT],B22)</f>
        <v>0.5</v>
      </c>
      <c r="AM22" s="60" t="b">
        <f t="shared" si="4"/>
        <v>0</v>
      </c>
      <c r="AN22" s="60" t="b">
        <f t="shared" si="4"/>
        <v>0</v>
      </c>
      <c r="AO22" s="60" t="b">
        <f t="shared" si="4"/>
        <v>0</v>
      </c>
      <c r="AP22" s="60" t="b">
        <f t="shared" si="4"/>
        <v>0</v>
      </c>
      <c r="AQ22" s="60" t="b">
        <f t="shared" si="4"/>
        <v>0</v>
      </c>
      <c r="AR22" s="60" t="str">
        <f t="shared" si="1"/>
        <v>No</v>
      </c>
      <c r="AS22" s="60" t="str">
        <f t="shared" si="2"/>
        <v>No</v>
      </c>
    </row>
    <row r="23" spans="1:45" ht="15" hidden="1">
      <c r="A23" s="103">
        <v>45240</v>
      </c>
      <c r="B23" s="117" t="s">
        <v>654</v>
      </c>
      <c r="C23" s="73" t="s">
        <v>511</v>
      </c>
      <c r="D23" s="73" t="s">
        <v>655</v>
      </c>
      <c r="E23" s="73"/>
      <c r="F23" s="73" t="s">
        <v>656</v>
      </c>
      <c r="G23" s="73" t="s">
        <v>657</v>
      </c>
      <c r="H23" s="73" t="s">
        <v>658</v>
      </c>
      <c r="I23" s="73" t="s">
        <v>516</v>
      </c>
      <c r="J23" s="73" t="s">
        <v>517</v>
      </c>
      <c r="K23" s="73" t="s">
        <v>518</v>
      </c>
      <c r="L23" s="73" t="s">
        <v>534</v>
      </c>
      <c r="M23" s="73" t="s">
        <v>535</v>
      </c>
      <c r="N23" s="73" t="s">
        <v>521</v>
      </c>
      <c r="O23" s="73" t="s">
        <v>559</v>
      </c>
      <c r="P23" s="73"/>
      <c r="Q23" s="73"/>
      <c r="R23" s="73"/>
      <c r="S23" s="73" t="s">
        <v>659</v>
      </c>
      <c r="T23" s="73" t="s">
        <v>537</v>
      </c>
      <c r="U23" s="73" t="s">
        <v>537</v>
      </c>
      <c r="V23" s="73" t="s">
        <v>517</v>
      </c>
      <c r="W23" s="73" t="s">
        <v>660</v>
      </c>
      <c r="Z23" s="73" t="s">
        <v>526</v>
      </c>
      <c r="AB23" s="73" t="s">
        <v>25</v>
      </c>
      <c r="AC23" s="73"/>
      <c r="AD23" s="118" t="s">
        <v>528</v>
      </c>
      <c r="AF23" s="125" t="s">
        <v>655</v>
      </c>
      <c r="AG23" s="28" t="s">
        <v>529</v>
      </c>
      <c r="AK23" s="60">
        <v>1</v>
      </c>
      <c r="AL23" s="28">
        <f>1/COUNTIF(Tableau6[LAT],B23)</f>
        <v>1</v>
      </c>
      <c r="AM23" s="60" t="b">
        <f>IF(N23="ALM","Y",IF(N23="ALI","Y",IF(N23="CAO","Y",IF(N23="ICE","Y",IF(N23="MAG","Y",IF(N23="MAG","Y",IF(N23="RBI","Y",IF(N23="RBM","Y",IF(N23="RCL","Y",IF(N23="RCM","Y",IF(N23="RCX","Y",IF(N23="RDS","Y",IF(N23="REQ","Y",IF(N23="REX","Y",IF(N23="RFG","Y",IF(N23="RFL","Y",IF(N23="RFS","Y",IF(N23="RFW","Y",IF(N23="RGX","Y",IF(N23="RIS",IF(N23="RLI","Y",IF(N23="RLM","Y",IF(N23="RMD","Y",IF(N23="RNG","Y",IF(N23="ROP","Y",IF(N23="ROX","Y",IF(N23="RPB","Y",IF(N23="RPG","Y",IF(N23="RRE","Y",IF(N23="RRW","Y",IF(N23="RRY","Y",IF(N23="RSB","Y",IF(N23="RSC","Y",IF(N23="RXB","Y",IF(N23="RXC","Y",IF(N23="RXD","Y",IF(N23="RXE","Y",IF(N23="RXG","Y",IF(N23="RXS","Y",)))))))))))))))))))))))))))))))))))))))</f>
        <v>0</v>
      </c>
      <c r="AN23" s="60" t="b">
        <f>IF(O23="ALM","Y",IF(O23="ALI","Y",IF(O23="CAO","Y",IF(O23="ICE","Y",IF(O23="MAG","Y",IF(O23="MAG","Y",IF(O23="RBI","Y",IF(O23="RBM","Y",IF(O23="RCL","Y",IF(O23="RCM","Y",IF(O23="RCX","Y",IF(O23="RDS","Y",IF(O23="REQ","Y",IF(O23="REX","Y",IF(O23="RFG","Y",IF(O23="RFL","Y",IF(O23="RFS","Y",IF(O23="RFW","Y",IF(O23="RGX","Y",IF(O23="RIS",IF(O23="RLI","Y",IF(O23="RLM","Y",IF(O23="RMD","Y",IF(O23="RNG","Y",IF(O23="ROP","Y",IF(O23="ROX","Y",IF(O23="RPB","Y",IF(O23="RPG","Y",IF(O23="RRE","Y",IF(O23="RRW","Y",IF(O23="RRY","Y",IF(O23="RSB","Y",IF(O23="RSC","Y",IF(O23="RXB","Y",IF(O23="RXC","Y",IF(O23="RXD","Y",IF(O23="RXE","Y",IF(O23="RXG","Y",IF(O23="RXS","Y",)))))))))))))))))))))))))))))))))))))))</f>
        <v>0</v>
      </c>
      <c r="AO23" s="60" t="b">
        <f>IF(P23="ALM","Y",IF(P23="ALI","Y",IF(P23="CAO","Y",IF(P23="ICE","Y",IF(P23="MAG","Y",IF(P23="MAG","Y",IF(P23="RBI","Y",IF(P23="RBM","Y",IF(P23="RCL","Y",IF(P23="RCM","Y",IF(P23="RCX","Y",IF(P23="RDS","Y",IF(P23="REQ","Y",IF(P23="REX","Y",IF(P23="RFG","Y",IF(P23="RFL","Y",IF(P23="RFS","Y",IF(P23="RFW","Y",IF(P23="RGX","Y",IF(P23="RIS",IF(P23="RLI","Y",IF(P23="RLM","Y",IF(P23="RMD","Y",IF(P23="RNG","Y",IF(P23="ROP","Y",IF(P23="ROX","Y",IF(P23="RPB","Y",IF(P23="RPG","Y",IF(P23="RRE","Y",IF(P23="RRW","Y",IF(P23="RRY","Y",IF(P23="RSB","Y",IF(P23="RSC","Y",IF(P23="RXB","Y",IF(P23="RXC","Y",IF(P23="RXD","Y",IF(P23="RXE","Y",IF(P23="RXG","Y",IF(P23="RXS","Y",)))))))))))))))))))))))))))))))))))))))</f>
        <v>0</v>
      </c>
      <c r="AP23" s="60" t="b">
        <f>IF(Q23="ALM","Y",IF(Q23="ALI","Y",IF(Q23="CAO","Y",IF(Q23="ICE","Y",IF(Q23="MAG","Y",IF(Q23="MAG","Y",IF(Q23="RBI","Y",IF(Q23="RBM","Y",IF(Q23="RCL","Y",IF(Q23="RCM","Y",IF(Q23="RCX","Y",IF(Q23="RDS","Y",IF(Q23="REQ","Y",IF(Q23="REX","Y",IF(Q23="RFG","Y",IF(Q23="RFL","Y",IF(Q23="RFS","Y",IF(Q23="RFW","Y",IF(Q23="RGX","Y",IF(Q23="RIS",IF(Q23="RLI","Y",IF(Q23="RLM","Y",IF(Q23="RMD","Y",IF(Q23="RNG","Y",IF(Q23="ROP","Y",IF(Q23="ROX","Y",IF(Q23="RPB","Y",IF(Q23="RPG","Y",IF(Q23="RRE","Y",IF(Q23="RRW","Y",IF(Q23="RRY","Y",IF(Q23="RSB","Y",IF(Q23="RSC","Y",IF(Q23="RXB","Y",IF(Q23="RXC","Y",IF(Q23="RXD","Y",IF(Q23="RXE","Y",IF(Q23="RXG","Y",IF(Q23="RXS","Y",)))))))))))))))))))))))))))))))))))))))</f>
        <v>0</v>
      </c>
      <c r="AQ23" s="60" t="b">
        <f>IF(R23="ALM","Y",IF(R23="ALI","Y",IF(R23="CAO","Y",IF(R23="ICE","Y",IF(R23="MAG","Y",IF(R23="MAG","Y",IF(R23="RBI","Y",IF(R23="RBM","Y",IF(R23="RCL","Y",IF(R23="RCM","Y",IF(R23="RCX","Y",IF(R23="RDS","Y",IF(R23="REQ","Y",IF(R23="REX","Y",IF(R23="RFG","Y",IF(R23="RFL","Y",IF(R23="RFS","Y",IF(R23="RFW","Y",IF(R23="RGX","Y",IF(R23="RIS",IF(R23="RLI","Y",IF(R23="RLM","Y",IF(R23="RMD","Y",IF(R23="RNG","Y",IF(R23="ROP","Y",IF(R23="ROX","Y",IF(R23="RPB","Y",IF(R23="RPG","Y",IF(R23="RRE","Y",IF(R23="RRW","Y",IF(R23="RRY","Y",IF(R23="RSB","Y",IF(R23="RSC","Y",IF(R23="RXB","Y",IF(R23="RXC","Y",IF(R23="RXD","Y",IF(R23="RXE","Y",IF(R23="RXG","Y",IF(R23="RXS","Y",)))))))))))))))))))))))))))))))))))))))</f>
        <v>0</v>
      </c>
      <c r="AR23" s="60" t="str">
        <f t="shared" si="1"/>
        <v>No</v>
      </c>
      <c r="AS23" s="60" t="str">
        <f t="shared" si="2"/>
        <v>No</v>
      </c>
    </row>
    <row r="24" spans="1:45" ht="15" hidden="1">
      <c r="A24" s="103">
        <v>45243</v>
      </c>
      <c r="B24" s="117" t="s">
        <v>661</v>
      </c>
      <c r="C24" s="28" t="s">
        <v>511</v>
      </c>
      <c r="D24" s="28" t="s">
        <v>662</v>
      </c>
      <c r="E24" s="28" t="s">
        <v>663</v>
      </c>
      <c r="F24" s="28" t="s">
        <v>664</v>
      </c>
      <c r="G24" s="28" t="s">
        <v>665</v>
      </c>
      <c r="H24" s="28" t="s">
        <v>666</v>
      </c>
      <c r="I24" s="28" t="s">
        <v>516</v>
      </c>
      <c r="J24" s="28" t="s">
        <v>517</v>
      </c>
      <c r="K24" s="28" t="s">
        <v>518</v>
      </c>
      <c r="L24" s="28" t="s">
        <v>667</v>
      </c>
      <c r="M24" s="28" t="s">
        <v>520</v>
      </c>
      <c r="N24" s="28" t="s">
        <v>557</v>
      </c>
      <c r="O24" s="28" t="s">
        <v>544</v>
      </c>
      <c r="P24" s="28" t="s">
        <v>522</v>
      </c>
      <c r="S24" s="28" t="s">
        <v>668</v>
      </c>
      <c r="T24" s="28" t="s">
        <v>597</v>
      </c>
      <c r="U24" s="28" t="s">
        <v>597</v>
      </c>
      <c r="V24" s="28" t="s">
        <v>517</v>
      </c>
      <c r="W24" s="28" t="s">
        <v>669</v>
      </c>
      <c r="X24" s="28" t="s">
        <v>670</v>
      </c>
      <c r="Z24" s="28" t="s">
        <v>563</v>
      </c>
      <c r="AB24" s="28" t="s">
        <v>527</v>
      </c>
      <c r="AD24" s="118" t="s">
        <v>528</v>
      </c>
      <c r="AF24" s="125" t="s">
        <v>662</v>
      </c>
      <c r="AG24" s="28" t="s">
        <v>563</v>
      </c>
      <c r="AK24" s="60">
        <v>2</v>
      </c>
      <c r="AL24" s="28">
        <f>1/COUNTIF(Tableau6[LAT],B24)</f>
        <v>1</v>
      </c>
      <c r="AM24" s="60" t="b">
        <f t="shared" ref="AM24:AM87" si="5">IF(N24="ALM","Yes",IF(N24="ALI","Yes",IF(N24="CAO","Yes",IF(N24="ICE","Yes",IF(N24="MAG","Yes",IF(N24="MAG","Yes",IF(N24="RBI","Yes",IF(N24="RBM","Yes",IF(N24="RCL","Yes",IF(N24="RCM","Yes",IF(N24="RCX","Yes",IF(N24="RDS","Yes",IF(N24="REQ","Yes",IF(N24="REX","Yes",IF(N24="RFG","Yes",IF(N24="RFL","Yes",IF(N24="RFS","Yes",IF(N24="RFW","Yes",IF(N24="RGX","Yes",IF(N24="RIS",IF(N24="RLI","Yes",IF(N24="RLM","Yes",IF(N24="RMD","Yes",IF(N24="RNG","Yes",IF(N24="ROP","Yes",IF(N24="ROX","Yes",IF(N24="RPB","Yes",IF(N24="RPG","Yes",IF(N24="RRE","Yes",IF(N24="RRW","Yes",IF(N24="RRY","Yes",IF(N24="RSB","Yes",IF(N24="RSC","Yes",IF(N24="RXB","Yes",IF(N24="RXC","Yes",IF(N24="RXD","Yes",IF(N24="RXE","Yes",IF(N24="RXG","Yes",IF(N24="RXS","Yes",)))))))))))))))))))))))))))))))))))))))</f>
        <v>0</v>
      </c>
      <c r="AN24" s="60" t="b">
        <f t="shared" ref="AN24:AN87" si="6">IF(O24="ALM","Yes",IF(O24="ALI","Yes",IF(O24="CAO","Yes",IF(O24="ICE","Yes",IF(O24="MAG","Yes",IF(O24="MAG","Yes",IF(O24="RBI","Yes",IF(O24="RBM","Yes",IF(O24="RCL","Yes",IF(O24="RCM","Yes",IF(O24="RCX","Yes",IF(O24="RDS","Yes",IF(O24="REQ","Yes",IF(O24="REX","Yes",IF(O24="RFG","Yes",IF(O24="RFL","Yes",IF(O24="RFS","Yes",IF(O24="RFW","Yes",IF(O24="RGX","Yes",IF(O24="RIS",IF(O24="RLI","Yes",IF(O24="RLM","Yes",IF(O24="RMD","Yes",IF(O24="RNG","Yes",IF(O24="ROP","Yes",IF(O24="ROX","Yes",IF(O24="RPB","Yes",IF(O24="RPG","Yes",IF(O24="RRE","Yes",IF(O24="RRW","Yes",IF(O24="RRY","Yes",IF(O24="RSB","Yes",IF(O24="RSC","Yes",IF(O24="RXB","Yes",IF(O24="RXC","Yes",IF(O24="RXD","Yes",IF(O24="RXE","Yes",IF(O24="RXG","Yes",IF(O24="RXS","Yes",)))))))))))))))))))))))))))))))))))))))</f>
        <v>0</v>
      </c>
      <c r="AO24" s="60" t="b">
        <f t="shared" ref="AO24:AO87" si="7">IF(P24="ALM","Yes",IF(P24="ALI","Yes",IF(P24="CAO","Yes",IF(P24="ICE","Yes",IF(P24="MAG","Yes",IF(P24="MAG","Yes",IF(P24="RBI","Yes",IF(P24="RBM","Yes",IF(P24="RCL","Yes",IF(P24="RCM","Yes",IF(P24="RCX","Yes",IF(P24="RDS","Yes",IF(P24="REQ","Yes",IF(P24="REX","Yes",IF(P24="RFG","Yes",IF(P24="RFL","Yes",IF(P24="RFS","Yes",IF(P24="RFW","Yes",IF(P24="RGX","Yes",IF(P24="RIS",IF(P24="RLI","Yes",IF(P24="RLM","Yes",IF(P24="RMD","Yes",IF(P24="RNG","Yes",IF(P24="ROP","Yes",IF(P24="ROX","Yes",IF(P24="RPB","Yes",IF(P24="RPG","Yes",IF(P24="RRE","Yes",IF(P24="RRW","Yes",IF(P24="RRY","Yes",IF(P24="RSB","Yes",IF(P24="RSC","Yes",IF(P24="RXB","Yes",IF(P24="RXC","Yes",IF(P24="RXD","Yes",IF(P24="RXE","Yes",IF(P24="RXG","Yes",IF(P24="RXS","Yes",)))))))))))))))))))))))))))))))))))))))</f>
        <v>0</v>
      </c>
      <c r="AP24" s="60" t="b">
        <f t="shared" ref="AP24:AP87" si="8">IF(Q24="ALM","Yes",IF(Q24="ALI","Yes",IF(Q24="CAO","Yes",IF(Q24="ICE","Yes",IF(Q24="MAG","Yes",IF(Q24="MAG","Yes",IF(Q24="RBI","Yes",IF(Q24="RBM","Yes",IF(Q24="RCL","Yes",IF(Q24="RCM","Yes",IF(Q24="RCX","Yes",IF(Q24="RDS","Yes",IF(Q24="REQ","Yes",IF(Q24="REX","Yes",IF(Q24="RFG","Yes",IF(Q24="RFL","Yes",IF(Q24="RFS","Yes",IF(Q24="RFW","Yes",IF(Q24="RGX","Yes",IF(Q24="RIS",IF(Q24="RLI","Yes",IF(Q24="RLM","Yes",IF(Q24="RMD","Yes",IF(Q24="RNG","Yes",IF(Q24="ROP","Yes",IF(Q24="ROX","Yes",IF(Q24="RPB","Yes",IF(Q24="RPG","Yes",IF(Q24="RRE","Yes",IF(Q24="RRW","Yes",IF(Q24="RRY","Yes",IF(Q24="RSB","Yes",IF(Q24="RSC","Yes",IF(Q24="RXB","Yes",IF(Q24="RXC","Yes",IF(Q24="RXD","Yes",IF(Q24="RXE","Yes",IF(Q24="RXG","Yes",IF(Q24="RXS","Yes",)))))))))))))))))))))))))))))))))))))))</f>
        <v>0</v>
      </c>
      <c r="AQ24" s="60" t="b">
        <f t="shared" ref="AQ24:AQ87" si="9">IF(R24="ALM","Yes",IF(R24="ALI","Yes",IF(R24="CAO","Yes",IF(R24="ICE","Yes",IF(R24="MAG","Yes",IF(R24="MAG","Yes",IF(R24="RBI","Yes",IF(R24="RBM","Yes",IF(R24="RCL","Yes",IF(R24="RCM","Yes",IF(R24="RCX","Yes",IF(R24="RDS","Yes",IF(R24="REQ","Yes",IF(R24="REX","Yes",IF(R24="RFG","Yes",IF(R24="RFL","Yes",IF(R24="RFS","Yes",IF(R24="RFW","Yes",IF(R24="RGX","Yes",IF(R24="RIS",IF(R24="RLI","Yes",IF(R24="RLM","Yes",IF(R24="RMD","Yes",IF(R24="RNG","Yes",IF(R24="ROP","Yes",IF(R24="ROX","Yes",IF(R24="RPB","Yes",IF(R24="RPG","Yes",IF(R24="RRE","Yes",IF(R24="RRW","Yes",IF(R24="RRY","Yes",IF(R24="RSB","Yes",IF(R24="RSC","Yes",IF(R24="RXB","Yes",IF(R24="RXC","Yes",IF(R24="RXD","Yes",IF(R24="RXE","Yes",IF(R24="RXG","Yes",IF(R24="RXS","Yes",)))))))))))))))))))))))))))))))))))))))</f>
        <v>0</v>
      </c>
      <c r="AR24" s="60" t="str">
        <f t="shared" si="1"/>
        <v>No</v>
      </c>
      <c r="AS24" s="60" t="str">
        <f t="shared" si="2"/>
        <v>No</v>
      </c>
    </row>
    <row r="25" spans="1:45" ht="15" hidden="1">
      <c r="A25" s="103">
        <v>45243</v>
      </c>
      <c r="B25" s="117" t="s">
        <v>671</v>
      </c>
      <c r="C25" s="28" t="s">
        <v>511</v>
      </c>
      <c r="D25" s="28" t="s">
        <v>672</v>
      </c>
      <c r="F25" s="28" t="s">
        <v>673</v>
      </c>
      <c r="G25" s="28" t="s">
        <v>514</v>
      </c>
      <c r="H25" s="28" t="s">
        <v>674</v>
      </c>
      <c r="I25" s="28" t="s">
        <v>517</v>
      </c>
      <c r="J25" s="28" t="s">
        <v>517</v>
      </c>
      <c r="K25" s="28" t="s">
        <v>518</v>
      </c>
      <c r="L25" s="28" t="s">
        <v>675</v>
      </c>
      <c r="M25" s="28" t="s">
        <v>535</v>
      </c>
      <c r="N25" s="28" t="s">
        <v>521</v>
      </c>
      <c r="O25" s="28" t="s">
        <v>544</v>
      </c>
      <c r="P25" s="28" t="s">
        <v>522</v>
      </c>
      <c r="Q25" s="28" t="s">
        <v>627</v>
      </c>
      <c r="S25" s="28" t="s">
        <v>573</v>
      </c>
      <c r="T25" s="28" t="s">
        <v>676</v>
      </c>
      <c r="U25" s="28" t="s">
        <v>676</v>
      </c>
      <c r="V25" s="28" t="s">
        <v>517</v>
      </c>
      <c r="W25" s="28" t="s">
        <v>677</v>
      </c>
      <c r="Z25" s="28" t="s">
        <v>526</v>
      </c>
      <c r="AD25" s="118" t="s">
        <v>528</v>
      </c>
      <c r="AF25" s="125" t="s">
        <v>672</v>
      </c>
      <c r="AG25" s="28" t="s">
        <v>529</v>
      </c>
      <c r="AK25" s="60">
        <v>2</v>
      </c>
      <c r="AL25" s="28">
        <f>1/COUNTIF(Tableau6[LAT],B25)</f>
        <v>1</v>
      </c>
      <c r="AM25" s="60" t="b">
        <f t="shared" si="5"/>
        <v>0</v>
      </c>
      <c r="AN25" s="60" t="b">
        <f t="shared" si="6"/>
        <v>0</v>
      </c>
      <c r="AO25" s="60" t="b">
        <f t="shared" si="7"/>
        <v>0</v>
      </c>
      <c r="AP25" s="60" t="b">
        <f t="shared" si="8"/>
        <v>0</v>
      </c>
      <c r="AQ25" s="60" t="b">
        <f t="shared" si="9"/>
        <v>0</v>
      </c>
      <c r="AR25" s="60" t="str">
        <f t="shared" si="1"/>
        <v>No</v>
      </c>
      <c r="AS25" s="60" t="str">
        <f t="shared" si="2"/>
        <v>No</v>
      </c>
    </row>
    <row r="26" spans="1:45" ht="15" hidden="1">
      <c r="A26" s="103">
        <v>45243</v>
      </c>
      <c r="B26" s="117" t="s">
        <v>678</v>
      </c>
      <c r="C26" s="28" t="s">
        <v>548</v>
      </c>
      <c r="D26" s="28" t="s">
        <v>679</v>
      </c>
      <c r="F26" s="28" t="s">
        <v>680</v>
      </c>
      <c r="G26" s="28" t="s">
        <v>514</v>
      </c>
      <c r="H26" s="28" t="s">
        <v>681</v>
      </c>
      <c r="I26" s="28" t="s">
        <v>516</v>
      </c>
      <c r="J26" s="28" t="s">
        <v>517</v>
      </c>
      <c r="K26" s="28" t="s">
        <v>682</v>
      </c>
      <c r="L26" s="28" t="s">
        <v>683</v>
      </c>
      <c r="M26" s="28" t="s">
        <v>535</v>
      </c>
      <c r="N26" s="28" t="s">
        <v>557</v>
      </c>
      <c r="O26" s="28" t="s">
        <v>544</v>
      </c>
      <c r="P26" s="28" t="s">
        <v>559</v>
      </c>
      <c r="S26" s="28" t="s">
        <v>668</v>
      </c>
      <c r="T26" s="28" t="s">
        <v>545</v>
      </c>
      <c r="U26" s="28" t="s">
        <v>545</v>
      </c>
      <c r="V26" s="28" t="s">
        <v>517</v>
      </c>
      <c r="W26" s="28" t="s">
        <v>684</v>
      </c>
      <c r="Z26" s="28" t="s">
        <v>563</v>
      </c>
      <c r="AB26" s="28" t="s">
        <v>527</v>
      </c>
      <c r="AD26" s="118" t="s">
        <v>528</v>
      </c>
      <c r="AF26" s="126" t="s">
        <v>685</v>
      </c>
      <c r="AG26" s="28" t="s">
        <v>563</v>
      </c>
      <c r="AK26" s="60">
        <v>2</v>
      </c>
      <c r="AL26" s="28">
        <f>1/COUNTIF(Tableau6[LAT],B26)</f>
        <v>0.33333333333333331</v>
      </c>
      <c r="AM26" s="60" t="b">
        <f t="shared" si="5"/>
        <v>0</v>
      </c>
      <c r="AN26" s="60" t="b">
        <f t="shared" si="6"/>
        <v>0</v>
      </c>
      <c r="AO26" s="60" t="b">
        <f t="shared" si="7"/>
        <v>0</v>
      </c>
      <c r="AP26" s="60" t="b">
        <f t="shared" si="8"/>
        <v>0</v>
      </c>
      <c r="AQ26" s="60" t="b">
        <f t="shared" si="9"/>
        <v>0</v>
      </c>
      <c r="AR26" s="60" t="str">
        <f t="shared" si="1"/>
        <v>No</v>
      </c>
      <c r="AS26" s="60" t="str">
        <f t="shared" si="2"/>
        <v>No</v>
      </c>
    </row>
    <row r="27" spans="1:45" ht="15" hidden="1">
      <c r="A27" s="103">
        <v>45243</v>
      </c>
      <c r="B27" s="117" t="s">
        <v>678</v>
      </c>
      <c r="C27" s="28" t="s">
        <v>612</v>
      </c>
      <c r="D27" s="28" t="s">
        <v>686</v>
      </c>
      <c r="E27" s="28" t="s">
        <v>687</v>
      </c>
      <c r="F27" s="28" t="s">
        <v>688</v>
      </c>
      <c r="G27" s="28" t="s">
        <v>657</v>
      </c>
      <c r="H27" s="28" t="s">
        <v>689</v>
      </c>
      <c r="I27" s="28" t="s">
        <v>516</v>
      </c>
      <c r="J27" s="28" t="s">
        <v>517</v>
      </c>
      <c r="K27" s="28" t="s">
        <v>682</v>
      </c>
      <c r="L27" s="28" t="s">
        <v>683</v>
      </c>
      <c r="M27" s="28" t="s">
        <v>535</v>
      </c>
      <c r="N27" s="28" t="s">
        <v>557</v>
      </c>
      <c r="O27" s="28" t="s">
        <v>544</v>
      </c>
      <c r="P27" s="28" t="s">
        <v>559</v>
      </c>
      <c r="S27" s="28" t="s">
        <v>668</v>
      </c>
      <c r="T27" s="28" t="s">
        <v>545</v>
      </c>
      <c r="U27" s="28" t="s">
        <v>545</v>
      </c>
      <c r="V27" s="28" t="s">
        <v>517</v>
      </c>
      <c r="W27" s="28" t="s">
        <v>690</v>
      </c>
      <c r="X27" s="28" t="s">
        <v>670</v>
      </c>
      <c r="Z27" s="28" t="s">
        <v>563</v>
      </c>
      <c r="AB27" s="28" t="s">
        <v>527</v>
      </c>
      <c r="AD27" s="118" t="s">
        <v>528</v>
      </c>
      <c r="AF27" s="126" t="s">
        <v>679</v>
      </c>
      <c r="AG27" s="28" t="s">
        <v>563</v>
      </c>
      <c r="AK27" s="60">
        <v>2</v>
      </c>
      <c r="AL27" s="28">
        <f>1/COUNTIF(Tableau6[LAT],B27)</f>
        <v>0.33333333333333331</v>
      </c>
      <c r="AM27" s="60" t="b">
        <f t="shared" si="5"/>
        <v>0</v>
      </c>
      <c r="AN27" s="60" t="b">
        <f t="shared" si="6"/>
        <v>0</v>
      </c>
      <c r="AO27" s="60" t="b">
        <f t="shared" si="7"/>
        <v>0</v>
      </c>
      <c r="AP27" s="60" t="b">
        <f t="shared" si="8"/>
        <v>0</v>
      </c>
      <c r="AQ27" s="60" t="b">
        <f t="shared" si="9"/>
        <v>0</v>
      </c>
      <c r="AR27" s="60" t="str">
        <f t="shared" si="1"/>
        <v>No</v>
      </c>
      <c r="AS27" s="60" t="str">
        <f t="shared" si="2"/>
        <v>No</v>
      </c>
    </row>
    <row r="28" spans="1:45" ht="15" hidden="1">
      <c r="A28" s="103">
        <v>45243</v>
      </c>
      <c r="B28" s="117" t="s">
        <v>678</v>
      </c>
      <c r="C28" s="28" t="s">
        <v>691</v>
      </c>
      <c r="D28" s="28" t="s">
        <v>692</v>
      </c>
      <c r="F28" s="28" t="s">
        <v>680</v>
      </c>
      <c r="G28" s="28" t="s">
        <v>514</v>
      </c>
      <c r="H28" s="28" t="s">
        <v>681</v>
      </c>
      <c r="I28" s="28" t="s">
        <v>516</v>
      </c>
      <c r="J28" s="28" t="s">
        <v>517</v>
      </c>
      <c r="K28" s="28" t="s">
        <v>682</v>
      </c>
      <c r="L28" s="28" t="s">
        <v>683</v>
      </c>
      <c r="M28" s="28" t="s">
        <v>535</v>
      </c>
      <c r="N28" s="28" t="s">
        <v>557</v>
      </c>
      <c r="O28" s="28" t="s">
        <v>544</v>
      </c>
      <c r="P28" s="28" t="s">
        <v>559</v>
      </c>
      <c r="S28" s="28" t="s">
        <v>668</v>
      </c>
      <c r="T28" s="28" t="s">
        <v>545</v>
      </c>
      <c r="U28" s="28" t="s">
        <v>545</v>
      </c>
      <c r="V28" s="28" t="s">
        <v>517</v>
      </c>
      <c r="W28" s="28" t="s">
        <v>693</v>
      </c>
      <c r="Z28" s="28" t="s">
        <v>563</v>
      </c>
      <c r="AB28" s="28" t="s">
        <v>527</v>
      </c>
      <c r="AD28" s="118" t="s">
        <v>528</v>
      </c>
      <c r="AF28" s="126" t="s">
        <v>686</v>
      </c>
      <c r="AG28" s="28" t="s">
        <v>563</v>
      </c>
      <c r="AK28" s="60">
        <v>2</v>
      </c>
      <c r="AL28" s="28">
        <f>1/COUNTIF(Tableau6[LAT],B28)</f>
        <v>0.33333333333333331</v>
      </c>
      <c r="AM28" s="60" t="b">
        <f t="shared" si="5"/>
        <v>0</v>
      </c>
      <c r="AN28" s="60" t="b">
        <f t="shared" si="6"/>
        <v>0</v>
      </c>
      <c r="AO28" s="60" t="b">
        <f t="shared" si="7"/>
        <v>0</v>
      </c>
      <c r="AP28" s="60" t="b">
        <f t="shared" si="8"/>
        <v>0</v>
      </c>
      <c r="AQ28" s="60" t="b">
        <f t="shared" si="9"/>
        <v>0</v>
      </c>
      <c r="AR28" s="60" t="str">
        <f t="shared" si="1"/>
        <v>No</v>
      </c>
      <c r="AS28" s="60" t="str">
        <f t="shared" si="2"/>
        <v>No</v>
      </c>
    </row>
    <row r="29" spans="1:45" ht="15" hidden="1">
      <c r="A29" s="103">
        <v>45243</v>
      </c>
      <c r="B29" s="117" t="s">
        <v>694</v>
      </c>
      <c r="C29" s="28" t="s">
        <v>511</v>
      </c>
      <c r="D29" s="28" t="s">
        <v>695</v>
      </c>
      <c r="F29" s="28" t="s">
        <v>696</v>
      </c>
      <c r="G29" s="28" t="s">
        <v>514</v>
      </c>
      <c r="H29" s="28" t="s">
        <v>658</v>
      </c>
      <c r="I29" s="28" t="s">
        <v>516</v>
      </c>
      <c r="J29" s="28" t="s">
        <v>517</v>
      </c>
      <c r="K29" s="28" t="s">
        <v>518</v>
      </c>
      <c r="L29" s="28" t="s">
        <v>697</v>
      </c>
      <c r="M29" s="28" t="s">
        <v>535</v>
      </c>
      <c r="N29" s="28" t="s">
        <v>557</v>
      </c>
      <c r="O29" s="28" t="s">
        <v>522</v>
      </c>
      <c r="S29" s="28" t="s">
        <v>698</v>
      </c>
      <c r="T29" s="28" t="s">
        <v>699</v>
      </c>
      <c r="U29" s="28" t="s">
        <v>699</v>
      </c>
      <c r="V29" s="28" t="s">
        <v>517</v>
      </c>
      <c r="W29" s="28" t="s">
        <v>700</v>
      </c>
      <c r="Z29" s="28" t="s">
        <v>563</v>
      </c>
      <c r="AB29" s="28" t="s">
        <v>527</v>
      </c>
      <c r="AD29" s="118" t="s">
        <v>528</v>
      </c>
      <c r="AF29" s="125" t="s">
        <v>695</v>
      </c>
      <c r="AG29" s="28" t="s">
        <v>563</v>
      </c>
      <c r="AK29" s="60">
        <v>2</v>
      </c>
      <c r="AL29" s="28">
        <f>1/COUNTIF(Tableau6[LAT],B29)</f>
        <v>1</v>
      </c>
      <c r="AM29" s="60" t="b">
        <f t="shared" si="5"/>
        <v>0</v>
      </c>
      <c r="AN29" s="60" t="b">
        <f t="shared" si="6"/>
        <v>0</v>
      </c>
      <c r="AO29" s="60" t="b">
        <f t="shared" si="7"/>
        <v>0</v>
      </c>
      <c r="AP29" s="60" t="b">
        <f t="shared" si="8"/>
        <v>0</v>
      </c>
      <c r="AQ29" s="60" t="b">
        <f t="shared" si="9"/>
        <v>0</v>
      </c>
      <c r="AR29" s="60" t="str">
        <f t="shared" si="1"/>
        <v>No</v>
      </c>
      <c r="AS29" s="60" t="str">
        <f t="shared" si="2"/>
        <v>No</v>
      </c>
    </row>
    <row r="30" spans="1:45" ht="15" hidden="1">
      <c r="A30" s="103">
        <v>45243</v>
      </c>
      <c r="B30" s="117" t="s">
        <v>701</v>
      </c>
      <c r="C30" s="28" t="s">
        <v>511</v>
      </c>
      <c r="D30" s="28" t="s">
        <v>702</v>
      </c>
      <c r="F30" s="28" t="s">
        <v>703</v>
      </c>
      <c r="G30" s="28" t="s">
        <v>514</v>
      </c>
      <c r="H30" s="28" t="s">
        <v>704</v>
      </c>
      <c r="I30" s="28" t="s">
        <v>516</v>
      </c>
      <c r="J30" s="28" t="s">
        <v>517</v>
      </c>
      <c r="K30" s="28" t="s">
        <v>682</v>
      </c>
      <c r="L30" s="28" t="s">
        <v>683</v>
      </c>
      <c r="M30" s="28" t="s">
        <v>535</v>
      </c>
      <c r="N30" s="28" t="s">
        <v>557</v>
      </c>
      <c r="O30" s="28" t="s">
        <v>544</v>
      </c>
      <c r="S30" s="28" t="s">
        <v>705</v>
      </c>
      <c r="T30" s="28" t="s">
        <v>545</v>
      </c>
      <c r="U30" s="28" t="s">
        <v>545</v>
      </c>
      <c r="V30" s="28" t="s">
        <v>517</v>
      </c>
      <c r="W30" s="28" t="s">
        <v>706</v>
      </c>
      <c r="Z30" s="28" t="s">
        <v>563</v>
      </c>
      <c r="AB30" s="28" t="s">
        <v>527</v>
      </c>
      <c r="AD30" s="118" t="s">
        <v>528</v>
      </c>
      <c r="AF30" s="126" t="s">
        <v>702</v>
      </c>
      <c r="AG30" s="28" t="s">
        <v>563</v>
      </c>
      <c r="AK30" s="60">
        <v>2</v>
      </c>
      <c r="AL30" s="28">
        <f>1/COUNTIF(Tableau6[LAT],B30)</f>
        <v>0.33333333333333331</v>
      </c>
      <c r="AM30" s="60" t="b">
        <f t="shared" si="5"/>
        <v>0</v>
      </c>
      <c r="AN30" s="60" t="b">
        <f t="shared" si="6"/>
        <v>0</v>
      </c>
      <c r="AO30" s="60" t="b">
        <f t="shared" si="7"/>
        <v>0</v>
      </c>
      <c r="AP30" s="60" t="b">
        <f t="shared" si="8"/>
        <v>0</v>
      </c>
      <c r="AQ30" s="60" t="b">
        <f t="shared" si="9"/>
        <v>0</v>
      </c>
      <c r="AR30" s="60" t="str">
        <f t="shared" si="1"/>
        <v>No</v>
      </c>
      <c r="AS30" s="60" t="str">
        <f t="shared" si="2"/>
        <v>No</v>
      </c>
    </row>
    <row r="31" spans="1:45" ht="15" hidden="1">
      <c r="A31" s="103">
        <v>45243</v>
      </c>
      <c r="B31" s="117" t="s">
        <v>701</v>
      </c>
      <c r="C31" s="28" t="s">
        <v>548</v>
      </c>
      <c r="D31" s="28" t="s">
        <v>707</v>
      </c>
      <c r="F31" s="28" t="s">
        <v>703</v>
      </c>
      <c r="G31" s="28" t="s">
        <v>514</v>
      </c>
      <c r="H31" s="28" t="s">
        <v>704</v>
      </c>
      <c r="I31" s="28" t="s">
        <v>516</v>
      </c>
      <c r="J31" s="28" t="s">
        <v>517</v>
      </c>
      <c r="K31" s="28" t="s">
        <v>682</v>
      </c>
      <c r="L31" s="28" t="s">
        <v>683</v>
      </c>
      <c r="M31" s="28" t="s">
        <v>535</v>
      </c>
      <c r="N31" s="28" t="s">
        <v>557</v>
      </c>
      <c r="O31" s="28" t="s">
        <v>544</v>
      </c>
      <c r="S31" s="28" t="s">
        <v>705</v>
      </c>
      <c r="T31" s="28" t="s">
        <v>545</v>
      </c>
      <c r="U31" s="28" t="s">
        <v>545</v>
      </c>
      <c r="V31" s="28" t="s">
        <v>517</v>
      </c>
      <c r="W31" s="28" t="s">
        <v>708</v>
      </c>
      <c r="Z31" s="28" t="s">
        <v>563</v>
      </c>
      <c r="AB31" s="28" t="s">
        <v>527</v>
      </c>
      <c r="AD31" s="118" t="s">
        <v>528</v>
      </c>
      <c r="AF31" s="126" t="s">
        <v>707</v>
      </c>
      <c r="AG31" s="28" t="s">
        <v>563</v>
      </c>
      <c r="AK31" s="60">
        <v>2</v>
      </c>
      <c r="AL31" s="28">
        <f>1/COUNTIF(Tableau6[LAT],B31)</f>
        <v>0.33333333333333331</v>
      </c>
      <c r="AM31" s="60" t="b">
        <f t="shared" si="5"/>
        <v>0</v>
      </c>
      <c r="AN31" s="60" t="b">
        <f t="shared" si="6"/>
        <v>0</v>
      </c>
      <c r="AO31" s="60" t="b">
        <f t="shared" si="7"/>
        <v>0</v>
      </c>
      <c r="AP31" s="60" t="b">
        <f t="shared" si="8"/>
        <v>0</v>
      </c>
      <c r="AQ31" s="60" t="b">
        <f t="shared" si="9"/>
        <v>0</v>
      </c>
      <c r="AR31" s="60" t="str">
        <f t="shared" si="1"/>
        <v>No</v>
      </c>
      <c r="AS31" s="60" t="str">
        <f t="shared" si="2"/>
        <v>No</v>
      </c>
    </row>
    <row r="32" spans="1:45" ht="15" hidden="1">
      <c r="A32" s="103">
        <v>45243</v>
      </c>
      <c r="B32" s="117" t="s">
        <v>701</v>
      </c>
      <c r="C32" s="28" t="s">
        <v>612</v>
      </c>
      <c r="D32" s="28" t="s">
        <v>709</v>
      </c>
      <c r="F32" s="28" t="s">
        <v>710</v>
      </c>
      <c r="G32" s="28" t="s">
        <v>514</v>
      </c>
      <c r="H32" s="28" t="s">
        <v>711</v>
      </c>
      <c r="I32" s="28" t="s">
        <v>516</v>
      </c>
      <c r="J32" s="28" t="s">
        <v>517</v>
      </c>
      <c r="K32" s="28" t="s">
        <v>682</v>
      </c>
      <c r="L32" s="28" t="s">
        <v>683</v>
      </c>
      <c r="M32" s="28" t="s">
        <v>535</v>
      </c>
      <c r="N32" s="28" t="s">
        <v>557</v>
      </c>
      <c r="O32" s="28" t="s">
        <v>544</v>
      </c>
      <c r="S32" s="28" t="s">
        <v>705</v>
      </c>
      <c r="T32" s="28" t="s">
        <v>545</v>
      </c>
      <c r="U32" s="28" t="s">
        <v>545</v>
      </c>
      <c r="V32" s="28" t="s">
        <v>517</v>
      </c>
      <c r="W32" s="28" t="s">
        <v>712</v>
      </c>
      <c r="Z32" s="28" t="s">
        <v>563</v>
      </c>
      <c r="AB32" s="28" t="s">
        <v>527</v>
      </c>
      <c r="AD32" s="118" t="s">
        <v>528</v>
      </c>
      <c r="AF32" s="126" t="s">
        <v>709</v>
      </c>
      <c r="AG32" s="28" t="s">
        <v>563</v>
      </c>
      <c r="AK32" s="60">
        <v>2</v>
      </c>
      <c r="AL32" s="28">
        <f>1/COUNTIF(Tableau6[LAT],B32)</f>
        <v>0.33333333333333331</v>
      </c>
      <c r="AM32" s="60" t="b">
        <f t="shared" si="5"/>
        <v>0</v>
      </c>
      <c r="AN32" s="60" t="b">
        <f t="shared" si="6"/>
        <v>0</v>
      </c>
      <c r="AO32" s="60" t="b">
        <f t="shared" si="7"/>
        <v>0</v>
      </c>
      <c r="AP32" s="60" t="b">
        <f t="shared" si="8"/>
        <v>0</v>
      </c>
      <c r="AQ32" s="60" t="b">
        <f t="shared" si="9"/>
        <v>0</v>
      </c>
      <c r="AR32" s="60" t="str">
        <f t="shared" si="1"/>
        <v>No</v>
      </c>
      <c r="AS32" s="60" t="str">
        <f t="shared" si="2"/>
        <v>No</v>
      </c>
    </row>
    <row r="33" spans="1:45" ht="15" hidden="1">
      <c r="A33" s="103">
        <v>45243</v>
      </c>
      <c r="B33" s="117" t="s">
        <v>713</v>
      </c>
      <c r="C33" s="28" t="s">
        <v>511</v>
      </c>
      <c r="D33" s="28" t="s">
        <v>714</v>
      </c>
      <c r="F33" s="28" t="s">
        <v>715</v>
      </c>
      <c r="G33" s="28" t="s">
        <v>514</v>
      </c>
      <c r="H33" s="28" t="s">
        <v>716</v>
      </c>
      <c r="I33" s="28" t="s">
        <v>516</v>
      </c>
      <c r="J33" s="28" t="s">
        <v>517</v>
      </c>
      <c r="K33" s="28" t="s">
        <v>518</v>
      </c>
      <c r="L33" s="28" t="s">
        <v>717</v>
      </c>
      <c r="M33" s="28" t="s">
        <v>535</v>
      </c>
      <c r="N33" s="28" t="s">
        <v>521</v>
      </c>
      <c r="O33" s="28" t="s">
        <v>544</v>
      </c>
      <c r="S33" s="28" t="s">
        <v>718</v>
      </c>
      <c r="T33" s="28" t="s">
        <v>719</v>
      </c>
      <c r="U33" s="28" t="s">
        <v>719</v>
      </c>
      <c r="V33" s="28" t="s">
        <v>517</v>
      </c>
      <c r="W33" s="28" t="s">
        <v>720</v>
      </c>
      <c r="Z33" s="28" t="s">
        <v>526</v>
      </c>
      <c r="AD33" s="118" t="s">
        <v>528</v>
      </c>
      <c r="AF33" s="125" t="s">
        <v>714</v>
      </c>
      <c r="AG33" s="28" t="s">
        <v>529</v>
      </c>
      <c r="AK33" s="60">
        <v>2</v>
      </c>
      <c r="AL33" s="28">
        <f>1/COUNTIF(Tableau6[LAT],B33)</f>
        <v>1</v>
      </c>
      <c r="AM33" s="60" t="b">
        <f t="shared" si="5"/>
        <v>0</v>
      </c>
      <c r="AN33" s="60" t="b">
        <f t="shared" si="6"/>
        <v>0</v>
      </c>
      <c r="AO33" s="60" t="b">
        <f t="shared" si="7"/>
        <v>0</v>
      </c>
      <c r="AP33" s="60" t="b">
        <f t="shared" si="8"/>
        <v>0</v>
      </c>
      <c r="AQ33" s="60" t="b">
        <f t="shared" si="9"/>
        <v>0</v>
      </c>
      <c r="AR33" s="60" t="str">
        <f t="shared" si="1"/>
        <v>No</v>
      </c>
      <c r="AS33" s="60" t="str">
        <f t="shared" si="2"/>
        <v>No</v>
      </c>
    </row>
    <row r="34" spans="1:45" ht="15" hidden="1">
      <c r="A34" s="103">
        <v>45243</v>
      </c>
      <c r="B34" s="117" t="s">
        <v>721</v>
      </c>
      <c r="C34" s="28" t="s">
        <v>511</v>
      </c>
      <c r="D34" s="28" t="s">
        <v>722</v>
      </c>
      <c r="E34" s="28" t="s">
        <v>723</v>
      </c>
      <c r="F34" s="28" t="s">
        <v>696</v>
      </c>
      <c r="G34" s="28" t="s">
        <v>724</v>
      </c>
      <c r="H34" s="28" t="s">
        <v>725</v>
      </c>
      <c r="I34" s="28" t="s">
        <v>516</v>
      </c>
      <c r="J34" s="28" t="s">
        <v>517</v>
      </c>
      <c r="K34" s="28" t="s">
        <v>518</v>
      </c>
      <c r="L34" s="28" t="s">
        <v>726</v>
      </c>
      <c r="M34" s="28" t="s">
        <v>535</v>
      </c>
      <c r="N34" s="28" t="s">
        <v>521</v>
      </c>
      <c r="S34" s="28" t="s">
        <v>597</v>
      </c>
      <c r="T34" s="28" t="s">
        <v>589</v>
      </c>
      <c r="U34" s="28" t="s">
        <v>589</v>
      </c>
      <c r="V34" s="28" t="s">
        <v>517</v>
      </c>
      <c r="W34" s="28" t="s">
        <v>727</v>
      </c>
      <c r="X34" s="28" t="s">
        <v>670</v>
      </c>
      <c r="Z34" s="28" t="s">
        <v>526</v>
      </c>
      <c r="AD34" s="118" t="s">
        <v>528</v>
      </c>
      <c r="AF34" s="125" t="s">
        <v>722</v>
      </c>
      <c r="AG34" s="28" t="s">
        <v>529</v>
      </c>
      <c r="AK34" s="60">
        <v>2</v>
      </c>
      <c r="AL34" s="28">
        <f>1/COUNTIF(Tableau6[LAT],B34)</f>
        <v>1</v>
      </c>
      <c r="AM34" s="60" t="b">
        <f t="shared" si="5"/>
        <v>0</v>
      </c>
      <c r="AN34" s="60" t="b">
        <f t="shared" si="6"/>
        <v>0</v>
      </c>
      <c r="AO34" s="60" t="b">
        <f t="shared" si="7"/>
        <v>0</v>
      </c>
      <c r="AP34" s="60" t="b">
        <f t="shared" si="8"/>
        <v>0</v>
      </c>
      <c r="AQ34" s="60" t="b">
        <f t="shared" si="9"/>
        <v>0</v>
      </c>
      <c r="AR34" s="60" t="str">
        <f t="shared" si="1"/>
        <v>No</v>
      </c>
      <c r="AS34" s="60" t="str">
        <f t="shared" si="2"/>
        <v>No</v>
      </c>
    </row>
    <row r="35" spans="1:45" ht="15" hidden="1">
      <c r="A35" s="103">
        <v>45243</v>
      </c>
      <c r="B35" s="117" t="s">
        <v>728</v>
      </c>
      <c r="C35" s="28" t="s">
        <v>511</v>
      </c>
      <c r="D35" s="28" t="s">
        <v>729</v>
      </c>
      <c r="F35" s="28" t="s">
        <v>730</v>
      </c>
      <c r="G35" s="28" t="s">
        <v>514</v>
      </c>
      <c r="H35" s="28" t="s">
        <v>618</v>
      </c>
      <c r="I35" s="28" t="s">
        <v>516</v>
      </c>
      <c r="J35" s="28" t="s">
        <v>517</v>
      </c>
      <c r="K35" s="28" t="s">
        <v>518</v>
      </c>
      <c r="L35" s="28" t="s">
        <v>731</v>
      </c>
      <c r="M35" s="28" t="s">
        <v>535</v>
      </c>
      <c r="N35" s="28" t="s">
        <v>557</v>
      </c>
      <c r="O35" s="28" t="s">
        <v>544</v>
      </c>
      <c r="P35" s="28" t="s">
        <v>559</v>
      </c>
      <c r="S35" s="28" t="s">
        <v>732</v>
      </c>
      <c r="T35" s="28" t="s">
        <v>733</v>
      </c>
      <c r="U35" s="28" t="s">
        <v>733</v>
      </c>
      <c r="V35" s="28" t="s">
        <v>517</v>
      </c>
      <c r="W35" s="28" t="s">
        <v>734</v>
      </c>
      <c r="Z35" s="28" t="s">
        <v>563</v>
      </c>
      <c r="AB35" s="28" t="s">
        <v>527</v>
      </c>
      <c r="AD35" s="118" t="s">
        <v>528</v>
      </c>
      <c r="AF35" s="125" t="s">
        <v>729</v>
      </c>
      <c r="AG35" s="28" t="s">
        <v>563</v>
      </c>
      <c r="AK35" s="60">
        <v>2</v>
      </c>
      <c r="AL35" s="28">
        <f>1/COUNTIF(Tableau6[LAT],B35)</f>
        <v>1</v>
      </c>
      <c r="AM35" s="60" t="b">
        <f t="shared" si="5"/>
        <v>0</v>
      </c>
      <c r="AN35" s="60" t="b">
        <f t="shared" si="6"/>
        <v>0</v>
      </c>
      <c r="AO35" s="60" t="b">
        <f t="shared" si="7"/>
        <v>0</v>
      </c>
      <c r="AP35" s="60" t="b">
        <f t="shared" si="8"/>
        <v>0</v>
      </c>
      <c r="AQ35" s="60" t="b">
        <f t="shared" si="9"/>
        <v>0</v>
      </c>
      <c r="AR35" s="60" t="str">
        <f t="shared" si="1"/>
        <v>No</v>
      </c>
      <c r="AS35" s="60" t="str">
        <f t="shared" si="2"/>
        <v>No</v>
      </c>
    </row>
    <row r="36" spans="1:45" ht="15" hidden="1">
      <c r="A36" s="103">
        <v>45243</v>
      </c>
      <c r="B36" s="117" t="s">
        <v>735</v>
      </c>
      <c r="C36" s="28" t="s">
        <v>511</v>
      </c>
      <c r="D36" s="28" t="s">
        <v>736</v>
      </c>
      <c r="F36" s="28" t="s">
        <v>737</v>
      </c>
      <c r="G36" s="28" t="s">
        <v>514</v>
      </c>
      <c r="H36" s="28" t="s">
        <v>738</v>
      </c>
      <c r="I36" s="28" t="s">
        <v>516</v>
      </c>
      <c r="J36" s="28" t="s">
        <v>517</v>
      </c>
      <c r="K36" s="28" t="s">
        <v>518</v>
      </c>
      <c r="L36" s="28" t="s">
        <v>739</v>
      </c>
      <c r="M36" s="28" t="s">
        <v>535</v>
      </c>
      <c r="N36" s="28" t="s">
        <v>544</v>
      </c>
      <c r="O36" s="28" t="s">
        <v>559</v>
      </c>
      <c r="S36" s="28" t="s">
        <v>740</v>
      </c>
      <c r="T36" s="28" t="s">
        <v>741</v>
      </c>
      <c r="U36" s="28" t="s">
        <v>741</v>
      </c>
      <c r="V36" s="28" t="s">
        <v>517</v>
      </c>
      <c r="W36" s="28" t="s">
        <v>742</v>
      </c>
      <c r="Z36" s="28" t="s">
        <v>563</v>
      </c>
      <c r="AB36" s="28" t="s">
        <v>527</v>
      </c>
      <c r="AD36" s="118" t="s">
        <v>528</v>
      </c>
      <c r="AF36" s="126" t="s">
        <v>736</v>
      </c>
      <c r="AG36" s="28" t="s">
        <v>563</v>
      </c>
      <c r="AK36" s="60">
        <v>2</v>
      </c>
      <c r="AL36" s="28">
        <f>1/COUNTIF(Tableau6[LAT],B36)</f>
        <v>0.33333333333333331</v>
      </c>
      <c r="AM36" s="60" t="b">
        <f t="shared" si="5"/>
        <v>0</v>
      </c>
      <c r="AN36" s="60" t="b">
        <f t="shared" si="6"/>
        <v>0</v>
      </c>
      <c r="AO36" s="60" t="b">
        <f t="shared" si="7"/>
        <v>0</v>
      </c>
      <c r="AP36" s="60" t="b">
        <f t="shared" si="8"/>
        <v>0</v>
      </c>
      <c r="AQ36" s="60" t="b">
        <f t="shared" si="9"/>
        <v>0</v>
      </c>
      <c r="AR36" s="60" t="str">
        <f t="shared" si="1"/>
        <v>No</v>
      </c>
      <c r="AS36" s="60" t="str">
        <f t="shared" si="2"/>
        <v>No</v>
      </c>
    </row>
    <row r="37" spans="1:45" ht="15" hidden="1">
      <c r="A37" s="103">
        <v>45243</v>
      </c>
      <c r="B37" s="117" t="s">
        <v>735</v>
      </c>
      <c r="C37" s="28" t="s">
        <v>548</v>
      </c>
      <c r="D37" s="28" t="s">
        <v>743</v>
      </c>
      <c r="F37" s="28" t="s">
        <v>737</v>
      </c>
      <c r="G37" s="28" t="s">
        <v>514</v>
      </c>
      <c r="H37" s="28" t="s">
        <v>738</v>
      </c>
      <c r="I37" s="28" t="s">
        <v>516</v>
      </c>
      <c r="J37" s="28" t="s">
        <v>517</v>
      </c>
      <c r="K37" s="28" t="s">
        <v>518</v>
      </c>
      <c r="L37" s="28" t="s">
        <v>739</v>
      </c>
      <c r="M37" s="28" t="s">
        <v>535</v>
      </c>
      <c r="N37" s="28" t="s">
        <v>544</v>
      </c>
      <c r="O37" s="28" t="s">
        <v>559</v>
      </c>
      <c r="S37" s="28" t="s">
        <v>740</v>
      </c>
      <c r="T37" s="28" t="s">
        <v>741</v>
      </c>
      <c r="U37" s="28" t="s">
        <v>741</v>
      </c>
      <c r="V37" s="28" t="s">
        <v>517</v>
      </c>
      <c r="W37" s="28" t="s">
        <v>744</v>
      </c>
      <c r="Z37" s="28" t="s">
        <v>563</v>
      </c>
      <c r="AB37" s="28" t="s">
        <v>527</v>
      </c>
      <c r="AD37" s="118" t="s">
        <v>528</v>
      </c>
      <c r="AF37" s="126" t="s">
        <v>743</v>
      </c>
      <c r="AG37" s="28" t="s">
        <v>563</v>
      </c>
      <c r="AK37" s="60">
        <v>2</v>
      </c>
      <c r="AL37" s="28">
        <f>1/COUNTIF(Tableau6[LAT],B37)</f>
        <v>0.33333333333333331</v>
      </c>
      <c r="AM37" s="60" t="b">
        <f t="shared" si="5"/>
        <v>0</v>
      </c>
      <c r="AN37" s="60" t="b">
        <f t="shared" si="6"/>
        <v>0</v>
      </c>
      <c r="AO37" s="60" t="b">
        <f t="shared" si="7"/>
        <v>0</v>
      </c>
      <c r="AP37" s="60" t="b">
        <f t="shared" si="8"/>
        <v>0</v>
      </c>
      <c r="AQ37" s="60" t="b">
        <f t="shared" si="9"/>
        <v>0</v>
      </c>
      <c r="AR37" s="60" t="str">
        <f t="shared" si="1"/>
        <v>No</v>
      </c>
      <c r="AS37" s="60" t="str">
        <f t="shared" si="2"/>
        <v>No</v>
      </c>
    </row>
    <row r="38" spans="1:45" ht="15" hidden="1">
      <c r="A38" s="103">
        <v>45243</v>
      </c>
      <c r="B38" s="117" t="s">
        <v>735</v>
      </c>
      <c r="C38" s="28" t="s">
        <v>612</v>
      </c>
      <c r="D38" s="28" t="s">
        <v>745</v>
      </c>
      <c r="F38" s="28" t="s">
        <v>737</v>
      </c>
      <c r="G38" s="28" t="s">
        <v>514</v>
      </c>
      <c r="H38" s="28" t="s">
        <v>738</v>
      </c>
      <c r="I38" s="28" t="s">
        <v>516</v>
      </c>
      <c r="J38" s="28" t="s">
        <v>517</v>
      </c>
      <c r="K38" s="28" t="s">
        <v>518</v>
      </c>
      <c r="L38" s="28" t="s">
        <v>739</v>
      </c>
      <c r="M38" s="28" t="s">
        <v>535</v>
      </c>
      <c r="N38" s="28" t="s">
        <v>544</v>
      </c>
      <c r="O38" s="28" t="s">
        <v>559</v>
      </c>
      <c r="S38" s="28" t="s">
        <v>740</v>
      </c>
      <c r="T38" s="28" t="s">
        <v>741</v>
      </c>
      <c r="U38" s="28" t="s">
        <v>741</v>
      </c>
      <c r="V38" s="28" t="s">
        <v>517</v>
      </c>
      <c r="W38" s="28" t="s">
        <v>746</v>
      </c>
      <c r="Z38" s="28" t="s">
        <v>563</v>
      </c>
      <c r="AB38" s="28" t="s">
        <v>527</v>
      </c>
      <c r="AD38" s="118" t="s">
        <v>528</v>
      </c>
      <c r="AF38" s="126" t="s">
        <v>745</v>
      </c>
      <c r="AG38" s="28" t="s">
        <v>563</v>
      </c>
      <c r="AK38" s="60">
        <v>2</v>
      </c>
      <c r="AL38" s="28">
        <f>1/COUNTIF(Tableau6[LAT],B38)</f>
        <v>0.33333333333333331</v>
      </c>
      <c r="AM38" s="60" t="b">
        <f t="shared" si="5"/>
        <v>0</v>
      </c>
      <c r="AN38" s="60" t="b">
        <f t="shared" si="6"/>
        <v>0</v>
      </c>
      <c r="AO38" s="60" t="b">
        <f t="shared" si="7"/>
        <v>0</v>
      </c>
      <c r="AP38" s="60" t="b">
        <f t="shared" si="8"/>
        <v>0</v>
      </c>
      <c r="AQ38" s="60" t="b">
        <f t="shared" si="9"/>
        <v>0</v>
      </c>
      <c r="AR38" s="60" t="str">
        <f t="shared" si="1"/>
        <v>No</v>
      </c>
      <c r="AS38" s="60" t="str">
        <f t="shared" si="2"/>
        <v>No</v>
      </c>
    </row>
    <row r="39" spans="1:45" ht="15" hidden="1">
      <c r="A39" s="103">
        <v>45243</v>
      </c>
      <c r="B39" s="117" t="s">
        <v>747</v>
      </c>
      <c r="C39" s="28" t="s">
        <v>511</v>
      </c>
      <c r="D39" s="28" t="s">
        <v>748</v>
      </c>
      <c r="F39" s="28" t="s">
        <v>749</v>
      </c>
      <c r="G39" s="28" t="s">
        <v>514</v>
      </c>
      <c r="H39" s="28" t="s">
        <v>750</v>
      </c>
      <c r="I39" s="28" t="s">
        <v>516</v>
      </c>
      <c r="J39" s="28" t="s">
        <v>517</v>
      </c>
      <c r="K39" s="28" t="s">
        <v>518</v>
      </c>
      <c r="L39" s="28" t="s">
        <v>751</v>
      </c>
      <c r="M39" s="28" t="s">
        <v>535</v>
      </c>
      <c r="N39" s="28" t="s">
        <v>557</v>
      </c>
      <c r="O39" s="28" t="s">
        <v>522</v>
      </c>
      <c r="S39" s="28" t="s">
        <v>752</v>
      </c>
      <c r="T39" s="28" t="s">
        <v>753</v>
      </c>
      <c r="U39" s="28" t="s">
        <v>753</v>
      </c>
      <c r="V39" s="28" t="s">
        <v>517</v>
      </c>
      <c r="W39" s="28" t="s">
        <v>754</v>
      </c>
      <c r="Z39" s="28" t="s">
        <v>563</v>
      </c>
      <c r="AB39" s="28" t="s">
        <v>527</v>
      </c>
      <c r="AD39" s="118" t="s">
        <v>528</v>
      </c>
      <c r="AF39" s="126" t="s">
        <v>748</v>
      </c>
      <c r="AG39" s="28" t="s">
        <v>563</v>
      </c>
      <c r="AK39" s="60">
        <v>2</v>
      </c>
      <c r="AL39" s="28">
        <f>1/COUNTIF(Tableau6[LAT],B39)</f>
        <v>0.5</v>
      </c>
      <c r="AM39" s="60" t="b">
        <f t="shared" si="5"/>
        <v>0</v>
      </c>
      <c r="AN39" s="60" t="b">
        <f t="shared" si="6"/>
        <v>0</v>
      </c>
      <c r="AO39" s="60" t="b">
        <f t="shared" si="7"/>
        <v>0</v>
      </c>
      <c r="AP39" s="60" t="b">
        <f t="shared" si="8"/>
        <v>0</v>
      </c>
      <c r="AQ39" s="60" t="b">
        <f t="shared" si="9"/>
        <v>0</v>
      </c>
      <c r="AR39" s="60" t="str">
        <f t="shared" si="1"/>
        <v>No</v>
      </c>
      <c r="AS39" s="60" t="str">
        <f t="shared" si="2"/>
        <v>No</v>
      </c>
    </row>
    <row r="40" spans="1:45" ht="15" hidden="1">
      <c r="A40" s="103">
        <v>45243</v>
      </c>
      <c r="B40" s="117" t="s">
        <v>747</v>
      </c>
      <c r="C40" s="28" t="s">
        <v>548</v>
      </c>
      <c r="D40" s="28" t="s">
        <v>755</v>
      </c>
      <c r="F40" s="28" t="s">
        <v>749</v>
      </c>
      <c r="G40" s="28" t="s">
        <v>514</v>
      </c>
      <c r="H40" s="28" t="s">
        <v>756</v>
      </c>
      <c r="I40" s="28" t="s">
        <v>516</v>
      </c>
      <c r="J40" s="28" t="s">
        <v>517</v>
      </c>
      <c r="K40" s="28" t="s">
        <v>518</v>
      </c>
      <c r="L40" s="28" t="s">
        <v>751</v>
      </c>
      <c r="M40" s="28" t="s">
        <v>535</v>
      </c>
      <c r="N40" s="28" t="s">
        <v>557</v>
      </c>
      <c r="O40" s="28" t="s">
        <v>522</v>
      </c>
      <c r="S40" s="28" t="s">
        <v>752</v>
      </c>
      <c r="T40" s="28" t="s">
        <v>753</v>
      </c>
      <c r="U40" s="28" t="s">
        <v>753</v>
      </c>
      <c r="V40" s="28" t="s">
        <v>517</v>
      </c>
      <c r="W40" s="28" t="s">
        <v>757</v>
      </c>
      <c r="Z40" s="28" t="s">
        <v>563</v>
      </c>
      <c r="AB40" s="28" t="s">
        <v>527</v>
      </c>
      <c r="AD40" s="118" t="s">
        <v>528</v>
      </c>
      <c r="AF40" s="126" t="s">
        <v>755</v>
      </c>
      <c r="AG40" s="28" t="s">
        <v>563</v>
      </c>
      <c r="AK40" s="60">
        <v>2</v>
      </c>
      <c r="AL40" s="28">
        <f>1/COUNTIF(Tableau6[LAT],B40)</f>
        <v>0.5</v>
      </c>
      <c r="AM40" s="60" t="b">
        <f t="shared" si="5"/>
        <v>0</v>
      </c>
      <c r="AN40" s="60" t="b">
        <f t="shared" si="6"/>
        <v>0</v>
      </c>
      <c r="AO40" s="60" t="b">
        <f t="shared" si="7"/>
        <v>0</v>
      </c>
      <c r="AP40" s="60" t="b">
        <f t="shared" si="8"/>
        <v>0</v>
      </c>
      <c r="AQ40" s="60" t="b">
        <f t="shared" si="9"/>
        <v>0</v>
      </c>
      <c r="AR40" s="60" t="str">
        <f t="shared" si="1"/>
        <v>No</v>
      </c>
      <c r="AS40" s="60" t="str">
        <f t="shared" si="2"/>
        <v>No</v>
      </c>
    </row>
    <row r="41" spans="1:45" ht="15" hidden="1">
      <c r="A41" s="103">
        <v>45243</v>
      </c>
      <c r="B41" s="117" t="s">
        <v>758</v>
      </c>
      <c r="C41" s="28" t="s">
        <v>511</v>
      </c>
      <c r="D41" s="28" t="s">
        <v>759</v>
      </c>
      <c r="F41" s="28" t="s">
        <v>760</v>
      </c>
      <c r="G41" s="28" t="s">
        <v>761</v>
      </c>
      <c r="H41" s="28" t="s">
        <v>762</v>
      </c>
      <c r="I41" s="28" t="s">
        <v>517</v>
      </c>
      <c r="J41" s="28" t="s">
        <v>517</v>
      </c>
      <c r="K41" s="28" t="s">
        <v>518</v>
      </c>
      <c r="L41" s="28" t="s">
        <v>763</v>
      </c>
      <c r="M41" s="28" t="s">
        <v>535</v>
      </c>
      <c r="N41" s="28" t="s">
        <v>557</v>
      </c>
      <c r="O41" s="28" t="s">
        <v>522</v>
      </c>
      <c r="S41" s="28" t="s">
        <v>573</v>
      </c>
      <c r="T41" s="28" t="s">
        <v>545</v>
      </c>
      <c r="U41" s="28" t="s">
        <v>545</v>
      </c>
      <c r="V41" s="28" t="s">
        <v>517</v>
      </c>
      <c r="W41" s="28" t="s">
        <v>764</v>
      </c>
      <c r="Z41" s="28" t="s">
        <v>526</v>
      </c>
      <c r="AD41" s="118" t="s">
        <v>528</v>
      </c>
      <c r="AF41" s="125" t="s">
        <v>759</v>
      </c>
      <c r="AG41" s="28" t="s">
        <v>563</v>
      </c>
      <c r="AK41" s="60">
        <v>2</v>
      </c>
      <c r="AL41" s="28">
        <f>1/COUNTIF(Tableau6[LAT],B41)</f>
        <v>1</v>
      </c>
      <c r="AM41" s="60" t="b">
        <f t="shared" si="5"/>
        <v>0</v>
      </c>
      <c r="AN41" s="60" t="b">
        <f t="shared" si="6"/>
        <v>0</v>
      </c>
      <c r="AO41" s="60" t="b">
        <f t="shared" si="7"/>
        <v>0</v>
      </c>
      <c r="AP41" s="60" t="b">
        <f t="shared" si="8"/>
        <v>0</v>
      </c>
      <c r="AQ41" s="60" t="b">
        <f t="shared" si="9"/>
        <v>0</v>
      </c>
      <c r="AR41" s="60" t="str">
        <f t="shared" si="1"/>
        <v>No</v>
      </c>
      <c r="AS41" s="60" t="str">
        <f t="shared" si="2"/>
        <v>No</v>
      </c>
    </row>
    <row r="42" spans="1:45" ht="15" hidden="1">
      <c r="A42" s="103">
        <v>45243</v>
      </c>
      <c r="B42" s="117" t="s">
        <v>765</v>
      </c>
      <c r="C42" s="28" t="s">
        <v>511</v>
      </c>
      <c r="D42" s="28" t="s">
        <v>766</v>
      </c>
      <c r="F42" s="28" t="s">
        <v>767</v>
      </c>
      <c r="G42" s="28" t="s">
        <v>514</v>
      </c>
      <c r="H42" s="28" t="s">
        <v>768</v>
      </c>
      <c r="I42" s="28" t="s">
        <v>516</v>
      </c>
      <c r="J42" s="28" t="s">
        <v>517</v>
      </c>
      <c r="K42" s="28" t="s">
        <v>518</v>
      </c>
      <c r="L42" s="28" t="s">
        <v>675</v>
      </c>
      <c r="M42" s="28" t="s">
        <v>535</v>
      </c>
      <c r="N42" s="28" t="s">
        <v>522</v>
      </c>
      <c r="O42" s="28" t="s">
        <v>559</v>
      </c>
      <c r="S42" s="28" t="s">
        <v>590</v>
      </c>
      <c r="T42" s="28" t="s">
        <v>676</v>
      </c>
      <c r="U42" s="28" t="s">
        <v>676</v>
      </c>
      <c r="V42" s="28" t="s">
        <v>517</v>
      </c>
      <c r="W42" s="28" t="s">
        <v>769</v>
      </c>
      <c r="Z42" s="28" t="s">
        <v>526</v>
      </c>
      <c r="AD42" s="118" t="s">
        <v>528</v>
      </c>
      <c r="AF42" s="125" t="s">
        <v>766</v>
      </c>
      <c r="AG42" s="28" t="s">
        <v>529</v>
      </c>
      <c r="AK42" s="60">
        <v>2</v>
      </c>
      <c r="AL42" s="28">
        <f>1/COUNTIF(Tableau6[LAT],B42)</f>
        <v>1</v>
      </c>
      <c r="AM42" s="60" t="b">
        <f t="shared" si="5"/>
        <v>0</v>
      </c>
      <c r="AN42" s="60" t="b">
        <f t="shared" si="6"/>
        <v>0</v>
      </c>
      <c r="AO42" s="60" t="b">
        <f t="shared" si="7"/>
        <v>0</v>
      </c>
      <c r="AP42" s="60" t="b">
        <f t="shared" si="8"/>
        <v>0</v>
      </c>
      <c r="AQ42" s="60" t="b">
        <f t="shared" si="9"/>
        <v>0</v>
      </c>
      <c r="AR42" s="60" t="str">
        <f t="shared" si="1"/>
        <v>No</v>
      </c>
      <c r="AS42" s="60" t="str">
        <f t="shared" si="2"/>
        <v>No</v>
      </c>
    </row>
    <row r="43" spans="1:45" ht="15" hidden="1">
      <c r="A43" s="103">
        <v>45243</v>
      </c>
      <c r="B43" s="117" t="s">
        <v>770</v>
      </c>
      <c r="C43" s="28" t="s">
        <v>511</v>
      </c>
      <c r="D43" s="28" t="s">
        <v>771</v>
      </c>
      <c r="F43" s="28" t="s">
        <v>772</v>
      </c>
      <c r="G43" s="28" t="s">
        <v>514</v>
      </c>
      <c r="H43" s="28" t="s">
        <v>773</v>
      </c>
      <c r="I43" s="28" t="s">
        <v>516</v>
      </c>
      <c r="J43" s="28" t="s">
        <v>517</v>
      </c>
      <c r="K43" s="28" t="s">
        <v>518</v>
      </c>
      <c r="L43" s="28" t="s">
        <v>774</v>
      </c>
      <c r="M43" s="28" t="s">
        <v>605</v>
      </c>
      <c r="N43" s="28" t="s">
        <v>544</v>
      </c>
      <c r="S43" s="28" t="s">
        <v>775</v>
      </c>
      <c r="T43" s="28" t="s">
        <v>776</v>
      </c>
      <c r="U43" s="28" t="s">
        <v>776</v>
      </c>
      <c r="V43" s="28" t="s">
        <v>517</v>
      </c>
      <c r="W43" s="28" t="s">
        <v>777</v>
      </c>
      <c r="Z43" s="28" t="s">
        <v>563</v>
      </c>
      <c r="AB43" s="73" t="s">
        <v>609</v>
      </c>
      <c r="AD43" s="118" t="s">
        <v>528</v>
      </c>
      <c r="AF43" s="126" t="s">
        <v>771</v>
      </c>
      <c r="AG43" s="28" t="s">
        <v>563</v>
      </c>
      <c r="AK43" s="60">
        <v>2</v>
      </c>
      <c r="AL43" s="28">
        <f>1/COUNTIF(Tableau6[LAT],B43)</f>
        <v>0.33333333333333331</v>
      </c>
      <c r="AM43" s="60" t="b">
        <f t="shared" si="5"/>
        <v>0</v>
      </c>
      <c r="AN43" s="60" t="b">
        <f t="shared" si="6"/>
        <v>0</v>
      </c>
      <c r="AO43" s="60" t="b">
        <f t="shared" si="7"/>
        <v>0</v>
      </c>
      <c r="AP43" s="60" t="b">
        <f t="shared" si="8"/>
        <v>0</v>
      </c>
      <c r="AQ43" s="60" t="b">
        <f t="shared" si="9"/>
        <v>0</v>
      </c>
      <c r="AR43" s="60" t="str">
        <f t="shared" si="1"/>
        <v>No</v>
      </c>
      <c r="AS43" s="60" t="str">
        <f t="shared" si="2"/>
        <v>No</v>
      </c>
    </row>
    <row r="44" spans="1:45" ht="15" hidden="1">
      <c r="A44" s="103">
        <v>45243</v>
      </c>
      <c r="B44" s="117" t="s">
        <v>770</v>
      </c>
      <c r="C44" s="28" t="s">
        <v>548</v>
      </c>
      <c r="D44" s="28" t="s">
        <v>778</v>
      </c>
      <c r="F44" s="28" t="s">
        <v>772</v>
      </c>
      <c r="G44" s="28" t="s">
        <v>514</v>
      </c>
      <c r="H44" s="28" t="s">
        <v>773</v>
      </c>
      <c r="I44" s="28" t="s">
        <v>516</v>
      </c>
      <c r="J44" s="28" t="s">
        <v>517</v>
      </c>
      <c r="K44" s="28" t="s">
        <v>518</v>
      </c>
      <c r="L44" s="28" t="s">
        <v>774</v>
      </c>
      <c r="M44" s="28" t="s">
        <v>605</v>
      </c>
      <c r="N44" s="28" t="s">
        <v>544</v>
      </c>
      <c r="S44" s="28" t="s">
        <v>775</v>
      </c>
      <c r="T44" s="28" t="s">
        <v>776</v>
      </c>
      <c r="U44" s="28" t="s">
        <v>776</v>
      </c>
      <c r="V44" s="28" t="s">
        <v>517</v>
      </c>
      <c r="W44" s="28" t="s">
        <v>779</v>
      </c>
      <c r="Z44" s="28" t="s">
        <v>563</v>
      </c>
      <c r="AB44" s="73" t="s">
        <v>609</v>
      </c>
      <c r="AD44" s="118" t="s">
        <v>528</v>
      </c>
      <c r="AF44" s="126" t="s">
        <v>778</v>
      </c>
      <c r="AG44" s="28" t="s">
        <v>563</v>
      </c>
      <c r="AK44" s="60">
        <v>2</v>
      </c>
      <c r="AL44" s="28">
        <f>1/COUNTIF(Tableau6[LAT],B44)</f>
        <v>0.33333333333333331</v>
      </c>
      <c r="AM44" s="60" t="b">
        <f t="shared" si="5"/>
        <v>0</v>
      </c>
      <c r="AN44" s="60" t="b">
        <f t="shared" si="6"/>
        <v>0</v>
      </c>
      <c r="AO44" s="60" t="b">
        <f t="shared" si="7"/>
        <v>0</v>
      </c>
      <c r="AP44" s="60" t="b">
        <f t="shared" si="8"/>
        <v>0</v>
      </c>
      <c r="AQ44" s="60" t="b">
        <f t="shared" si="9"/>
        <v>0</v>
      </c>
      <c r="AR44" s="60" t="str">
        <f t="shared" si="1"/>
        <v>No</v>
      </c>
      <c r="AS44" s="60" t="str">
        <f t="shared" si="2"/>
        <v>No</v>
      </c>
    </row>
    <row r="45" spans="1:45" ht="15" hidden="1">
      <c r="A45" s="103">
        <v>45243</v>
      </c>
      <c r="B45" s="117" t="s">
        <v>770</v>
      </c>
      <c r="C45" s="28" t="s">
        <v>612</v>
      </c>
      <c r="D45" s="28" t="s">
        <v>780</v>
      </c>
      <c r="F45" s="28" t="s">
        <v>772</v>
      </c>
      <c r="G45" s="28" t="s">
        <v>514</v>
      </c>
      <c r="H45" s="28" t="s">
        <v>773</v>
      </c>
      <c r="I45" s="28" t="s">
        <v>516</v>
      </c>
      <c r="J45" s="28" t="s">
        <v>517</v>
      </c>
      <c r="K45" s="28" t="s">
        <v>518</v>
      </c>
      <c r="L45" s="28" t="s">
        <v>774</v>
      </c>
      <c r="M45" s="28" t="s">
        <v>605</v>
      </c>
      <c r="N45" s="28" t="s">
        <v>544</v>
      </c>
      <c r="S45" s="28" t="s">
        <v>775</v>
      </c>
      <c r="T45" s="28" t="s">
        <v>776</v>
      </c>
      <c r="U45" s="28" t="s">
        <v>776</v>
      </c>
      <c r="V45" s="28" t="s">
        <v>517</v>
      </c>
      <c r="W45" s="28" t="s">
        <v>781</v>
      </c>
      <c r="Z45" s="28" t="s">
        <v>563</v>
      </c>
      <c r="AB45" s="73" t="s">
        <v>609</v>
      </c>
      <c r="AD45" s="118" t="s">
        <v>528</v>
      </c>
      <c r="AF45" s="126" t="s">
        <v>780</v>
      </c>
      <c r="AG45" s="28" t="s">
        <v>563</v>
      </c>
      <c r="AK45" s="60">
        <v>2</v>
      </c>
      <c r="AL45" s="28">
        <f>1/COUNTIF(Tableau6[LAT],B45)</f>
        <v>0.33333333333333331</v>
      </c>
      <c r="AM45" s="60" t="b">
        <f t="shared" si="5"/>
        <v>0</v>
      </c>
      <c r="AN45" s="60" t="b">
        <f t="shared" si="6"/>
        <v>0</v>
      </c>
      <c r="AO45" s="60" t="b">
        <f t="shared" si="7"/>
        <v>0</v>
      </c>
      <c r="AP45" s="60" t="b">
        <f t="shared" si="8"/>
        <v>0</v>
      </c>
      <c r="AQ45" s="60" t="b">
        <f t="shared" si="9"/>
        <v>0</v>
      </c>
      <c r="AR45" s="60" t="str">
        <f t="shared" si="1"/>
        <v>No</v>
      </c>
      <c r="AS45" s="60" t="str">
        <f t="shared" si="2"/>
        <v>No</v>
      </c>
    </row>
    <row r="46" spans="1:45" ht="15" hidden="1">
      <c r="A46" s="103">
        <v>45243</v>
      </c>
      <c r="B46" s="117" t="s">
        <v>782</v>
      </c>
      <c r="C46" s="28" t="s">
        <v>511</v>
      </c>
      <c r="D46" s="28" t="s">
        <v>783</v>
      </c>
      <c r="F46" s="28" t="s">
        <v>784</v>
      </c>
      <c r="G46" s="28" t="s">
        <v>514</v>
      </c>
      <c r="H46" s="28" t="s">
        <v>785</v>
      </c>
      <c r="I46" s="28" t="s">
        <v>516</v>
      </c>
      <c r="J46" s="28" t="s">
        <v>517</v>
      </c>
      <c r="K46" s="28" t="s">
        <v>518</v>
      </c>
      <c r="L46" s="28" t="s">
        <v>675</v>
      </c>
      <c r="M46" s="28" t="s">
        <v>535</v>
      </c>
      <c r="N46" s="28" t="s">
        <v>521</v>
      </c>
      <c r="O46" s="28" t="s">
        <v>559</v>
      </c>
      <c r="S46" s="28" t="s">
        <v>786</v>
      </c>
      <c r="T46" s="28" t="s">
        <v>676</v>
      </c>
      <c r="U46" s="28" t="s">
        <v>676</v>
      </c>
      <c r="V46" s="28" t="s">
        <v>517</v>
      </c>
      <c r="W46" s="28" t="s">
        <v>787</v>
      </c>
      <c r="Z46" s="28" t="s">
        <v>526</v>
      </c>
      <c r="AD46" s="118" t="s">
        <v>528</v>
      </c>
      <c r="AF46" s="126" t="s">
        <v>783</v>
      </c>
      <c r="AG46" s="28" t="s">
        <v>529</v>
      </c>
      <c r="AK46" s="60">
        <v>2</v>
      </c>
      <c r="AL46" s="28">
        <f>1/COUNTIF(Tableau6[LAT],B46)</f>
        <v>0.5</v>
      </c>
      <c r="AM46" s="60" t="b">
        <f t="shared" si="5"/>
        <v>0</v>
      </c>
      <c r="AN46" s="60" t="b">
        <f t="shared" si="6"/>
        <v>0</v>
      </c>
      <c r="AO46" s="60" t="b">
        <f t="shared" si="7"/>
        <v>0</v>
      </c>
      <c r="AP46" s="60" t="b">
        <f t="shared" si="8"/>
        <v>0</v>
      </c>
      <c r="AQ46" s="60" t="b">
        <f t="shared" si="9"/>
        <v>0</v>
      </c>
      <c r="AR46" s="60" t="str">
        <f t="shared" si="1"/>
        <v>No</v>
      </c>
      <c r="AS46" s="60" t="str">
        <f t="shared" si="2"/>
        <v>No</v>
      </c>
    </row>
    <row r="47" spans="1:45" ht="15" hidden="1">
      <c r="A47" s="103">
        <v>45243</v>
      </c>
      <c r="B47" s="117" t="s">
        <v>782</v>
      </c>
      <c r="C47" s="28" t="s">
        <v>548</v>
      </c>
      <c r="D47" s="28" t="s">
        <v>788</v>
      </c>
      <c r="F47" s="28" t="s">
        <v>784</v>
      </c>
      <c r="G47" s="28" t="s">
        <v>514</v>
      </c>
      <c r="H47" s="28" t="s">
        <v>618</v>
      </c>
      <c r="I47" s="28" t="s">
        <v>516</v>
      </c>
      <c r="J47" s="28" t="s">
        <v>517</v>
      </c>
      <c r="K47" s="28" t="s">
        <v>518</v>
      </c>
      <c r="L47" s="28" t="s">
        <v>675</v>
      </c>
      <c r="M47" s="28" t="s">
        <v>535</v>
      </c>
      <c r="N47" s="28" t="s">
        <v>521</v>
      </c>
      <c r="O47" s="28" t="s">
        <v>559</v>
      </c>
      <c r="S47" s="28" t="s">
        <v>786</v>
      </c>
      <c r="T47" s="28" t="s">
        <v>676</v>
      </c>
      <c r="U47" s="28" t="s">
        <v>676</v>
      </c>
      <c r="V47" s="28" t="s">
        <v>517</v>
      </c>
      <c r="W47" s="28" t="s">
        <v>789</v>
      </c>
      <c r="Z47" s="28" t="s">
        <v>526</v>
      </c>
      <c r="AD47" s="118" t="s">
        <v>528</v>
      </c>
      <c r="AF47" s="126"/>
      <c r="AG47" s="28" t="s">
        <v>529</v>
      </c>
      <c r="AK47" s="60">
        <v>2</v>
      </c>
      <c r="AL47" s="28">
        <f>1/COUNTIF(Tableau6[LAT],B47)</f>
        <v>0.5</v>
      </c>
      <c r="AM47" s="60" t="b">
        <f t="shared" si="5"/>
        <v>0</v>
      </c>
      <c r="AN47" s="60" t="b">
        <f t="shared" si="6"/>
        <v>0</v>
      </c>
      <c r="AO47" s="60" t="b">
        <f t="shared" si="7"/>
        <v>0</v>
      </c>
      <c r="AP47" s="60" t="b">
        <f t="shared" si="8"/>
        <v>0</v>
      </c>
      <c r="AQ47" s="60" t="b">
        <f t="shared" si="9"/>
        <v>0</v>
      </c>
      <c r="AR47" s="60" t="str">
        <f t="shared" si="1"/>
        <v>No</v>
      </c>
      <c r="AS47" s="60" t="str">
        <f t="shared" si="2"/>
        <v>No</v>
      </c>
    </row>
    <row r="48" spans="1:45" ht="15" hidden="1">
      <c r="A48" s="103">
        <v>45243</v>
      </c>
      <c r="B48" s="117" t="s">
        <v>790</v>
      </c>
      <c r="C48" s="28" t="s">
        <v>511</v>
      </c>
      <c r="D48" s="28" t="s">
        <v>791</v>
      </c>
      <c r="E48" s="28" t="s">
        <v>792</v>
      </c>
      <c r="F48" s="28" t="s">
        <v>793</v>
      </c>
      <c r="G48" s="28" t="s">
        <v>514</v>
      </c>
      <c r="H48" s="28" t="s">
        <v>794</v>
      </c>
      <c r="I48" s="28" t="s">
        <v>516</v>
      </c>
      <c r="J48" s="28" t="s">
        <v>517</v>
      </c>
      <c r="K48" s="28" t="s">
        <v>518</v>
      </c>
      <c r="L48" s="28" t="s">
        <v>774</v>
      </c>
      <c r="M48" s="28" t="s">
        <v>605</v>
      </c>
      <c r="N48" s="28" t="s">
        <v>544</v>
      </c>
      <c r="S48" s="28" t="s">
        <v>795</v>
      </c>
      <c r="T48" s="28" t="s">
        <v>776</v>
      </c>
      <c r="U48" s="28" t="s">
        <v>776</v>
      </c>
      <c r="V48" s="28" t="s">
        <v>517</v>
      </c>
      <c r="W48" s="28" t="s">
        <v>796</v>
      </c>
      <c r="X48" s="28" t="s">
        <v>670</v>
      </c>
      <c r="Z48" s="28" t="s">
        <v>526</v>
      </c>
      <c r="AD48" s="118" t="s">
        <v>528</v>
      </c>
      <c r="AF48" s="125" t="s">
        <v>791</v>
      </c>
      <c r="AG48" s="28" t="s">
        <v>529</v>
      </c>
      <c r="AK48" s="60">
        <v>2</v>
      </c>
      <c r="AL48" s="28">
        <f>1/COUNTIF(Tableau6[LAT],B48)</f>
        <v>1</v>
      </c>
      <c r="AM48" s="60" t="b">
        <f t="shared" si="5"/>
        <v>0</v>
      </c>
      <c r="AN48" s="60" t="b">
        <f t="shared" si="6"/>
        <v>0</v>
      </c>
      <c r="AO48" s="60" t="b">
        <f t="shared" si="7"/>
        <v>0</v>
      </c>
      <c r="AP48" s="60" t="b">
        <f t="shared" si="8"/>
        <v>0</v>
      </c>
      <c r="AQ48" s="60" t="b">
        <f t="shared" si="9"/>
        <v>0</v>
      </c>
      <c r="AR48" s="60" t="str">
        <f t="shared" si="1"/>
        <v>No</v>
      </c>
      <c r="AS48" s="60" t="str">
        <f t="shared" si="2"/>
        <v>No</v>
      </c>
    </row>
    <row r="49" spans="1:45" ht="15" hidden="1">
      <c r="A49" s="103">
        <v>45243</v>
      </c>
      <c r="B49" s="117" t="s">
        <v>797</v>
      </c>
      <c r="C49" s="28" t="s">
        <v>511</v>
      </c>
      <c r="D49" s="28" t="s">
        <v>798</v>
      </c>
      <c r="F49" s="28" t="s">
        <v>799</v>
      </c>
      <c r="G49" s="28" t="s">
        <v>514</v>
      </c>
      <c r="H49" s="28" t="s">
        <v>800</v>
      </c>
      <c r="I49" s="28" t="s">
        <v>516</v>
      </c>
      <c r="J49" s="28" t="s">
        <v>517</v>
      </c>
      <c r="K49" s="28" t="s">
        <v>518</v>
      </c>
      <c r="L49" s="28" t="s">
        <v>801</v>
      </c>
      <c r="M49" s="28" t="s">
        <v>802</v>
      </c>
      <c r="N49" s="28" t="s">
        <v>521</v>
      </c>
      <c r="O49" s="28" t="s">
        <v>544</v>
      </c>
      <c r="P49" s="28" t="s">
        <v>522</v>
      </c>
      <c r="S49" s="28" t="s">
        <v>733</v>
      </c>
      <c r="T49" s="28" t="s">
        <v>803</v>
      </c>
      <c r="U49" s="28" t="s">
        <v>803</v>
      </c>
      <c r="V49" s="28" t="s">
        <v>517</v>
      </c>
      <c r="W49" s="28" t="s">
        <v>804</v>
      </c>
      <c r="Z49" s="28" t="s">
        <v>526</v>
      </c>
      <c r="AD49" s="118" t="s">
        <v>528</v>
      </c>
      <c r="AF49" s="125" t="s">
        <v>798</v>
      </c>
      <c r="AG49" s="28" t="s">
        <v>529</v>
      </c>
      <c r="AK49" s="60">
        <v>2</v>
      </c>
      <c r="AL49" s="28">
        <f>1/COUNTIF(Tableau6[LAT],B49)</f>
        <v>1</v>
      </c>
      <c r="AM49" s="60" t="b">
        <f t="shared" si="5"/>
        <v>0</v>
      </c>
      <c r="AN49" s="60" t="b">
        <f t="shared" si="6"/>
        <v>0</v>
      </c>
      <c r="AO49" s="60" t="b">
        <f t="shared" si="7"/>
        <v>0</v>
      </c>
      <c r="AP49" s="60" t="b">
        <f t="shared" si="8"/>
        <v>0</v>
      </c>
      <c r="AQ49" s="60" t="b">
        <f t="shared" si="9"/>
        <v>0</v>
      </c>
      <c r="AR49" s="60" t="str">
        <f t="shared" si="1"/>
        <v>No</v>
      </c>
      <c r="AS49" s="60" t="str">
        <f t="shared" si="2"/>
        <v>Yes</v>
      </c>
    </row>
    <row r="50" spans="1:45" ht="15" hidden="1">
      <c r="A50" s="103">
        <v>45243</v>
      </c>
      <c r="B50" s="117" t="s">
        <v>805</v>
      </c>
      <c r="C50" s="28" t="s">
        <v>511</v>
      </c>
      <c r="D50" s="28" t="s">
        <v>806</v>
      </c>
      <c r="F50" s="28" t="s">
        <v>807</v>
      </c>
      <c r="G50" s="28" t="s">
        <v>514</v>
      </c>
      <c r="H50" s="28" t="s">
        <v>808</v>
      </c>
      <c r="I50" s="28" t="s">
        <v>516</v>
      </c>
      <c r="J50" s="28" t="s">
        <v>517</v>
      </c>
      <c r="K50" s="28" t="s">
        <v>518</v>
      </c>
      <c r="L50" s="28" t="s">
        <v>809</v>
      </c>
      <c r="M50" s="28" t="s">
        <v>520</v>
      </c>
      <c r="N50" s="28" t="s">
        <v>810</v>
      </c>
      <c r="O50" s="28" t="s">
        <v>557</v>
      </c>
      <c r="P50" s="28" t="s">
        <v>544</v>
      </c>
      <c r="S50" s="28" t="s">
        <v>733</v>
      </c>
      <c r="T50" s="28" t="s">
        <v>811</v>
      </c>
      <c r="U50" s="28" t="s">
        <v>811</v>
      </c>
      <c r="V50" s="28" t="s">
        <v>517</v>
      </c>
      <c r="W50" s="28" t="s">
        <v>812</v>
      </c>
      <c r="Z50" s="28" t="s">
        <v>526</v>
      </c>
      <c r="AD50" s="118" t="s">
        <v>528</v>
      </c>
      <c r="AF50" s="126" t="s">
        <v>806</v>
      </c>
      <c r="AG50" s="28" t="s">
        <v>529</v>
      </c>
      <c r="AK50" s="60">
        <v>2</v>
      </c>
      <c r="AL50" s="28">
        <f>1/COUNTIF(Tableau6[LAT],B50)</f>
        <v>0.5</v>
      </c>
      <c r="AM50" s="60" t="b">
        <f t="shared" si="5"/>
        <v>0</v>
      </c>
      <c r="AN50" s="60" t="b">
        <f t="shared" si="6"/>
        <v>0</v>
      </c>
      <c r="AO50" s="60" t="b">
        <f t="shared" si="7"/>
        <v>0</v>
      </c>
      <c r="AP50" s="60" t="b">
        <f t="shared" si="8"/>
        <v>0</v>
      </c>
      <c r="AQ50" s="60" t="b">
        <f t="shared" si="9"/>
        <v>0</v>
      </c>
      <c r="AR50" s="60" t="str">
        <f t="shared" si="1"/>
        <v>No</v>
      </c>
      <c r="AS50" s="60" t="str">
        <f t="shared" si="2"/>
        <v>Yes</v>
      </c>
    </row>
    <row r="51" spans="1:45" ht="15" hidden="1">
      <c r="A51" s="103">
        <v>45243</v>
      </c>
      <c r="B51" s="117" t="s">
        <v>805</v>
      </c>
      <c r="C51" s="28" t="s">
        <v>548</v>
      </c>
      <c r="D51" s="28" t="s">
        <v>813</v>
      </c>
      <c r="F51" s="28" t="s">
        <v>807</v>
      </c>
      <c r="G51" s="28" t="s">
        <v>514</v>
      </c>
      <c r="H51" s="28" t="s">
        <v>814</v>
      </c>
      <c r="I51" s="28" t="s">
        <v>516</v>
      </c>
      <c r="J51" s="28" t="s">
        <v>517</v>
      </c>
      <c r="K51" s="28" t="s">
        <v>518</v>
      </c>
      <c r="L51" s="28" t="s">
        <v>809</v>
      </c>
      <c r="M51" s="28" t="s">
        <v>520</v>
      </c>
      <c r="N51" s="28" t="s">
        <v>810</v>
      </c>
      <c r="O51" s="28" t="s">
        <v>557</v>
      </c>
      <c r="P51" s="28" t="s">
        <v>544</v>
      </c>
      <c r="S51" s="28" t="s">
        <v>733</v>
      </c>
      <c r="T51" s="28" t="s">
        <v>811</v>
      </c>
      <c r="U51" s="28" t="s">
        <v>811</v>
      </c>
      <c r="V51" s="28" t="s">
        <v>517</v>
      </c>
      <c r="W51" s="28" t="s">
        <v>815</v>
      </c>
      <c r="Z51" s="28" t="s">
        <v>526</v>
      </c>
      <c r="AD51" s="118" t="s">
        <v>528</v>
      </c>
      <c r="AF51" s="126" t="s">
        <v>813</v>
      </c>
      <c r="AG51" s="28" t="s">
        <v>563</v>
      </c>
      <c r="AK51" s="60">
        <v>2</v>
      </c>
      <c r="AL51" s="28">
        <f>1/COUNTIF(Tableau6[LAT],B51)</f>
        <v>0.5</v>
      </c>
      <c r="AM51" s="60" t="b">
        <f t="shared" si="5"/>
        <v>0</v>
      </c>
      <c r="AN51" s="60" t="b">
        <f t="shared" si="6"/>
        <v>0</v>
      </c>
      <c r="AO51" s="60" t="b">
        <f t="shared" si="7"/>
        <v>0</v>
      </c>
      <c r="AP51" s="60" t="b">
        <f t="shared" si="8"/>
        <v>0</v>
      </c>
      <c r="AQ51" s="60" t="b">
        <f t="shared" si="9"/>
        <v>0</v>
      </c>
      <c r="AR51" s="60" t="str">
        <f t="shared" si="1"/>
        <v>No</v>
      </c>
      <c r="AS51" s="60" t="str">
        <f t="shared" si="2"/>
        <v>Yes</v>
      </c>
    </row>
    <row r="52" spans="1:45" ht="15" hidden="1">
      <c r="A52" s="103">
        <v>45243</v>
      </c>
      <c r="B52" s="117" t="s">
        <v>816</v>
      </c>
      <c r="C52" s="28" t="s">
        <v>511</v>
      </c>
      <c r="D52" s="28" t="s">
        <v>817</v>
      </c>
      <c r="F52" s="28" t="s">
        <v>818</v>
      </c>
      <c r="G52" s="28" t="s">
        <v>514</v>
      </c>
      <c r="H52" s="28" t="s">
        <v>819</v>
      </c>
      <c r="I52" s="28" t="s">
        <v>516</v>
      </c>
      <c r="J52" s="28" t="s">
        <v>517</v>
      </c>
      <c r="K52" s="28" t="s">
        <v>518</v>
      </c>
      <c r="L52" s="28" t="s">
        <v>667</v>
      </c>
      <c r="M52" s="28" t="s">
        <v>520</v>
      </c>
      <c r="N52" s="28" t="s">
        <v>544</v>
      </c>
      <c r="S52" s="28" t="s">
        <v>820</v>
      </c>
      <c r="T52" s="28" t="s">
        <v>597</v>
      </c>
      <c r="U52" s="28" t="s">
        <v>597</v>
      </c>
      <c r="V52" s="28" t="s">
        <v>517</v>
      </c>
      <c r="W52" s="28" t="s">
        <v>821</v>
      </c>
      <c r="Z52" s="28" t="s">
        <v>563</v>
      </c>
      <c r="AB52" s="28" t="s">
        <v>527</v>
      </c>
      <c r="AD52" s="118" t="s">
        <v>528</v>
      </c>
      <c r="AF52" s="126" t="s">
        <v>817</v>
      </c>
      <c r="AG52" s="28" t="s">
        <v>563</v>
      </c>
      <c r="AK52" s="60">
        <v>2</v>
      </c>
      <c r="AL52" s="28">
        <f>1/COUNTIF(Tableau6[LAT],B52)</f>
        <v>0.25</v>
      </c>
      <c r="AM52" s="60" t="b">
        <f t="shared" si="5"/>
        <v>0</v>
      </c>
      <c r="AN52" s="60" t="b">
        <f t="shared" si="6"/>
        <v>0</v>
      </c>
      <c r="AO52" s="60" t="b">
        <f t="shared" si="7"/>
        <v>0</v>
      </c>
      <c r="AP52" s="60" t="b">
        <f t="shared" si="8"/>
        <v>0</v>
      </c>
      <c r="AQ52" s="60" t="b">
        <f t="shared" si="9"/>
        <v>0</v>
      </c>
      <c r="AR52" s="60" t="str">
        <f t="shared" si="1"/>
        <v>No</v>
      </c>
      <c r="AS52" s="60" t="str">
        <f t="shared" si="2"/>
        <v>No</v>
      </c>
    </row>
    <row r="53" spans="1:45" ht="15" hidden="1">
      <c r="A53" s="103">
        <v>45243</v>
      </c>
      <c r="B53" s="117" t="s">
        <v>816</v>
      </c>
      <c r="C53" s="28" t="s">
        <v>548</v>
      </c>
      <c r="D53" s="28" t="s">
        <v>822</v>
      </c>
      <c r="F53" s="28" t="s">
        <v>818</v>
      </c>
      <c r="G53" s="28" t="s">
        <v>514</v>
      </c>
      <c r="H53" s="28" t="s">
        <v>819</v>
      </c>
      <c r="I53" s="28" t="s">
        <v>516</v>
      </c>
      <c r="J53" s="28" t="s">
        <v>517</v>
      </c>
      <c r="K53" s="28" t="s">
        <v>518</v>
      </c>
      <c r="L53" s="28" t="s">
        <v>667</v>
      </c>
      <c r="M53" s="28" t="s">
        <v>520</v>
      </c>
      <c r="N53" s="28" t="s">
        <v>544</v>
      </c>
      <c r="S53" s="28" t="s">
        <v>820</v>
      </c>
      <c r="T53" s="28" t="s">
        <v>597</v>
      </c>
      <c r="U53" s="28" t="s">
        <v>597</v>
      </c>
      <c r="V53" s="28" t="s">
        <v>517</v>
      </c>
      <c r="W53" s="28" t="s">
        <v>821</v>
      </c>
      <c r="Z53" s="28" t="s">
        <v>563</v>
      </c>
      <c r="AB53" s="28" t="s">
        <v>527</v>
      </c>
      <c r="AD53" s="118" t="s">
        <v>528</v>
      </c>
      <c r="AF53" s="126" t="s">
        <v>822</v>
      </c>
      <c r="AG53" s="28" t="s">
        <v>563</v>
      </c>
      <c r="AK53" s="60">
        <v>2</v>
      </c>
      <c r="AL53" s="28">
        <f>1/COUNTIF(Tableau6[LAT],B53)</f>
        <v>0.25</v>
      </c>
      <c r="AM53" s="60" t="b">
        <f t="shared" si="5"/>
        <v>0</v>
      </c>
      <c r="AN53" s="60" t="b">
        <f t="shared" si="6"/>
        <v>0</v>
      </c>
      <c r="AO53" s="60" t="b">
        <f t="shared" si="7"/>
        <v>0</v>
      </c>
      <c r="AP53" s="60" t="b">
        <f t="shared" si="8"/>
        <v>0</v>
      </c>
      <c r="AQ53" s="60" t="b">
        <f t="shared" si="9"/>
        <v>0</v>
      </c>
      <c r="AR53" s="60" t="str">
        <f t="shared" si="1"/>
        <v>No</v>
      </c>
      <c r="AS53" s="60" t="str">
        <f t="shared" si="2"/>
        <v>No</v>
      </c>
    </row>
    <row r="54" spans="1:45" ht="15" hidden="1">
      <c r="A54" s="103">
        <v>45243</v>
      </c>
      <c r="B54" s="117" t="s">
        <v>816</v>
      </c>
      <c r="C54" s="28" t="s">
        <v>612</v>
      </c>
      <c r="D54" s="28" t="s">
        <v>823</v>
      </c>
      <c r="F54" s="28" t="s">
        <v>818</v>
      </c>
      <c r="G54" s="28" t="s">
        <v>514</v>
      </c>
      <c r="H54" s="28" t="s">
        <v>819</v>
      </c>
      <c r="I54" s="28" t="s">
        <v>516</v>
      </c>
      <c r="J54" s="28" t="s">
        <v>517</v>
      </c>
      <c r="K54" s="28" t="s">
        <v>518</v>
      </c>
      <c r="L54" s="28" t="s">
        <v>667</v>
      </c>
      <c r="M54" s="28" t="s">
        <v>520</v>
      </c>
      <c r="N54" s="28" t="s">
        <v>544</v>
      </c>
      <c r="S54" s="28" t="s">
        <v>820</v>
      </c>
      <c r="T54" s="28" t="s">
        <v>597</v>
      </c>
      <c r="U54" s="28" t="s">
        <v>597</v>
      </c>
      <c r="V54" s="28" t="s">
        <v>517</v>
      </c>
      <c r="W54" s="28" t="s">
        <v>821</v>
      </c>
      <c r="Z54" s="28" t="s">
        <v>563</v>
      </c>
      <c r="AB54" s="28" t="s">
        <v>527</v>
      </c>
      <c r="AD54" s="118" t="s">
        <v>528</v>
      </c>
      <c r="AF54" s="126" t="s">
        <v>823</v>
      </c>
      <c r="AG54" s="28" t="s">
        <v>563</v>
      </c>
      <c r="AK54" s="60">
        <v>2</v>
      </c>
      <c r="AL54" s="28">
        <f>1/COUNTIF(Tableau6[LAT],B54)</f>
        <v>0.25</v>
      </c>
      <c r="AM54" s="60" t="b">
        <f t="shared" si="5"/>
        <v>0</v>
      </c>
      <c r="AN54" s="60" t="b">
        <f t="shared" si="6"/>
        <v>0</v>
      </c>
      <c r="AO54" s="60" t="b">
        <f t="shared" si="7"/>
        <v>0</v>
      </c>
      <c r="AP54" s="60" t="b">
        <f t="shared" si="8"/>
        <v>0</v>
      </c>
      <c r="AQ54" s="60" t="b">
        <f t="shared" si="9"/>
        <v>0</v>
      </c>
      <c r="AR54" s="60" t="str">
        <f t="shared" si="1"/>
        <v>No</v>
      </c>
      <c r="AS54" s="60" t="str">
        <f t="shared" si="2"/>
        <v>No</v>
      </c>
    </row>
    <row r="55" spans="1:45" ht="15" hidden="1">
      <c r="A55" s="103">
        <v>45243</v>
      </c>
      <c r="B55" s="117" t="s">
        <v>816</v>
      </c>
      <c r="C55" s="28" t="s">
        <v>691</v>
      </c>
      <c r="D55" s="28" t="s">
        <v>824</v>
      </c>
      <c r="F55" s="28" t="s">
        <v>818</v>
      </c>
      <c r="G55" s="28" t="s">
        <v>514</v>
      </c>
      <c r="H55" s="28" t="s">
        <v>819</v>
      </c>
      <c r="I55" s="28" t="s">
        <v>516</v>
      </c>
      <c r="J55" s="28" t="s">
        <v>517</v>
      </c>
      <c r="K55" s="28" t="s">
        <v>518</v>
      </c>
      <c r="L55" s="28" t="s">
        <v>667</v>
      </c>
      <c r="M55" s="28" t="s">
        <v>520</v>
      </c>
      <c r="N55" s="28" t="s">
        <v>544</v>
      </c>
      <c r="S55" s="28" t="s">
        <v>820</v>
      </c>
      <c r="T55" s="28" t="s">
        <v>597</v>
      </c>
      <c r="U55" s="28" t="s">
        <v>597</v>
      </c>
      <c r="V55" s="28" t="s">
        <v>517</v>
      </c>
      <c r="W55" s="28" t="s">
        <v>821</v>
      </c>
      <c r="Z55" s="28" t="s">
        <v>563</v>
      </c>
      <c r="AB55" s="28" t="s">
        <v>527</v>
      </c>
      <c r="AD55" s="118"/>
      <c r="AF55" s="126" t="s">
        <v>824</v>
      </c>
      <c r="AK55" s="60">
        <v>2</v>
      </c>
      <c r="AL55" s="28">
        <f>1/COUNTIF(Tableau6[LAT],B55)</f>
        <v>0.25</v>
      </c>
      <c r="AM55" s="60" t="b">
        <f t="shared" si="5"/>
        <v>0</v>
      </c>
      <c r="AN55" s="60" t="b">
        <f t="shared" si="6"/>
        <v>0</v>
      </c>
      <c r="AO55" s="60" t="b">
        <f t="shared" si="7"/>
        <v>0</v>
      </c>
      <c r="AP55" s="60" t="b">
        <f t="shared" si="8"/>
        <v>0</v>
      </c>
      <c r="AQ55" s="60" t="b">
        <f t="shared" si="9"/>
        <v>0</v>
      </c>
      <c r="AR55" s="60" t="str">
        <f t="shared" si="1"/>
        <v>No</v>
      </c>
      <c r="AS55" s="60" t="str">
        <f t="shared" si="2"/>
        <v>No</v>
      </c>
    </row>
    <row r="56" spans="1:45" ht="15" hidden="1">
      <c r="A56" s="103">
        <v>45243</v>
      </c>
      <c r="B56" s="117" t="s">
        <v>825</v>
      </c>
      <c r="C56" s="28" t="s">
        <v>511</v>
      </c>
      <c r="D56" s="28" t="s">
        <v>826</v>
      </c>
      <c r="F56" s="28" t="s">
        <v>827</v>
      </c>
      <c r="G56" s="28" t="s">
        <v>514</v>
      </c>
      <c r="H56" s="28" t="s">
        <v>828</v>
      </c>
      <c r="I56" s="28" t="s">
        <v>516</v>
      </c>
      <c r="J56" s="28" t="s">
        <v>517</v>
      </c>
      <c r="K56" s="28" t="s">
        <v>518</v>
      </c>
      <c r="L56" s="28" t="s">
        <v>726</v>
      </c>
      <c r="M56" s="28" t="s">
        <v>535</v>
      </c>
      <c r="N56" s="28" t="s">
        <v>544</v>
      </c>
      <c r="O56" s="28" t="s">
        <v>559</v>
      </c>
      <c r="S56" s="28" t="s">
        <v>733</v>
      </c>
      <c r="T56" s="28" t="s">
        <v>589</v>
      </c>
      <c r="U56" s="28" t="s">
        <v>589</v>
      </c>
      <c r="V56" s="28" t="s">
        <v>517</v>
      </c>
      <c r="W56" s="28" t="s">
        <v>829</v>
      </c>
      <c r="Z56" s="28" t="s">
        <v>563</v>
      </c>
      <c r="AB56" s="28" t="s">
        <v>830</v>
      </c>
      <c r="AD56" s="118" t="s">
        <v>528</v>
      </c>
      <c r="AF56" s="125" t="s">
        <v>826</v>
      </c>
      <c r="AG56" s="28" t="s">
        <v>563</v>
      </c>
      <c r="AK56" s="60">
        <v>2</v>
      </c>
      <c r="AL56" s="28">
        <f>1/COUNTIF(Tableau6[LAT],B56)</f>
        <v>1</v>
      </c>
      <c r="AM56" s="60" t="b">
        <f t="shared" si="5"/>
        <v>0</v>
      </c>
      <c r="AN56" s="60" t="b">
        <f t="shared" si="6"/>
        <v>0</v>
      </c>
      <c r="AO56" s="60" t="b">
        <f t="shared" si="7"/>
        <v>0</v>
      </c>
      <c r="AP56" s="60" t="b">
        <f t="shared" si="8"/>
        <v>0</v>
      </c>
      <c r="AQ56" s="60" t="b">
        <f t="shared" si="9"/>
        <v>0</v>
      </c>
      <c r="AR56" s="60" t="str">
        <f t="shared" si="1"/>
        <v>No</v>
      </c>
      <c r="AS56" s="60" t="str">
        <f t="shared" si="2"/>
        <v>Yes</v>
      </c>
    </row>
    <row r="57" spans="1:45" ht="15" hidden="1">
      <c r="A57" s="103">
        <v>45243</v>
      </c>
      <c r="B57" s="117" t="s">
        <v>831</v>
      </c>
      <c r="C57" s="28" t="s">
        <v>511</v>
      </c>
      <c r="D57" s="28" t="s">
        <v>832</v>
      </c>
      <c r="F57" s="28" t="s">
        <v>833</v>
      </c>
      <c r="G57" s="28" t="s">
        <v>514</v>
      </c>
      <c r="H57" s="28" t="s">
        <v>834</v>
      </c>
      <c r="I57" s="28" t="s">
        <v>516</v>
      </c>
      <c r="J57" s="28" t="s">
        <v>517</v>
      </c>
      <c r="K57" s="28" t="s">
        <v>682</v>
      </c>
      <c r="L57" s="28" t="s">
        <v>683</v>
      </c>
      <c r="M57" s="28" t="s">
        <v>535</v>
      </c>
      <c r="N57" s="28" t="s">
        <v>544</v>
      </c>
      <c r="O57" s="28" t="s">
        <v>522</v>
      </c>
      <c r="S57" s="28" t="s">
        <v>740</v>
      </c>
      <c r="T57" s="28" t="s">
        <v>545</v>
      </c>
      <c r="U57" s="28" t="s">
        <v>545</v>
      </c>
      <c r="V57" s="28" t="s">
        <v>517</v>
      </c>
      <c r="W57" s="28" t="s">
        <v>835</v>
      </c>
      <c r="Z57" s="28" t="s">
        <v>563</v>
      </c>
      <c r="AB57" s="28" t="s">
        <v>527</v>
      </c>
      <c r="AD57" s="118" t="s">
        <v>528</v>
      </c>
      <c r="AF57" s="125" t="s">
        <v>832</v>
      </c>
      <c r="AG57" s="28" t="s">
        <v>563</v>
      </c>
      <c r="AK57" s="60">
        <v>2</v>
      </c>
      <c r="AL57" s="28">
        <f>1/COUNTIF(Tableau6[LAT],B57)</f>
        <v>1</v>
      </c>
      <c r="AM57" s="60" t="b">
        <f t="shared" si="5"/>
        <v>0</v>
      </c>
      <c r="AN57" s="60" t="b">
        <f t="shared" si="6"/>
        <v>0</v>
      </c>
      <c r="AO57" s="60" t="b">
        <f t="shared" si="7"/>
        <v>0</v>
      </c>
      <c r="AP57" s="60" t="b">
        <f t="shared" si="8"/>
        <v>0</v>
      </c>
      <c r="AQ57" s="60" t="b">
        <f t="shared" si="9"/>
        <v>0</v>
      </c>
      <c r="AR57" s="60" t="str">
        <f t="shared" si="1"/>
        <v>No</v>
      </c>
      <c r="AS57" s="60" t="str">
        <f t="shared" si="2"/>
        <v>No</v>
      </c>
    </row>
    <row r="58" spans="1:45" ht="15" hidden="1">
      <c r="A58" s="103">
        <v>45243</v>
      </c>
      <c r="B58" s="117" t="s">
        <v>836</v>
      </c>
      <c r="C58" s="28" t="s">
        <v>511</v>
      </c>
      <c r="D58" s="28" t="s">
        <v>837</v>
      </c>
      <c r="F58" s="28" t="s">
        <v>838</v>
      </c>
      <c r="G58" s="28" t="s">
        <v>514</v>
      </c>
      <c r="H58" s="28" t="s">
        <v>639</v>
      </c>
      <c r="I58" s="28" t="s">
        <v>516</v>
      </c>
      <c r="J58" s="28" t="s">
        <v>517</v>
      </c>
      <c r="K58" s="28" t="s">
        <v>518</v>
      </c>
      <c r="L58" s="28" t="s">
        <v>839</v>
      </c>
      <c r="M58" s="28" t="s">
        <v>520</v>
      </c>
      <c r="N58" s="28" t="s">
        <v>544</v>
      </c>
      <c r="S58" s="28" t="s">
        <v>820</v>
      </c>
      <c r="T58" s="28" t="s">
        <v>840</v>
      </c>
      <c r="U58" s="28" t="s">
        <v>840</v>
      </c>
      <c r="V58" s="28" t="s">
        <v>517</v>
      </c>
      <c r="W58" s="28" t="s">
        <v>841</v>
      </c>
      <c r="Z58" s="28" t="s">
        <v>563</v>
      </c>
      <c r="AB58" s="73" t="s">
        <v>609</v>
      </c>
      <c r="AD58" s="118" t="s">
        <v>528</v>
      </c>
      <c r="AF58" s="126" t="s">
        <v>837</v>
      </c>
      <c r="AG58" s="28" t="s">
        <v>563</v>
      </c>
      <c r="AK58" s="60">
        <v>2</v>
      </c>
      <c r="AL58" s="28">
        <f>1/COUNTIF(Tableau6[LAT],B58)</f>
        <v>0.5</v>
      </c>
      <c r="AM58" s="60" t="b">
        <f t="shared" si="5"/>
        <v>0</v>
      </c>
      <c r="AN58" s="60" t="b">
        <f t="shared" si="6"/>
        <v>0</v>
      </c>
      <c r="AO58" s="60" t="b">
        <f t="shared" si="7"/>
        <v>0</v>
      </c>
      <c r="AP58" s="60" t="b">
        <f t="shared" si="8"/>
        <v>0</v>
      </c>
      <c r="AQ58" s="60" t="b">
        <f t="shared" si="9"/>
        <v>0</v>
      </c>
      <c r="AR58" s="60" t="str">
        <f t="shared" si="1"/>
        <v>No</v>
      </c>
      <c r="AS58" s="60" t="str">
        <f t="shared" si="2"/>
        <v>No</v>
      </c>
    </row>
    <row r="59" spans="1:45" ht="15" hidden="1">
      <c r="A59" s="103">
        <v>45243</v>
      </c>
      <c r="B59" s="117" t="s">
        <v>836</v>
      </c>
      <c r="C59" s="28" t="s">
        <v>612</v>
      </c>
      <c r="D59" s="28" t="s">
        <v>842</v>
      </c>
      <c r="F59" s="28" t="s">
        <v>838</v>
      </c>
      <c r="G59" s="28" t="s">
        <v>514</v>
      </c>
      <c r="H59" s="28" t="s">
        <v>639</v>
      </c>
      <c r="I59" s="28" t="s">
        <v>516</v>
      </c>
      <c r="J59" s="28" t="s">
        <v>517</v>
      </c>
      <c r="K59" s="28" t="s">
        <v>518</v>
      </c>
      <c r="L59" s="28" t="s">
        <v>839</v>
      </c>
      <c r="M59" s="28" t="s">
        <v>520</v>
      </c>
      <c r="N59" s="28" t="s">
        <v>544</v>
      </c>
      <c r="S59" s="28" t="s">
        <v>820</v>
      </c>
      <c r="T59" s="28" t="s">
        <v>840</v>
      </c>
      <c r="U59" s="28" t="s">
        <v>840</v>
      </c>
      <c r="V59" s="28" t="s">
        <v>517</v>
      </c>
      <c r="W59" s="28" t="s">
        <v>843</v>
      </c>
      <c r="Z59" s="28" t="s">
        <v>563</v>
      </c>
      <c r="AB59" s="73" t="s">
        <v>609</v>
      </c>
      <c r="AD59" s="118" t="s">
        <v>528</v>
      </c>
      <c r="AF59" s="126" t="s">
        <v>844</v>
      </c>
      <c r="AG59" s="28" t="s">
        <v>563</v>
      </c>
      <c r="AK59" s="60">
        <v>2</v>
      </c>
      <c r="AL59" s="28">
        <f>1/COUNTIF(Tableau6[LAT],B59)</f>
        <v>0.5</v>
      </c>
      <c r="AM59" s="60" t="b">
        <f t="shared" si="5"/>
        <v>0</v>
      </c>
      <c r="AN59" s="60" t="b">
        <f t="shared" si="6"/>
        <v>0</v>
      </c>
      <c r="AO59" s="60" t="b">
        <f t="shared" si="7"/>
        <v>0</v>
      </c>
      <c r="AP59" s="60" t="b">
        <f t="shared" si="8"/>
        <v>0</v>
      </c>
      <c r="AQ59" s="60" t="b">
        <f t="shared" si="9"/>
        <v>0</v>
      </c>
      <c r="AR59" s="60" t="str">
        <f t="shared" si="1"/>
        <v>No</v>
      </c>
      <c r="AS59" s="60" t="str">
        <f t="shared" si="2"/>
        <v>No</v>
      </c>
    </row>
    <row r="60" spans="1:45" ht="15" hidden="1">
      <c r="A60" s="103">
        <v>45243</v>
      </c>
      <c r="B60" s="117" t="s">
        <v>845</v>
      </c>
      <c r="C60" s="28" t="s">
        <v>511</v>
      </c>
      <c r="D60" s="28" t="s">
        <v>846</v>
      </c>
      <c r="F60" s="28" t="s">
        <v>847</v>
      </c>
      <c r="G60" s="28" t="s">
        <v>514</v>
      </c>
      <c r="H60" s="28" t="s">
        <v>848</v>
      </c>
      <c r="I60" s="28" t="s">
        <v>516</v>
      </c>
      <c r="J60" s="28" t="s">
        <v>517</v>
      </c>
      <c r="K60" s="28" t="s">
        <v>518</v>
      </c>
      <c r="L60" s="28" t="s">
        <v>849</v>
      </c>
      <c r="M60" s="28" t="s">
        <v>605</v>
      </c>
      <c r="N60" s="28" t="s">
        <v>557</v>
      </c>
      <c r="O60" s="28" t="s">
        <v>544</v>
      </c>
      <c r="S60" s="28" t="s">
        <v>775</v>
      </c>
      <c r="T60" s="28" t="s">
        <v>753</v>
      </c>
      <c r="U60" s="28" t="s">
        <v>850</v>
      </c>
      <c r="V60" s="28" t="s">
        <v>517</v>
      </c>
      <c r="W60" s="28" t="s">
        <v>851</v>
      </c>
      <c r="Z60" s="28" t="s">
        <v>563</v>
      </c>
      <c r="AB60" s="28" t="s">
        <v>527</v>
      </c>
      <c r="AD60" s="118" t="s">
        <v>528</v>
      </c>
      <c r="AF60" s="126" t="s">
        <v>846</v>
      </c>
      <c r="AG60" s="28" t="s">
        <v>563</v>
      </c>
      <c r="AK60" s="60">
        <v>2</v>
      </c>
      <c r="AL60" s="28">
        <f>1/COUNTIF(Tableau6[LAT],B60)</f>
        <v>6.6666666666666666E-2</v>
      </c>
      <c r="AM60" s="60" t="b">
        <f t="shared" si="5"/>
        <v>0</v>
      </c>
      <c r="AN60" s="60" t="b">
        <f t="shared" si="6"/>
        <v>0</v>
      </c>
      <c r="AO60" s="60" t="b">
        <f t="shared" si="7"/>
        <v>0</v>
      </c>
      <c r="AP60" s="60" t="b">
        <f t="shared" si="8"/>
        <v>0</v>
      </c>
      <c r="AQ60" s="60" t="b">
        <f t="shared" si="9"/>
        <v>0</v>
      </c>
      <c r="AR60" s="60" t="str">
        <f t="shared" si="1"/>
        <v>No</v>
      </c>
      <c r="AS60" s="60" t="str">
        <f t="shared" si="2"/>
        <v>No</v>
      </c>
    </row>
    <row r="61" spans="1:45" ht="15" hidden="1">
      <c r="A61" s="103">
        <v>45243</v>
      </c>
      <c r="B61" s="117" t="s">
        <v>845</v>
      </c>
      <c r="C61" s="28" t="s">
        <v>548</v>
      </c>
      <c r="D61" s="28" t="s">
        <v>852</v>
      </c>
      <c r="F61" s="28" t="s">
        <v>853</v>
      </c>
      <c r="G61" s="28" t="s">
        <v>514</v>
      </c>
      <c r="H61" s="28" t="s">
        <v>848</v>
      </c>
      <c r="I61" s="28" t="s">
        <v>516</v>
      </c>
      <c r="J61" s="28" t="s">
        <v>517</v>
      </c>
      <c r="K61" s="28" t="s">
        <v>518</v>
      </c>
      <c r="L61" s="28" t="s">
        <v>849</v>
      </c>
      <c r="M61" s="28" t="s">
        <v>605</v>
      </c>
      <c r="N61" s="28" t="s">
        <v>557</v>
      </c>
      <c r="O61" s="28" t="s">
        <v>544</v>
      </c>
      <c r="S61" s="28" t="s">
        <v>775</v>
      </c>
      <c r="T61" s="28" t="s">
        <v>753</v>
      </c>
      <c r="U61" s="28" t="s">
        <v>850</v>
      </c>
      <c r="V61" s="28" t="s">
        <v>517</v>
      </c>
      <c r="W61" s="28" t="s">
        <v>854</v>
      </c>
      <c r="Z61" s="28" t="s">
        <v>563</v>
      </c>
      <c r="AB61" s="28" t="s">
        <v>527</v>
      </c>
      <c r="AD61" s="118" t="s">
        <v>528</v>
      </c>
      <c r="AF61" s="126" t="s">
        <v>852</v>
      </c>
      <c r="AG61" s="28" t="s">
        <v>563</v>
      </c>
      <c r="AK61" s="60">
        <v>2</v>
      </c>
      <c r="AL61" s="28">
        <f>1/COUNTIF(Tableau6[LAT],B61)</f>
        <v>6.6666666666666666E-2</v>
      </c>
      <c r="AM61" s="60" t="b">
        <f t="shared" si="5"/>
        <v>0</v>
      </c>
      <c r="AN61" s="60" t="b">
        <f t="shared" si="6"/>
        <v>0</v>
      </c>
      <c r="AO61" s="60" t="b">
        <f t="shared" si="7"/>
        <v>0</v>
      </c>
      <c r="AP61" s="60" t="b">
        <f t="shared" si="8"/>
        <v>0</v>
      </c>
      <c r="AQ61" s="60" t="b">
        <f t="shared" si="9"/>
        <v>0</v>
      </c>
      <c r="AR61" s="60" t="str">
        <f t="shared" si="1"/>
        <v>No</v>
      </c>
      <c r="AS61" s="60" t="str">
        <f t="shared" si="2"/>
        <v>No</v>
      </c>
    </row>
    <row r="62" spans="1:45" ht="15" hidden="1">
      <c r="A62" s="103">
        <v>45243</v>
      </c>
      <c r="B62" s="117" t="s">
        <v>845</v>
      </c>
      <c r="C62" s="28" t="s">
        <v>612</v>
      </c>
      <c r="D62" s="28" t="s">
        <v>855</v>
      </c>
      <c r="F62" s="28" t="s">
        <v>853</v>
      </c>
      <c r="G62" s="28" t="s">
        <v>514</v>
      </c>
      <c r="H62" s="28" t="s">
        <v>848</v>
      </c>
      <c r="I62" s="28" t="s">
        <v>516</v>
      </c>
      <c r="J62" s="28" t="s">
        <v>517</v>
      </c>
      <c r="K62" s="28" t="s">
        <v>518</v>
      </c>
      <c r="L62" s="28" t="s">
        <v>849</v>
      </c>
      <c r="M62" s="28" t="s">
        <v>605</v>
      </c>
      <c r="N62" s="28" t="s">
        <v>557</v>
      </c>
      <c r="O62" s="28" t="s">
        <v>544</v>
      </c>
      <c r="S62" s="28" t="s">
        <v>775</v>
      </c>
      <c r="T62" s="28" t="s">
        <v>753</v>
      </c>
      <c r="U62" s="28" t="s">
        <v>850</v>
      </c>
      <c r="V62" s="28" t="s">
        <v>517</v>
      </c>
      <c r="W62" s="28" t="s">
        <v>856</v>
      </c>
      <c r="Z62" s="28" t="s">
        <v>563</v>
      </c>
      <c r="AB62" s="28" t="s">
        <v>527</v>
      </c>
      <c r="AD62" s="118" t="s">
        <v>528</v>
      </c>
      <c r="AF62" s="126" t="s">
        <v>855</v>
      </c>
      <c r="AG62" s="28" t="s">
        <v>563</v>
      </c>
      <c r="AK62" s="60">
        <v>2</v>
      </c>
      <c r="AL62" s="28">
        <f>1/COUNTIF(Tableau6[LAT],B62)</f>
        <v>6.6666666666666666E-2</v>
      </c>
      <c r="AM62" s="60" t="b">
        <f t="shared" si="5"/>
        <v>0</v>
      </c>
      <c r="AN62" s="60" t="b">
        <f t="shared" si="6"/>
        <v>0</v>
      </c>
      <c r="AO62" s="60" t="b">
        <f t="shared" si="7"/>
        <v>0</v>
      </c>
      <c r="AP62" s="60" t="b">
        <f t="shared" si="8"/>
        <v>0</v>
      </c>
      <c r="AQ62" s="60" t="b">
        <f t="shared" si="9"/>
        <v>0</v>
      </c>
      <c r="AR62" s="60" t="str">
        <f t="shared" si="1"/>
        <v>No</v>
      </c>
      <c r="AS62" s="60" t="str">
        <f t="shared" si="2"/>
        <v>No</v>
      </c>
    </row>
    <row r="63" spans="1:45" ht="15" hidden="1">
      <c r="A63" s="103">
        <v>45243</v>
      </c>
      <c r="B63" s="117" t="s">
        <v>845</v>
      </c>
      <c r="C63" s="28" t="s">
        <v>691</v>
      </c>
      <c r="D63" s="28" t="s">
        <v>857</v>
      </c>
      <c r="F63" s="28" t="s">
        <v>853</v>
      </c>
      <c r="G63" s="28" t="s">
        <v>514</v>
      </c>
      <c r="H63" s="28" t="s">
        <v>848</v>
      </c>
      <c r="I63" s="28" t="s">
        <v>516</v>
      </c>
      <c r="J63" s="28" t="s">
        <v>517</v>
      </c>
      <c r="K63" s="28" t="s">
        <v>518</v>
      </c>
      <c r="L63" s="28" t="s">
        <v>849</v>
      </c>
      <c r="M63" s="28" t="s">
        <v>605</v>
      </c>
      <c r="N63" s="28" t="s">
        <v>557</v>
      </c>
      <c r="O63" s="28" t="s">
        <v>544</v>
      </c>
      <c r="S63" s="28" t="s">
        <v>775</v>
      </c>
      <c r="T63" s="28" t="s">
        <v>753</v>
      </c>
      <c r="U63" s="28" t="s">
        <v>850</v>
      </c>
      <c r="V63" s="28" t="s">
        <v>517</v>
      </c>
      <c r="W63" s="28" t="s">
        <v>858</v>
      </c>
      <c r="Z63" s="28" t="s">
        <v>563</v>
      </c>
      <c r="AB63" s="28" t="s">
        <v>527</v>
      </c>
      <c r="AD63" s="118" t="s">
        <v>528</v>
      </c>
      <c r="AF63" s="126" t="s">
        <v>857</v>
      </c>
      <c r="AG63" s="28" t="s">
        <v>563</v>
      </c>
      <c r="AK63" s="60">
        <v>2</v>
      </c>
      <c r="AL63" s="28">
        <f>1/COUNTIF(Tableau6[LAT],B63)</f>
        <v>6.6666666666666666E-2</v>
      </c>
      <c r="AM63" s="60" t="b">
        <f t="shared" si="5"/>
        <v>0</v>
      </c>
      <c r="AN63" s="60" t="b">
        <f t="shared" si="6"/>
        <v>0</v>
      </c>
      <c r="AO63" s="60" t="b">
        <f t="shared" si="7"/>
        <v>0</v>
      </c>
      <c r="AP63" s="60" t="b">
        <f t="shared" si="8"/>
        <v>0</v>
      </c>
      <c r="AQ63" s="60" t="b">
        <f t="shared" si="9"/>
        <v>0</v>
      </c>
      <c r="AR63" s="60" t="str">
        <f t="shared" si="1"/>
        <v>No</v>
      </c>
      <c r="AS63" s="60" t="str">
        <f t="shared" si="2"/>
        <v>No</v>
      </c>
    </row>
    <row r="64" spans="1:45" ht="15" hidden="1">
      <c r="A64" s="103">
        <v>45243</v>
      </c>
      <c r="B64" s="117" t="s">
        <v>845</v>
      </c>
      <c r="C64" s="28" t="s">
        <v>859</v>
      </c>
      <c r="D64" s="28" t="s">
        <v>860</v>
      </c>
      <c r="F64" s="28" t="s">
        <v>853</v>
      </c>
      <c r="G64" s="28" t="s">
        <v>514</v>
      </c>
      <c r="H64" s="28" t="s">
        <v>848</v>
      </c>
      <c r="I64" s="28" t="s">
        <v>516</v>
      </c>
      <c r="J64" s="28" t="s">
        <v>517</v>
      </c>
      <c r="K64" s="28" t="s">
        <v>518</v>
      </c>
      <c r="L64" s="28" t="s">
        <v>849</v>
      </c>
      <c r="M64" s="28" t="s">
        <v>605</v>
      </c>
      <c r="N64" s="28" t="s">
        <v>557</v>
      </c>
      <c r="O64" s="28" t="s">
        <v>544</v>
      </c>
      <c r="S64" s="28" t="s">
        <v>775</v>
      </c>
      <c r="T64" s="28" t="s">
        <v>753</v>
      </c>
      <c r="U64" s="28" t="s">
        <v>850</v>
      </c>
      <c r="V64" s="28" t="s">
        <v>517</v>
      </c>
      <c r="W64" s="28" t="s">
        <v>858</v>
      </c>
      <c r="Z64" s="28" t="s">
        <v>563</v>
      </c>
      <c r="AB64" s="28" t="s">
        <v>527</v>
      </c>
      <c r="AD64" s="118" t="s">
        <v>528</v>
      </c>
      <c r="AF64" s="126" t="s">
        <v>860</v>
      </c>
      <c r="AG64" s="28" t="s">
        <v>563</v>
      </c>
      <c r="AK64" s="60">
        <v>2</v>
      </c>
      <c r="AL64" s="28">
        <f>1/COUNTIF(Tableau6[LAT],B64)</f>
        <v>6.6666666666666666E-2</v>
      </c>
      <c r="AM64" s="60" t="b">
        <f t="shared" si="5"/>
        <v>0</v>
      </c>
      <c r="AN64" s="60" t="b">
        <f t="shared" si="6"/>
        <v>0</v>
      </c>
      <c r="AO64" s="60" t="b">
        <f t="shared" si="7"/>
        <v>0</v>
      </c>
      <c r="AP64" s="60" t="b">
        <f t="shared" si="8"/>
        <v>0</v>
      </c>
      <c r="AQ64" s="60" t="b">
        <f t="shared" si="9"/>
        <v>0</v>
      </c>
      <c r="AR64" s="60" t="str">
        <f t="shared" si="1"/>
        <v>No</v>
      </c>
      <c r="AS64" s="60" t="str">
        <f t="shared" si="2"/>
        <v>No</v>
      </c>
    </row>
    <row r="65" spans="1:45" ht="15" hidden="1">
      <c r="A65" s="103">
        <v>45243</v>
      </c>
      <c r="B65" s="117" t="s">
        <v>845</v>
      </c>
      <c r="C65" s="28" t="s">
        <v>861</v>
      </c>
      <c r="D65" s="28" t="s">
        <v>862</v>
      </c>
      <c r="F65" s="28" t="s">
        <v>853</v>
      </c>
      <c r="G65" s="28" t="s">
        <v>514</v>
      </c>
      <c r="H65" s="28" t="s">
        <v>848</v>
      </c>
      <c r="I65" s="28" t="s">
        <v>516</v>
      </c>
      <c r="J65" s="28" t="s">
        <v>517</v>
      </c>
      <c r="K65" s="28" t="s">
        <v>518</v>
      </c>
      <c r="L65" s="28" t="s">
        <v>849</v>
      </c>
      <c r="M65" s="28" t="s">
        <v>605</v>
      </c>
      <c r="N65" s="28" t="s">
        <v>557</v>
      </c>
      <c r="O65" s="28" t="s">
        <v>544</v>
      </c>
      <c r="S65" s="28" t="s">
        <v>775</v>
      </c>
      <c r="T65" s="28" t="s">
        <v>753</v>
      </c>
      <c r="U65" s="28" t="s">
        <v>850</v>
      </c>
      <c r="V65" s="28" t="s">
        <v>517</v>
      </c>
      <c r="W65" s="28" t="s">
        <v>856</v>
      </c>
      <c r="Z65" s="28" t="s">
        <v>563</v>
      </c>
      <c r="AB65" s="28" t="s">
        <v>527</v>
      </c>
      <c r="AD65" s="118" t="s">
        <v>528</v>
      </c>
      <c r="AF65" s="126" t="s">
        <v>862</v>
      </c>
      <c r="AG65" s="28" t="s">
        <v>563</v>
      </c>
      <c r="AK65" s="60">
        <v>2</v>
      </c>
      <c r="AL65" s="28">
        <f>1/COUNTIF(Tableau6[LAT],B65)</f>
        <v>6.6666666666666666E-2</v>
      </c>
      <c r="AM65" s="60" t="b">
        <f t="shared" si="5"/>
        <v>0</v>
      </c>
      <c r="AN65" s="60" t="b">
        <f t="shared" si="6"/>
        <v>0</v>
      </c>
      <c r="AO65" s="60" t="b">
        <f t="shared" si="7"/>
        <v>0</v>
      </c>
      <c r="AP65" s="60" t="b">
        <f t="shared" si="8"/>
        <v>0</v>
      </c>
      <c r="AQ65" s="60" t="b">
        <f t="shared" si="9"/>
        <v>0</v>
      </c>
      <c r="AR65" s="60" t="str">
        <f t="shared" si="1"/>
        <v>No</v>
      </c>
      <c r="AS65" s="60" t="str">
        <f t="shared" si="2"/>
        <v>No</v>
      </c>
    </row>
    <row r="66" spans="1:45" ht="15" hidden="1">
      <c r="A66" s="103">
        <v>45243</v>
      </c>
      <c r="B66" s="117" t="s">
        <v>845</v>
      </c>
      <c r="D66" s="28" t="s">
        <v>863</v>
      </c>
      <c r="F66" s="28" t="s">
        <v>853</v>
      </c>
      <c r="G66" s="28" t="s">
        <v>514</v>
      </c>
      <c r="H66" s="28" t="s">
        <v>848</v>
      </c>
      <c r="I66" s="28" t="s">
        <v>516</v>
      </c>
      <c r="J66" s="28" t="s">
        <v>517</v>
      </c>
      <c r="K66" s="28" t="s">
        <v>518</v>
      </c>
      <c r="L66" s="28" t="s">
        <v>849</v>
      </c>
      <c r="M66" s="28" t="s">
        <v>605</v>
      </c>
      <c r="N66" s="28" t="s">
        <v>557</v>
      </c>
      <c r="O66" s="28" t="s">
        <v>544</v>
      </c>
      <c r="S66" s="28" t="s">
        <v>775</v>
      </c>
      <c r="T66" s="28" t="s">
        <v>753</v>
      </c>
      <c r="U66" s="28" t="s">
        <v>850</v>
      </c>
      <c r="V66" s="28" t="s">
        <v>517</v>
      </c>
      <c r="W66" s="28" t="s">
        <v>854</v>
      </c>
      <c r="Z66" s="28" t="s">
        <v>563</v>
      </c>
      <c r="AB66" s="28" t="s">
        <v>527</v>
      </c>
      <c r="AD66" s="118" t="s">
        <v>528</v>
      </c>
      <c r="AF66" s="126" t="s">
        <v>863</v>
      </c>
      <c r="AG66" s="28" t="s">
        <v>563</v>
      </c>
      <c r="AK66" s="60">
        <v>2</v>
      </c>
      <c r="AL66" s="28">
        <f>1/COUNTIF(Tableau6[LAT],B66)</f>
        <v>6.6666666666666666E-2</v>
      </c>
      <c r="AM66" s="60" t="b">
        <f t="shared" si="5"/>
        <v>0</v>
      </c>
      <c r="AN66" s="60" t="b">
        <f t="shared" si="6"/>
        <v>0</v>
      </c>
      <c r="AO66" s="60" t="b">
        <f t="shared" si="7"/>
        <v>0</v>
      </c>
      <c r="AP66" s="60" t="b">
        <f t="shared" si="8"/>
        <v>0</v>
      </c>
      <c r="AQ66" s="60" t="b">
        <f t="shared" si="9"/>
        <v>0</v>
      </c>
      <c r="AR66" s="60" t="str">
        <f t="shared" si="1"/>
        <v>No</v>
      </c>
      <c r="AS66" s="60" t="str">
        <f t="shared" si="2"/>
        <v>No</v>
      </c>
    </row>
    <row r="67" spans="1:45" ht="15" hidden="1">
      <c r="A67" s="103">
        <v>45243</v>
      </c>
      <c r="B67" s="117" t="s">
        <v>845</v>
      </c>
      <c r="C67" s="28" t="s">
        <v>864</v>
      </c>
      <c r="D67" s="28" t="s">
        <v>865</v>
      </c>
      <c r="F67" s="28" t="s">
        <v>853</v>
      </c>
      <c r="G67" s="28" t="s">
        <v>514</v>
      </c>
      <c r="H67" s="28" t="s">
        <v>848</v>
      </c>
      <c r="I67" s="28" t="s">
        <v>516</v>
      </c>
      <c r="J67" s="28" t="s">
        <v>517</v>
      </c>
      <c r="K67" s="28" t="s">
        <v>518</v>
      </c>
      <c r="L67" s="28" t="s">
        <v>849</v>
      </c>
      <c r="M67" s="28" t="s">
        <v>605</v>
      </c>
      <c r="N67" s="28" t="s">
        <v>557</v>
      </c>
      <c r="O67" s="28" t="s">
        <v>544</v>
      </c>
      <c r="S67" s="28" t="s">
        <v>775</v>
      </c>
      <c r="T67" s="28" t="s">
        <v>753</v>
      </c>
      <c r="U67" s="28" t="s">
        <v>850</v>
      </c>
      <c r="V67" s="28" t="s">
        <v>517</v>
      </c>
      <c r="W67" s="28" t="s">
        <v>858</v>
      </c>
      <c r="Z67" s="28" t="s">
        <v>563</v>
      </c>
      <c r="AB67" s="28" t="s">
        <v>527</v>
      </c>
      <c r="AD67" s="118" t="s">
        <v>528</v>
      </c>
      <c r="AF67" s="126" t="s">
        <v>865</v>
      </c>
      <c r="AG67" s="28" t="s">
        <v>563</v>
      </c>
      <c r="AK67" s="60">
        <v>2</v>
      </c>
      <c r="AL67" s="28">
        <f>1/COUNTIF(Tableau6[LAT],B67)</f>
        <v>6.6666666666666666E-2</v>
      </c>
      <c r="AM67" s="60" t="b">
        <f t="shared" si="5"/>
        <v>0</v>
      </c>
      <c r="AN67" s="60" t="b">
        <f t="shared" si="6"/>
        <v>0</v>
      </c>
      <c r="AO67" s="60" t="b">
        <f t="shared" si="7"/>
        <v>0</v>
      </c>
      <c r="AP67" s="60" t="b">
        <f t="shared" si="8"/>
        <v>0</v>
      </c>
      <c r="AQ67" s="60" t="b">
        <f t="shared" si="9"/>
        <v>0</v>
      </c>
      <c r="AR67" s="60" t="str">
        <f t="shared" si="1"/>
        <v>No</v>
      </c>
      <c r="AS67" s="60" t="str">
        <f t="shared" si="2"/>
        <v>No</v>
      </c>
    </row>
    <row r="68" spans="1:45" ht="15" hidden="1">
      <c r="A68" s="103">
        <v>45243</v>
      </c>
      <c r="B68" s="117" t="s">
        <v>845</v>
      </c>
      <c r="C68" s="28" t="s">
        <v>866</v>
      </c>
      <c r="D68" s="28" t="s">
        <v>867</v>
      </c>
      <c r="F68" s="28" t="s">
        <v>853</v>
      </c>
      <c r="G68" s="28" t="s">
        <v>514</v>
      </c>
      <c r="H68" s="28" t="s">
        <v>848</v>
      </c>
      <c r="I68" s="28" t="s">
        <v>516</v>
      </c>
      <c r="J68" s="28" t="s">
        <v>517</v>
      </c>
      <c r="K68" s="28" t="s">
        <v>518</v>
      </c>
      <c r="L68" s="28" t="s">
        <v>849</v>
      </c>
      <c r="M68" s="28" t="s">
        <v>605</v>
      </c>
      <c r="N68" s="28" t="s">
        <v>557</v>
      </c>
      <c r="O68" s="28" t="s">
        <v>544</v>
      </c>
      <c r="S68" s="28" t="s">
        <v>775</v>
      </c>
      <c r="T68" s="28" t="s">
        <v>753</v>
      </c>
      <c r="U68" s="28" t="s">
        <v>850</v>
      </c>
      <c r="V68" s="28" t="s">
        <v>517</v>
      </c>
      <c r="W68" s="28" t="s">
        <v>858</v>
      </c>
      <c r="Z68" s="28" t="s">
        <v>563</v>
      </c>
      <c r="AB68" s="28" t="s">
        <v>527</v>
      </c>
      <c r="AD68" s="118" t="s">
        <v>528</v>
      </c>
      <c r="AF68" s="126" t="s">
        <v>867</v>
      </c>
      <c r="AG68" s="28" t="s">
        <v>563</v>
      </c>
      <c r="AK68" s="60">
        <v>2</v>
      </c>
      <c r="AL68" s="28">
        <f>1/COUNTIF(Tableau6[LAT],B68)</f>
        <v>6.6666666666666666E-2</v>
      </c>
      <c r="AM68" s="60" t="b">
        <f t="shared" si="5"/>
        <v>0</v>
      </c>
      <c r="AN68" s="60" t="b">
        <f t="shared" si="6"/>
        <v>0</v>
      </c>
      <c r="AO68" s="60" t="b">
        <f t="shared" si="7"/>
        <v>0</v>
      </c>
      <c r="AP68" s="60" t="b">
        <f t="shared" si="8"/>
        <v>0</v>
      </c>
      <c r="AQ68" s="60" t="b">
        <f t="shared" si="9"/>
        <v>0</v>
      </c>
      <c r="AR68" s="60" t="str">
        <f t="shared" ref="AR68:AR131" si="10">IF(AM68="Yes","Yes",IF(AN68="Yes","Yes",IF(AO68="yes","Yes",IF(AP68="Yes","Yes","No"))))</f>
        <v>No</v>
      </c>
      <c r="AS68" s="60" t="str">
        <f t="shared" ref="AS68:AS131" si="11">IF(S68="QFA","Yes",IF(S68="LCJ","Yes",IF(S68="CAJ","Yes",IF(S68="WRO","Yes",IF(S68="BEY","Yes",IF(S68="TUN","Yes",IF(S68="LFW","Yes",IF(S68="DLA","Yes",IF(S68="NSI","Yes",IF(S68="OUA","Yes",IF(S68="IAH","Yes",IF(S68="LYS","Yes",IF(S68="DSS","Yes",IF(S68="BKO","Yes",IF(S68="BZV","Yes",IF(S68="COO","Yes",IF(S68="EZE","Yes",IF(S68="CKY","Yes",IF(S68="PTP","Yes",IF(S68="ORD","Yes",IF(S68="CFE","Yes",IF(S68="NKC","Yes",IF(S68="FDF","Yes",IF(S68="SDQ","Yes",IF(S68="PNR","Yes",IF(S68="ICAY","Yes",IF(S68="DTW","Yes",IF(S68="TNR","Yes",IF(S68="RUN","Yes",IF(S68="NIM","Yes","No"))))))))))))))))))))))))))))))</f>
        <v>No</v>
      </c>
    </row>
    <row r="69" spans="1:45" ht="15" hidden="1">
      <c r="A69" s="103">
        <v>45243</v>
      </c>
      <c r="B69" s="117" t="s">
        <v>845</v>
      </c>
      <c r="C69" s="28" t="s">
        <v>868</v>
      </c>
      <c r="D69" s="28" t="s">
        <v>869</v>
      </c>
      <c r="F69" s="28" t="s">
        <v>853</v>
      </c>
      <c r="G69" s="28" t="s">
        <v>514</v>
      </c>
      <c r="H69" s="28" t="s">
        <v>848</v>
      </c>
      <c r="I69" s="28" t="s">
        <v>516</v>
      </c>
      <c r="J69" s="28" t="s">
        <v>517</v>
      </c>
      <c r="K69" s="28" t="s">
        <v>518</v>
      </c>
      <c r="L69" s="28" t="s">
        <v>849</v>
      </c>
      <c r="M69" s="28" t="s">
        <v>605</v>
      </c>
      <c r="N69" s="28" t="s">
        <v>557</v>
      </c>
      <c r="O69" s="28" t="s">
        <v>544</v>
      </c>
      <c r="S69" s="28" t="s">
        <v>775</v>
      </c>
      <c r="T69" s="28" t="s">
        <v>753</v>
      </c>
      <c r="U69" s="28" t="s">
        <v>850</v>
      </c>
      <c r="V69" s="28" t="s">
        <v>517</v>
      </c>
      <c r="W69" s="28" t="s">
        <v>854</v>
      </c>
      <c r="Z69" s="28" t="s">
        <v>563</v>
      </c>
      <c r="AB69" s="28" t="s">
        <v>527</v>
      </c>
      <c r="AD69" s="118" t="s">
        <v>528</v>
      </c>
      <c r="AF69" s="126" t="s">
        <v>869</v>
      </c>
      <c r="AG69" s="28" t="s">
        <v>563</v>
      </c>
      <c r="AK69" s="60">
        <v>2</v>
      </c>
      <c r="AL69" s="28">
        <f>1/COUNTIF(Tableau6[LAT],B69)</f>
        <v>6.6666666666666666E-2</v>
      </c>
      <c r="AM69" s="60" t="b">
        <f t="shared" si="5"/>
        <v>0</v>
      </c>
      <c r="AN69" s="60" t="b">
        <f t="shared" si="6"/>
        <v>0</v>
      </c>
      <c r="AO69" s="60" t="b">
        <f t="shared" si="7"/>
        <v>0</v>
      </c>
      <c r="AP69" s="60" t="b">
        <f t="shared" si="8"/>
        <v>0</v>
      </c>
      <c r="AQ69" s="60" t="b">
        <f t="shared" si="9"/>
        <v>0</v>
      </c>
      <c r="AR69" s="60" t="str">
        <f t="shared" si="10"/>
        <v>No</v>
      </c>
      <c r="AS69" s="60" t="str">
        <f t="shared" si="11"/>
        <v>No</v>
      </c>
    </row>
    <row r="70" spans="1:45" ht="15" hidden="1">
      <c r="A70" s="103">
        <v>45243</v>
      </c>
      <c r="B70" s="117" t="s">
        <v>845</v>
      </c>
      <c r="C70" s="28" t="s">
        <v>870</v>
      </c>
      <c r="D70" s="28" t="s">
        <v>871</v>
      </c>
      <c r="F70" s="28" t="s">
        <v>853</v>
      </c>
      <c r="G70" s="28" t="s">
        <v>514</v>
      </c>
      <c r="H70" s="28" t="s">
        <v>848</v>
      </c>
      <c r="I70" s="28" t="s">
        <v>516</v>
      </c>
      <c r="J70" s="28" t="s">
        <v>517</v>
      </c>
      <c r="K70" s="28" t="s">
        <v>518</v>
      </c>
      <c r="L70" s="28" t="s">
        <v>849</v>
      </c>
      <c r="M70" s="28" t="s">
        <v>605</v>
      </c>
      <c r="N70" s="28" t="s">
        <v>557</v>
      </c>
      <c r="O70" s="28" t="s">
        <v>544</v>
      </c>
      <c r="S70" s="28" t="s">
        <v>775</v>
      </c>
      <c r="T70" s="28" t="s">
        <v>753</v>
      </c>
      <c r="U70" s="28" t="s">
        <v>850</v>
      </c>
      <c r="V70" s="28" t="s">
        <v>517</v>
      </c>
      <c r="W70" s="28" t="s">
        <v>854</v>
      </c>
      <c r="Z70" s="28" t="s">
        <v>563</v>
      </c>
      <c r="AB70" s="28" t="s">
        <v>527</v>
      </c>
      <c r="AD70" s="118" t="s">
        <v>528</v>
      </c>
      <c r="AF70" s="126" t="s">
        <v>871</v>
      </c>
      <c r="AG70" s="28" t="s">
        <v>563</v>
      </c>
      <c r="AK70" s="60">
        <v>2</v>
      </c>
      <c r="AL70" s="28">
        <f>1/COUNTIF(Tableau6[LAT],B70)</f>
        <v>6.6666666666666666E-2</v>
      </c>
      <c r="AM70" s="60" t="b">
        <f t="shared" si="5"/>
        <v>0</v>
      </c>
      <c r="AN70" s="60" t="b">
        <f t="shared" si="6"/>
        <v>0</v>
      </c>
      <c r="AO70" s="60" t="b">
        <f t="shared" si="7"/>
        <v>0</v>
      </c>
      <c r="AP70" s="60" t="b">
        <f t="shared" si="8"/>
        <v>0</v>
      </c>
      <c r="AQ70" s="60" t="b">
        <f t="shared" si="9"/>
        <v>0</v>
      </c>
      <c r="AR70" s="60" t="str">
        <f t="shared" si="10"/>
        <v>No</v>
      </c>
      <c r="AS70" s="60" t="str">
        <f t="shared" si="11"/>
        <v>No</v>
      </c>
    </row>
    <row r="71" spans="1:45" ht="15" hidden="1">
      <c r="A71" s="103">
        <v>45243</v>
      </c>
      <c r="B71" s="117" t="s">
        <v>845</v>
      </c>
      <c r="C71" s="28" t="s">
        <v>872</v>
      </c>
      <c r="D71" s="28" t="s">
        <v>873</v>
      </c>
      <c r="F71" s="28" t="s">
        <v>847</v>
      </c>
      <c r="G71" s="28" t="s">
        <v>514</v>
      </c>
      <c r="H71" s="28" t="s">
        <v>848</v>
      </c>
      <c r="I71" s="28" t="s">
        <v>516</v>
      </c>
      <c r="J71" s="28" t="s">
        <v>517</v>
      </c>
      <c r="K71" s="28" t="s">
        <v>518</v>
      </c>
      <c r="L71" s="28" t="s">
        <v>849</v>
      </c>
      <c r="M71" s="28" t="s">
        <v>605</v>
      </c>
      <c r="N71" s="28" t="s">
        <v>557</v>
      </c>
      <c r="O71" s="28" t="s">
        <v>544</v>
      </c>
      <c r="S71" s="28" t="s">
        <v>775</v>
      </c>
      <c r="T71" s="28" t="s">
        <v>753</v>
      </c>
      <c r="U71" s="28" t="s">
        <v>850</v>
      </c>
      <c r="V71" s="28" t="s">
        <v>517</v>
      </c>
      <c r="W71" s="28" t="s">
        <v>851</v>
      </c>
      <c r="Z71" s="28" t="s">
        <v>563</v>
      </c>
      <c r="AB71" s="28" t="s">
        <v>527</v>
      </c>
      <c r="AD71" s="118" t="s">
        <v>528</v>
      </c>
      <c r="AF71" s="126" t="s">
        <v>873</v>
      </c>
      <c r="AG71" s="28" t="s">
        <v>563</v>
      </c>
      <c r="AK71" s="60">
        <v>2</v>
      </c>
      <c r="AL71" s="28">
        <f>1/COUNTIF(Tableau6[LAT],B71)</f>
        <v>6.6666666666666666E-2</v>
      </c>
      <c r="AM71" s="60" t="b">
        <f t="shared" si="5"/>
        <v>0</v>
      </c>
      <c r="AN71" s="60" t="b">
        <f t="shared" si="6"/>
        <v>0</v>
      </c>
      <c r="AO71" s="60" t="b">
        <f t="shared" si="7"/>
        <v>0</v>
      </c>
      <c r="AP71" s="60" t="b">
        <f t="shared" si="8"/>
        <v>0</v>
      </c>
      <c r="AQ71" s="60" t="b">
        <f t="shared" si="9"/>
        <v>0</v>
      </c>
      <c r="AR71" s="60" t="str">
        <f t="shared" si="10"/>
        <v>No</v>
      </c>
      <c r="AS71" s="60" t="str">
        <f t="shared" si="11"/>
        <v>No</v>
      </c>
    </row>
    <row r="72" spans="1:45" ht="15" hidden="1">
      <c r="A72" s="103">
        <v>45243</v>
      </c>
      <c r="B72" s="117" t="s">
        <v>845</v>
      </c>
      <c r="C72" s="28" t="s">
        <v>874</v>
      </c>
      <c r="D72" s="28" t="s">
        <v>875</v>
      </c>
      <c r="F72" s="28" t="s">
        <v>847</v>
      </c>
      <c r="G72" s="28" t="s">
        <v>514</v>
      </c>
      <c r="H72" s="28" t="s">
        <v>848</v>
      </c>
      <c r="I72" s="28" t="s">
        <v>516</v>
      </c>
      <c r="J72" s="28" t="s">
        <v>517</v>
      </c>
      <c r="K72" s="28" t="s">
        <v>518</v>
      </c>
      <c r="L72" s="28" t="s">
        <v>849</v>
      </c>
      <c r="M72" s="28" t="s">
        <v>605</v>
      </c>
      <c r="N72" s="28" t="s">
        <v>557</v>
      </c>
      <c r="O72" s="28" t="s">
        <v>544</v>
      </c>
      <c r="S72" s="28" t="s">
        <v>775</v>
      </c>
      <c r="T72" s="28" t="s">
        <v>753</v>
      </c>
      <c r="U72" s="28" t="s">
        <v>850</v>
      </c>
      <c r="V72" s="28" t="s">
        <v>517</v>
      </c>
      <c r="W72" s="28" t="s">
        <v>851</v>
      </c>
      <c r="Z72" s="28" t="s">
        <v>563</v>
      </c>
      <c r="AB72" s="28" t="s">
        <v>527</v>
      </c>
      <c r="AD72" s="118" t="s">
        <v>528</v>
      </c>
      <c r="AF72" s="126" t="s">
        <v>875</v>
      </c>
      <c r="AG72" s="28" t="s">
        <v>563</v>
      </c>
      <c r="AK72" s="60">
        <v>2</v>
      </c>
      <c r="AL72" s="28">
        <f>1/COUNTIF(Tableau6[LAT],B72)</f>
        <v>6.6666666666666666E-2</v>
      </c>
      <c r="AM72" s="60" t="b">
        <f t="shared" si="5"/>
        <v>0</v>
      </c>
      <c r="AN72" s="60" t="b">
        <f t="shared" si="6"/>
        <v>0</v>
      </c>
      <c r="AO72" s="60" t="b">
        <f t="shared" si="7"/>
        <v>0</v>
      </c>
      <c r="AP72" s="60" t="b">
        <f t="shared" si="8"/>
        <v>0</v>
      </c>
      <c r="AQ72" s="60" t="b">
        <f t="shared" si="9"/>
        <v>0</v>
      </c>
      <c r="AR72" s="60" t="str">
        <f t="shared" si="10"/>
        <v>No</v>
      </c>
      <c r="AS72" s="60" t="str">
        <f t="shared" si="11"/>
        <v>No</v>
      </c>
    </row>
    <row r="73" spans="1:45" ht="15" hidden="1">
      <c r="A73" s="103">
        <v>45243</v>
      </c>
      <c r="B73" s="117" t="s">
        <v>845</v>
      </c>
      <c r="C73" s="28" t="s">
        <v>876</v>
      </c>
      <c r="D73" s="28" t="s">
        <v>877</v>
      </c>
      <c r="F73" s="28" t="s">
        <v>847</v>
      </c>
      <c r="G73" s="28" t="s">
        <v>514</v>
      </c>
      <c r="H73" s="28" t="s">
        <v>848</v>
      </c>
      <c r="I73" s="28" t="s">
        <v>516</v>
      </c>
      <c r="J73" s="28" t="s">
        <v>517</v>
      </c>
      <c r="K73" s="28" t="s">
        <v>518</v>
      </c>
      <c r="L73" s="28" t="s">
        <v>849</v>
      </c>
      <c r="M73" s="28" t="s">
        <v>605</v>
      </c>
      <c r="N73" s="28" t="s">
        <v>557</v>
      </c>
      <c r="O73" s="28" t="s">
        <v>544</v>
      </c>
      <c r="S73" s="28" t="s">
        <v>775</v>
      </c>
      <c r="T73" s="28" t="s">
        <v>753</v>
      </c>
      <c r="U73" s="28" t="s">
        <v>850</v>
      </c>
      <c r="V73" s="28" t="s">
        <v>517</v>
      </c>
      <c r="W73" s="28" t="s">
        <v>851</v>
      </c>
      <c r="Z73" s="28" t="s">
        <v>563</v>
      </c>
      <c r="AB73" s="28" t="s">
        <v>527</v>
      </c>
      <c r="AD73" s="118" t="s">
        <v>528</v>
      </c>
      <c r="AF73" s="126" t="s">
        <v>877</v>
      </c>
      <c r="AG73" s="28" t="s">
        <v>563</v>
      </c>
      <c r="AK73" s="60">
        <v>2</v>
      </c>
      <c r="AL73" s="28">
        <f>1/COUNTIF(Tableau6[LAT],B73)</f>
        <v>6.6666666666666666E-2</v>
      </c>
      <c r="AM73" s="60" t="b">
        <f t="shared" si="5"/>
        <v>0</v>
      </c>
      <c r="AN73" s="60" t="b">
        <f t="shared" si="6"/>
        <v>0</v>
      </c>
      <c r="AO73" s="60" t="b">
        <f t="shared" si="7"/>
        <v>0</v>
      </c>
      <c r="AP73" s="60" t="b">
        <f t="shared" si="8"/>
        <v>0</v>
      </c>
      <c r="AQ73" s="60" t="b">
        <f t="shared" si="9"/>
        <v>0</v>
      </c>
      <c r="AR73" s="60" t="str">
        <f t="shared" si="10"/>
        <v>No</v>
      </c>
      <c r="AS73" s="60" t="str">
        <f t="shared" si="11"/>
        <v>No</v>
      </c>
    </row>
    <row r="74" spans="1:45" ht="15" hidden="1">
      <c r="A74" s="103">
        <v>45243</v>
      </c>
      <c r="B74" s="117" t="s">
        <v>845</v>
      </c>
      <c r="C74" s="28" t="s">
        <v>878</v>
      </c>
      <c r="D74" s="28" t="s">
        <v>879</v>
      </c>
      <c r="F74" s="28" t="s">
        <v>847</v>
      </c>
      <c r="G74" s="28" t="s">
        <v>514</v>
      </c>
      <c r="H74" s="28" t="s">
        <v>848</v>
      </c>
      <c r="I74" s="28" t="s">
        <v>516</v>
      </c>
      <c r="J74" s="28" t="s">
        <v>517</v>
      </c>
      <c r="K74" s="28" t="s">
        <v>518</v>
      </c>
      <c r="L74" s="28" t="s">
        <v>849</v>
      </c>
      <c r="M74" s="28" t="s">
        <v>605</v>
      </c>
      <c r="N74" s="28" t="s">
        <v>557</v>
      </c>
      <c r="O74" s="28" t="s">
        <v>544</v>
      </c>
      <c r="S74" s="28" t="s">
        <v>775</v>
      </c>
      <c r="T74" s="28" t="s">
        <v>753</v>
      </c>
      <c r="U74" s="28" t="s">
        <v>850</v>
      </c>
      <c r="V74" s="28" t="s">
        <v>517</v>
      </c>
      <c r="W74" s="28" t="s">
        <v>851</v>
      </c>
      <c r="Z74" s="28" t="s">
        <v>563</v>
      </c>
      <c r="AB74" s="28" t="s">
        <v>527</v>
      </c>
      <c r="AD74" s="118" t="s">
        <v>528</v>
      </c>
      <c r="AF74" s="126" t="s">
        <v>879</v>
      </c>
      <c r="AG74" s="28" t="s">
        <v>563</v>
      </c>
      <c r="AK74" s="60">
        <v>2</v>
      </c>
      <c r="AL74" s="28">
        <f>1/COUNTIF(Tableau6[LAT],B74)</f>
        <v>6.6666666666666666E-2</v>
      </c>
      <c r="AM74" s="60" t="b">
        <f t="shared" si="5"/>
        <v>0</v>
      </c>
      <c r="AN74" s="60" t="b">
        <f t="shared" si="6"/>
        <v>0</v>
      </c>
      <c r="AO74" s="60" t="b">
        <f t="shared" si="7"/>
        <v>0</v>
      </c>
      <c r="AP74" s="60" t="b">
        <f t="shared" si="8"/>
        <v>0</v>
      </c>
      <c r="AQ74" s="60" t="b">
        <f t="shared" si="9"/>
        <v>0</v>
      </c>
      <c r="AR74" s="60" t="str">
        <f t="shared" si="10"/>
        <v>No</v>
      </c>
      <c r="AS74" s="60" t="str">
        <f t="shared" si="11"/>
        <v>No</v>
      </c>
    </row>
    <row r="75" spans="1:45" ht="15" hidden="1">
      <c r="A75" s="103">
        <v>45243</v>
      </c>
      <c r="B75" s="117" t="s">
        <v>880</v>
      </c>
      <c r="C75" s="28" t="s">
        <v>511</v>
      </c>
      <c r="D75" s="28" t="s">
        <v>881</v>
      </c>
      <c r="F75" s="28" t="s">
        <v>882</v>
      </c>
      <c r="G75" s="28" t="s">
        <v>514</v>
      </c>
      <c r="H75" s="28" t="s">
        <v>883</v>
      </c>
      <c r="I75" s="28" t="s">
        <v>516</v>
      </c>
      <c r="J75" s="28" t="s">
        <v>517</v>
      </c>
      <c r="K75" s="28" t="s">
        <v>682</v>
      </c>
      <c r="L75" s="28" t="s">
        <v>683</v>
      </c>
      <c r="M75" s="28" t="s">
        <v>535</v>
      </c>
      <c r="N75" s="28" t="s">
        <v>557</v>
      </c>
      <c r="O75" s="28" t="s">
        <v>544</v>
      </c>
      <c r="S75" s="28" t="s">
        <v>775</v>
      </c>
      <c r="T75" s="28" t="s">
        <v>545</v>
      </c>
      <c r="U75" s="28" t="s">
        <v>545</v>
      </c>
      <c r="V75" s="28" t="s">
        <v>517</v>
      </c>
      <c r="W75" s="28" t="s">
        <v>884</v>
      </c>
      <c r="Z75" s="28" t="s">
        <v>563</v>
      </c>
      <c r="AB75" s="28" t="s">
        <v>527</v>
      </c>
      <c r="AD75" s="118" t="s">
        <v>528</v>
      </c>
      <c r="AF75" s="125" t="s">
        <v>881</v>
      </c>
      <c r="AG75" s="28" t="s">
        <v>563</v>
      </c>
      <c r="AK75" s="60">
        <v>2</v>
      </c>
      <c r="AL75" s="28">
        <f>1/COUNTIF(Tableau6[LAT],B75)</f>
        <v>1</v>
      </c>
      <c r="AM75" s="60" t="b">
        <f t="shared" si="5"/>
        <v>0</v>
      </c>
      <c r="AN75" s="60" t="b">
        <f t="shared" si="6"/>
        <v>0</v>
      </c>
      <c r="AO75" s="60" t="b">
        <f t="shared" si="7"/>
        <v>0</v>
      </c>
      <c r="AP75" s="60" t="b">
        <f t="shared" si="8"/>
        <v>0</v>
      </c>
      <c r="AQ75" s="60" t="b">
        <f t="shared" si="9"/>
        <v>0</v>
      </c>
      <c r="AR75" s="60" t="str">
        <f t="shared" si="10"/>
        <v>No</v>
      </c>
      <c r="AS75" s="60" t="str">
        <f t="shared" si="11"/>
        <v>No</v>
      </c>
    </row>
    <row r="76" spans="1:45" ht="15" hidden="1">
      <c r="A76" s="103">
        <v>45243</v>
      </c>
      <c r="B76" s="117" t="s">
        <v>885</v>
      </c>
      <c r="C76" s="28" t="s">
        <v>511</v>
      </c>
      <c r="D76" s="28" t="s">
        <v>886</v>
      </c>
      <c r="F76" s="28" t="s">
        <v>887</v>
      </c>
      <c r="G76" s="28" t="s">
        <v>514</v>
      </c>
      <c r="H76" s="28" t="s">
        <v>888</v>
      </c>
      <c r="I76" s="28" t="s">
        <v>516</v>
      </c>
      <c r="J76" s="28" t="s">
        <v>517</v>
      </c>
      <c r="K76" s="28" t="s">
        <v>518</v>
      </c>
      <c r="L76" s="28" t="s">
        <v>839</v>
      </c>
      <c r="M76" s="28" t="s">
        <v>520</v>
      </c>
      <c r="N76" s="28" t="s">
        <v>544</v>
      </c>
      <c r="S76" s="28" t="s">
        <v>718</v>
      </c>
      <c r="T76" s="28" t="s">
        <v>840</v>
      </c>
      <c r="U76" s="28" t="s">
        <v>840</v>
      </c>
      <c r="V76" s="28" t="s">
        <v>517</v>
      </c>
      <c r="W76" s="28" t="s">
        <v>889</v>
      </c>
      <c r="Z76" s="28" t="s">
        <v>526</v>
      </c>
      <c r="AD76" s="118" t="s">
        <v>528</v>
      </c>
      <c r="AF76" s="125" t="s">
        <v>890</v>
      </c>
      <c r="AG76" s="28" t="s">
        <v>529</v>
      </c>
      <c r="AK76" s="60">
        <v>2</v>
      </c>
      <c r="AL76" s="28">
        <f>1/COUNTIF(Tableau6[LAT],B76)</f>
        <v>1</v>
      </c>
      <c r="AM76" s="60" t="b">
        <f t="shared" si="5"/>
        <v>0</v>
      </c>
      <c r="AN76" s="60" t="b">
        <f t="shared" si="6"/>
        <v>0</v>
      </c>
      <c r="AO76" s="60" t="b">
        <f t="shared" si="7"/>
        <v>0</v>
      </c>
      <c r="AP76" s="60" t="b">
        <f t="shared" si="8"/>
        <v>0</v>
      </c>
      <c r="AQ76" s="60" t="b">
        <f t="shared" si="9"/>
        <v>0</v>
      </c>
      <c r="AR76" s="60" t="str">
        <f t="shared" si="10"/>
        <v>No</v>
      </c>
      <c r="AS76" s="60" t="str">
        <f t="shared" si="11"/>
        <v>No</v>
      </c>
    </row>
    <row r="77" spans="1:45" ht="15" hidden="1">
      <c r="A77" s="103">
        <v>45243</v>
      </c>
      <c r="B77" s="117" t="s">
        <v>891</v>
      </c>
      <c r="C77" s="28" t="s">
        <v>511</v>
      </c>
      <c r="D77" s="28" t="s">
        <v>892</v>
      </c>
      <c r="F77" s="28" t="s">
        <v>893</v>
      </c>
      <c r="G77" s="28" t="s">
        <v>514</v>
      </c>
      <c r="H77" s="28" t="s">
        <v>894</v>
      </c>
      <c r="I77" s="28" t="s">
        <v>516</v>
      </c>
      <c r="J77" s="28" t="s">
        <v>517</v>
      </c>
      <c r="K77" s="28" t="s">
        <v>518</v>
      </c>
      <c r="L77" s="28" t="s">
        <v>895</v>
      </c>
      <c r="M77" s="28" t="s">
        <v>535</v>
      </c>
      <c r="N77" s="28" t="s">
        <v>557</v>
      </c>
      <c r="O77" s="28" t="s">
        <v>559</v>
      </c>
      <c r="S77" s="28" t="s">
        <v>896</v>
      </c>
      <c r="T77" s="28" t="s">
        <v>897</v>
      </c>
      <c r="U77" s="28" t="s">
        <v>897</v>
      </c>
      <c r="V77" s="28" t="s">
        <v>517</v>
      </c>
      <c r="W77" s="28" t="s">
        <v>898</v>
      </c>
      <c r="Z77" s="28" t="s">
        <v>563</v>
      </c>
      <c r="AB77" s="28" t="s">
        <v>527</v>
      </c>
      <c r="AD77" s="118" t="s">
        <v>528</v>
      </c>
      <c r="AF77" s="126" t="s">
        <v>892</v>
      </c>
      <c r="AG77" s="28" t="s">
        <v>563</v>
      </c>
      <c r="AK77" s="60">
        <v>2</v>
      </c>
      <c r="AL77" s="28">
        <f>1/COUNTIF(Tableau6[LAT],B77)</f>
        <v>0.5</v>
      </c>
      <c r="AM77" s="60" t="b">
        <f t="shared" si="5"/>
        <v>0</v>
      </c>
      <c r="AN77" s="60" t="b">
        <f t="shared" si="6"/>
        <v>0</v>
      </c>
      <c r="AO77" s="60" t="b">
        <f t="shared" si="7"/>
        <v>0</v>
      </c>
      <c r="AP77" s="60" t="b">
        <f t="shared" si="8"/>
        <v>0</v>
      </c>
      <c r="AQ77" s="60" t="b">
        <f t="shared" si="9"/>
        <v>0</v>
      </c>
      <c r="AR77" s="60" t="str">
        <f t="shared" si="10"/>
        <v>No</v>
      </c>
      <c r="AS77" s="60" t="str">
        <f t="shared" si="11"/>
        <v>No</v>
      </c>
    </row>
    <row r="78" spans="1:45" ht="15" hidden="1">
      <c r="A78" s="103">
        <v>45243</v>
      </c>
      <c r="B78" s="117" t="s">
        <v>891</v>
      </c>
      <c r="C78" s="28" t="s">
        <v>548</v>
      </c>
      <c r="D78" s="28" t="s">
        <v>899</v>
      </c>
      <c r="F78" s="28" t="s">
        <v>893</v>
      </c>
      <c r="G78" s="28" t="s">
        <v>514</v>
      </c>
      <c r="H78" s="28" t="s">
        <v>894</v>
      </c>
      <c r="I78" s="28" t="s">
        <v>516</v>
      </c>
      <c r="J78" s="28" t="s">
        <v>517</v>
      </c>
      <c r="K78" s="28" t="s">
        <v>518</v>
      </c>
      <c r="L78" s="28" t="s">
        <v>895</v>
      </c>
      <c r="M78" s="28" t="s">
        <v>535</v>
      </c>
      <c r="N78" s="28" t="s">
        <v>557</v>
      </c>
      <c r="O78" s="28" t="s">
        <v>559</v>
      </c>
      <c r="S78" s="28" t="s">
        <v>896</v>
      </c>
      <c r="T78" s="28" t="s">
        <v>897</v>
      </c>
      <c r="U78" s="28" t="s">
        <v>897</v>
      </c>
      <c r="V78" s="28" t="s">
        <v>517</v>
      </c>
      <c r="W78" s="28" t="s">
        <v>900</v>
      </c>
      <c r="Z78" s="28" t="s">
        <v>563</v>
      </c>
      <c r="AB78" s="28" t="s">
        <v>527</v>
      </c>
      <c r="AD78" s="118" t="s">
        <v>528</v>
      </c>
      <c r="AF78" s="126" t="s">
        <v>899</v>
      </c>
      <c r="AG78" s="28" t="s">
        <v>563</v>
      </c>
      <c r="AK78" s="60">
        <v>2</v>
      </c>
      <c r="AL78" s="28">
        <f>1/COUNTIF(Tableau6[LAT],B78)</f>
        <v>0.5</v>
      </c>
      <c r="AM78" s="60" t="b">
        <f t="shared" si="5"/>
        <v>0</v>
      </c>
      <c r="AN78" s="60" t="b">
        <f t="shared" si="6"/>
        <v>0</v>
      </c>
      <c r="AO78" s="60" t="b">
        <f t="shared" si="7"/>
        <v>0</v>
      </c>
      <c r="AP78" s="60" t="b">
        <f t="shared" si="8"/>
        <v>0</v>
      </c>
      <c r="AQ78" s="60" t="b">
        <f t="shared" si="9"/>
        <v>0</v>
      </c>
      <c r="AR78" s="60" t="str">
        <f t="shared" si="10"/>
        <v>No</v>
      </c>
      <c r="AS78" s="60" t="str">
        <f t="shared" si="11"/>
        <v>No</v>
      </c>
    </row>
    <row r="79" spans="1:45" ht="15" hidden="1">
      <c r="A79" s="103">
        <v>45243</v>
      </c>
      <c r="B79" s="117" t="s">
        <v>901</v>
      </c>
      <c r="C79" s="28" t="s">
        <v>511</v>
      </c>
      <c r="D79" s="28" t="s">
        <v>902</v>
      </c>
      <c r="F79" s="28" t="s">
        <v>903</v>
      </c>
      <c r="G79" s="28" t="s">
        <v>514</v>
      </c>
      <c r="H79" s="28" t="s">
        <v>904</v>
      </c>
      <c r="I79" s="28" t="s">
        <v>516</v>
      </c>
      <c r="J79" s="28" t="s">
        <v>517</v>
      </c>
      <c r="K79" s="28" t="s">
        <v>518</v>
      </c>
      <c r="L79" s="28" t="s">
        <v>667</v>
      </c>
      <c r="M79" s="28" t="s">
        <v>520</v>
      </c>
      <c r="N79" s="28" t="s">
        <v>557</v>
      </c>
      <c r="O79" s="28" t="s">
        <v>544</v>
      </c>
      <c r="S79" s="28" t="s">
        <v>905</v>
      </c>
      <c r="T79" s="28" t="s">
        <v>597</v>
      </c>
      <c r="U79" s="28" t="s">
        <v>597</v>
      </c>
      <c r="V79" s="28" t="s">
        <v>517</v>
      </c>
      <c r="W79" s="28" t="s">
        <v>906</v>
      </c>
      <c r="Z79" s="28" t="s">
        <v>563</v>
      </c>
      <c r="AB79" s="28" t="s">
        <v>527</v>
      </c>
      <c r="AD79" s="118" t="s">
        <v>528</v>
      </c>
      <c r="AF79" s="126" t="s">
        <v>902</v>
      </c>
      <c r="AG79" s="28" t="s">
        <v>563</v>
      </c>
      <c r="AK79" s="60">
        <v>2</v>
      </c>
      <c r="AL79" s="28">
        <f>1/COUNTIF(Tableau6[LAT],B79)</f>
        <v>0.25</v>
      </c>
      <c r="AM79" s="60" t="b">
        <f t="shared" si="5"/>
        <v>0</v>
      </c>
      <c r="AN79" s="60" t="b">
        <f t="shared" si="6"/>
        <v>0</v>
      </c>
      <c r="AO79" s="60" t="b">
        <f t="shared" si="7"/>
        <v>0</v>
      </c>
      <c r="AP79" s="60" t="b">
        <f t="shared" si="8"/>
        <v>0</v>
      </c>
      <c r="AQ79" s="60" t="b">
        <f t="shared" si="9"/>
        <v>0</v>
      </c>
      <c r="AR79" s="60" t="str">
        <f t="shared" si="10"/>
        <v>No</v>
      </c>
      <c r="AS79" s="60" t="str">
        <f t="shared" si="11"/>
        <v>No</v>
      </c>
    </row>
    <row r="80" spans="1:45" ht="15" hidden="1">
      <c r="A80" s="103">
        <v>45243</v>
      </c>
      <c r="B80" s="117" t="s">
        <v>901</v>
      </c>
      <c r="C80" s="28" t="s">
        <v>548</v>
      </c>
      <c r="D80" s="28" t="s">
        <v>907</v>
      </c>
      <c r="F80" s="28" t="s">
        <v>903</v>
      </c>
      <c r="G80" s="28" t="s">
        <v>514</v>
      </c>
      <c r="H80" s="28" t="s">
        <v>711</v>
      </c>
      <c r="I80" s="28" t="s">
        <v>516</v>
      </c>
      <c r="J80" s="28" t="s">
        <v>517</v>
      </c>
      <c r="K80" s="28" t="s">
        <v>518</v>
      </c>
      <c r="L80" s="28" t="s">
        <v>667</v>
      </c>
      <c r="M80" s="28" t="s">
        <v>520</v>
      </c>
      <c r="N80" s="28" t="s">
        <v>557</v>
      </c>
      <c r="O80" s="28" t="s">
        <v>544</v>
      </c>
      <c r="S80" s="28" t="s">
        <v>905</v>
      </c>
      <c r="T80" s="28" t="s">
        <v>597</v>
      </c>
      <c r="U80" s="28" t="s">
        <v>597</v>
      </c>
      <c r="V80" s="28" t="s">
        <v>517</v>
      </c>
      <c r="W80" s="28" t="s">
        <v>908</v>
      </c>
      <c r="Z80" s="28" t="s">
        <v>563</v>
      </c>
      <c r="AB80" s="28" t="s">
        <v>527</v>
      </c>
      <c r="AD80" s="118" t="s">
        <v>528</v>
      </c>
      <c r="AF80" s="126" t="s">
        <v>907</v>
      </c>
      <c r="AG80" s="28" t="s">
        <v>563</v>
      </c>
      <c r="AK80" s="60">
        <v>2</v>
      </c>
      <c r="AL80" s="28">
        <f>1/COUNTIF(Tableau6[LAT],B80)</f>
        <v>0.25</v>
      </c>
      <c r="AM80" s="60" t="b">
        <f t="shared" si="5"/>
        <v>0</v>
      </c>
      <c r="AN80" s="60" t="b">
        <f t="shared" si="6"/>
        <v>0</v>
      </c>
      <c r="AO80" s="60" t="b">
        <f t="shared" si="7"/>
        <v>0</v>
      </c>
      <c r="AP80" s="60" t="b">
        <f t="shared" si="8"/>
        <v>0</v>
      </c>
      <c r="AQ80" s="60" t="b">
        <f t="shared" si="9"/>
        <v>0</v>
      </c>
      <c r="AR80" s="60" t="str">
        <f t="shared" si="10"/>
        <v>No</v>
      </c>
      <c r="AS80" s="60" t="str">
        <f t="shared" si="11"/>
        <v>No</v>
      </c>
    </row>
    <row r="81" spans="1:45" ht="15" hidden="1">
      <c r="A81" s="103">
        <v>45243</v>
      </c>
      <c r="B81" s="117" t="s">
        <v>901</v>
      </c>
      <c r="C81" s="28" t="s">
        <v>612</v>
      </c>
      <c r="D81" s="28" t="s">
        <v>909</v>
      </c>
      <c r="F81" s="28" t="s">
        <v>903</v>
      </c>
      <c r="G81" s="28" t="s">
        <v>514</v>
      </c>
      <c r="H81" s="28" t="s">
        <v>904</v>
      </c>
      <c r="I81" s="28" t="s">
        <v>516</v>
      </c>
      <c r="J81" s="28" t="s">
        <v>517</v>
      </c>
      <c r="K81" s="28" t="s">
        <v>518</v>
      </c>
      <c r="L81" s="28" t="s">
        <v>667</v>
      </c>
      <c r="M81" s="28" t="s">
        <v>520</v>
      </c>
      <c r="N81" s="28" t="s">
        <v>557</v>
      </c>
      <c r="O81" s="28" t="s">
        <v>544</v>
      </c>
      <c r="S81" s="28" t="s">
        <v>905</v>
      </c>
      <c r="T81" s="28" t="s">
        <v>597</v>
      </c>
      <c r="U81" s="28" t="s">
        <v>597</v>
      </c>
      <c r="V81" s="28" t="s">
        <v>517</v>
      </c>
      <c r="W81" s="28" t="s">
        <v>910</v>
      </c>
      <c r="Z81" s="28" t="s">
        <v>563</v>
      </c>
      <c r="AB81" s="28" t="s">
        <v>527</v>
      </c>
      <c r="AD81" s="118" t="s">
        <v>528</v>
      </c>
      <c r="AF81" s="126" t="s">
        <v>909</v>
      </c>
      <c r="AG81" s="28" t="s">
        <v>563</v>
      </c>
      <c r="AK81" s="60">
        <v>2</v>
      </c>
      <c r="AL81" s="28">
        <f>1/COUNTIF(Tableau6[LAT],B81)</f>
        <v>0.25</v>
      </c>
      <c r="AM81" s="60" t="b">
        <f t="shared" si="5"/>
        <v>0</v>
      </c>
      <c r="AN81" s="60" t="b">
        <f t="shared" si="6"/>
        <v>0</v>
      </c>
      <c r="AO81" s="60" t="b">
        <f t="shared" si="7"/>
        <v>0</v>
      </c>
      <c r="AP81" s="60" t="b">
        <f t="shared" si="8"/>
        <v>0</v>
      </c>
      <c r="AQ81" s="60" t="b">
        <f t="shared" si="9"/>
        <v>0</v>
      </c>
      <c r="AR81" s="60" t="str">
        <f t="shared" si="10"/>
        <v>No</v>
      </c>
      <c r="AS81" s="60" t="str">
        <f t="shared" si="11"/>
        <v>No</v>
      </c>
    </row>
    <row r="82" spans="1:45" ht="15" hidden="1">
      <c r="A82" s="103">
        <v>45243</v>
      </c>
      <c r="B82" s="117" t="s">
        <v>901</v>
      </c>
      <c r="C82" s="28" t="s">
        <v>691</v>
      </c>
      <c r="D82" s="28" t="s">
        <v>911</v>
      </c>
      <c r="F82" s="28" t="s">
        <v>903</v>
      </c>
      <c r="G82" s="28" t="s">
        <v>514</v>
      </c>
      <c r="H82" s="28" t="s">
        <v>904</v>
      </c>
      <c r="I82" s="28" t="s">
        <v>516</v>
      </c>
      <c r="J82" s="28" t="s">
        <v>517</v>
      </c>
      <c r="K82" s="28" t="s">
        <v>518</v>
      </c>
      <c r="L82" s="28" t="s">
        <v>667</v>
      </c>
      <c r="M82" s="28" t="s">
        <v>520</v>
      </c>
      <c r="N82" s="28" t="s">
        <v>557</v>
      </c>
      <c r="O82" s="28" t="s">
        <v>544</v>
      </c>
      <c r="S82" s="28" t="s">
        <v>905</v>
      </c>
      <c r="T82" s="28" t="s">
        <v>597</v>
      </c>
      <c r="U82" s="28" t="s">
        <v>597</v>
      </c>
      <c r="V82" s="28" t="s">
        <v>517</v>
      </c>
      <c r="W82" s="28" t="s">
        <v>912</v>
      </c>
      <c r="Z82" s="28" t="s">
        <v>563</v>
      </c>
      <c r="AB82" s="28" t="s">
        <v>527</v>
      </c>
      <c r="AD82" s="118" t="s">
        <v>528</v>
      </c>
      <c r="AF82" s="126" t="s">
        <v>911</v>
      </c>
      <c r="AG82" s="28" t="s">
        <v>563</v>
      </c>
      <c r="AK82" s="60">
        <v>2</v>
      </c>
      <c r="AL82" s="28">
        <f>1/COUNTIF(Tableau6[LAT],B82)</f>
        <v>0.25</v>
      </c>
      <c r="AM82" s="60" t="b">
        <f t="shared" si="5"/>
        <v>0</v>
      </c>
      <c r="AN82" s="60" t="b">
        <f t="shared" si="6"/>
        <v>0</v>
      </c>
      <c r="AO82" s="60" t="b">
        <f t="shared" si="7"/>
        <v>0</v>
      </c>
      <c r="AP82" s="60" t="b">
        <f t="shared" si="8"/>
        <v>0</v>
      </c>
      <c r="AQ82" s="60" t="b">
        <f t="shared" si="9"/>
        <v>0</v>
      </c>
      <c r="AR82" s="60" t="str">
        <f t="shared" si="10"/>
        <v>No</v>
      </c>
      <c r="AS82" s="60" t="str">
        <f t="shared" si="11"/>
        <v>No</v>
      </c>
    </row>
    <row r="83" spans="1:45" ht="15" hidden="1">
      <c r="A83" s="103">
        <v>45243</v>
      </c>
      <c r="B83" s="117" t="s">
        <v>913</v>
      </c>
      <c r="C83" s="28" t="s">
        <v>511</v>
      </c>
      <c r="D83" s="28" t="s">
        <v>914</v>
      </c>
      <c r="F83" s="28" t="s">
        <v>696</v>
      </c>
      <c r="G83" s="28" t="s">
        <v>514</v>
      </c>
      <c r="H83" s="28" t="s">
        <v>915</v>
      </c>
      <c r="I83" s="28" t="s">
        <v>516</v>
      </c>
      <c r="J83" s="28" t="s">
        <v>517</v>
      </c>
      <c r="K83" s="28" t="s">
        <v>518</v>
      </c>
      <c r="L83" s="28" t="s">
        <v>916</v>
      </c>
      <c r="M83" s="28" t="s">
        <v>535</v>
      </c>
      <c r="N83" s="28" t="s">
        <v>557</v>
      </c>
      <c r="S83" s="28" t="s">
        <v>775</v>
      </c>
      <c r="T83" s="28" t="s">
        <v>917</v>
      </c>
      <c r="U83" s="28" t="s">
        <v>917</v>
      </c>
      <c r="V83" s="28" t="s">
        <v>517</v>
      </c>
      <c r="W83" s="28" t="s">
        <v>918</v>
      </c>
      <c r="Z83" s="28" t="s">
        <v>563</v>
      </c>
      <c r="AB83" s="28" t="s">
        <v>527</v>
      </c>
      <c r="AD83" s="118" t="s">
        <v>528</v>
      </c>
      <c r="AF83" s="125" t="s">
        <v>914</v>
      </c>
      <c r="AG83" s="28" t="s">
        <v>563</v>
      </c>
      <c r="AK83" s="60">
        <v>2</v>
      </c>
      <c r="AL83" s="28">
        <f>1/COUNTIF(Tableau6[LAT],B83)</f>
        <v>1</v>
      </c>
      <c r="AM83" s="60" t="b">
        <f t="shared" si="5"/>
        <v>0</v>
      </c>
      <c r="AN83" s="60" t="b">
        <f t="shared" si="6"/>
        <v>0</v>
      </c>
      <c r="AO83" s="60" t="b">
        <f t="shared" si="7"/>
        <v>0</v>
      </c>
      <c r="AP83" s="60" t="b">
        <f t="shared" si="8"/>
        <v>0</v>
      </c>
      <c r="AQ83" s="60" t="b">
        <f t="shared" si="9"/>
        <v>0</v>
      </c>
      <c r="AR83" s="60" t="str">
        <f t="shared" si="10"/>
        <v>No</v>
      </c>
      <c r="AS83" s="60" t="str">
        <f t="shared" si="11"/>
        <v>No</v>
      </c>
    </row>
    <row r="84" spans="1:45" ht="15" hidden="1">
      <c r="A84" s="103">
        <v>45243</v>
      </c>
      <c r="B84" s="117">
        <v>5705207075</v>
      </c>
      <c r="C84" s="28" t="s">
        <v>511</v>
      </c>
      <c r="D84" s="28" t="s">
        <v>919</v>
      </c>
      <c r="F84" s="28" t="s">
        <v>920</v>
      </c>
      <c r="G84" s="28" t="s">
        <v>514</v>
      </c>
      <c r="H84" s="28" t="s">
        <v>921</v>
      </c>
      <c r="I84" s="28" t="s">
        <v>517</v>
      </c>
      <c r="J84" s="28" t="s">
        <v>517</v>
      </c>
      <c r="K84" s="28" t="s">
        <v>518</v>
      </c>
      <c r="L84" s="28" t="s">
        <v>667</v>
      </c>
      <c r="M84" s="28" t="s">
        <v>520</v>
      </c>
      <c r="S84" s="28" t="s">
        <v>573</v>
      </c>
      <c r="T84" s="28" t="s">
        <v>597</v>
      </c>
      <c r="U84" s="28" t="s">
        <v>597</v>
      </c>
      <c r="V84" s="28" t="s">
        <v>517</v>
      </c>
      <c r="W84" s="28" t="s">
        <v>922</v>
      </c>
      <c r="Z84" s="28" t="s">
        <v>526</v>
      </c>
      <c r="AB84" s="28" t="s">
        <v>923</v>
      </c>
      <c r="AC84" s="73" t="s">
        <v>35</v>
      </c>
      <c r="AD84" s="118" t="s">
        <v>528</v>
      </c>
      <c r="AF84" s="125" t="s">
        <v>919</v>
      </c>
      <c r="AG84" s="28" t="s">
        <v>563</v>
      </c>
      <c r="AK84" s="60">
        <v>2</v>
      </c>
      <c r="AL84" s="28">
        <f>1/COUNTIF(Tableau6[LAT],B84)</f>
        <v>1</v>
      </c>
      <c r="AM84" s="60" t="b">
        <f t="shared" si="5"/>
        <v>0</v>
      </c>
      <c r="AN84" s="60" t="b">
        <f t="shared" si="6"/>
        <v>0</v>
      </c>
      <c r="AO84" s="60" t="b">
        <f t="shared" si="7"/>
        <v>0</v>
      </c>
      <c r="AP84" s="60" t="b">
        <f t="shared" si="8"/>
        <v>0</v>
      </c>
      <c r="AQ84" s="60" t="b">
        <f t="shared" si="9"/>
        <v>0</v>
      </c>
      <c r="AR84" s="60" t="str">
        <f t="shared" si="10"/>
        <v>No</v>
      </c>
      <c r="AS84" s="60" t="str">
        <f t="shared" si="11"/>
        <v>No</v>
      </c>
    </row>
    <row r="85" spans="1:45" ht="15" hidden="1">
      <c r="A85" s="103">
        <v>45243</v>
      </c>
      <c r="B85" s="117" t="s">
        <v>924</v>
      </c>
      <c r="C85" s="28" t="s">
        <v>511</v>
      </c>
      <c r="D85" s="28" t="s">
        <v>925</v>
      </c>
      <c r="E85" s="28" t="s">
        <v>926</v>
      </c>
      <c r="F85" s="28" t="s">
        <v>927</v>
      </c>
      <c r="G85" s="28" t="s">
        <v>514</v>
      </c>
      <c r="H85" s="28" t="s">
        <v>904</v>
      </c>
      <c r="I85" s="28" t="s">
        <v>516</v>
      </c>
      <c r="J85" s="28" t="s">
        <v>517</v>
      </c>
      <c r="K85" s="28" t="s">
        <v>518</v>
      </c>
      <c r="L85" s="28" t="s">
        <v>809</v>
      </c>
      <c r="M85" s="28" t="s">
        <v>535</v>
      </c>
      <c r="N85" s="28" t="s">
        <v>544</v>
      </c>
      <c r="S85" s="28" t="s">
        <v>928</v>
      </c>
      <c r="T85" s="28" t="s">
        <v>811</v>
      </c>
      <c r="U85" s="28" t="s">
        <v>811</v>
      </c>
      <c r="V85" s="28" t="s">
        <v>517</v>
      </c>
      <c r="W85" s="28" t="s">
        <v>929</v>
      </c>
      <c r="X85" s="28" t="s">
        <v>670</v>
      </c>
      <c r="Z85" s="28" t="s">
        <v>563</v>
      </c>
      <c r="AB85" s="73" t="s">
        <v>609</v>
      </c>
      <c r="AD85" s="118" t="s">
        <v>528</v>
      </c>
      <c r="AF85" s="125" t="s">
        <v>925</v>
      </c>
      <c r="AG85" s="28" t="s">
        <v>563</v>
      </c>
      <c r="AK85" s="60">
        <v>2</v>
      </c>
      <c r="AL85" s="28">
        <f>1/COUNTIF(Tableau6[LAT],B85)</f>
        <v>0.5</v>
      </c>
      <c r="AM85" s="60" t="b">
        <f t="shared" si="5"/>
        <v>0</v>
      </c>
      <c r="AN85" s="60" t="b">
        <f t="shared" si="6"/>
        <v>0</v>
      </c>
      <c r="AO85" s="60" t="b">
        <f t="shared" si="7"/>
        <v>0</v>
      </c>
      <c r="AP85" s="60" t="b">
        <f t="shared" si="8"/>
        <v>0</v>
      </c>
      <c r="AQ85" s="60" t="b">
        <f t="shared" si="9"/>
        <v>0</v>
      </c>
      <c r="AR85" s="60" t="str">
        <f t="shared" si="10"/>
        <v>No</v>
      </c>
      <c r="AS85" s="60" t="str">
        <f t="shared" si="11"/>
        <v>No</v>
      </c>
    </row>
    <row r="86" spans="1:45" ht="15" hidden="1">
      <c r="A86" s="103">
        <v>45243</v>
      </c>
      <c r="B86" s="117" t="s">
        <v>930</v>
      </c>
      <c r="C86" s="28" t="s">
        <v>511</v>
      </c>
      <c r="D86" s="28" t="s">
        <v>931</v>
      </c>
      <c r="F86" s="28" t="s">
        <v>932</v>
      </c>
      <c r="G86" s="28" t="s">
        <v>514</v>
      </c>
      <c r="H86" s="28" t="s">
        <v>933</v>
      </c>
      <c r="I86" s="28" t="s">
        <v>516</v>
      </c>
      <c r="J86" s="28" t="s">
        <v>517</v>
      </c>
      <c r="K86" s="28" t="s">
        <v>518</v>
      </c>
      <c r="L86" s="28" t="s">
        <v>534</v>
      </c>
      <c r="M86" s="28" t="s">
        <v>535</v>
      </c>
      <c r="N86" s="28" t="s">
        <v>521</v>
      </c>
      <c r="O86" s="28" t="s">
        <v>934</v>
      </c>
      <c r="P86" s="28" t="s">
        <v>522</v>
      </c>
      <c r="S86" s="28" t="s">
        <v>523</v>
      </c>
      <c r="T86" s="28" t="s">
        <v>537</v>
      </c>
      <c r="U86" s="28" t="s">
        <v>537</v>
      </c>
      <c r="V86" s="28" t="s">
        <v>517</v>
      </c>
      <c r="W86" s="28" t="s">
        <v>935</v>
      </c>
      <c r="Z86" s="28" t="s">
        <v>526</v>
      </c>
      <c r="AD86" s="118" t="s">
        <v>528</v>
      </c>
      <c r="AF86" s="125" t="s">
        <v>931</v>
      </c>
      <c r="AG86" s="28" t="s">
        <v>563</v>
      </c>
      <c r="AK86" s="60">
        <v>2</v>
      </c>
      <c r="AL86" s="28">
        <f>1/COUNTIF(Tableau6[LAT],B86)</f>
        <v>1</v>
      </c>
      <c r="AM86" s="60" t="b">
        <f t="shared" si="5"/>
        <v>0</v>
      </c>
      <c r="AN86" s="60" t="b">
        <f t="shared" si="6"/>
        <v>0</v>
      </c>
      <c r="AO86" s="60" t="b">
        <f t="shared" si="7"/>
        <v>0</v>
      </c>
      <c r="AP86" s="60" t="b">
        <f t="shared" si="8"/>
        <v>0</v>
      </c>
      <c r="AQ86" s="60" t="b">
        <f t="shared" si="9"/>
        <v>0</v>
      </c>
      <c r="AR86" s="60" t="str">
        <f t="shared" si="10"/>
        <v>No</v>
      </c>
      <c r="AS86" s="60" t="str">
        <f t="shared" si="11"/>
        <v>No</v>
      </c>
    </row>
    <row r="87" spans="1:45" ht="15" hidden="1">
      <c r="A87" s="103">
        <v>45243</v>
      </c>
      <c r="B87" s="117" t="s">
        <v>936</v>
      </c>
      <c r="C87" s="28" t="s">
        <v>548</v>
      </c>
      <c r="D87" s="28" t="s">
        <v>937</v>
      </c>
      <c r="F87" s="28" t="s">
        <v>938</v>
      </c>
      <c r="G87" s="28" t="s">
        <v>514</v>
      </c>
      <c r="H87" s="28" t="s">
        <v>939</v>
      </c>
      <c r="I87" s="28" t="s">
        <v>516</v>
      </c>
      <c r="J87" s="28" t="s">
        <v>517</v>
      </c>
      <c r="K87" s="28" t="s">
        <v>518</v>
      </c>
      <c r="L87" s="28" t="s">
        <v>839</v>
      </c>
      <c r="M87" s="28" t="s">
        <v>535</v>
      </c>
      <c r="N87" s="28" t="s">
        <v>557</v>
      </c>
      <c r="O87" s="28" t="s">
        <v>544</v>
      </c>
      <c r="P87" s="28" t="s">
        <v>522</v>
      </c>
      <c r="S87" s="28" t="s">
        <v>940</v>
      </c>
      <c r="T87" s="28" t="s">
        <v>840</v>
      </c>
      <c r="U87" s="28" t="s">
        <v>840</v>
      </c>
      <c r="V87" s="28" t="s">
        <v>517</v>
      </c>
      <c r="W87" s="28" t="s">
        <v>941</v>
      </c>
      <c r="Z87" s="28" t="s">
        <v>563</v>
      </c>
      <c r="AB87" s="28" t="s">
        <v>527</v>
      </c>
      <c r="AD87" s="118" t="s">
        <v>528</v>
      </c>
      <c r="AF87" s="125" t="s">
        <v>942</v>
      </c>
      <c r="AG87" s="28" t="s">
        <v>563</v>
      </c>
      <c r="AK87" s="60">
        <v>2</v>
      </c>
      <c r="AL87" s="28">
        <f>1/COUNTIF(Tableau6[LAT],B87)</f>
        <v>1</v>
      </c>
      <c r="AM87" s="60" t="b">
        <f t="shared" si="5"/>
        <v>0</v>
      </c>
      <c r="AN87" s="60" t="b">
        <f t="shared" si="6"/>
        <v>0</v>
      </c>
      <c r="AO87" s="60" t="b">
        <f t="shared" si="7"/>
        <v>0</v>
      </c>
      <c r="AP87" s="60" t="b">
        <f t="shared" si="8"/>
        <v>0</v>
      </c>
      <c r="AQ87" s="60" t="b">
        <f t="shared" si="9"/>
        <v>0</v>
      </c>
      <c r="AR87" s="60" t="str">
        <f t="shared" si="10"/>
        <v>No</v>
      </c>
      <c r="AS87" s="60" t="str">
        <f t="shared" si="11"/>
        <v>No</v>
      </c>
    </row>
    <row r="88" spans="1:45" ht="15" hidden="1">
      <c r="A88" s="103">
        <v>45243</v>
      </c>
      <c r="B88" s="117" t="s">
        <v>943</v>
      </c>
      <c r="C88" s="28" t="s">
        <v>511</v>
      </c>
      <c r="D88" s="28" t="s">
        <v>944</v>
      </c>
      <c r="E88" s="28" t="s">
        <v>945</v>
      </c>
      <c r="F88" s="28" t="s">
        <v>946</v>
      </c>
      <c r="G88" s="28" t="s">
        <v>514</v>
      </c>
      <c r="H88" s="28" t="s">
        <v>947</v>
      </c>
      <c r="I88" s="28" t="s">
        <v>516</v>
      </c>
      <c r="J88" s="28" t="s">
        <v>517</v>
      </c>
      <c r="K88" s="28" t="s">
        <v>518</v>
      </c>
      <c r="L88" s="28" t="s">
        <v>809</v>
      </c>
      <c r="M88" s="28" t="s">
        <v>535</v>
      </c>
      <c r="N88" s="28" t="s">
        <v>544</v>
      </c>
      <c r="S88" s="28" t="s">
        <v>740</v>
      </c>
      <c r="T88" s="28" t="s">
        <v>811</v>
      </c>
      <c r="U88" s="28" t="s">
        <v>811</v>
      </c>
      <c r="V88" s="28" t="s">
        <v>517</v>
      </c>
      <c r="W88" s="28" t="s">
        <v>948</v>
      </c>
      <c r="X88" s="28" t="s">
        <v>670</v>
      </c>
      <c r="Z88" s="28" t="s">
        <v>563</v>
      </c>
      <c r="AB88" s="28" t="s">
        <v>527</v>
      </c>
      <c r="AD88" s="118" t="s">
        <v>528</v>
      </c>
      <c r="AF88" s="125" t="s">
        <v>944</v>
      </c>
      <c r="AG88" s="28" t="s">
        <v>563</v>
      </c>
      <c r="AK88" s="60">
        <v>2</v>
      </c>
      <c r="AL88" s="28">
        <f>1/COUNTIF(Tableau6[LAT],B88)</f>
        <v>1</v>
      </c>
      <c r="AM88" s="60" t="b">
        <f t="shared" ref="AM88:AM151" si="12">IF(N88="ALM","Yes",IF(N88="ALI","Yes",IF(N88="CAO","Yes",IF(N88="ICE","Yes",IF(N88="MAG","Yes",IF(N88="MAG","Yes",IF(N88="RBI","Yes",IF(N88="RBM","Yes",IF(N88="RCL","Yes",IF(N88="RCM","Yes",IF(N88="RCX","Yes",IF(N88="RDS","Yes",IF(N88="REQ","Yes",IF(N88="REX","Yes",IF(N88="RFG","Yes",IF(N88="RFL","Yes",IF(N88="RFS","Yes",IF(N88="RFW","Yes",IF(N88="RGX","Yes",IF(N88="RIS",IF(N88="RLI","Yes",IF(N88="RLM","Yes",IF(N88="RMD","Yes",IF(N88="RNG","Yes",IF(N88="ROP","Yes",IF(N88="ROX","Yes",IF(N88="RPB","Yes",IF(N88="RPG","Yes",IF(N88="RRE","Yes",IF(N88="RRW","Yes",IF(N88="RRY","Yes",IF(N88="RSB","Yes",IF(N88="RSC","Yes",IF(N88="RXB","Yes",IF(N88="RXC","Yes",IF(N88="RXD","Yes",IF(N88="RXE","Yes",IF(N88="RXG","Yes",IF(N88="RXS","Yes",)))))))))))))))))))))))))))))))))))))))</f>
        <v>0</v>
      </c>
      <c r="AN88" s="60" t="b">
        <f t="shared" ref="AN88:AN151" si="13">IF(O88="ALM","Yes",IF(O88="ALI","Yes",IF(O88="CAO","Yes",IF(O88="ICE","Yes",IF(O88="MAG","Yes",IF(O88="MAG","Yes",IF(O88="RBI","Yes",IF(O88="RBM","Yes",IF(O88="RCL","Yes",IF(O88="RCM","Yes",IF(O88="RCX","Yes",IF(O88="RDS","Yes",IF(O88="REQ","Yes",IF(O88="REX","Yes",IF(O88="RFG","Yes",IF(O88="RFL","Yes",IF(O88="RFS","Yes",IF(O88="RFW","Yes",IF(O88="RGX","Yes",IF(O88="RIS",IF(O88="RLI","Yes",IF(O88="RLM","Yes",IF(O88="RMD","Yes",IF(O88="RNG","Yes",IF(O88="ROP","Yes",IF(O88="ROX","Yes",IF(O88="RPB","Yes",IF(O88="RPG","Yes",IF(O88="RRE","Yes",IF(O88="RRW","Yes",IF(O88="RRY","Yes",IF(O88="RSB","Yes",IF(O88="RSC","Yes",IF(O88="RXB","Yes",IF(O88="RXC","Yes",IF(O88="RXD","Yes",IF(O88="RXE","Yes",IF(O88="RXG","Yes",IF(O88="RXS","Yes",)))))))))))))))))))))))))))))))))))))))</f>
        <v>0</v>
      </c>
      <c r="AO88" s="60" t="b">
        <f t="shared" ref="AO88:AO151" si="14">IF(P88="ALM","Yes",IF(P88="ALI","Yes",IF(P88="CAO","Yes",IF(P88="ICE","Yes",IF(P88="MAG","Yes",IF(P88="MAG","Yes",IF(P88="RBI","Yes",IF(P88="RBM","Yes",IF(P88="RCL","Yes",IF(P88="RCM","Yes",IF(P88="RCX","Yes",IF(P88="RDS","Yes",IF(P88="REQ","Yes",IF(P88="REX","Yes",IF(P88="RFG","Yes",IF(P88="RFL","Yes",IF(P88="RFS","Yes",IF(P88="RFW","Yes",IF(P88="RGX","Yes",IF(P88="RIS",IF(P88="RLI","Yes",IF(P88="RLM","Yes",IF(P88="RMD","Yes",IF(P88="RNG","Yes",IF(P88="ROP","Yes",IF(P88="ROX","Yes",IF(P88="RPB","Yes",IF(P88="RPG","Yes",IF(P88="RRE","Yes",IF(P88="RRW","Yes",IF(P88="RRY","Yes",IF(P88="RSB","Yes",IF(P88="RSC","Yes",IF(P88="RXB","Yes",IF(P88="RXC","Yes",IF(P88="RXD","Yes",IF(P88="RXE","Yes",IF(P88="RXG","Yes",IF(P88="RXS","Yes",)))))))))))))))))))))))))))))))))))))))</f>
        <v>0</v>
      </c>
      <c r="AP88" s="60" t="b">
        <f t="shared" ref="AP88:AP151" si="15">IF(Q88="ALM","Yes",IF(Q88="ALI","Yes",IF(Q88="CAO","Yes",IF(Q88="ICE","Yes",IF(Q88="MAG","Yes",IF(Q88="MAG","Yes",IF(Q88="RBI","Yes",IF(Q88="RBM","Yes",IF(Q88="RCL","Yes",IF(Q88="RCM","Yes",IF(Q88="RCX","Yes",IF(Q88="RDS","Yes",IF(Q88="REQ","Yes",IF(Q88="REX","Yes",IF(Q88="RFG","Yes",IF(Q88="RFL","Yes",IF(Q88="RFS","Yes",IF(Q88="RFW","Yes",IF(Q88="RGX","Yes",IF(Q88="RIS",IF(Q88="RLI","Yes",IF(Q88="RLM","Yes",IF(Q88="RMD","Yes",IF(Q88="RNG","Yes",IF(Q88="ROP","Yes",IF(Q88="ROX","Yes",IF(Q88="RPB","Yes",IF(Q88="RPG","Yes",IF(Q88="RRE","Yes",IF(Q88="RRW","Yes",IF(Q88="RRY","Yes",IF(Q88="RSB","Yes",IF(Q88="RSC","Yes",IF(Q88="RXB","Yes",IF(Q88="RXC","Yes",IF(Q88="RXD","Yes",IF(Q88="RXE","Yes",IF(Q88="RXG","Yes",IF(Q88="RXS","Yes",)))))))))))))))))))))))))))))))))))))))</f>
        <v>0</v>
      </c>
      <c r="AQ88" s="60" t="b">
        <f t="shared" ref="AQ88:AQ151" si="16">IF(R88="ALM","Yes",IF(R88="ALI","Yes",IF(R88="CAO","Yes",IF(R88="ICE","Yes",IF(R88="MAG","Yes",IF(R88="MAG","Yes",IF(R88="RBI","Yes",IF(R88="RBM","Yes",IF(R88="RCL","Yes",IF(R88="RCM","Yes",IF(R88="RCX","Yes",IF(R88="RDS","Yes",IF(R88="REQ","Yes",IF(R88="REX","Yes",IF(R88="RFG","Yes",IF(R88="RFL","Yes",IF(R88="RFS","Yes",IF(R88="RFW","Yes",IF(R88="RGX","Yes",IF(R88="RIS",IF(R88="RLI","Yes",IF(R88="RLM","Yes",IF(R88="RMD","Yes",IF(R88="RNG","Yes",IF(R88="ROP","Yes",IF(R88="ROX","Yes",IF(R88="RPB","Yes",IF(R88="RPG","Yes",IF(R88="RRE","Yes",IF(R88="RRW","Yes",IF(R88="RRY","Yes",IF(R88="RSB","Yes",IF(R88="RSC","Yes",IF(R88="RXB","Yes",IF(R88="RXC","Yes",IF(R88="RXD","Yes",IF(R88="RXE","Yes",IF(R88="RXG","Yes",IF(R88="RXS","Yes",)))))))))))))))))))))))))))))))))))))))</f>
        <v>0</v>
      </c>
      <c r="AR88" s="60" t="str">
        <f t="shared" si="10"/>
        <v>No</v>
      </c>
      <c r="AS88" s="60" t="str">
        <f t="shared" si="11"/>
        <v>No</v>
      </c>
    </row>
    <row r="89" spans="1:45" ht="15" hidden="1">
      <c r="A89" s="103">
        <v>45243</v>
      </c>
      <c r="B89" s="117" t="s">
        <v>949</v>
      </c>
      <c r="C89" s="28" t="s">
        <v>511</v>
      </c>
      <c r="D89" s="28" t="s">
        <v>950</v>
      </c>
      <c r="F89" s="28" t="s">
        <v>951</v>
      </c>
      <c r="G89" s="28" t="s">
        <v>514</v>
      </c>
      <c r="H89" s="28" t="s">
        <v>952</v>
      </c>
      <c r="I89" s="28" t="s">
        <v>516</v>
      </c>
      <c r="J89" s="28" t="s">
        <v>517</v>
      </c>
      <c r="K89" s="28" t="s">
        <v>518</v>
      </c>
      <c r="L89" s="28" t="s">
        <v>839</v>
      </c>
      <c r="M89" s="28" t="s">
        <v>605</v>
      </c>
      <c r="N89" s="28" t="s">
        <v>544</v>
      </c>
      <c r="S89" s="28" t="s">
        <v>820</v>
      </c>
      <c r="T89" s="28" t="s">
        <v>840</v>
      </c>
      <c r="U89" s="28" t="s">
        <v>840</v>
      </c>
      <c r="V89" s="28" t="s">
        <v>517</v>
      </c>
      <c r="W89" s="28" t="s">
        <v>953</v>
      </c>
      <c r="Z89" s="28" t="s">
        <v>526</v>
      </c>
      <c r="AD89" s="118" t="s">
        <v>954</v>
      </c>
      <c r="AF89" s="125" t="s">
        <v>950</v>
      </c>
      <c r="AG89" s="28" t="s">
        <v>563</v>
      </c>
      <c r="AK89" s="60">
        <v>2</v>
      </c>
      <c r="AL89" s="28">
        <f>1/COUNTIF(Tableau6[LAT],B89)</f>
        <v>1</v>
      </c>
      <c r="AM89" s="60" t="b">
        <f t="shared" si="12"/>
        <v>0</v>
      </c>
      <c r="AN89" s="60" t="b">
        <f t="shared" si="13"/>
        <v>0</v>
      </c>
      <c r="AO89" s="60" t="b">
        <f t="shared" si="14"/>
        <v>0</v>
      </c>
      <c r="AP89" s="60" t="b">
        <f t="shared" si="15"/>
        <v>0</v>
      </c>
      <c r="AQ89" s="60" t="b">
        <f t="shared" si="16"/>
        <v>0</v>
      </c>
      <c r="AR89" s="60" t="str">
        <f t="shared" si="10"/>
        <v>No</v>
      </c>
      <c r="AS89" s="60" t="str">
        <f t="shared" si="11"/>
        <v>No</v>
      </c>
    </row>
    <row r="90" spans="1:45" ht="15" hidden="1">
      <c r="A90" s="103">
        <v>45243</v>
      </c>
      <c r="B90" s="117" t="s">
        <v>955</v>
      </c>
      <c r="C90" s="28" t="s">
        <v>511</v>
      </c>
      <c r="D90" s="28" t="s">
        <v>956</v>
      </c>
      <c r="F90" s="28" t="s">
        <v>957</v>
      </c>
      <c r="G90" s="28" t="s">
        <v>958</v>
      </c>
      <c r="H90" s="28" t="s">
        <v>939</v>
      </c>
      <c r="I90" s="28" t="s">
        <v>516</v>
      </c>
      <c r="J90" s="28" t="s">
        <v>517</v>
      </c>
      <c r="K90" s="28" t="s">
        <v>518</v>
      </c>
      <c r="L90" s="28" t="s">
        <v>959</v>
      </c>
      <c r="M90" s="28" t="s">
        <v>520</v>
      </c>
      <c r="N90" s="28" t="s">
        <v>521</v>
      </c>
      <c r="S90" s="28" t="s">
        <v>732</v>
      </c>
      <c r="T90" s="28" t="s">
        <v>960</v>
      </c>
      <c r="U90" s="28" t="s">
        <v>960</v>
      </c>
      <c r="V90" s="28" t="s">
        <v>517</v>
      </c>
      <c r="W90" s="28" t="s">
        <v>961</v>
      </c>
      <c r="Z90" s="28" t="s">
        <v>563</v>
      </c>
      <c r="AB90" s="28" t="s">
        <v>527</v>
      </c>
      <c r="AD90" s="118" t="s">
        <v>528</v>
      </c>
      <c r="AF90" s="126" t="s">
        <v>956</v>
      </c>
      <c r="AG90" s="28" t="s">
        <v>563</v>
      </c>
      <c r="AK90" s="60">
        <v>2</v>
      </c>
      <c r="AL90" s="28">
        <f>1/COUNTIF(Tableau6[LAT],B90)</f>
        <v>0.25</v>
      </c>
      <c r="AM90" s="60" t="b">
        <f t="shared" si="12"/>
        <v>0</v>
      </c>
      <c r="AN90" s="60" t="b">
        <f t="shared" si="13"/>
        <v>0</v>
      </c>
      <c r="AO90" s="60" t="b">
        <f t="shared" si="14"/>
        <v>0</v>
      </c>
      <c r="AP90" s="60" t="b">
        <f t="shared" si="15"/>
        <v>0</v>
      </c>
      <c r="AQ90" s="60" t="b">
        <f t="shared" si="16"/>
        <v>0</v>
      </c>
      <c r="AR90" s="60" t="str">
        <f t="shared" si="10"/>
        <v>No</v>
      </c>
      <c r="AS90" s="60" t="str">
        <f t="shared" si="11"/>
        <v>No</v>
      </c>
    </row>
    <row r="91" spans="1:45" ht="15" hidden="1">
      <c r="A91" s="103">
        <v>45243</v>
      </c>
      <c r="B91" s="117" t="s">
        <v>955</v>
      </c>
      <c r="C91" s="28" t="s">
        <v>548</v>
      </c>
      <c r="D91" s="28" t="s">
        <v>962</v>
      </c>
      <c r="F91" s="28" t="s">
        <v>957</v>
      </c>
      <c r="G91" s="28" t="s">
        <v>958</v>
      </c>
      <c r="H91" s="28" t="s">
        <v>939</v>
      </c>
      <c r="I91" s="28" t="s">
        <v>516</v>
      </c>
      <c r="J91" s="28" t="s">
        <v>517</v>
      </c>
      <c r="K91" s="28" t="s">
        <v>518</v>
      </c>
      <c r="L91" s="28" t="s">
        <v>959</v>
      </c>
      <c r="M91" s="28" t="s">
        <v>520</v>
      </c>
      <c r="N91" s="28" t="s">
        <v>521</v>
      </c>
      <c r="S91" s="28" t="s">
        <v>732</v>
      </c>
      <c r="T91" s="28" t="s">
        <v>960</v>
      </c>
      <c r="U91" s="28" t="s">
        <v>960</v>
      </c>
      <c r="V91" s="28" t="s">
        <v>517</v>
      </c>
      <c r="W91" s="28" t="s">
        <v>963</v>
      </c>
      <c r="Z91" s="28" t="s">
        <v>563</v>
      </c>
      <c r="AB91" s="28" t="s">
        <v>527</v>
      </c>
      <c r="AD91" s="118" t="s">
        <v>528</v>
      </c>
      <c r="AF91" s="126" t="s">
        <v>962</v>
      </c>
      <c r="AG91" s="28" t="s">
        <v>563</v>
      </c>
      <c r="AK91" s="60">
        <v>2</v>
      </c>
      <c r="AL91" s="28">
        <f>1/COUNTIF(Tableau6[LAT],B91)</f>
        <v>0.25</v>
      </c>
      <c r="AM91" s="60" t="b">
        <f t="shared" si="12"/>
        <v>0</v>
      </c>
      <c r="AN91" s="60" t="b">
        <f t="shared" si="13"/>
        <v>0</v>
      </c>
      <c r="AO91" s="60" t="b">
        <f t="shared" si="14"/>
        <v>0</v>
      </c>
      <c r="AP91" s="60" t="b">
        <f t="shared" si="15"/>
        <v>0</v>
      </c>
      <c r="AQ91" s="60" t="b">
        <f t="shared" si="16"/>
        <v>0</v>
      </c>
      <c r="AR91" s="60" t="str">
        <f t="shared" si="10"/>
        <v>No</v>
      </c>
      <c r="AS91" s="60" t="str">
        <f t="shared" si="11"/>
        <v>No</v>
      </c>
    </row>
    <row r="92" spans="1:45" ht="15" hidden="1">
      <c r="A92" s="103">
        <v>45243</v>
      </c>
      <c r="B92" s="117" t="s">
        <v>955</v>
      </c>
      <c r="C92" s="28" t="s">
        <v>612</v>
      </c>
      <c r="D92" s="28" t="s">
        <v>964</v>
      </c>
      <c r="F92" s="28" t="s">
        <v>965</v>
      </c>
      <c r="G92" s="28" t="s">
        <v>514</v>
      </c>
      <c r="H92" s="28" t="s">
        <v>966</v>
      </c>
      <c r="I92" s="28" t="s">
        <v>516</v>
      </c>
      <c r="J92" s="28" t="s">
        <v>517</v>
      </c>
      <c r="K92" s="28" t="s">
        <v>518</v>
      </c>
      <c r="L92" s="28" t="s">
        <v>959</v>
      </c>
      <c r="M92" s="28" t="s">
        <v>520</v>
      </c>
      <c r="N92" s="28" t="s">
        <v>521</v>
      </c>
      <c r="S92" s="28" t="s">
        <v>732</v>
      </c>
      <c r="T92" s="28" t="s">
        <v>960</v>
      </c>
      <c r="U92" s="28" t="s">
        <v>960</v>
      </c>
      <c r="V92" s="28" t="s">
        <v>517</v>
      </c>
      <c r="W92" s="28" t="s">
        <v>967</v>
      </c>
      <c r="Z92" s="28" t="s">
        <v>563</v>
      </c>
      <c r="AB92" s="28" t="s">
        <v>527</v>
      </c>
      <c r="AD92" s="118" t="s">
        <v>528</v>
      </c>
      <c r="AF92" s="126" t="s">
        <v>964</v>
      </c>
      <c r="AG92" s="28" t="s">
        <v>563</v>
      </c>
      <c r="AK92" s="60">
        <v>2</v>
      </c>
      <c r="AL92" s="28">
        <f>1/COUNTIF(Tableau6[LAT],B92)</f>
        <v>0.25</v>
      </c>
      <c r="AM92" s="60" t="b">
        <f t="shared" si="12"/>
        <v>0</v>
      </c>
      <c r="AN92" s="60" t="b">
        <f t="shared" si="13"/>
        <v>0</v>
      </c>
      <c r="AO92" s="60" t="b">
        <f t="shared" si="14"/>
        <v>0</v>
      </c>
      <c r="AP92" s="60" t="b">
        <f t="shared" si="15"/>
        <v>0</v>
      </c>
      <c r="AQ92" s="60" t="b">
        <f t="shared" si="16"/>
        <v>0</v>
      </c>
      <c r="AR92" s="60" t="str">
        <f t="shared" si="10"/>
        <v>No</v>
      </c>
      <c r="AS92" s="60" t="str">
        <f t="shared" si="11"/>
        <v>No</v>
      </c>
    </row>
    <row r="93" spans="1:45" ht="15" hidden="1">
      <c r="A93" s="103">
        <v>45243</v>
      </c>
      <c r="B93" s="117" t="s">
        <v>955</v>
      </c>
      <c r="C93" s="28" t="s">
        <v>691</v>
      </c>
      <c r="D93" s="28" t="s">
        <v>968</v>
      </c>
      <c r="F93" s="28" t="s">
        <v>965</v>
      </c>
      <c r="G93" s="28" t="s">
        <v>514</v>
      </c>
      <c r="H93" s="28" t="s">
        <v>966</v>
      </c>
      <c r="I93" s="28" t="s">
        <v>516</v>
      </c>
      <c r="J93" s="28" t="s">
        <v>517</v>
      </c>
      <c r="K93" s="28" t="s">
        <v>518</v>
      </c>
      <c r="L93" s="28" t="s">
        <v>959</v>
      </c>
      <c r="M93" s="28" t="s">
        <v>520</v>
      </c>
      <c r="N93" s="28" t="s">
        <v>521</v>
      </c>
      <c r="S93" s="28" t="s">
        <v>732</v>
      </c>
      <c r="T93" s="28" t="s">
        <v>960</v>
      </c>
      <c r="U93" s="28" t="s">
        <v>960</v>
      </c>
      <c r="V93" s="28" t="s">
        <v>517</v>
      </c>
      <c r="W93" s="28" t="s">
        <v>969</v>
      </c>
      <c r="Z93" s="28" t="s">
        <v>563</v>
      </c>
      <c r="AB93" s="28" t="s">
        <v>527</v>
      </c>
      <c r="AD93" s="118" t="s">
        <v>528</v>
      </c>
      <c r="AF93" s="126" t="s">
        <v>968</v>
      </c>
      <c r="AG93" s="28" t="s">
        <v>563</v>
      </c>
      <c r="AK93" s="60">
        <v>2</v>
      </c>
      <c r="AL93" s="28">
        <f>1/COUNTIF(Tableau6[LAT],B93)</f>
        <v>0.25</v>
      </c>
      <c r="AM93" s="60" t="b">
        <f t="shared" si="12"/>
        <v>0</v>
      </c>
      <c r="AN93" s="60" t="b">
        <f t="shared" si="13"/>
        <v>0</v>
      </c>
      <c r="AO93" s="60" t="b">
        <f t="shared" si="14"/>
        <v>0</v>
      </c>
      <c r="AP93" s="60" t="b">
        <f t="shared" si="15"/>
        <v>0</v>
      </c>
      <c r="AQ93" s="60" t="b">
        <f t="shared" si="16"/>
        <v>0</v>
      </c>
      <c r="AR93" s="60" t="str">
        <f t="shared" si="10"/>
        <v>No</v>
      </c>
      <c r="AS93" s="60" t="str">
        <f t="shared" si="11"/>
        <v>No</v>
      </c>
    </row>
    <row r="94" spans="1:45" ht="15" hidden="1">
      <c r="A94" s="103">
        <v>45243</v>
      </c>
      <c r="B94" s="117" t="s">
        <v>970</v>
      </c>
      <c r="C94" s="28" t="s">
        <v>511</v>
      </c>
      <c r="D94" s="28" t="s">
        <v>971</v>
      </c>
      <c r="F94" s="28" t="s">
        <v>972</v>
      </c>
      <c r="G94" s="28" t="s">
        <v>657</v>
      </c>
      <c r="H94" s="28" t="s">
        <v>973</v>
      </c>
      <c r="I94" s="28" t="s">
        <v>516</v>
      </c>
      <c r="J94" s="28" t="s">
        <v>517</v>
      </c>
      <c r="K94" s="28" t="s">
        <v>518</v>
      </c>
      <c r="L94" s="28" t="s">
        <v>974</v>
      </c>
      <c r="M94" s="28" t="s">
        <v>535</v>
      </c>
      <c r="N94" s="28" t="s">
        <v>557</v>
      </c>
      <c r="S94" s="28" t="s">
        <v>718</v>
      </c>
      <c r="T94" s="28" t="s">
        <v>897</v>
      </c>
      <c r="U94" s="28" t="s">
        <v>897</v>
      </c>
      <c r="V94" s="28" t="s">
        <v>517</v>
      </c>
      <c r="W94" s="28" t="s">
        <v>975</v>
      </c>
      <c r="Z94" s="28" t="s">
        <v>526</v>
      </c>
      <c r="AD94" s="118" t="s">
        <v>528</v>
      </c>
      <c r="AF94" s="125" t="s">
        <v>971</v>
      </c>
      <c r="AG94" s="28" t="s">
        <v>529</v>
      </c>
      <c r="AK94" s="60">
        <v>2</v>
      </c>
      <c r="AL94" s="28">
        <f>1/COUNTIF(Tableau6[LAT],B94)</f>
        <v>1</v>
      </c>
      <c r="AM94" s="60" t="b">
        <f t="shared" si="12"/>
        <v>0</v>
      </c>
      <c r="AN94" s="60" t="b">
        <f t="shared" si="13"/>
        <v>0</v>
      </c>
      <c r="AO94" s="60" t="b">
        <f t="shared" si="14"/>
        <v>0</v>
      </c>
      <c r="AP94" s="60" t="b">
        <f t="shared" si="15"/>
        <v>0</v>
      </c>
      <c r="AQ94" s="60" t="b">
        <f t="shared" si="16"/>
        <v>0</v>
      </c>
      <c r="AR94" s="60" t="str">
        <f t="shared" si="10"/>
        <v>No</v>
      </c>
      <c r="AS94" s="60" t="str">
        <f t="shared" si="11"/>
        <v>No</v>
      </c>
    </row>
    <row r="95" spans="1:45" ht="15" hidden="1">
      <c r="A95" s="103">
        <v>45243</v>
      </c>
      <c r="B95" s="117" t="s">
        <v>976</v>
      </c>
      <c r="C95" s="28" t="s">
        <v>511</v>
      </c>
      <c r="D95" s="28" t="s">
        <v>977</v>
      </c>
      <c r="F95" s="28" t="s">
        <v>978</v>
      </c>
      <c r="G95" s="28" t="s">
        <v>979</v>
      </c>
      <c r="H95" s="28" t="s">
        <v>980</v>
      </c>
      <c r="I95" s="28" t="s">
        <v>516</v>
      </c>
      <c r="J95" s="28" t="s">
        <v>517</v>
      </c>
      <c r="K95" s="28" t="s">
        <v>518</v>
      </c>
      <c r="L95" s="28" t="s">
        <v>981</v>
      </c>
      <c r="M95" s="28" t="s">
        <v>535</v>
      </c>
      <c r="S95" s="28" t="s">
        <v>775</v>
      </c>
      <c r="T95" s="28" t="s">
        <v>982</v>
      </c>
      <c r="U95" s="28" t="s">
        <v>982</v>
      </c>
      <c r="V95" s="28" t="s">
        <v>517</v>
      </c>
      <c r="W95" s="28" t="s">
        <v>983</v>
      </c>
      <c r="Z95" s="28" t="s">
        <v>526</v>
      </c>
      <c r="AD95" s="118" t="s">
        <v>954</v>
      </c>
      <c r="AF95" s="126" t="s">
        <v>977</v>
      </c>
      <c r="AG95" s="28" t="s">
        <v>563</v>
      </c>
      <c r="AK95" s="60">
        <v>2</v>
      </c>
      <c r="AL95" s="28">
        <f>1/COUNTIF(Tableau6[LAT],B95)</f>
        <v>0.5</v>
      </c>
      <c r="AM95" s="60" t="b">
        <f t="shared" si="12"/>
        <v>0</v>
      </c>
      <c r="AN95" s="60" t="b">
        <f t="shared" si="13"/>
        <v>0</v>
      </c>
      <c r="AO95" s="60" t="b">
        <f t="shared" si="14"/>
        <v>0</v>
      </c>
      <c r="AP95" s="60" t="b">
        <f t="shared" si="15"/>
        <v>0</v>
      </c>
      <c r="AQ95" s="60" t="b">
        <f t="shared" si="16"/>
        <v>0</v>
      </c>
      <c r="AR95" s="60" t="str">
        <f t="shared" si="10"/>
        <v>No</v>
      </c>
      <c r="AS95" s="60" t="str">
        <f t="shared" si="11"/>
        <v>No</v>
      </c>
    </row>
    <row r="96" spans="1:45" ht="15" hidden="1">
      <c r="A96" s="103">
        <v>45243</v>
      </c>
      <c r="B96" s="117" t="s">
        <v>976</v>
      </c>
      <c r="C96" s="28" t="s">
        <v>548</v>
      </c>
      <c r="D96" s="28" t="s">
        <v>984</v>
      </c>
      <c r="F96" s="28" t="s">
        <v>985</v>
      </c>
      <c r="G96" s="28" t="s">
        <v>724</v>
      </c>
      <c r="H96" s="28" t="s">
        <v>894</v>
      </c>
      <c r="I96" s="28" t="s">
        <v>516</v>
      </c>
      <c r="J96" s="28" t="s">
        <v>517</v>
      </c>
      <c r="K96" s="28" t="s">
        <v>518</v>
      </c>
      <c r="L96" s="28" t="s">
        <v>981</v>
      </c>
      <c r="M96" s="28" t="s">
        <v>535</v>
      </c>
      <c r="S96" s="28" t="s">
        <v>775</v>
      </c>
      <c r="T96" s="28" t="s">
        <v>982</v>
      </c>
      <c r="U96" s="28" t="s">
        <v>982</v>
      </c>
      <c r="V96" s="28" t="s">
        <v>517</v>
      </c>
      <c r="W96" s="28" t="s">
        <v>986</v>
      </c>
      <c r="Z96" s="28" t="s">
        <v>526</v>
      </c>
      <c r="AD96" s="118" t="s">
        <v>954</v>
      </c>
      <c r="AF96" s="126" t="s">
        <v>984</v>
      </c>
      <c r="AG96" s="28" t="s">
        <v>563</v>
      </c>
      <c r="AK96" s="60">
        <v>2</v>
      </c>
      <c r="AL96" s="28">
        <f>1/COUNTIF(Tableau6[LAT],B96)</f>
        <v>0.5</v>
      </c>
      <c r="AM96" s="60" t="b">
        <f t="shared" si="12"/>
        <v>0</v>
      </c>
      <c r="AN96" s="60" t="b">
        <f t="shared" si="13"/>
        <v>0</v>
      </c>
      <c r="AO96" s="60" t="b">
        <f t="shared" si="14"/>
        <v>0</v>
      </c>
      <c r="AP96" s="60" t="b">
        <f t="shared" si="15"/>
        <v>0</v>
      </c>
      <c r="AQ96" s="60" t="b">
        <f t="shared" si="16"/>
        <v>0</v>
      </c>
      <c r="AR96" s="60" t="str">
        <f t="shared" si="10"/>
        <v>No</v>
      </c>
      <c r="AS96" s="60" t="str">
        <f t="shared" si="11"/>
        <v>No</v>
      </c>
    </row>
    <row r="97" spans="1:45" ht="15" hidden="1">
      <c r="A97" s="103">
        <v>45243</v>
      </c>
      <c r="B97" s="117" t="s">
        <v>987</v>
      </c>
      <c r="C97" s="28" t="s">
        <v>511</v>
      </c>
      <c r="D97" s="28" t="s">
        <v>988</v>
      </c>
      <c r="F97" s="28" t="s">
        <v>989</v>
      </c>
      <c r="G97" s="28" t="s">
        <v>514</v>
      </c>
      <c r="H97" s="28" t="s">
        <v>990</v>
      </c>
      <c r="I97" s="28" t="s">
        <v>516</v>
      </c>
      <c r="J97" s="28" t="s">
        <v>517</v>
      </c>
      <c r="K97" s="28" t="s">
        <v>518</v>
      </c>
      <c r="L97" s="28" t="s">
        <v>667</v>
      </c>
      <c r="M97" s="28" t="s">
        <v>520</v>
      </c>
      <c r="N97" s="28" t="s">
        <v>544</v>
      </c>
      <c r="O97" s="28" t="s">
        <v>522</v>
      </c>
      <c r="S97" s="28" t="s">
        <v>991</v>
      </c>
      <c r="T97" s="28" t="s">
        <v>597</v>
      </c>
      <c r="U97" s="28" t="s">
        <v>597</v>
      </c>
      <c r="V97" s="28" t="s">
        <v>517</v>
      </c>
      <c r="W97" s="28" t="s">
        <v>992</v>
      </c>
      <c r="Z97" s="28" t="s">
        <v>563</v>
      </c>
      <c r="AB97" s="28" t="s">
        <v>527</v>
      </c>
      <c r="AD97" s="118" t="s">
        <v>954</v>
      </c>
      <c r="AF97" s="126" t="s">
        <v>988</v>
      </c>
      <c r="AG97" s="28" t="s">
        <v>563</v>
      </c>
      <c r="AK97" s="60">
        <v>2</v>
      </c>
      <c r="AL97" s="28">
        <f>1/COUNTIF(Tableau6[LAT],B97)</f>
        <v>0.5</v>
      </c>
      <c r="AM97" s="60" t="b">
        <f t="shared" si="12"/>
        <v>0</v>
      </c>
      <c r="AN97" s="60" t="b">
        <f t="shared" si="13"/>
        <v>0</v>
      </c>
      <c r="AO97" s="60" t="b">
        <f t="shared" si="14"/>
        <v>0</v>
      </c>
      <c r="AP97" s="60" t="b">
        <f t="shared" si="15"/>
        <v>0</v>
      </c>
      <c r="AQ97" s="60" t="b">
        <f t="shared" si="16"/>
        <v>0</v>
      </c>
      <c r="AR97" s="60" t="str">
        <f t="shared" si="10"/>
        <v>No</v>
      </c>
      <c r="AS97" s="60" t="str">
        <f t="shared" si="11"/>
        <v>No</v>
      </c>
    </row>
    <row r="98" spans="1:45" ht="15" hidden="1">
      <c r="A98" s="103">
        <v>45243</v>
      </c>
      <c r="B98" s="117" t="s">
        <v>987</v>
      </c>
      <c r="C98" s="28" t="s">
        <v>548</v>
      </c>
      <c r="D98" s="28" t="s">
        <v>993</v>
      </c>
      <c r="F98" s="28" t="s">
        <v>989</v>
      </c>
      <c r="G98" s="28" t="s">
        <v>514</v>
      </c>
      <c r="H98" s="28" t="s">
        <v>990</v>
      </c>
      <c r="I98" s="28" t="s">
        <v>516</v>
      </c>
      <c r="J98" s="28" t="s">
        <v>517</v>
      </c>
      <c r="K98" s="28" t="s">
        <v>518</v>
      </c>
      <c r="L98" s="28" t="s">
        <v>667</v>
      </c>
      <c r="M98" s="28" t="s">
        <v>520</v>
      </c>
      <c r="N98" s="28" t="s">
        <v>544</v>
      </c>
      <c r="O98" s="28" t="s">
        <v>522</v>
      </c>
      <c r="S98" s="28" t="s">
        <v>991</v>
      </c>
      <c r="T98" s="28" t="s">
        <v>597</v>
      </c>
      <c r="U98" s="28" t="s">
        <v>597</v>
      </c>
      <c r="V98" s="28" t="s">
        <v>517</v>
      </c>
      <c r="W98" s="28" t="s">
        <v>835</v>
      </c>
      <c r="Z98" s="28" t="s">
        <v>563</v>
      </c>
      <c r="AB98" s="28" t="s">
        <v>527</v>
      </c>
      <c r="AD98" s="118" t="s">
        <v>954</v>
      </c>
      <c r="AF98" s="126" t="s">
        <v>993</v>
      </c>
      <c r="AG98" s="28" t="s">
        <v>563</v>
      </c>
      <c r="AK98" s="60">
        <v>2</v>
      </c>
      <c r="AL98" s="28">
        <f>1/COUNTIF(Tableau6[LAT],B98)</f>
        <v>0.5</v>
      </c>
      <c r="AM98" s="60" t="b">
        <f t="shared" si="12"/>
        <v>0</v>
      </c>
      <c r="AN98" s="60" t="b">
        <f t="shared" si="13"/>
        <v>0</v>
      </c>
      <c r="AO98" s="60" t="b">
        <f t="shared" si="14"/>
        <v>0</v>
      </c>
      <c r="AP98" s="60" t="b">
        <f t="shared" si="15"/>
        <v>0</v>
      </c>
      <c r="AQ98" s="60" t="b">
        <f t="shared" si="16"/>
        <v>0</v>
      </c>
      <c r="AR98" s="60" t="str">
        <f t="shared" si="10"/>
        <v>No</v>
      </c>
      <c r="AS98" s="60" t="str">
        <f t="shared" si="11"/>
        <v>No</v>
      </c>
    </row>
    <row r="99" spans="1:45" ht="15" hidden="1">
      <c r="A99" s="103">
        <v>45243</v>
      </c>
      <c r="B99" s="117" t="s">
        <v>994</v>
      </c>
      <c r="C99" s="28" t="s">
        <v>995</v>
      </c>
      <c r="D99" s="28" t="s">
        <v>996</v>
      </c>
      <c r="E99" s="28" t="s">
        <v>926</v>
      </c>
      <c r="F99" s="28" t="s">
        <v>997</v>
      </c>
      <c r="G99" s="28" t="s">
        <v>665</v>
      </c>
      <c r="H99" s="28" t="s">
        <v>998</v>
      </c>
      <c r="I99" s="28" t="s">
        <v>517</v>
      </c>
      <c r="J99" s="28" t="s">
        <v>517</v>
      </c>
      <c r="K99" s="28" t="s">
        <v>518</v>
      </c>
      <c r="L99" s="28" t="s">
        <v>809</v>
      </c>
      <c r="M99" s="28" t="s">
        <v>535</v>
      </c>
      <c r="N99" s="28" t="s">
        <v>557</v>
      </c>
      <c r="O99" s="28" t="s">
        <v>522</v>
      </c>
      <c r="S99" s="28" t="s">
        <v>573</v>
      </c>
      <c r="T99" s="28" t="s">
        <v>811</v>
      </c>
      <c r="U99" s="28" t="s">
        <v>811</v>
      </c>
      <c r="V99" s="28" t="s">
        <v>517</v>
      </c>
      <c r="W99" s="28" t="s">
        <v>929</v>
      </c>
      <c r="X99" s="28" t="s">
        <v>670</v>
      </c>
      <c r="Z99" s="28" t="s">
        <v>526</v>
      </c>
      <c r="AB99" s="73" t="s">
        <v>630</v>
      </c>
      <c r="AC99" s="73" t="s">
        <v>35</v>
      </c>
      <c r="AD99" s="118" t="s">
        <v>528</v>
      </c>
      <c r="AF99" s="125" t="s">
        <v>999</v>
      </c>
      <c r="AG99" s="28" t="s">
        <v>529</v>
      </c>
      <c r="AK99" s="60">
        <v>2</v>
      </c>
      <c r="AL99" s="28">
        <f>1/COUNTIF(Tableau6[LAT],B99)</f>
        <v>0.5</v>
      </c>
      <c r="AM99" s="60" t="b">
        <f t="shared" si="12"/>
        <v>0</v>
      </c>
      <c r="AN99" s="60" t="b">
        <f t="shared" si="13"/>
        <v>0</v>
      </c>
      <c r="AO99" s="60" t="b">
        <f t="shared" si="14"/>
        <v>0</v>
      </c>
      <c r="AP99" s="60" t="b">
        <f t="shared" si="15"/>
        <v>0</v>
      </c>
      <c r="AQ99" s="60" t="b">
        <f t="shared" si="16"/>
        <v>0</v>
      </c>
      <c r="AR99" s="60" t="str">
        <f t="shared" si="10"/>
        <v>No</v>
      </c>
      <c r="AS99" s="60" t="str">
        <f t="shared" si="11"/>
        <v>No</v>
      </c>
    </row>
    <row r="100" spans="1:45" ht="15" hidden="1">
      <c r="A100" s="103">
        <v>45243</v>
      </c>
      <c r="B100" s="117" t="s">
        <v>1000</v>
      </c>
      <c r="C100" s="28" t="s">
        <v>511</v>
      </c>
      <c r="D100" s="28" t="s">
        <v>1001</v>
      </c>
      <c r="F100" s="28" t="s">
        <v>1002</v>
      </c>
      <c r="G100" s="28" t="s">
        <v>514</v>
      </c>
      <c r="H100" s="28" t="s">
        <v>1003</v>
      </c>
      <c r="I100" s="28" t="s">
        <v>516</v>
      </c>
      <c r="J100" s="28" t="s">
        <v>517</v>
      </c>
      <c r="K100" s="28" t="s">
        <v>518</v>
      </c>
      <c r="L100" s="28" t="s">
        <v>697</v>
      </c>
      <c r="M100" s="28" t="s">
        <v>520</v>
      </c>
      <c r="N100" s="28" t="s">
        <v>557</v>
      </c>
      <c r="O100" s="28" t="s">
        <v>544</v>
      </c>
      <c r="S100" s="28" t="s">
        <v>718</v>
      </c>
      <c r="T100" s="28" t="s">
        <v>699</v>
      </c>
      <c r="U100" s="28" t="s">
        <v>699</v>
      </c>
      <c r="V100" s="28" t="s">
        <v>517</v>
      </c>
      <c r="W100" s="28" t="s">
        <v>1004</v>
      </c>
      <c r="Z100" s="28" t="s">
        <v>526</v>
      </c>
      <c r="AD100" s="118" t="s">
        <v>528</v>
      </c>
      <c r="AF100" s="125" t="s">
        <v>1001</v>
      </c>
      <c r="AG100" s="28" t="s">
        <v>529</v>
      </c>
      <c r="AK100" s="60">
        <v>2</v>
      </c>
      <c r="AL100" s="28">
        <f>1/COUNTIF(Tableau6[LAT],B100)</f>
        <v>1</v>
      </c>
      <c r="AM100" s="60" t="b">
        <f t="shared" si="12"/>
        <v>0</v>
      </c>
      <c r="AN100" s="60" t="b">
        <f t="shared" si="13"/>
        <v>0</v>
      </c>
      <c r="AO100" s="60" t="b">
        <f t="shared" si="14"/>
        <v>0</v>
      </c>
      <c r="AP100" s="60" t="b">
        <f t="shared" si="15"/>
        <v>0</v>
      </c>
      <c r="AQ100" s="60" t="b">
        <f t="shared" si="16"/>
        <v>0</v>
      </c>
      <c r="AR100" s="60" t="str">
        <f t="shared" si="10"/>
        <v>No</v>
      </c>
      <c r="AS100" s="60" t="str">
        <f t="shared" si="11"/>
        <v>No</v>
      </c>
    </row>
    <row r="101" spans="1:45" ht="15" hidden="1">
      <c r="A101" s="103">
        <v>45243</v>
      </c>
      <c r="B101" s="117" t="s">
        <v>1005</v>
      </c>
      <c r="C101" s="28" t="s">
        <v>511</v>
      </c>
      <c r="D101" s="28" t="s">
        <v>1006</v>
      </c>
      <c r="F101" s="28" t="s">
        <v>1007</v>
      </c>
      <c r="G101" s="28" t="s">
        <v>514</v>
      </c>
      <c r="H101" s="28" t="s">
        <v>1008</v>
      </c>
      <c r="I101" s="28" t="s">
        <v>516</v>
      </c>
      <c r="J101" s="28" t="s">
        <v>517</v>
      </c>
      <c r="K101" s="28" t="s">
        <v>518</v>
      </c>
      <c r="L101" s="28" t="s">
        <v>801</v>
      </c>
      <c r="M101" s="28" t="s">
        <v>535</v>
      </c>
      <c r="N101" s="28" t="s">
        <v>544</v>
      </c>
      <c r="S101" s="28" t="s">
        <v>820</v>
      </c>
      <c r="T101" s="28" t="s">
        <v>803</v>
      </c>
      <c r="U101" s="28" t="s">
        <v>803</v>
      </c>
      <c r="V101" s="28" t="s">
        <v>517</v>
      </c>
      <c r="W101" s="28" t="s">
        <v>1009</v>
      </c>
      <c r="Z101" s="28" t="s">
        <v>526</v>
      </c>
      <c r="AD101" s="118" t="s">
        <v>954</v>
      </c>
      <c r="AF101" s="125" t="s">
        <v>1006</v>
      </c>
      <c r="AG101" s="28" t="s">
        <v>563</v>
      </c>
      <c r="AK101" s="60">
        <v>2</v>
      </c>
      <c r="AL101" s="28">
        <f>1/COUNTIF(Tableau6[LAT],B101)</f>
        <v>1</v>
      </c>
      <c r="AM101" s="60" t="b">
        <f t="shared" si="12"/>
        <v>0</v>
      </c>
      <c r="AN101" s="60" t="b">
        <f t="shared" si="13"/>
        <v>0</v>
      </c>
      <c r="AO101" s="60" t="b">
        <f t="shared" si="14"/>
        <v>0</v>
      </c>
      <c r="AP101" s="60" t="b">
        <f t="shared" si="15"/>
        <v>0</v>
      </c>
      <c r="AQ101" s="60" t="b">
        <f t="shared" si="16"/>
        <v>0</v>
      </c>
      <c r="AR101" s="60" t="str">
        <f t="shared" si="10"/>
        <v>No</v>
      </c>
      <c r="AS101" s="60" t="str">
        <f t="shared" si="11"/>
        <v>No</v>
      </c>
    </row>
    <row r="102" spans="1:45" ht="15" hidden="1">
      <c r="A102" s="103">
        <v>45243</v>
      </c>
      <c r="B102" s="117" t="s">
        <v>1010</v>
      </c>
      <c r="C102" s="28" t="s">
        <v>511</v>
      </c>
      <c r="D102" s="28" t="s">
        <v>1011</v>
      </c>
      <c r="F102" s="28" t="s">
        <v>1012</v>
      </c>
      <c r="G102" s="28" t="s">
        <v>514</v>
      </c>
      <c r="H102" s="28" t="s">
        <v>768</v>
      </c>
      <c r="I102" s="28" t="s">
        <v>516</v>
      </c>
      <c r="J102" s="28" t="s">
        <v>517</v>
      </c>
      <c r="K102" s="28" t="s">
        <v>518</v>
      </c>
      <c r="L102" s="28" t="s">
        <v>1013</v>
      </c>
      <c r="M102" s="28" t="s">
        <v>535</v>
      </c>
      <c r="S102" s="28" t="s">
        <v>1014</v>
      </c>
      <c r="T102" s="28" t="s">
        <v>1015</v>
      </c>
      <c r="U102" s="28" t="s">
        <v>1015</v>
      </c>
      <c r="V102" s="28" t="s">
        <v>517</v>
      </c>
      <c r="W102" s="28" t="s">
        <v>1016</v>
      </c>
      <c r="Z102" s="28" t="s">
        <v>563</v>
      </c>
      <c r="AB102" s="28" t="s">
        <v>527</v>
      </c>
      <c r="AD102" s="118" t="s">
        <v>954</v>
      </c>
      <c r="AF102" s="126" t="s">
        <v>1011</v>
      </c>
      <c r="AG102" s="28" t="s">
        <v>563</v>
      </c>
      <c r="AK102" s="60">
        <v>2</v>
      </c>
      <c r="AL102" s="28">
        <f>1/COUNTIF(Tableau6[LAT],B102)</f>
        <v>0.16666666666666666</v>
      </c>
      <c r="AM102" s="60" t="b">
        <f t="shared" si="12"/>
        <v>0</v>
      </c>
      <c r="AN102" s="60" t="b">
        <f t="shared" si="13"/>
        <v>0</v>
      </c>
      <c r="AO102" s="60" t="b">
        <f t="shared" si="14"/>
        <v>0</v>
      </c>
      <c r="AP102" s="60" t="b">
        <f t="shared" si="15"/>
        <v>0</v>
      </c>
      <c r="AQ102" s="60" t="b">
        <f t="shared" si="16"/>
        <v>0</v>
      </c>
      <c r="AR102" s="60" t="str">
        <f t="shared" si="10"/>
        <v>No</v>
      </c>
      <c r="AS102" s="60" t="str">
        <f t="shared" si="11"/>
        <v>No</v>
      </c>
    </row>
    <row r="103" spans="1:45" ht="15" hidden="1">
      <c r="A103" s="103">
        <v>45243</v>
      </c>
      <c r="B103" s="117" t="s">
        <v>1010</v>
      </c>
      <c r="C103" s="28" t="s">
        <v>548</v>
      </c>
      <c r="D103" s="28" t="s">
        <v>1017</v>
      </c>
      <c r="F103" s="28" t="s">
        <v>1018</v>
      </c>
      <c r="G103" s="28" t="s">
        <v>514</v>
      </c>
      <c r="H103" s="28" t="s">
        <v>768</v>
      </c>
      <c r="I103" s="28" t="s">
        <v>516</v>
      </c>
      <c r="J103" s="28" t="s">
        <v>517</v>
      </c>
      <c r="K103" s="28" t="s">
        <v>518</v>
      </c>
      <c r="L103" s="28" t="s">
        <v>1013</v>
      </c>
      <c r="M103" s="28" t="s">
        <v>535</v>
      </c>
      <c r="N103" s="28" t="s">
        <v>544</v>
      </c>
      <c r="S103" s="28" t="s">
        <v>1014</v>
      </c>
      <c r="T103" s="28" t="s">
        <v>1015</v>
      </c>
      <c r="U103" s="28" t="s">
        <v>1015</v>
      </c>
      <c r="V103" s="28" t="s">
        <v>517</v>
      </c>
      <c r="W103" s="28" t="s">
        <v>1019</v>
      </c>
      <c r="Z103" s="28" t="s">
        <v>563</v>
      </c>
      <c r="AB103" s="28" t="s">
        <v>527</v>
      </c>
      <c r="AD103" s="118" t="s">
        <v>954</v>
      </c>
      <c r="AF103" s="126" t="s">
        <v>1017</v>
      </c>
      <c r="AG103" s="28" t="s">
        <v>563</v>
      </c>
      <c r="AK103" s="60">
        <v>2</v>
      </c>
      <c r="AL103" s="28">
        <f>1/COUNTIF(Tableau6[LAT],B103)</f>
        <v>0.16666666666666666</v>
      </c>
      <c r="AM103" s="60" t="b">
        <f t="shared" si="12"/>
        <v>0</v>
      </c>
      <c r="AN103" s="60" t="b">
        <f t="shared" si="13"/>
        <v>0</v>
      </c>
      <c r="AO103" s="60" t="b">
        <f t="shared" si="14"/>
        <v>0</v>
      </c>
      <c r="AP103" s="60" t="b">
        <f t="shared" si="15"/>
        <v>0</v>
      </c>
      <c r="AQ103" s="60" t="b">
        <f t="shared" si="16"/>
        <v>0</v>
      </c>
      <c r="AR103" s="60" t="str">
        <f t="shared" si="10"/>
        <v>No</v>
      </c>
      <c r="AS103" s="60" t="str">
        <f t="shared" si="11"/>
        <v>No</v>
      </c>
    </row>
    <row r="104" spans="1:45" ht="15" hidden="1">
      <c r="A104" s="103">
        <v>45243</v>
      </c>
      <c r="B104" s="117" t="s">
        <v>1010</v>
      </c>
      <c r="C104" s="28" t="s">
        <v>612</v>
      </c>
      <c r="D104" s="28" t="s">
        <v>1020</v>
      </c>
      <c r="F104" s="28" t="s">
        <v>1021</v>
      </c>
      <c r="G104" s="28" t="s">
        <v>514</v>
      </c>
      <c r="H104" s="28" t="s">
        <v>768</v>
      </c>
      <c r="I104" s="28" t="s">
        <v>516</v>
      </c>
      <c r="J104" s="28" t="s">
        <v>517</v>
      </c>
      <c r="K104" s="28" t="s">
        <v>518</v>
      </c>
      <c r="L104" s="28" t="s">
        <v>1013</v>
      </c>
      <c r="M104" s="28" t="s">
        <v>535</v>
      </c>
      <c r="N104" s="28" t="s">
        <v>619</v>
      </c>
      <c r="O104" s="28" t="s">
        <v>544</v>
      </c>
      <c r="S104" s="28" t="s">
        <v>1014</v>
      </c>
      <c r="T104" s="28" t="s">
        <v>1015</v>
      </c>
      <c r="U104" s="28" t="s">
        <v>1015</v>
      </c>
      <c r="V104" s="28" t="s">
        <v>517</v>
      </c>
      <c r="W104" s="28" t="s">
        <v>1022</v>
      </c>
      <c r="Z104" s="28" t="s">
        <v>563</v>
      </c>
      <c r="AB104" s="28" t="s">
        <v>527</v>
      </c>
      <c r="AD104" s="118" t="s">
        <v>954</v>
      </c>
      <c r="AF104" s="126" t="s">
        <v>1020</v>
      </c>
      <c r="AG104" s="28" t="s">
        <v>563</v>
      </c>
      <c r="AK104" s="60">
        <v>2</v>
      </c>
      <c r="AL104" s="28">
        <f>1/COUNTIF(Tableau6[LAT],B104)</f>
        <v>0.16666666666666666</v>
      </c>
      <c r="AM104" s="60" t="b">
        <f t="shared" si="12"/>
        <v>0</v>
      </c>
      <c r="AN104" s="60" t="b">
        <f t="shared" si="13"/>
        <v>0</v>
      </c>
      <c r="AO104" s="60" t="b">
        <f t="shared" si="14"/>
        <v>0</v>
      </c>
      <c r="AP104" s="60" t="b">
        <f t="shared" si="15"/>
        <v>0</v>
      </c>
      <c r="AQ104" s="60" t="b">
        <f t="shared" si="16"/>
        <v>0</v>
      </c>
      <c r="AR104" s="60" t="str">
        <f t="shared" si="10"/>
        <v>No</v>
      </c>
      <c r="AS104" s="60" t="str">
        <f t="shared" si="11"/>
        <v>No</v>
      </c>
    </row>
    <row r="105" spans="1:45" ht="15" hidden="1">
      <c r="A105" s="103">
        <v>45243</v>
      </c>
      <c r="B105" s="117" t="s">
        <v>1010</v>
      </c>
      <c r="C105" s="28" t="s">
        <v>691</v>
      </c>
      <c r="D105" s="28" t="s">
        <v>1023</v>
      </c>
      <c r="F105" s="28" t="s">
        <v>1018</v>
      </c>
      <c r="G105" s="28" t="s">
        <v>514</v>
      </c>
      <c r="H105" s="28" t="s">
        <v>768</v>
      </c>
      <c r="I105" s="28" t="s">
        <v>516</v>
      </c>
      <c r="J105" s="28" t="s">
        <v>517</v>
      </c>
      <c r="K105" s="28" t="s">
        <v>518</v>
      </c>
      <c r="L105" s="28" t="s">
        <v>1013</v>
      </c>
      <c r="M105" s="28" t="s">
        <v>535</v>
      </c>
      <c r="N105" s="28" t="s">
        <v>619</v>
      </c>
      <c r="O105" s="28" t="s">
        <v>544</v>
      </c>
      <c r="S105" s="28" t="s">
        <v>1014</v>
      </c>
      <c r="T105" s="28" t="s">
        <v>1015</v>
      </c>
      <c r="U105" s="28" t="s">
        <v>1015</v>
      </c>
      <c r="V105" s="28" t="s">
        <v>517</v>
      </c>
      <c r="W105" s="28" t="s">
        <v>1024</v>
      </c>
      <c r="Z105" s="28" t="s">
        <v>563</v>
      </c>
      <c r="AB105" s="28" t="s">
        <v>527</v>
      </c>
      <c r="AD105" s="118" t="s">
        <v>954</v>
      </c>
      <c r="AF105" s="126" t="s">
        <v>1023</v>
      </c>
      <c r="AG105" s="28" t="s">
        <v>563</v>
      </c>
      <c r="AK105" s="60">
        <v>2</v>
      </c>
      <c r="AL105" s="28">
        <f>1/COUNTIF(Tableau6[LAT],B105)</f>
        <v>0.16666666666666666</v>
      </c>
      <c r="AM105" s="60" t="b">
        <f t="shared" si="12"/>
        <v>0</v>
      </c>
      <c r="AN105" s="60" t="b">
        <f t="shared" si="13"/>
        <v>0</v>
      </c>
      <c r="AO105" s="60" t="b">
        <f t="shared" si="14"/>
        <v>0</v>
      </c>
      <c r="AP105" s="60" t="b">
        <f t="shared" si="15"/>
        <v>0</v>
      </c>
      <c r="AQ105" s="60" t="b">
        <f t="shared" si="16"/>
        <v>0</v>
      </c>
      <c r="AR105" s="60" t="str">
        <f t="shared" si="10"/>
        <v>No</v>
      </c>
      <c r="AS105" s="60" t="str">
        <f t="shared" si="11"/>
        <v>No</v>
      </c>
    </row>
    <row r="106" spans="1:45" ht="15" hidden="1">
      <c r="A106" s="103">
        <v>45243</v>
      </c>
      <c r="B106" s="117" t="s">
        <v>1010</v>
      </c>
      <c r="C106" s="28" t="s">
        <v>859</v>
      </c>
      <c r="D106" s="28" t="s">
        <v>1025</v>
      </c>
      <c r="F106" s="28" t="s">
        <v>1021</v>
      </c>
      <c r="G106" s="28" t="s">
        <v>514</v>
      </c>
      <c r="H106" s="28" t="s">
        <v>768</v>
      </c>
      <c r="I106" s="28" t="s">
        <v>516</v>
      </c>
      <c r="J106" s="28" t="s">
        <v>517</v>
      </c>
      <c r="K106" s="28" t="s">
        <v>518</v>
      </c>
      <c r="L106" s="28" t="s">
        <v>1013</v>
      </c>
      <c r="M106" s="28" t="s">
        <v>535</v>
      </c>
      <c r="N106" s="28" t="s">
        <v>544</v>
      </c>
      <c r="S106" s="28" t="s">
        <v>1014</v>
      </c>
      <c r="T106" s="28" t="s">
        <v>1015</v>
      </c>
      <c r="U106" s="28" t="s">
        <v>1015</v>
      </c>
      <c r="V106" s="28" t="s">
        <v>517</v>
      </c>
      <c r="W106" s="28" t="s">
        <v>1026</v>
      </c>
      <c r="Z106" s="28" t="s">
        <v>563</v>
      </c>
      <c r="AB106" s="28" t="s">
        <v>527</v>
      </c>
      <c r="AD106" s="118" t="s">
        <v>954</v>
      </c>
      <c r="AF106" s="126" t="s">
        <v>1025</v>
      </c>
      <c r="AG106" s="28" t="s">
        <v>563</v>
      </c>
      <c r="AK106" s="60">
        <v>2</v>
      </c>
      <c r="AL106" s="28">
        <f>1/COUNTIF(Tableau6[LAT],B106)</f>
        <v>0.16666666666666666</v>
      </c>
      <c r="AM106" s="60" t="b">
        <f t="shared" si="12"/>
        <v>0</v>
      </c>
      <c r="AN106" s="60" t="b">
        <f t="shared" si="13"/>
        <v>0</v>
      </c>
      <c r="AO106" s="60" t="b">
        <f t="shared" si="14"/>
        <v>0</v>
      </c>
      <c r="AP106" s="60" t="b">
        <f t="shared" si="15"/>
        <v>0</v>
      </c>
      <c r="AQ106" s="60" t="b">
        <f t="shared" si="16"/>
        <v>0</v>
      </c>
      <c r="AR106" s="60" t="str">
        <f t="shared" si="10"/>
        <v>No</v>
      </c>
      <c r="AS106" s="60" t="str">
        <f t="shared" si="11"/>
        <v>No</v>
      </c>
    </row>
    <row r="107" spans="1:45" ht="15" hidden="1">
      <c r="A107" s="103">
        <v>45243</v>
      </c>
      <c r="B107" s="117" t="s">
        <v>1010</v>
      </c>
      <c r="C107" s="28" t="s">
        <v>861</v>
      </c>
      <c r="D107" s="28" t="s">
        <v>1027</v>
      </c>
      <c r="F107" s="28" t="s">
        <v>1018</v>
      </c>
      <c r="G107" s="28" t="s">
        <v>514</v>
      </c>
      <c r="H107" s="28" t="s">
        <v>768</v>
      </c>
      <c r="I107" s="28" t="s">
        <v>516</v>
      </c>
      <c r="J107" s="28" t="s">
        <v>517</v>
      </c>
      <c r="K107" s="28" t="s">
        <v>518</v>
      </c>
      <c r="L107" s="28" t="s">
        <v>1013</v>
      </c>
      <c r="M107" s="28" t="s">
        <v>535</v>
      </c>
      <c r="N107" s="28" t="s">
        <v>544</v>
      </c>
      <c r="S107" s="28" t="s">
        <v>1014</v>
      </c>
      <c r="T107" s="28" t="s">
        <v>1015</v>
      </c>
      <c r="U107" s="28" t="s">
        <v>1015</v>
      </c>
      <c r="V107" s="28" t="s">
        <v>517</v>
      </c>
      <c r="W107" s="28" t="s">
        <v>1028</v>
      </c>
      <c r="Z107" s="28" t="s">
        <v>563</v>
      </c>
      <c r="AB107" s="28" t="s">
        <v>527</v>
      </c>
      <c r="AD107" s="118"/>
      <c r="AF107" s="126"/>
      <c r="AK107" s="60">
        <v>2</v>
      </c>
      <c r="AL107" s="28">
        <f>1/COUNTIF(Tableau6[LAT],B107)</f>
        <v>0.16666666666666666</v>
      </c>
      <c r="AM107" s="60" t="b">
        <f t="shared" si="12"/>
        <v>0</v>
      </c>
      <c r="AN107" s="60" t="b">
        <f t="shared" si="13"/>
        <v>0</v>
      </c>
      <c r="AO107" s="60" t="b">
        <f t="shared" si="14"/>
        <v>0</v>
      </c>
      <c r="AP107" s="60" t="b">
        <f t="shared" si="15"/>
        <v>0</v>
      </c>
      <c r="AQ107" s="60" t="b">
        <f t="shared" si="16"/>
        <v>0</v>
      </c>
      <c r="AR107" s="60" t="str">
        <f t="shared" si="10"/>
        <v>No</v>
      </c>
      <c r="AS107" s="60" t="str">
        <f t="shared" si="11"/>
        <v>No</v>
      </c>
    </row>
    <row r="108" spans="1:45" ht="15" hidden="1">
      <c r="A108" s="103">
        <v>45243</v>
      </c>
      <c r="B108" s="117" t="s">
        <v>1029</v>
      </c>
      <c r="C108" s="28" t="s">
        <v>511</v>
      </c>
      <c r="D108" s="28" t="s">
        <v>1030</v>
      </c>
      <c r="F108" s="28" t="s">
        <v>1031</v>
      </c>
      <c r="G108" s="28" t="s">
        <v>514</v>
      </c>
      <c r="H108" s="28" t="s">
        <v>704</v>
      </c>
      <c r="I108" s="28" t="s">
        <v>516</v>
      </c>
      <c r="J108" s="28" t="s">
        <v>517</v>
      </c>
      <c r="K108" s="28" t="s">
        <v>518</v>
      </c>
      <c r="L108" s="28" t="s">
        <v>1032</v>
      </c>
      <c r="M108" s="28" t="s">
        <v>535</v>
      </c>
      <c r="N108" s="28" t="s">
        <v>557</v>
      </c>
      <c r="O108" s="28" t="s">
        <v>544</v>
      </c>
      <c r="S108" s="28" t="s">
        <v>705</v>
      </c>
      <c r="T108" s="28" t="s">
        <v>545</v>
      </c>
      <c r="U108" s="28" t="s">
        <v>545</v>
      </c>
      <c r="V108" s="28" t="s">
        <v>517</v>
      </c>
      <c r="W108" s="28" t="s">
        <v>1033</v>
      </c>
      <c r="Z108" s="28" t="s">
        <v>563</v>
      </c>
      <c r="AB108" s="28" t="s">
        <v>527</v>
      </c>
      <c r="AD108" s="118" t="s">
        <v>528</v>
      </c>
      <c r="AF108" s="126" t="s">
        <v>1030</v>
      </c>
      <c r="AG108" s="28" t="s">
        <v>563</v>
      </c>
      <c r="AK108" s="60">
        <v>2</v>
      </c>
      <c r="AL108" s="28">
        <f>1/COUNTIF(Tableau6[LAT],B108)</f>
        <v>0.5</v>
      </c>
      <c r="AM108" s="60" t="b">
        <f t="shared" si="12"/>
        <v>0</v>
      </c>
      <c r="AN108" s="60" t="b">
        <f t="shared" si="13"/>
        <v>0</v>
      </c>
      <c r="AO108" s="60" t="b">
        <f t="shared" si="14"/>
        <v>0</v>
      </c>
      <c r="AP108" s="60" t="b">
        <f t="shared" si="15"/>
        <v>0</v>
      </c>
      <c r="AQ108" s="60" t="b">
        <f t="shared" si="16"/>
        <v>0</v>
      </c>
      <c r="AR108" s="60" t="str">
        <f t="shared" si="10"/>
        <v>No</v>
      </c>
      <c r="AS108" s="60" t="str">
        <f t="shared" si="11"/>
        <v>No</v>
      </c>
    </row>
    <row r="109" spans="1:45" ht="15" hidden="1">
      <c r="A109" s="103">
        <v>45243</v>
      </c>
      <c r="B109" s="117" t="s">
        <v>1029</v>
      </c>
      <c r="C109" s="28" t="s">
        <v>548</v>
      </c>
      <c r="D109" s="28" t="s">
        <v>1034</v>
      </c>
      <c r="F109" s="28" t="s">
        <v>1031</v>
      </c>
      <c r="G109" s="28" t="s">
        <v>514</v>
      </c>
      <c r="H109" s="28" t="s">
        <v>711</v>
      </c>
      <c r="I109" s="28" t="s">
        <v>516</v>
      </c>
      <c r="J109" s="28" t="s">
        <v>517</v>
      </c>
      <c r="K109" s="28" t="s">
        <v>518</v>
      </c>
      <c r="L109" s="28" t="s">
        <v>1032</v>
      </c>
      <c r="M109" s="28" t="s">
        <v>535</v>
      </c>
      <c r="N109" s="28" t="s">
        <v>557</v>
      </c>
      <c r="O109" s="28" t="s">
        <v>544</v>
      </c>
      <c r="S109" s="28" t="s">
        <v>705</v>
      </c>
      <c r="T109" s="28" t="s">
        <v>545</v>
      </c>
      <c r="U109" s="28" t="s">
        <v>545</v>
      </c>
      <c r="V109" s="28" t="s">
        <v>517</v>
      </c>
      <c r="W109" s="28" t="s">
        <v>1035</v>
      </c>
      <c r="Z109" s="28" t="s">
        <v>563</v>
      </c>
      <c r="AB109" s="28" t="s">
        <v>527</v>
      </c>
      <c r="AD109" s="118" t="s">
        <v>528</v>
      </c>
      <c r="AF109" s="126" t="s">
        <v>1034</v>
      </c>
      <c r="AG109" s="28" t="s">
        <v>563</v>
      </c>
      <c r="AK109" s="60">
        <v>2</v>
      </c>
      <c r="AL109" s="28">
        <f>1/COUNTIF(Tableau6[LAT],B109)</f>
        <v>0.5</v>
      </c>
      <c r="AM109" s="60" t="b">
        <f t="shared" si="12"/>
        <v>0</v>
      </c>
      <c r="AN109" s="60" t="b">
        <f t="shared" si="13"/>
        <v>0</v>
      </c>
      <c r="AO109" s="60" t="b">
        <f t="shared" si="14"/>
        <v>0</v>
      </c>
      <c r="AP109" s="60" t="b">
        <f t="shared" si="15"/>
        <v>0</v>
      </c>
      <c r="AQ109" s="60" t="b">
        <f t="shared" si="16"/>
        <v>0</v>
      </c>
      <c r="AR109" s="60" t="str">
        <f t="shared" si="10"/>
        <v>No</v>
      </c>
      <c r="AS109" s="60" t="str">
        <f t="shared" si="11"/>
        <v>No</v>
      </c>
    </row>
    <row r="110" spans="1:45" ht="15" hidden="1">
      <c r="A110" s="103">
        <v>45243</v>
      </c>
      <c r="B110" s="117" t="s">
        <v>1036</v>
      </c>
      <c r="C110" s="28" t="s">
        <v>511</v>
      </c>
      <c r="D110" s="28" t="s">
        <v>1037</v>
      </c>
      <c r="F110" s="28" t="s">
        <v>1038</v>
      </c>
      <c r="G110" s="28" t="s">
        <v>958</v>
      </c>
      <c r="H110" s="28" t="s">
        <v>1039</v>
      </c>
      <c r="I110" s="28" t="s">
        <v>516</v>
      </c>
      <c r="J110" s="28" t="s">
        <v>517</v>
      </c>
      <c r="K110" s="28" t="s">
        <v>518</v>
      </c>
      <c r="L110" s="28" t="s">
        <v>1040</v>
      </c>
      <c r="M110" s="28" t="s">
        <v>535</v>
      </c>
      <c r="N110" s="28" t="s">
        <v>521</v>
      </c>
      <c r="S110" s="28" t="s">
        <v>1041</v>
      </c>
      <c r="T110" s="28" t="s">
        <v>1042</v>
      </c>
      <c r="U110" s="28" t="s">
        <v>1042</v>
      </c>
      <c r="V110" s="28" t="s">
        <v>517</v>
      </c>
      <c r="W110" s="28" t="s">
        <v>1043</v>
      </c>
      <c r="Z110" s="28" t="s">
        <v>563</v>
      </c>
      <c r="AB110" s="28" t="s">
        <v>527</v>
      </c>
      <c r="AD110" s="118" t="s">
        <v>528</v>
      </c>
      <c r="AF110" s="126" t="s">
        <v>1037</v>
      </c>
      <c r="AG110" s="28" t="s">
        <v>563</v>
      </c>
      <c r="AK110" s="60">
        <v>2</v>
      </c>
      <c r="AL110" s="28">
        <f>1/COUNTIF(Tableau6[LAT],B110)</f>
        <v>0.33333333333333331</v>
      </c>
      <c r="AM110" s="60" t="b">
        <f t="shared" si="12"/>
        <v>0</v>
      </c>
      <c r="AN110" s="60" t="b">
        <f t="shared" si="13"/>
        <v>0</v>
      </c>
      <c r="AO110" s="60" t="b">
        <f t="shared" si="14"/>
        <v>0</v>
      </c>
      <c r="AP110" s="60" t="b">
        <f t="shared" si="15"/>
        <v>0</v>
      </c>
      <c r="AQ110" s="60" t="b">
        <f t="shared" si="16"/>
        <v>0</v>
      </c>
      <c r="AR110" s="60" t="str">
        <f t="shared" si="10"/>
        <v>No</v>
      </c>
      <c r="AS110" s="60" t="str">
        <f t="shared" si="11"/>
        <v>No</v>
      </c>
    </row>
    <row r="111" spans="1:45" ht="15" hidden="1">
      <c r="A111" s="103">
        <v>45243</v>
      </c>
      <c r="B111" s="117" t="s">
        <v>1036</v>
      </c>
      <c r="C111" s="28" t="s">
        <v>548</v>
      </c>
      <c r="D111" s="28" t="s">
        <v>1044</v>
      </c>
      <c r="F111" s="28" t="s">
        <v>1038</v>
      </c>
      <c r="G111" s="28" t="s">
        <v>958</v>
      </c>
      <c r="H111" s="28" t="s">
        <v>1039</v>
      </c>
      <c r="I111" s="28" t="s">
        <v>516</v>
      </c>
      <c r="J111" s="28" t="s">
        <v>517</v>
      </c>
      <c r="K111" s="28" t="s">
        <v>518</v>
      </c>
      <c r="L111" s="28" t="s">
        <v>1040</v>
      </c>
      <c r="M111" s="28" t="s">
        <v>535</v>
      </c>
      <c r="N111" s="28" t="s">
        <v>521</v>
      </c>
      <c r="S111" s="28" t="s">
        <v>1041</v>
      </c>
      <c r="T111" s="28" t="s">
        <v>1042</v>
      </c>
      <c r="U111" s="28" t="s">
        <v>1042</v>
      </c>
      <c r="V111" s="28" t="s">
        <v>517</v>
      </c>
      <c r="W111" s="28" t="s">
        <v>1045</v>
      </c>
      <c r="Z111" s="28" t="s">
        <v>563</v>
      </c>
      <c r="AB111" s="28" t="s">
        <v>527</v>
      </c>
      <c r="AD111" s="118" t="s">
        <v>528</v>
      </c>
      <c r="AF111" s="126" t="s">
        <v>1044</v>
      </c>
      <c r="AG111" s="28" t="s">
        <v>563</v>
      </c>
      <c r="AK111" s="60">
        <v>2</v>
      </c>
      <c r="AL111" s="28">
        <f>1/COUNTIF(Tableau6[LAT],B111)</f>
        <v>0.33333333333333331</v>
      </c>
      <c r="AM111" s="60" t="b">
        <f t="shared" si="12"/>
        <v>0</v>
      </c>
      <c r="AN111" s="60" t="b">
        <f t="shared" si="13"/>
        <v>0</v>
      </c>
      <c r="AO111" s="60" t="b">
        <f t="shared" si="14"/>
        <v>0</v>
      </c>
      <c r="AP111" s="60" t="b">
        <f t="shared" si="15"/>
        <v>0</v>
      </c>
      <c r="AQ111" s="60" t="b">
        <f t="shared" si="16"/>
        <v>0</v>
      </c>
      <c r="AR111" s="60" t="str">
        <f t="shared" si="10"/>
        <v>No</v>
      </c>
      <c r="AS111" s="60" t="str">
        <f t="shared" si="11"/>
        <v>No</v>
      </c>
    </row>
    <row r="112" spans="1:45" ht="15" hidden="1">
      <c r="A112" s="103">
        <v>45243</v>
      </c>
      <c r="B112" s="117" t="s">
        <v>1036</v>
      </c>
      <c r="C112" s="28" t="s">
        <v>612</v>
      </c>
      <c r="D112" s="28" t="s">
        <v>1046</v>
      </c>
      <c r="F112" s="28" t="s">
        <v>1038</v>
      </c>
      <c r="G112" s="28" t="s">
        <v>958</v>
      </c>
      <c r="H112" s="28" t="s">
        <v>1039</v>
      </c>
      <c r="I112" s="28" t="s">
        <v>516</v>
      </c>
      <c r="J112" s="28" t="s">
        <v>517</v>
      </c>
      <c r="K112" s="28" t="s">
        <v>518</v>
      </c>
      <c r="L112" s="28" t="s">
        <v>1040</v>
      </c>
      <c r="M112" s="28" t="s">
        <v>535</v>
      </c>
      <c r="N112" s="28" t="s">
        <v>521</v>
      </c>
      <c r="S112" s="28" t="s">
        <v>1041</v>
      </c>
      <c r="T112" s="28" t="s">
        <v>1042</v>
      </c>
      <c r="U112" s="28" t="s">
        <v>1042</v>
      </c>
      <c r="V112" s="28" t="s">
        <v>517</v>
      </c>
      <c r="W112" s="28" t="s">
        <v>1047</v>
      </c>
      <c r="Z112" s="28" t="s">
        <v>563</v>
      </c>
      <c r="AB112" s="28" t="s">
        <v>527</v>
      </c>
      <c r="AD112" s="118" t="s">
        <v>528</v>
      </c>
      <c r="AF112" s="126" t="s">
        <v>1046</v>
      </c>
      <c r="AG112" s="28" t="s">
        <v>563</v>
      </c>
      <c r="AK112" s="60">
        <v>2</v>
      </c>
      <c r="AL112" s="28">
        <f>1/COUNTIF(Tableau6[LAT],B112)</f>
        <v>0.33333333333333331</v>
      </c>
      <c r="AM112" s="60" t="b">
        <f t="shared" si="12"/>
        <v>0</v>
      </c>
      <c r="AN112" s="60" t="b">
        <f t="shared" si="13"/>
        <v>0</v>
      </c>
      <c r="AO112" s="60" t="b">
        <f t="shared" si="14"/>
        <v>0</v>
      </c>
      <c r="AP112" s="60" t="b">
        <f t="shared" si="15"/>
        <v>0</v>
      </c>
      <c r="AQ112" s="60" t="b">
        <f t="shared" si="16"/>
        <v>0</v>
      </c>
      <c r="AR112" s="60" t="str">
        <f t="shared" si="10"/>
        <v>No</v>
      </c>
      <c r="AS112" s="60" t="str">
        <f t="shared" si="11"/>
        <v>No</v>
      </c>
    </row>
    <row r="113" spans="1:45" ht="15" hidden="1">
      <c r="A113" s="103">
        <v>45243</v>
      </c>
      <c r="B113" s="117" t="s">
        <v>1048</v>
      </c>
      <c r="C113" s="28" t="s">
        <v>511</v>
      </c>
      <c r="D113" s="28" t="s">
        <v>1049</v>
      </c>
      <c r="F113" s="28" t="s">
        <v>1050</v>
      </c>
      <c r="G113" s="28" t="s">
        <v>514</v>
      </c>
      <c r="H113" s="28" t="s">
        <v>1051</v>
      </c>
      <c r="I113" s="28" t="s">
        <v>516</v>
      </c>
      <c r="J113" s="28" t="s">
        <v>517</v>
      </c>
      <c r="K113" s="28" t="s">
        <v>518</v>
      </c>
      <c r="L113" s="28" t="s">
        <v>839</v>
      </c>
      <c r="M113" s="28" t="s">
        <v>520</v>
      </c>
      <c r="S113" s="28" t="s">
        <v>1052</v>
      </c>
      <c r="T113" s="28" t="s">
        <v>840</v>
      </c>
      <c r="U113" s="28" t="s">
        <v>840</v>
      </c>
      <c r="V113" s="28" t="s">
        <v>517</v>
      </c>
      <c r="W113" s="28" t="s">
        <v>1053</v>
      </c>
      <c r="Z113" s="28" t="s">
        <v>563</v>
      </c>
      <c r="AB113" s="28" t="s">
        <v>527</v>
      </c>
      <c r="AD113" s="118" t="s">
        <v>528</v>
      </c>
      <c r="AF113" s="125" t="s">
        <v>1049</v>
      </c>
      <c r="AG113" s="28" t="s">
        <v>563</v>
      </c>
      <c r="AK113" s="60">
        <v>2</v>
      </c>
      <c r="AL113" s="28">
        <f>1/COUNTIF(Tableau6[LAT],B113)</f>
        <v>1</v>
      </c>
      <c r="AM113" s="60" t="b">
        <f t="shared" si="12"/>
        <v>0</v>
      </c>
      <c r="AN113" s="60" t="b">
        <f t="shared" si="13"/>
        <v>0</v>
      </c>
      <c r="AO113" s="60" t="b">
        <f t="shared" si="14"/>
        <v>0</v>
      </c>
      <c r="AP113" s="60" t="b">
        <f t="shared" si="15"/>
        <v>0</v>
      </c>
      <c r="AQ113" s="60" t="b">
        <f t="shared" si="16"/>
        <v>0</v>
      </c>
      <c r="AR113" s="60" t="str">
        <f t="shared" si="10"/>
        <v>No</v>
      </c>
      <c r="AS113" s="60" t="str">
        <f t="shared" si="11"/>
        <v>No</v>
      </c>
    </row>
    <row r="114" spans="1:45" ht="15" hidden="1">
      <c r="A114" s="103">
        <v>45243</v>
      </c>
      <c r="B114" s="117" t="s">
        <v>1054</v>
      </c>
      <c r="C114" s="28" t="s">
        <v>511</v>
      </c>
      <c r="D114" s="28" t="s">
        <v>1055</v>
      </c>
      <c r="F114" s="28" t="s">
        <v>1056</v>
      </c>
      <c r="G114" s="28" t="s">
        <v>958</v>
      </c>
      <c r="H114" s="28" t="s">
        <v>1057</v>
      </c>
      <c r="I114" s="28" t="s">
        <v>517</v>
      </c>
      <c r="J114" s="28" t="s">
        <v>517</v>
      </c>
      <c r="K114" s="28" t="s">
        <v>518</v>
      </c>
      <c r="L114" s="28" t="s">
        <v>580</v>
      </c>
      <c r="M114" s="28" t="s">
        <v>520</v>
      </c>
      <c r="N114" s="28" t="s">
        <v>522</v>
      </c>
      <c r="S114" s="28" t="s">
        <v>573</v>
      </c>
      <c r="T114" s="28" t="s">
        <v>582</v>
      </c>
      <c r="U114" s="28" t="s">
        <v>582</v>
      </c>
      <c r="V114" s="28" t="s">
        <v>517</v>
      </c>
      <c r="W114" s="28" t="s">
        <v>1058</v>
      </c>
      <c r="Z114" s="28" t="s">
        <v>526</v>
      </c>
      <c r="AB114" s="28" t="s">
        <v>1059</v>
      </c>
      <c r="AC114" s="73" t="s">
        <v>35</v>
      </c>
      <c r="AD114" s="118" t="s">
        <v>528</v>
      </c>
      <c r="AF114" s="126" t="s">
        <v>1055</v>
      </c>
      <c r="AG114" s="28" t="s">
        <v>529</v>
      </c>
      <c r="AK114" s="60">
        <v>2</v>
      </c>
      <c r="AL114" s="28">
        <f>1/COUNTIF(Tableau6[LAT],B114)</f>
        <v>0.33333333333333331</v>
      </c>
      <c r="AM114" s="60" t="b">
        <f t="shared" si="12"/>
        <v>0</v>
      </c>
      <c r="AN114" s="60" t="b">
        <f t="shared" si="13"/>
        <v>0</v>
      </c>
      <c r="AO114" s="60" t="b">
        <f t="shared" si="14"/>
        <v>0</v>
      </c>
      <c r="AP114" s="60" t="b">
        <f t="shared" si="15"/>
        <v>0</v>
      </c>
      <c r="AQ114" s="60" t="b">
        <f t="shared" si="16"/>
        <v>0</v>
      </c>
      <c r="AR114" s="60" t="str">
        <f t="shared" si="10"/>
        <v>No</v>
      </c>
      <c r="AS114" s="60" t="str">
        <f t="shared" si="11"/>
        <v>No</v>
      </c>
    </row>
    <row r="115" spans="1:45" ht="15" hidden="1">
      <c r="A115" s="103">
        <v>45243</v>
      </c>
      <c r="B115" s="117" t="s">
        <v>1054</v>
      </c>
      <c r="C115" s="28" t="s">
        <v>995</v>
      </c>
      <c r="D115" s="28" t="s">
        <v>1060</v>
      </c>
      <c r="E115" s="28" t="s">
        <v>1061</v>
      </c>
      <c r="F115" s="28" t="s">
        <v>1062</v>
      </c>
      <c r="G115" s="28" t="s">
        <v>657</v>
      </c>
      <c r="H115" s="28" t="s">
        <v>1063</v>
      </c>
      <c r="I115" s="28" t="s">
        <v>517</v>
      </c>
      <c r="J115" s="28" t="s">
        <v>517</v>
      </c>
      <c r="K115" s="28" t="s">
        <v>518</v>
      </c>
      <c r="L115" s="28" t="s">
        <v>580</v>
      </c>
      <c r="M115" s="28" t="s">
        <v>520</v>
      </c>
      <c r="N115" s="28" t="s">
        <v>522</v>
      </c>
      <c r="S115" s="28" t="s">
        <v>573</v>
      </c>
      <c r="T115" s="28" t="s">
        <v>582</v>
      </c>
      <c r="U115" s="28" t="s">
        <v>582</v>
      </c>
      <c r="V115" s="28" t="s">
        <v>517</v>
      </c>
      <c r="W115" s="28" t="s">
        <v>1064</v>
      </c>
      <c r="X115" s="28" t="s">
        <v>670</v>
      </c>
      <c r="Z115" s="28" t="s">
        <v>526</v>
      </c>
      <c r="AB115" s="28" t="s">
        <v>1059</v>
      </c>
      <c r="AC115" s="73" t="s">
        <v>35</v>
      </c>
      <c r="AD115" s="118" t="s">
        <v>528</v>
      </c>
      <c r="AF115" s="126" t="s">
        <v>1065</v>
      </c>
      <c r="AG115" s="28" t="s">
        <v>529</v>
      </c>
      <c r="AK115" s="60">
        <v>2</v>
      </c>
      <c r="AL115" s="28">
        <f>1/COUNTIF(Tableau6[LAT],B115)</f>
        <v>0.33333333333333331</v>
      </c>
      <c r="AM115" s="60" t="b">
        <f t="shared" si="12"/>
        <v>0</v>
      </c>
      <c r="AN115" s="60" t="b">
        <f t="shared" si="13"/>
        <v>0</v>
      </c>
      <c r="AO115" s="60" t="b">
        <f t="shared" si="14"/>
        <v>0</v>
      </c>
      <c r="AP115" s="60" t="b">
        <f t="shared" si="15"/>
        <v>0</v>
      </c>
      <c r="AQ115" s="60" t="b">
        <f t="shared" si="16"/>
        <v>0</v>
      </c>
      <c r="AR115" s="60" t="str">
        <f t="shared" si="10"/>
        <v>No</v>
      </c>
      <c r="AS115" s="60" t="str">
        <f t="shared" si="11"/>
        <v>No</v>
      </c>
    </row>
    <row r="116" spans="1:45" ht="15" hidden="1">
      <c r="A116" s="103">
        <v>45243</v>
      </c>
      <c r="B116" s="117" t="s">
        <v>1054</v>
      </c>
      <c r="C116" s="28" t="s">
        <v>1066</v>
      </c>
      <c r="D116" s="28" t="s">
        <v>1067</v>
      </c>
      <c r="E116" s="28" t="s">
        <v>1068</v>
      </c>
      <c r="F116" s="28" t="s">
        <v>1069</v>
      </c>
      <c r="G116" s="28" t="s">
        <v>657</v>
      </c>
      <c r="H116" s="28" t="s">
        <v>1063</v>
      </c>
      <c r="I116" s="28" t="s">
        <v>517</v>
      </c>
      <c r="J116" s="28" t="s">
        <v>517</v>
      </c>
      <c r="K116" s="28" t="s">
        <v>518</v>
      </c>
      <c r="L116" s="28" t="s">
        <v>580</v>
      </c>
      <c r="M116" s="28" t="s">
        <v>520</v>
      </c>
      <c r="N116" s="28" t="s">
        <v>522</v>
      </c>
      <c r="S116" s="28" t="s">
        <v>573</v>
      </c>
      <c r="T116" s="28" t="s">
        <v>582</v>
      </c>
      <c r="U116" s="28" t="s">
        <v>582</v>
      </c>
      <c r="V116" s="28" t="s">
        <v>517</v>
      </c>
      <c r="W116" s="28" t="s">
        <v>1070</v>
      </c>
      <c r="X116" s="28" t="s">
        <v>1071</v>
      </c>
      <c r="Z116" s="28" t="s">
        <v>526</v>
      </c>
      <c r="AB116" s="28" t="s">
        <v>1059</v>
      </c>
      <c r="AC116" s="73" t="s">
        <v>35</v>
      </c>
      <c r="AD116" s="118" t="s">
        <v>528</v>
      </c>
      <c r="AF116" s="126" t="s">
        <v>1072</v>
      </c>
      <c r="AG116" s="28" t="s">
        <v>529</v>
      </c>
      <c r="AK116" s="60">
        <v>2</v>
      </c>
      <c r="AL116" s="28">
        <f>1/COUNTIF(Tableau6[LAT],B116)</f>
        <v>0.33333333333333331</v>
      </c>
      <c r="AM116" s="60" t="b">
        <f t="shared" si="12"/>
        <v>0</v>
      </c>
      <c r="AN116" s="60" t="b">
        <f t="shared" si="13"/>
        <v>0</v>
      </c>
      <c r="AO116" s="60" t="b">
        <f t="shared" si="14"/>
        <v>0</v>
      </c>
      <c r="AP116" s="60" t="b">
        <f t="shared" si="15"/>
        <v>0</v>
      </c>
      <c r="AQ116" s="60" t="b">
        <f t="shared" si="16"/>
        <v>0</v>
      </c>
      <c r="AR116" s="60" t="str">
        <f t="shared" si="10"/>
        <v>No</v>
      </c>
      <c r="AS116" s="60" t="str">
        <f t="shared" si="11"/>
        <v>No</v>
      </c>
    </row>
    <row r="117" spans="1:45" ht="15" hidden="1">
      <c r="A117" s="103">
        <v>45243</v>
      </c>
      <c r="B117" s="117" t="s">
        <v>1073</v>
      </c>
      <c r="C117" s="28" t="s">
        <v>511</v>
      </c>
      <c r="D117" s="28" t="s">
        <v>1074</v>
      </c>
      <c r="E117" s="28" t="s">
        <v>1075</v>
      </c>
      <c r="F117" s="28" t="s">
        <v>1076</v>
      </c>
      <c r="G117" s="28" t="s">
        <v>1077</v>
      </c>
      <c r="H117" s="28" t="s">
        <v>1078</v>
      </c>
      <c r="I117" s="28" t="s">
        <v>516</v>
      </c>
      <c r="J117" s="28" t="s">
        <v>517</v>
      </c>
      <c r="K117" s="28" t="s">
        <v>518</v>
      </c>
      <c r="L117" s="28" t="s">
        <v>1079</v>
      </c>
      <c r="M117" s="28" t="s">
        <v>535</v>
      </c>
      <c r="N117" s="28" t="s">
        <v>1080</v>
      </c>
      <c r="S117" s="28" t="s">
        <v>740</v>
      </c>
      <c r="T117" s="28" t="s">
        <v>668</v>
      </c>
      <c r="U117" s="28" t="s">
        <v>668</v>
      </c>
      <c r="V117" s="28" t="s">
        <v>517</v>
      </c>
      <c r="W117" s="28" t="s">
        <v>1081</v>
      </c>
      <c r="X117" s="28" t="s">
        <v>670</v>
      </c>
      <c r="Y117" s="28" t="s">
        <v>1082</v>
      </c>
      <c r="Z117" s="28" t="s">
        <v>563</v>
      </c>
      <c r="AB117" s="28" t="s">
        <v>527</v>
      </c>
      <c r="AD117" s="118" t="s">
        <v>528</v>
      </c>
      <c r="AF117" s="125" t="s">
        <v>1083</v>
      </c>
      <c r="AG117" s="28" t="s">
        <v>529</v>
      </c>
      <c r="AK117" s="60">
        <v>2</v>
      </c>
      <c r="AL117" s="28">
        <f>1/COUNTIF(Tableau6[LAT],B117)</f>
        <v>1</v>
      </c>
      <c r="AM117" s="60" t="str">
        <f t="shared" si="12"/>
        <v>Yes</v>
      </c>
      <c r="AN117" s="60" t="b">
        <f t="shared" si="13"/>
        <v>0</v>
      </c>
      <c r="AO117" s="60" t="b">
        <f t="shared" si="14"/>
        <v>0</v>
      </c>
      <c r="AP117" s="60" t="b">
        <f t="shared" si="15"/>
        <v>0</v>
      </c>
      <c r="AQ117" s="60" t="b">
        <f t="shared" si="16"/>
        <v>0</v>
      </c>
      <c r="AR117" s="60" t="str">
        <f t="shared" si="10"/>
        <v>Yes</v>
      </c>
      <c r="AS117" s="60" t="str">
        <f t="shared" si="11"/>
        <v>No</v>
      </c>
    </row>
    <row r="118" spans="1:45" ht="15" hidden="1">
      <c r="A118" s="103">
        <v>45243</v>
      </c>
      <c r="B118" s="117" t="s">
        <v>1084</v>
      </c>
      <c r="C118" s="28" t="s">
        <v>511</v>
      </c>
      <c r="D118" s="28" t="s">
        <v>1085</v>
      </c>
      <c r="F118" s="28" t="s">
        <v>1086</v>
      </c>
      <c r="G118" s="28" t="s">
        <v>514</v>
      </c>
      <c r="H118" s="28" t="s">
        <v>1087</v>
      </c>
      <c r="I118" s="28" t="s">
        <v>516</v>
      </c>
      <c r="J118" s="28" t="s">
        <v>517</v>
      </c>
      <c r="K118" s="28" t="s">
        <v>518</v>
      </c>
      <c r="L118" s="28" t="s">
        <v>959</v>
      </c>
      <c r="M118" s="28" t="s">
        <v>520</v>
      </c>
      <c r="N118" s="28" t="s">
        <v>544</v>
      </c>
      <c r="S118" s="28" t="s">
        <v>546</v>
      </c>
      <c r="T118" s="28" t="s">
        <v>960</v>
      </c>
      <c r="U118" s="28" t="s">
        <v>960</v>
      </c>
      <c r="V118" s="28" t="s">
        <v>517</v>
      </c>
      <c r="W118" s="28" t="s">
        <v>975</v>
      </c>
      <c r="Z118" s="28" t="s">
        <v>526</v>
      </c>
      <c r="AD118" s="118"/>
      <c r="AF118" s="125" t="s">
        <v>1083</v>
      </c>
      <c r="AK118" s="60">
        <v>2</v>
      </c>
      <c r="AL118" s="28">
        <f>1/COUNTIF(Tableau6[LAT],B118)</f>
        <v>1</v>
      </c>
      <c r="AM118" s="60" t="b">
        <f t="shared" si="12"/>
        <v>0</v>
      </c>
      <c r="AN118" s="60" t="b">
        <f t="shared" si="13"/>
        <v>0</v>
      </c>
      <c r="AO118" s="60" t="b">
        <f t="shared" si="14"/>
        <v>0</v>
      </c>
      <c r="AP118" s="60" t="b">
        <f t="shared" si="15"/>
        <v>0</v>
      </c>
      <c r="AQ118" s="60" t="b">
        <f t="shared" si="16"/>
        <v>0</v>
      </c>
      <c r="AR118" s="60" t="str">
        <f t="shared" si="10"/>
        <v>No</v>
      </c>
      <c r="AS118" s="60" t="str">
        <f t="shared" si="11"/>
        <v>No</v>
      </c>
    </row>
    <row r="119" spans="1:45" ht="15" hidden="1">
      <c r="A119" s="103">
        <v>45243</v>
      </c>
      <c r="B119" s="117" t="s">
        <v>1088</v>
      </c>
      <c r="C119" s="28" t="s">
        <v>511</v>
      </c>
      <c r="D119" s="28" t="s">
        <v>1089</v>
      </c>
      <c r="F119" s="28" t="s">
        <v>1090</v>
      </c>
      <c r="G119" s="28" t="s">
        <v>514</v>
      </c>
      <c r="H119" s="28" t="s">
        <v>1091</v>
      </c>
      <c r="I119" s="28" t="s">
        <v>516</v>
      </c>
      <c r="J119" s="28" t="s">
        <v>517</v>
      </c>
      <c r="K119" s="28" t="s">
        <v>518</v>
      </c>
      <c r="L119" s="28" t="s">
        <v>649</v>
      </c>
      <c r="M119" s="28" t="s">
        <v>535</v>
      </c>
      <c r="N119" s="28" t="s">
        <v>544</v>
      </c>
      <c r="O119" s="28" t="s">
        <v>522</v>
      </c>
      <c r="S119" s="28" t="s">
        <v>991</v>
      </c>
      <c r="T119" s="28" t="s">
        <v>651</v>
      </c>
      <c r="U119" s="28" t="s">
        <v>651</v>
      </c>
      <c r="V119" s="28" t="s">
        <v>517</v>
      </c>
      <c r="W119" s="28" t="s">
        <v>1092</v>
      </c>
      <c r="Z119" s="28" t="s">
        <v>526</v>
      </c>
      <c r="AD119" s="118"/>
      <c r="AF119" s="125" t="s">
        <v>1089</v>
      </c>
      <c r="AK119" s="60">
        <v>2</v>
      </c>
      <c r="AL119" s="28">
        <f>1/COUNTIF(Tableau6[LAT],B119)</f>
        <v>1</v>
      </c>
      <c r="AM119" s="60" t="b">
        <f t="shared" si="12"/>
        <v>0</v>
      </c>
      <c r="AN119" s="60" t="b">
        <f t="shared" si="13"/>
        <v>0</v>
      </c>
      <c r="AO119" s="60" t="b">
        <f t="shared" si="14"/>
        <v>0</v>
      </c>
      <c r="AP119" s="60" t="b">
        <f t="shared" si="15"/>
        <v>0</v>
      </c>
      <c r="AQ119" s="60" t="b">
        <f t="shared" si="16"/>
        <v>0</v>
      </c>
      <c r="AR119" s="60" t="str">
        <f t="shared" si="10"/>
        <v>No</v>
      </c>
      <c r="AS119" s="60" t="str">
        <f t="shared" si="11"/>
        <v>No</v>
      </c>
    </row>
    <row r="120" spans="1:45" ht="15" hidden="1">
      <c r="A120" s="103">
        <v>45243</v>
      </c>
      <c r="B120" s="117" t="s">
        <v>1093</v>
      </c>
      <c r="C120" s="28" t="s">
        <v>511</v>
      </c>
      <c r="D120" s="28" t="s">
        <v>1094</v>
      </c>
      <c r="F120" s="28" t="s">
        <v>1095</v>
      </c>
      <c r="G120" s="28" t="s">
        <v>514</v>
      </c>
      <c r="H120" s="28" t="s">
        <v>1096</v>
      </c>
      <c r="I120" s="28" t="s">
        <v>516</v>
      </c>
      <c r="J120" s="28" t="s">
        <v>517</v>
      </c>
      <c r="K120" s="28" t="s">
        <v>518</v>
      </c>
      <c r="L120" s="28" t="s">
        <v>1097</v>
      </c>
      <c r="M120" s="28" t="s">
        <v>520</v>
      </c>
      <c r="N120" s="28" t="s">
        <v>544</v>
      </c>
      <c r="S120" s="28" t="s">
        <v>1014</v>
      </c>
      <c r="T120" s="28" t="s">
        <v>1098</v>
      </c>
      <c r="U120" s="28" t="s">
        <v>1098</v>
      </c>
      <c r="V120" s="28" t="s">
        <v>517</v>
      </c>
      <c r="W120" s="28" t="s">
        <v>856</v>
      </c>
      <c r="Z120" s="28" t="s">
        <v>563</v>
      </c>
      <c r="AB120" s="28" t="s">
        <v>527</v>
      </c>
      <c r="AD120" s="118" t="s">
        <v>528</v>
      </c>
      <c r="AF120" s="126" t="s">
        <v>1094</v>
      </c>
      <c r="AG120" s="28" t="s">
        <v>563</v>
      </c>
      <c r="AK120" s="60">
        <v>2</v>
      </c>
      <c r="AL120" s="28">
        <f>1/COUNTIF(Tableau6[LAT],B120)</f>
        <v>0.25</v>
      </c>
      <c r="AM120" s="60" t="b">
        <f t="shared" si="12"/>
        <v>0</v>
      </c>
      <c r="AN120" s="60" t="b">
        <f t="shared" si="13"/>
        <v>0</v>
      </c>
      <c r="AO120" s="60" t="b">
        <f t="shared" si="14"/>
        <v>0</v>
      </c>
      <c r="AP120" s="60" t="b">
        <f t="shared" si="15"/>
        <v>0</v>
      </c>
      <c r="AQ120" s="60" t="b">
        <f t="shared" si="16"/>
        <v>0</v>
      </c>
      <c r="AR120" s="60" t="str">
        <f t="shared" si="10"/>
        <v>No</v>
      </c>
      <c r="AS120" s="60" t="str">
        <f t="shared" si="11"/>
        <v>No</v>
      </c>
    </row>
    <row r="121" spans="1:45" ht="15" hidden="1">
      <c r="A121" s="103">
        <v>45243</v>
      </c>
      <c r="B121" s="117" t="s">
        <v>1093</v>
      </c>
      <c r="C121" s="28" t="s">
        <v>548</v>
      </c>
      <c r="D121" s="28" t="s">
        <v>1099</v>
      </c>
      <c r="F121" s="28" t="s">
        <v>1100</v>
      </c>
      <c r="G121" s="28" t="s">
        <v>514</v>
      </c>
      <c r="H121" s="28" t="s">
        <v>1096</v>
      </c>
      <c r="I121" s="28" t="s">
        <v>516</v>
      </c>
      <c r="J121" s="28" t="s">
        <v>517</v>
      </c>
      <c r="K121" s="28" t="s">
        <v>518</v>
      </c>
      <c r="L121" s="28" t="s">
        <v>1097</v>
      </c>
      <c r="M121" s="28" t="s">
        <v>520</v>
      </c>
      <c r="N121" s="28" t="s">
        <v>544</v>
      </c>
      <c r="S121" s="28" t="s">
        <v>1014</v>
      </c>
      <c r="T121" s="28" t="s">
        <v>1098</v>
      </c>
      <c r="U121" s="28" t="s">
        <v>1098</v>
      </c>
      <c r="V121" s="28" t="s">
        <v>517</v>
      </c>
      <c r="W121" s="28" t="s">
        <v>856</v>
      </c>
      <c r="Z121" s="28" t="s">
        <v>563</v>
      </c>
      <c r="AB121" s="28" t="s">
        <v>527</v>
      </c>
      <c r="AD121" s="118" t="s">
        <v>528</v>
      </c>
      <c r="AF121" s="126" t="s">
        <v>1099</v>
      </c>
      <c r="AG121" s="28" t="s">
        <v>563</v>
      </c>
      <c r="AK121" s="60">
        <v>2</v>
      </c>
      <c r="AL121" s="28">
        <f>1/COUNTIF(Tableau6[LAT],B121)</f>
        <v>0.25</v>
      </c>
      <c r="AM121" s="60" t="b">
        <f t="shared" si="12"/>
        <v>0</v>
      </c>
      <c r="AN121" s="60" t="b">
        <f t="shared" si="13"/>
        <v>0</v>
      </c>
      <c r="AO121" s="60" t="b">
        <f t="shared" si="14"/>
        <v>0</v>
      </c>
      <c r="AP121" s="60" t="b">
        <f t="shared" si="15"/>
        <v>0</v>
      </c>
      <c r="AQ121" s="60" t="b">
        <f t="shared" si="16"/>
        <v>0</v>
      </c>
      <c r="AR121" s="60" t="str">
        <f t="shared" si="10"/>
        <v>No</v>
      </c>
      <c r="AS121" s="60" t="str">
        <f t="shared" si="11"/>
        <v>No</v>
      </c>
    </row>
    <row r="122" spans="1:45" ht="15" hidden="1">
      <c r="A122" s="103">
        <v>45243</v>
      </c>
      <c r="B122" s="117" t="s">
        <v>1093</v>
      </c>
      <c r="C122" s="28" t="s">
        <v>612</v>
      </c>
      <c r="D122" s="28" t="s">
        <v>1101</v>
      </c>
      <c r="F122" s="28" t="s">
        <v>1100</v>
      </c>
      <c r="G122" s="28" t="s">
        <v>514</v>
      </c>
      <c r="H122" s="28" t="s">
        <v>1096</v>
      </c>
      <c r="I122" s="28" t="s">
        <v>516</v>
      </c>
      <c r="J122" s="28" t="s">
        <v>517</v>
      </c>
      <c r="K122" s="28" t="s">
        <v>518</v>
      </c>
      <c r="L122" s="28" t="s">
        <v>1097</v>
      </c>
      <c r="M122" s="28" t="s">
        <v>520</v>
      </c>
      <c r="N122" s="28" t="s">
        <v>544</v>
      </c>
      <c r="S122" s="28" t="s">
        <v>1014</v>
      </c>
      <c r="T122" s="28" t="s">
        <v>1098</v>
      </c>
      <c r="U122" s="28" t="s">
        <v>1098</v>
      </c>
      <c r="V122" s="28" t="s">
        <v>517</v>
      </c>
      <c r="W122" s="28" t="s">
        <v>856</v>
      </c>
      <c r="Z122" s="28" t="s">
        <v>563</v>
      </c>
      <c r="AB122" s="28" t="s">
        <v>527</v>
      </c>
      <c r="AD122" s="118" t="s">
        <v>528</v>
      </c>
      <c r="AF122" s="126" t="s">
        <v>1101</v>
      </c>
      <c r="AG122" s="28" t="s">
        <v>563</v>
      </c>
      <c r="AK122" s="60">
        <v>2</v>
      </c>
      <c r="AL122" s="28">
        <f>1/COUNTIF(Tableau6[LAT],B122)</f>
        <v>0.25</v>
      </c>
      <c r="AM122" s="60" t="b">
        <f t="shared" si="12"/>
        <v>0</v>
      </c>
      <c r="AN122" s="60" t="b">
        <f t="shared" si="13"/>
        <v>0</v>
      </c>
      <c r="AO122" s="60" t="b">
        <f t="shared" si="14"/>
        <v>0</v>
      </c>
      <c r="AP122" s="60" t="b">
        <f t="shared" si="15"/>
        <v>0</v>
      </c>
      <c r="AQ122" s="60" t="b">
        <f t="shared" si="16"/>
        <v>0</v>
      </c>
      <c r="AR122" s="60" t="str">
        <f t="shared" si="10"/>
        <v>No</v>
      </c>
      <c r="AS122" s="60" t="str">
        <f t="shared" si="11"/>
        <v>No</v>
      </c>
    </row>
    <row r="123" spans="1:45" ht="15" hidden="1">
      <c r="A123" s="103">
        <v>45243</v>
      </c>
      <c r="B123" s="117" t="s">
        <v>1093</v>
      </c>
      <c r="C123" s="28" t="s">
        <v>691</v>
      </c>
      <c r="D123" s="28" t="s">
        <v>1102</v>
      </c>
      <c r="F123" s="28" t="s">
        <v>1100</v>
      </c>
      <c r="G123" s="28" t="s">
        <v>514</v>
      </c>
      <c r="H123" s="28" t="s">
        <v>1096</v>
      </c>
      <c r="I123" s="28" t="s">
        <v>516</v>
      </c>
      <c r="J123" s="28" t="s">
        <v>517</v>
      </c>
      <c r="K123" s="28" t="s">
        <v>518</v>
      </c>
      <c r="L123" s="28" t="s">
        <v>1097</v>
      </c>
      <c r="M123" s="28" t="s">
        <v>520</v>
      </c>
      <c r="N123" s="28" t="s">
        <v>544</v>
      </c>
      <c r="S123" s="28" t="s">
        <v>1014</v>
      </c>
      <c r="T123" s="28" t="s">
        <v>1098</v>
      </c>
      <c r="U123" s="28" t="s">
        <v>1098</v>
      </c>
      <c r="V123" s="28" t="s">
        <v>517</v>
      </c>
      <c r="W123" s="28" t="s">
        <v>856</v>
      </c>
      <c r="Z123" s="28" t="s">
        <v>563</v>
      </c>
      <c r="AB123" s="28" t="s">
        <v>527</v>
      </c>
      <c r="AD123" s="118"/>
      <c r="AF123" s="126"/>
      <c r="AK123" s="60">
        <v>2</v>
      </c>
      <c r="AL123" s="28">
        <f>1/COUNTIF(Tableau6[LAT],B123)</f>
        <v>0.25</v>
      </c>
      <c r="AM123" s="60" t="b">
        <f t="shared" si="12"/>
        <v>0</v>
      </c>
      <c r="AN123" s="60" t="b">
        <f t="shared" si="13"/>
        <v>0</v>
      </c>
      <c r="AO123" s="60" t="b">
        <f t="shared" si="14"/>
        <v>0</v>
      </c>
      <c r="AP123" s="60" t="b">
        <f t="shared" si="15"/>
        <v>0</v>
      </c>
      <c r="AQ123" s="60" t="b">
        <f t="shared" si="16"/>
        <v>0</v>
      </c>
      <c r="AR123" s="60" t="str">
        <f t="shared" si="10"/>
        <v>No</v>
      </c>
      <c r="AS123" s="60" t="str">
        <f t="shared" si="11"/>
        <v>No</v>
      </c>
    </row>
    <row r="124" spans="1:45" ht="15" hidden="1">
      <c r="A124" s="103">
        <v>45243</v>
      </c>
      <c r="B124" s="117" t="s">
        <v>1103</v>
      </c>
      <c r="C124" s="28" t="s">
        <v>511</v>
      </c>
      <c r="D124" s="28" t="s">
        <v>1104</v>
      </c>
      <c r="F124" s="28" t="s">
        <v>1105</v>
      </c>
      <c r="G124" s="28" t="s">
        <v>514</v>
      </c>
      <c r="H124" s="28" t="s">
        <v>1106</v>
      </c>
      <c r="I124" s="28" t="s">
        <v>516</v>
      </c>
      <c r="J124" s="28" t="s">
        <v>517</v>
      </c>
      <c r="K124" s="28" t="s">
        <v>518</v>
      </c>
      <c r="L124" s="28" t="s">
        <v>731</v>
      </c>
      <c r="M124" s="28" t="s">
        <v>535</v>
      </c>
      <c r="N124" s="28" t="s">
        <v>557</v>
      </c>
      <c r="O124" s="28" t="s">
        <v>544</v>
      </c>
      <c r="P124" s="28" t="s">
        <v>1107</v>
      </c>
      <c r="Q124" s="28" t="s">
        <v>522</v>
      </c>
      <c r="S124" s="28" t="s">
        <v>1108</v>
      </c>
      <c r="T124" s="28" t="s">
        <v>733</v>
      </c>
      <c r="U124" s="28" t="s">
        <v>733</v>
      </c>
      <c r="V124" s="28" t="s">
        <v>517</v>
      </c>
      <c r="W124" s="28" t="s">
        <v>1109</v>
      </c>
      <c r="Z124" s="28" t="s">
        <v>563</v>
      </c>
      <c r="AB124" s="28" t="s">
        <v>527</v>
      </c>
      <c r="AD124" s="118" t="s">
        <v>528</v>
      </c>
      <c r="AF124" s="126" t="s">
        <v>1104</v>
      </c>
      <c r="AG124" s="28" t="s">
        <v>563</v>
      </c>
      <c r="AK124" s="60">
        <v>2</v>
      </c>
      <c r="AL124" s="28">
        <f>1/COUNTIF(Tableau6[LAT],B124)</f>
        <v>0.5</v>
      </c>
      <c r="AM124" s="60" t="b">
        <f t="shared" si="12"/>
        <v>0</v>
      </c>
      <c r="AN124" s="60" t="b">
        <f t="shared" si="13"/>
        <v>0</v>
      </c>
      <c r="AO124" s="60" t="b">
        <f t="shared" si="14"/>
        <v>0</v>
      </c>
      <c r="AP124" s="60" t="b">
        <f t="shared" si="15"/>
        <v>0</v>
      </c>
      <c r="AQ124" s="60" t="b">
        <f t="shared" si="16"/>
        <v>0</v>
      </c>
      <c r="AR124" s="60" t="str">
        <f t="shared" si="10"/>
        <v>No</v>
      </c>
      <c r="AS124" s="60" t="str">
        <f t="shared" si="11"/>
        <v>No</v>
      </c>
    </row>
    <row r="125" spans="1:45" ht="15" hidden="1">
      <c r="A125" s="103">
        <v>45243</v>
      </c>
      <c r="B125" s="117" t="s">
        <v>1103</v>
      </c>
      <c r="C125" s="28" t="s">
        <v>548</v>
      </c>
      <c r="D125" s="28" t="s">
        <v>1110</v>
      </c>
      <c r="F125" s="28" t="s">
        <v>1105</v>
      </c>
      <c r="G125" s="28" t="s">
        <v>514</v>
      </c>
      <c r="H125" s="28" t="s">
        <v>1111</v>
      </c>
      <c r="I125" s="28" t="s">
        <v>516</v>
      </c>
      <c r="J125" s="28" t="s">
        <v>517</v>
      </c>
      <c r="K125" s="28" t="s">
        <v>518</v>
      </c>
      <c r="L125" s="28" t="s">
        <v>731</v>
      </c>
      <c r="M125" s="28" t="s">
        <v>535</v>
      </c>
      <c r="N125" s="28" t="s">
        <v>557</v>
      </c>
      <c r="O125" s="28" t="s">
        <v>544</v>
      </c>
      <c r="P125" s="28" t="s">
        <v>1107</v>
      </c>
      <c r="Q125" s="28" t="s">
        <v>522</v>
      </c>
      <c r="S125" s="28" t="s">
        <v>1108</v>
      </c>
      <c r="T125" s="28" t="s">
        <v>733</v>
      </c>
      <c r="U125" s="28" t="s">
        <v>733</v>
      </c>
      <c r="V125" s="28" t="s">
        <v>517</v>
      </c>
      <c r="W125" s="28" t="s">
        <v>922</v>
      </c>
      <c r="Z125" s="28" t="s">
        <v>563</v>
      </c>
      <c r="AB125" s="28" t="s">
        <v>527</v>
      </c>
      <c r="AD125" s="118"/>
      <c r="AF125" s="126"/>
      <c r="AK125" s="60">
        <v>2</v>
      </c>
      <c r="AL125" s="28">
        <f>1/COUNTIF(Tableau6[LAT],B125)</f>
        <v>0.5</v>
      </c>
      <c r="AM125" s="60" t="b">
        <f t="shared" si="12"/>
        <v>0</v>
      </c>
      <c r="AN125" s="60" t="b">
        <f t="shared" si="13"/>
        <v>0</v>
      </c>
      <c r="AO125" s="60" t="b">
        <f t="shared" si="14"/>
        <v>0</v>
      </c>
      <c r="AP125" s="60" t="b">
        <f t="shared" si="15"/>
        <v>0</v>
      </c>
      <c r="AQ125" s="60" t="b">
        <f t="shared" si="16"/>
        <v>0</v>
      </c>
      <c r="AR125" s="60" t="str">
        <f t="shared" si="10"/>
        <v>No</v>
      </c>
      <c r="AS125" s="60" t="str">
        <f t="shared" si="11"/>
        <v>No</v>
      </c>
    </row>
    <row r="126" spans="1:45" ht="15" hidden="1">
      <c r="A126" s="103">
        <v>45243</v>
      </c>
      <c r="B126" s="117" t="s">
        <v>1112</v>
      </c>
      <c r="C126" s="28" t="s">
        <v>511</v>
      </c>
      <c r="D126" s="28" t="s">
        <v>1113</v>
      </c>
      <c r="F126" s="28" t="s">
        <v>1114</v>
      </c>
      <c r="G126" s="28" t="s">
        <v>514</v>
      </c>
      <c r="H126" s="28" t="s">
        <v>1115</v>
      </c>
      <c r="I126" s="28" t="s">
        <v>516</v>
      </c>
      <c r="J126" s="28" t="s">
        <v>517</v>
      </c>
      <c r="K126" s="28" t="s">
        <v>518</v>
      </c>
      <c r="L126" s="28" t="s">
        <v>1097</v>
      </c>
      <c r="M126" s="28" t="s">
        <v>535</v>
      </c>
      <c r="N126" s="28" t="s">
        <v>557</v>
      </c>
      <c r="O126" s="28" t="s">
        <v>544</v>
      </c>
      <c r="S126" s="28" t="s">
        <v>581</v>
      </c>
      <c r="T126" s="28" t="s">
        <v>1098</v>
      </c>
      <c r="U126" s="28" t="s">
        <v>1098</v>
      </c>
      <c r="V126" s="28" t="s">
        <v>517</v>
      </c>
      <c r="W126" s="28" t="s">
        <v>1116</v>
      </c>
      <c r="Z126" s="28" t="s">
        <v>563</v>
      </c>
      <c r="AB126" s="28" t="s">
        <v>527</v>
      </c>
      <c r="AD126" s="118" t="s">
        <v>528</v>
      </c>
      <c r="AF126" s="125" t="s">
        <v>1113</v>
      </c>
      <c r="AG126" s="28" t="s">
        <v>563</v>
      </c>
      <c r="AK126" s="60">
        <v>2</v>
      </c>
      <c r="AL126" s="28">
        <f>1/COUNTIF(Tableau6[LAT],B126)</f>
        <v>1</v>
      </c>
      <c r="AM126" s="60" t="b">
        <f t="shared" si="12"/>
        <v>0</v>
      </c>
      <c r="AN126" s="60" t="b">
        <f t="shared" si="13"/>
        <v>0</v>
      </c>
      <c r="AO126" s="60" t="b">
        <f t="shared" si="14"/>
        <v>0</v>
      </c>
      <c r="AP126" s="60" t="b">
        <f t="shared" si="15"/>
        <v>0</v>
      </c>
      <c r="AQ126" s="60" t="b">
        <f t="shared" si="16"/>
        <v>0</v>
      </c>
      <c r="AR126" s="60" t="str">
        <f t="shared" si="10"/>
        <v>No</v>
      </c>
      <c r="AS126" s="60" t="str">
        <f t="shared" si="11"/>
        <v>No</v>
      </c>
    </row>
    <row r="127" spans="1:45" ht="15" hidden="1">
      <c r="A127" s="103">
        <v>45243</v>
      </c>
      <c r="B127" s="117" t="s">
        <v>1117</v>
      </c>
      <c r="C127" s="28" t="s">
        <v>511</v>
      </c>
      <c r="D127" s="28" t="s">
        <v>1118</v>
      </c>
      <c r="F127" s="28" t="s">
        <v>1119</v>
      </c>
      <c r="G127" s="28" t="s">
        <v>514</v>
      </c>
      <c r="H127" s="28" t="s">
        <v>1120</v>
      </c>
      <c r="I127" s="28" t="s">
        <v>516</v>
      </c>
      <c r="J127" s="28" t="s">
        <v>517</v>
      </c>
      <c r="K127" s="28" t="s">
        <v>518</v>
      </c>
      <c r="L127" s="28" t="s">
        <v>543</v>
      </c>
      <c r="M127" s="28" t="s">
        <v>535</v>
      </c>
      <c r="N127" s="28" t="s">
        <v>557</v>
      </c>
      <c r="O127" s="28" t="s">
        <v>522</v>
      </c>
      <c r="S127" s="28" t="s">
        <v>733</v>
      </c>
      <c r="T127" s="28" t="s">
        <v>546</v>
      </c>
      <c r="U127" s="28" t="s">
        <v>546</v>
      </c>
      <c r="V127" s="28" t="s">
        <v>517</v>
      </c>
      <c r="W127" s="28" t="s">
        <v>1121</v>
      </c>
      <c r="Z127" s="28" t="s">
        <v>563</v>
      </c>
      <c r="AB127" s="28" t="s">
        <v>527</v>
      </c>
      <c r="AD127" s="118" t="s">
        <v>954</v>
      </c>
      <c r="AF127" s="126" t="s">
        <v>1118</v>
      </c>
      <c r="AG127" s="28" t="s">
        <v>563</v>
      </c>
      <c r="AK127" s="60">
        <v>2</v>
      </c>
      <c r="AL127" s="28">
        <f>1/COUNTIF(Tableau6[LAT],B127)</f>
        <v>0.5</v>
      </c>
      <c r="AM127" s="60" t="b">
        <f t="shared" si="12"/>
        <v>0</v>
      </c>
      <c r="AN127" s="60" t="b">
        <f t="shared" si="13"/>
        <v>0</v>
      </c>
      <c r="AO127" s="60" t="b">
        <f t="shared" si="14"/>
        <v>0</v>
      </c>
      <c r="AP127" s="60" t="b">
        <f t="shared" si="15"/>
        <v>0</v>
      </c>
      <c r="AQ127" s="60" t="b">
        <f t="shared" si="16"/>
        <v>0</v>
      </c>
      <c r="AR127" s="60" t="str">
        <f t="shared" si="10"/>
        <v>No</v>
      </c>
      <c r="AS127" s="60" t="str">
        <f t="shared" si="11"/>
        <v>Yes</v>
      </c>
    </row>
    <row r="128" spans="1:45" ht="15" hidden="1">
      <c r="A128" s="103">
        <v>45243</v>
      </c>
      <c r="B128" s="117">
        <v>5705265234</v>
      </c>
      <c r="C128" s="28" t="s">
        <v>548</v>
      </c>
      <c r="D128" s="28" t="s">
        <v>1122</v>
      </c>
      <c r="F128" s="28" t="s">
        <v>1119</v>
      </c>
      <c r="G128" s="28" t="s">
        <v>514</v>
      </c>
      <c r="H128" s="28" t="s">
        <v>1123</v>
      </c>
      <c r="I128" s="28" t="s">
        <v>516</v>
      </c>
      <c r="J128" s="28" t="s">
        <v>517</v>
      </c>
      <c r="K128" s="28" t="s">
        <v>518</v>
      </c>
      <c r="L128" s="28" t="s">
        <v>543</v>
      </c>
      <c r="M128" s="28" t="s">
        <v>535</v>
      </c>
      <c r="N128" s="28" t="s">
        <v>1124</v>
      </c>
      <c r="O128" s="28" t="s">
        <v>557</v>
      </c>
      <c r="P128" s="28" t="s">
        <v>522</v>
      </c>
      <c r="S128" s="28" t="s">
        <v>733</v>
      </c>
      <c r="T128" s="28" t="s">
        <v>546</v>
      </c>
      <c r="U128" s="28" t="s">
        <v>546</v>
      </c>
      <c r="V128" s="28" t="s">
        <v>517</v>
      </c>
      <c r="W128" s="28" t="s">
        <v>1125</v>
      </c>
      <c r="Z128" s="28" t="s">
        <v>526</v>
      </c>
      <c r="AB128" s="28" t="s">
        <v>527</v>
      </c>
      <c r="AC128" s="28" t="s">
        <v>516</v>
      </c>
      <c r="AD128" s="118" t="s">
        <v>954</v>
      </c>
      <c r="AF128" s="126" t="s">
        <v>1122</v>
      </c>
      <c r="AG128" s="28" t="s">
        <v>563</v>
      </c>
      <c r="AK128" s="60">
        <v>2</v>
      </c>
      <c r="AL128" s="28">
        <f>1/COUNTIF(Tableau6[LAT],B128)</f>
        <v>0.5</v>
      </c>
      <c r="AM128" s="60" t="b">
        <f t="shared" si="12"/>
        <v>0</v>
      </c>
      <c r="AN128" s="60" t="b">
        <f t="shared" si="13"/>
        <v>0</v>
      </c>
      <c r="AO128" s="60" t="b">
        <f t="shared" si="14"/>
        <v>0</v>
      </c>
      <c r="AP128" s="60" t="b">
        <f t="shared" si="15"/>
        <v>0</v>
      </c>
      <c r="AQ128" s="60" t="b">
        <f t="shared" si="16"/>
        <v>0</v>
      </c>
      <c r="AR128" s="60" t="str">
        <f t="shared" si="10"/>
        <v>No</v>
      </c>
      <c r="AS128" s="60" t="str">
        <f t="shared" si="11"/>
        <v>Yes</v>
      </c>
    </row>
    <row r="129" spans="1:45" ht="15" hidden="1">
      <c r="A129" s="103">
        <v>45243</v>
      </c>
      <c r="B129" s="117" t="s">
        <v>1126</v>
      </c>
      <c r="C129" s="28" t="s">
        <v>511</v>
      </c>
      <c r="D129" s="28" t="s">
        <v>1127</v>
      </c>
      <c r="F129" s="28" t="s">
        <v>1128</v>
      </c>
      <c r="G129" s="28" t="s">
        <v>514</v>
      </c>
      <c r="H129" s="28" t="s">
        <v>1129</v>
      </c>
      <c r="I129" s="28" t="s">
        <v>516</v>
      </c>
      <c r="J129" s="28" t="s">
        <v>517</v>
      </c>
      <c r="K129" s="28" t="s">
        <v>518</v>
      </c>
      <c r="L129" s="28" t="s">
        <v>596</v>
      </c>
      <c r="M129" s="28" t="s">
        <v>535</v>
      </c>
      <c r="N129" s="28" t="s">
        <v>557</v>
      </c>
      <c r="O129" s="28" t="s">
        <v>522</v>
      </c>
      <c r="S129" s="28" t="s">
        <v>940</v>
      </c>
      <c r="T129" s="28" t="s">
        <v>597</v>
      </c>
      <c r="U129" s="28" t="s">
        <v>597</v>
      </c>
      <c r="V129" s="28" t="s">
        <v>517</v>
      </c>
      <c r="W129" s="28" t="s">
        <v>1130</v>
      </c>
      <c r="Z129" s="28" t="s">
        <v>526</v>
      </c>
      <c r="AD129" s="118" t="s">
        <v>528</v>
      </c>
      <c r="AF129" s="125" t="s">
        <v>1127</v>
      </c>
      <c r="AG129" s="28" t="s">
        <v>529</v>
      </c>
      <c r="AK129" s="60">
        <v>2</v>
      </c>
      <c r="AL129" s="28">
        <f>1/COUNTIF(Tableau6[LAT],B129)</f>
        <v>1</v>
      </c>
      <c r="AM129" s="60" t="b">
        <f t="shared" si="12"/>
        <v>0</v>
      </c>
      <c r="AN129" s="60" t="b">
        <f t="shared" si="13"/>
        <v>0</v>
      </c>
      <c r="AO129" s="60" t="b">
        <f t="shared" si="14"/>
        <v>0</v>
      </c>
      <c r="AP129" s="60" t="b">
        <f t="shared" si="15"/>
        <v>0</v>
      </c>
      <c r="AQ129" s="60" t="b">
        <f t="shared" si="16"/>
        <v>0</v>
      </c>
      <c r="AR129" s="60" t="str">
        <f t="shared" si="10"/>
        <v>No</v>
      </c>
      <c r="AS129" s="60" t="str">
        <f t="shared" si="11"/>
        <v>No</v>
      </c>
    </row>
    <row r="130" spans="1:45" ht="15" hidden="1">
      <c r="A130" s="103">
        <v>45243</v>
      </c>
      <c r="B130" s="117" t="s">
        <v>1131</v>
      </c>
      <c r="C130" s="28" t="s">
        <v>511</v>
      </c>
      <c r="D130" s="28" t="s">
        <v>1132</v>
      </c>
      <c r="F130" s="28" t="s">
        <v>1133</v>
      </c>
      <c r="G130" s="28" t="s">
        <v>514</v>
      </c>
      <c r="H130" s="28" t="s">
        <v>1134</v>
      </c>
      <c r="I130" s="28" t="s">
        <v>517</v>
      </c>
      <c r="J130" s="28" t="s">
        <v>517</v>
      </c>
      <c r="K130" s="28" t="s">
        <v>518</v>
      </c>
      <c r="L130" s="28" t="s">
        <v>649</v>
      </c>
      <c r="M130" s="28" t="s">
        <v>535</v>
      </c>
      <c r="N130" s="28" t="s">
        <v>557</v>
      </c>
      <c r="O130" s="28" t="s">
        <v>544</v>
      </c>
      <c r="P130" s="28" t="s">
        <v>522</v>
      </c>
      <c r="Q130" s="28" t="s">
        <v>627</v>
      </c>
      <c r="S130" s="28" t="s">
        <v>573</v>
      </c>
      <c r="T130" s="28" t="s">
        <v>651</v>
      </c>
      <c r="U130" s="28" t="s">
        <v>651</v>
      </c>
      <c r="V130" s="28" t="s">
        <v>517</v>
      </c>
      <c r="W130" s="28" t="s">
        <v>922</v>
      </c>
      <c r="Z130" s="28" t="s">
        <v>526</v>
      </c>
      <c r="AB130" s="28" t="s">
        <v>527</v>
      </c>
      <c r="AC130" s="73" t="s">
        <v>35</v>
      </c>
      <c r="AD130" s="118" t="s">
        <v>528</v>
      </c>
      <c r="AF130" s="125" t="s">
        <v>1132</v>
      </c>
      <c r="AG130" s="28" t="s">
        <v>529</v>
      </c>
      <c r="AK130" s="60">
        <v>2</v>
      </c>
      <c r="AL130" s="28">
        <f>1/COUNTIF(Tableau6[LAT],B130)</f>
        <v>1</v>
      </c>
      <c r="AM130" s="60" t="b">
        <f t="shared" si="12"/>
        <v>0</v>
      </c>
      <c r="AN130" s="60" t="b">
        <f t="shared" si="13"/>
        <v>0</v>
      </c>
      <c r="AO130" s="60" t="b">
        <f t="shared" si="14"/>
        <v>0</v>
      </c>
      <c r="AP130" s="60" t="b">
        <f t="shared" si="15"/>
        <v>0</v>
      </c>
      <c r="AQ130" s="60" t="b">
        <f t="shared" si="16"/>
        <v>0</v>
      </c>
      <c r="AR130" s="60" t="str">
        <f t="shared" si="10"/>
        <v>No</v>
      </c>
      <c r="AS130" s="60" t="str">
        <f t="shared" si="11"/>
        <v>No</v>
      </c>
    </row>
    <row r="131" spans="1:45" ht="15" hidden="1">
      <c r="A131" s="103">
        <v>45243</v>
      </c>
      <c r="B131" s="117" t="s">
        <v>1135</v>
      </c>
      <c r="C131" s="28" t="s">
        <v>511</v>
      </c>
      <c r="D131" s="28" t="s">
        <v>1136</v>
      </c>
      <c r="F131" s="28" t="s">
        <v>1137</v>
      </c>
      <c r="G131" s="28" t="s">
        <v>514</v>
      </c>
      <c r="H131" s="28" t="s">
        <v>1138</v>
      </c>
      <c r="I131" s="28" t="s">
        <v>516</v>
      </c>
      <c r="J131" s="28" t="s">
        <v>517</v>
      </c>
      <c r="K131" s="28" t="s">
        <v>518</v>
      </c>
      <c r="L131" s="28" t="s">
        <v>543</v>
      </c>
      <c r="M131" s="28" t="s">
        <v>535</v>
      </c>
      <c r="N131" s="28" t="s">
        <v>1139</v>
      </c>
      <c r="O131" s="28" t="s">
        <v>1140</v>
      </c>
      <c r="P131" s="28" t="s">
        <v>557</v>
      </c>
      <c r="Q131" s="28" t="s">
        <v>934</v>
      </c>
      <c r="R131" s="28" t="s">
        <v>559</v>
      </c>
      <c r="S131" s="28" t="s">
        <v>536</v>
      </c>
      <c r="T131" s="28" t="s">
        <v>546</v>
      </c>
      <c r="U131" s="28" t="s">
        <v>546</v>
      </c>
      <c r="V131" s="28" t="s">
        <v>517</v>
      </c>
      <c r="W131" s="28" t="s">
        <v>889</v>
      </c>
      <c r="Z131" s="28" t="s">
        <v>563</v>
      </c>
      <c r="AB131" s="73" t="s">
        <v>609</v>
      </c>
      <c r="AD131" s="118" t="s">
        <v>528</v>
      </c>
      <c r="AF131" s="125" t="s">
        <v>1136</v>
      </c>
      <c r="AG131" s="28" t="s">
        <v>563</v>
      </c>
      <c r="AK131" s="60">
        <v>2</v>
      </c>
      <c r="AL131" s="28">
        <f>1/COUNTIF(Tableau6[LAT],B131)</f>
        <v>1</v>
      </c>
      <c r="AM131" s="60" t="b">
        <f t="shared" si="12"/>
        <v>0</v>
      </c>
      <c r="AN131" s="60" t="b">
        <f t="shared" si="13"/>
        <v>0</v>
      </c>
      <c r="AO131" s="60" t="b">
        <f t="shared" si="14"/>
        <v>0</v>
      </c>
      <c r="AP131" s="60" t="b">
        <f t="shared" si="15"/>
        <v>0</v>
      </c>
      <c r="AQ131" s="60" t="b">
        <f t="shared" si="16"/>
        <v>0</v>
      </c>
      <c r="AR131" s="60" t="str">
        <f t="shared" si="10"/>
        <v>No</v>
      </c>
      <c r="AS131" s="60" t="str">
        <f t="shared" si="11"/>
        <v>Yes</v>
      </c>
    </row>
    <row r="132" spans="1:45" ht="15" hidden="1">
      <c r="A132" s="103">
        <v>45243</v>
      </c>
      <c r="B132" s="117" t="s">
        <v>1141</v>
      </c>
      <c r="C132" s="28" t="s">
        <v>511</v>
      </c>
      <c r="D132" s="28" t="s">
        <v>1142</v>
      </c>
      <c r="F132" s="28" t="s">
        <v>1143</v>
      </c>
      <c r="G132" s="28" t="s">
        <v>514</v>
      </c>
      <c r="H132" s="28" t="s">
        <v>1144</v>
      </c>
      <c r="I132" s="28" t="s">
        <v>516</v>
      </c>
      <c r="J132" s="28" t="s">
        <v>517</v>
      </c>
      <c r="K132" s="28" t="s">
        <v>518</v>
      </c>
      <c r="L132" s="28" t="s">
        <v>667</v>
      </c>
      <c r="M132" s="28" t="s">
        <v>520</v>
      </c>
      <c r="N132" s="28" t="s">
        <v>544</v>
      </c>
      <c r="S132" s="28" t="s">
        <v>928</v>
      </c>
      <c r="T132" s="28" t="s">
        <v>597</v>
      </c>
      <c r="U132" s="28" t="s">
        <v>597</v>
      </c>
      <c r="V132" s="28" t="s">
        <v>517</v>
      </c>
      <c r="W132" s="28" t="s">
        <v>835</v>
      </c>
      <c r="Z132" s="28" t="s">
        <v>563</v>
      </c>
      <c r="AB132" s="28" t="s">
        <v>527</v>
      </c>
      <c r="AD132" s="118" t="s">
        <v>528</v>
      </c>
      <c r="AF132" s="125" t="s">
        <v>1142</v>
      </c>
      <c r="AG132" s="28" t="s">
        <v>563</v>
      </c>
      <c r="AK132" s="60">
        <v>2</v>
      </c>
      <c r="AL132" s="28">
        <f>1/COUNTIF(Tableau6[LAT],B132)</f>
        <v>1</v>
      </c>
      <c r="AM132" s="60" t="b">
        <f t="shared" si="12"/>
        <v>0</v>
      </c>
      <c r="AN132" s="60" t="b">
        <f t="shared" si="13"/>
        <v>0</v>
      </c>
      <c r="AO132" s="60" t="b">
        <f t="shared" si="14"/>
        <v>0</v>
      </c>
      <c r="AP132" s="60" t="b">
        <f t="shared" si="15"/>
        <v>0</v>
      </c>
      <c r="AQ132" s="60" t="b">
        <f t="shared" si="16"/>
        <v>0</v>
      </c>
      <c r="AR132" s="60" t="str">
        <f t="shared" ref="AR132:AR195" si="17">IF(AM132="Yes","Yes",IF(AN132="Yes","Yes",IF(AO132="yes","Yes",IF(AP132="Yes","Yes","No"))))</f>
        <v>No</v>
      </c>
      <c r="AS132" s="60" t="str">
        <f t="shared" ref="AS132:AS195" si="18">IF(S132="QFA","Yes",IF(S132="LCJ","Yes",IF(S132="CAJ","Yes",IF(S132="WRO","Yes",IF(S132="BEY","Yes",IF(S132="TUN","Yes",IF(S132="LFW","Yes",IF(S132="DLA","Yes",IF(S132="NSI","Yes",IF(S132="OUA","Yes",IF(S132="IAH","Yes",IF(S132="LYS","Yes",IF(S132="DSS","Yes",IF(S132="BKO","Yes",IF(S132="BZV","Yes",IF(S132="COO","Yes",IF(S132="EZE","Yes",IF(S132="CKY","Yes",IF(S132="PTP","Yes",IF(S132="ORD","Yes",IF(S132="CFE","Yes",IF(S132="NKC","Yes",IF(S132="FDF","Yes",IF(S132="SDQ","Yes",IF(S132="PNR","Yes",IF(S132="ICAY","Yes",IF(S132="DTW","Yes",IF(S132="TNR","Yes",IF(S132="RUN","Yes",IF(S132="NIM","Yes","No"))))))))))))))))))))))))))))))</f>
        <v>No</v>
      </c>
    </row>
    <row r="133" spans="1:45" ht="15" hidden="1">
      <c r="A133" s="103">
        <v>45243</v>
      </c>
      <c r="B133" s="117" t="s">
        <v>1145</v>
      </c>
      <c r="C133" s="28" t="s">
        <v>511</v>
      </c>
      <c r="D133" s="28" t="s">
        <v>1146</v>
      </c>
      <c r="F133" s="28" t="s">
        <v>1147</v>
      </c>
      <c r="G133" s="28" t="s">
        <v>958</v>
      </c>
      <c r="H133" s="28" t="s">
        <v>1148</v>
      </c>
      <c r="I133" s="28" t="s">
        <v>516</v>
      </c>
      <c r="J133" s="28" t="s">
        <v>517</v>
      </c>
      <c r="K133" s="28" t="s">
        <v>518</v>
      </c>
      <c r="L133" s="28" t="s">
        <v>1149</v>
      </c>
      <c r="M133" s="28" t="s">
        <v>535</v>
      </c>
      <c r="S133" s="28" t="s">
        <v>1150</v>
      </c>
      <c r="T133" s="28" t="s">
        <v>1151</v>
      </c>
      <c r="U133" s="28" t="s">
        <v>1151</v>
      </c>
      <c r="V133" s="28" t="s">
        <v>517</v>
      </c>
      <c r="W133" s="28" t="s">
        <v>1152</v>
      </c>
      <c r="Z133" s="28" t="s">
        <v>526</v>
      </c>
      <c r="AD133" s="118" t="s">
        <v>528</v>
      </c>
      <c r="AF133" s="125" t="s">
        <v>1146</v>
      </c>
      <c r="AG133" s="28" t="s">
        <v>529</v>
      </c>
      <c r="AK133" s="60">
        <v>2</v>
      </c>
      <c r="AL133" s="28">
        <f>1/COUNTIF(Tableau6[LAT],B133)</f>
        <v>1</v>
      </c>
      <c r="AM133" s="60" t="b">
        <f t="shared" si="12"/>
        <v>0</v>
      </c>
      <c r="AN133" s="60" t="b">
        <f t="shared" si="13"/>
        <v>0</v>
      </c>
      <c r="AO133" s="60" t="b">
        <f t="shared" si="14"/>
        <v>0</v>
      </c>
      <c r="AP133" s="60" t="b">
        <f t="shared" si="15"/>
        <v>0</v>
      </c>
      <c r="AQ133" s="60" t="b">
        <f t="shared" si="16"/>
        <v>0</v>
      </c>
      <c r="AR133" s="60" t="str">
        <f t="shared" si="17"/>
        <v>No</v>
      </c>
      <c r="AS133" s="60" t="str">
        <f t="shared" si="18"/>
        <v>Yes</v>
      </c>
    </row>
    <row r="134" spans="1:45" ht="15" hidden="1">
      <c r="A134" s="103">
        <v>45243</v>
      </c>
      <c r="B134" s="117" t="s">
        <v>1153</v>
      </c>
      <c r="C134" s="28" t="s">
        <v>511</v>
      </c>
      <c r="D134" s="28" t="s">
        <v>1154</v>
      </c>
      <c r="F134" s="28" t="s">
        <v>1155</v>
      </c>
      <c r="G134" s="28" t="s">
        <v>514</v>
      </c>
      <c r="H134" s="28" t="s">
        <v>1156</v>
      </c>
      <c r="I134" s="28" t="s">
        <v>516</v>
      </c>
      <c r="J134" s="28" t="s">
        <v>517</v>
      </c>
      <c r="K134" s="28" t="s">
        <v>518</v>
      </c>
      <c r="L134" s="28" t="s">
        <v>1157</v>
      </c>
      <c r="M134" s="28" t="s">
        <v>535</v>
      </c>
      <c r="N134" s="28" t="s">
        <v>521</v>
      </c>
      <c r="O134" s="28" t="s">
        <v>559</v>
      </c>
      <c r="S134" s="28" t="s">
        <v>1158</v>
      </c>
      <c r="T134" s="28" t="s">
        <v>1159</v>
      </c>
      <c r="U134" s="28" t="s">
        <v>1159</v>
      </c>
      <c r="V134" s="28" t="s">
        <v>517</v>
      </c>
      <c r="W134" s="28" t="s">
        <v>1160</v>
      </c>
      <c r="Z134" s="28" t="s">
        <v>563</v>
      </c>
      <c r="AB134" s="28" t="s">
        <v>527</v>
      </c>
      <c r="AD134" s="118" t="s">
        <v>528</v>
      </c>
      <c r="AF134" s="126" t="s">
        <v>1154</v>
      </c>
      <c r="AG134" s="28" t="s">
        <v>563</v>
      </c>
      <c r="AK134" s="60">
        <v>2</v>
      </c>
      <c r="AL134" s="28">
        <f>1/COUNTIF(Tableau6[LAT],B134)</f>
        <v>0.33333333333333331</v>
      </c>
      <c r="AM134" s="60" t="b">
        <f t="shared" si="12"/>
        <v>0</v>
      </c>
      <c r="AN134" s="60" t="b">
        <f t="shared" si="13"/>
        <v>0</v>
      </c>
      <c r="AO134" s="60" t="b">
        <f t="shared" si="14"/>
        <v>0</v>
      </c>
      <c r="AP134" s="60" t="b">
        <f t="shared" si="15"/>
        <v>0</v>
      </c>
      <c r="AQ134" s="60" t="b">
        <f t="shared" si="16"/>
        <v>0</v>
      </c>
      <c r="AR134" s="60" t="str">
        <f t="shared" si="17"/>
        <v>No</v>
      </c>
      <c r="AS134" s="60" t="str">
        <f t="shared" si="18"/>
        <v>No</v>
      </c>
    </row>
    <row r="135" spans="1:45" ht="15" hidden="1">
      <c r="A135" s="103">
        <v>45243</v>
      </c>
      <c r="B135" s="117" t="s">
        <v>1153</v>
      </c>
      <c r="C135" s="28" t="s">
        <v>548</v>
      </c>
      <c r="D135" s="28" t="s">
        <v>1161</v>
      </c>
      <c r="F135" s="28" t="s">
        <v>1162</v>
      </c>
      <c r="G135" s="28" t="s">
        <v>1163</v>
      </c>
      <c r="H135" s="28" t="s">
        <v>1164</v>
      </c>
      <c r="I135" s="28" t="s">
        <v>516</v>
      </c>
      <c r="J135" s="28" t="s">
        <v>517</v>
      </c>
      <c r="K135" s="28" t="s">
        <v>518</v>
      </c>
      <c r="L135" s="28" t="s">
        <v>1157</v>
      </c>
      <c r="M135" s="28" t="s">
        <v>535</v>
      </c>
      <c r="N135" s="28" t="s">
        <v>521</v>
      </c>
      <c r="O135" s="28" t="s">
        <v>559</v>
      </c>
      <c r="S135" s="28" t="s">
        <v>1158</v>
      </c>
      <c r="T135" s="28" t="s">
        <v>1159</v>
      </c>
      <c r="U135" s="28" t="s">
        <v>1159</v>
      </c>
      <c r="V135" s="28" t="s">
        <v>517</v>
      </c>
      <c r="W135" s="28" t="s">
        <v>1165</v>
      </c>
      <c r="Z135" s="28" t="s">
        <v>563</v>
      </c>
      <c r="AB135" s="28" t="s">
        <v>527</v>
      </c>
      <c r="AD135" s="118" t="s">
        <v>528</v>
      </c>
      <c r="AF135" s="126" t="s">
        <v>1161</v>
      </c>
      <c r="AG135" s="28" t="s">
        <v>563</v>
      </c>
      <c r="AK135" s="60">
        <v>2</v>
      </c>
      <c r="AL135" s="28">
        <f>1/COUNTIF(Tableau6[LAT],B135)</f>
        <v>0.33333333333333331</v>
      </c>
      <c r="AM135" s="60" t="b">
        <f t="shared" si="12"/>
        <v>0</v>
      </c>
      <c r="AN135" s="60" t="b">
        <f t="shared" si="13"/>
        <v>0</v>
      </c>
      <c r="AO135" s="60" t="b">
        <f t="shared" si="14"/>
        <v>0</v>
      </c>
      <c r="AP135" s="60" t="b">
        <f t="shared" si="15"/>
        <v>0</v>
      </c>
      <c r="AQ135" s="60" t="b">
        <f t="shared" si="16"/>
        <v>0</v>
      </c>
      <c r="AR135" s="60" t="str">
        <f t="shared" si="17"/>
        <v>No</v>
      </c>
      <c r="AS135" s="60" t="str">
        <f t="shared" si="18"/>
        <v>No</v>
      </c>
    </row>
    <row r="136" spans="1:45" ht="15" hidden="1">
      <c r="A136" s="103">
        <v>45243</v>
      </c>
      <c r="B136" s="117" t="s">
        <v>1153</v>
      </c>
      <c r="C136" s="28" t="s">
        <v>612</v>
      </c>
      <c r="D136" s="28" t="s">
        <v>1166</v>
      </c>
      <c r="F136" s="28" t="s">
        <v>1155</v>
      </c>
      <c r="G136" s="28" t="s">
        <v>514</v>
      </c>
      <c r="H136" s="28" t="s">
        <v>1156</v>
      </c>
      <c r="I136" s="28" t="s">
        <v>516</v>
      </c>
      <c r="J136" s="28" t="s">
        <v>517</v>
      </c>
      <c r="K136" s="28" t="s">
        <v>518</v>
      </c>
      <c r="L136" s="28" t="s">
        <v>1157</v>
      </c>
      <c r="M136" s="28" t="s">
        <v>535</v>
      </c>
      <c r="N136" s="28" t="s">
        <v>521</v>
      </c>
      <c r="O136" s="28" t="s">
        <v>559</v>
      </c>
      <c r="S136" s="28" t="s">
        <v>1158</v>
      </c>
      <c r="T136" s="28" t="s">
        <v>1159</v>
      </c>
      <c r="U136" s="28" t="s">
        <v>1159</v>
      </c>
      <c r="V136" s="28" t="s">
        <v>517</v>
      </c>
      <c r="W136" s="28" t="s">
        <v>1167</v>
      </c>
      <c r="Z136" s="28" t="s">
        <v>563</v>
      </c>
      <c r="AB136" s="28" t="s">
        <v>527</v>
      </c>
      <c r="AD136" s="118" t="s">
        <v>528</v>
      </c>
      <c r="AF136" s="126" t="s">
        <v>1166</v>
      </c>
      <c r="AG136" s="28" t="s">
        <v>563</v>
      </c>
      <c r="AK136" s="60">
        <v>2</v>
      </c>
      <c r="AL136" s="28">
        <f>1/COUNTIF(Tableau6[LAT],B136)</f>
        <v>0.33333333333333331</v>
      </c>
      <c r="AM136" s="60" t="b">
        <f t="shared" si="12"/>
        <v>0</v>
      </c>
      <c r="AN136" s="60" t="b">
        <f t="shared" si="13"/>
        <v>0</v>
      </c>
      <c r="AO136" s="60" t="b">
        <f t="shared" si="14"/>
        <v>0</v>
      </c>
      <c r="AP136" s="60" t="b">
        <f t="shared" si="15"/>
        <v>0</v>
      </c>
      <c r="AQ136" s="60" t="b">
        <f t="shared" si="16"/>
        <v>0</v>
      </c>
      <c r="AR136" s="60" t="str">
        <f t="shared" si="17"/>
        <v>No</v>
      </c>
      <c r="AS136" s="60" t="str">
        <f t="shared" si="18"/>
        <v>No</v>
      </c>
    </row>
    <row r="137" spans="1:45" ht="15" hidden="1">
      <c r="A137" s="103">
        <v>45243</v>
      </c>
      <c r="B137" s="117" t="s">
        <v>1168</v>
      </c>
      <c r="C137" s="28" t="s">
        <v>511</v>
      </c>
      <c r="D137" s="28" t="s">
        <v>1169</v>
      </c>
      <c r="F137" s="28" t="s">
        <v>1170</v>
      </c>
      <c r="G137" s="28" t="s">
        <v>514</v>
      </c>
      <c r="H137" s="28" t="s">
        <v>1171</v>
      </c>
      <c r="I137" s="28" t="s">
        <v>516</v>
      </c>
      <c r="J137" s="28" t="s">
        <v>517</v>
      </c>
      <c r="K137" s="28" t="s">
        <v>518</v>
      </c>
      <c r="L137" s="28" t="s">
        <v>596</v>
      </c>
      <c r="M137" s="28" t="s">
        <v>535</v>
      </c>
      <c r="N137" s="28" t="s">
        <v>557</v>
      </c>
      <c r="O137" s="28" t="s">
        <v>544</v>
      </c>
      <c r="P137" s="28" t="s">
        <v>522</v>
      </c>
      <c r="S137" s="28" t="s">
        <v>732</v>
      </c>
      <c r="T137" s="28" t="s">
        <v>597</v>
      </c>
      <c r="U137" s="28" t="s">
        <v>597</v>
      </c>
      <c r="V137" s="28" t="s">
        <v>517</v>
      </c>
      <c r="W137" s="28" t="s">
        <v>1172</v>
      </c>
      <c r="Z137" s="28" t="s">
        <v>563</v>
      </c>
      <c r="AB137" s="28" t="s">
        <v>527</v>
      </c>
      <c r="AD137" s="118" t="s">
        <v>528</v>
      </c>
      <c r="AF137" s="125" t="s">
        <v>1169</v>
      </c>
      <c r="AG137" s="28" t="s">
        <v>563</v>
      </c>
      <c r="AK137" s="60">
        <v>2</v>
      </c>
      <c r="AL137" s="28">
        <f>1/COUNTIF(Tableau6[LAT],B137)</f>
        <v>1</v>
      </c>
      <c r="AM137" s="60" t="b">
        <f t="shared" si="12"/>
        <v>0</v>
      </c>
      <c r="AN137" s="60" t="b">
        <f t="shared" si="13"/>
        <v>0</v>
      </c>
      <c r="AO137" s="60" t="b">
        <f t="shared" si="14"/>
        <v>0</v>
      </c>
      <c r="AP137" s="60" t="b">
        <f t="shared" si="15"/>
        <v>0</v>
      </c>
      <c r="AQ137" s="60" t="b">
        <f t="shared" si="16"/>
        <v>0</v>
      </c>
      <c r="AR137" s="60" t="str">
        <f t="shared" si="17"/>
        <v>No</v>
      </c>
      <c r="AS137" s="60" t="str">
        <f t="shared" si="18"/>
        <v>No</v>
      </c>
    </row>
    <row r="138" spans="1:45" ht="15" hidden="1">
      <c r="A138" s="103">
        <v>45243</v>
      </c>
      <c r="B138" s="117" t="s">
        <v>1173</v>
      </c>
      <c r="C138" s="28" t="s">
        <v>511</v>
      </c>
      <c r="D138" s="28" t="s">
        <v>1174</v>
      </c>
      <c r="F138" s="28" t="s">
        <v>1175</v>
      </c>
      <c r="G138" s="28" t="s">
        <v>514</v>
      </c>
      <c r="H138" s="28" t="s">
        <v>894</v>
      </c>
      <c r="I138" s="28" t="s">
        <v>516</v>
      </c>
      <c r="J138" s="28" t="s">
        <v>517</v>
      </c>
      <c r="K138" s="28" t="s">
        <v>518</v>
      </c>
      <c r="L138" s="28" t="s">
        <v>596</v>
      </c>
      <c r="M138" s="28" t="s">
        <v>535</v>
      </c>
      <c r="N138" s="28" t="s">
        <v>557</v>
      </c>
      <c r="O138" s="28" t="s">
        <v>559</v>
      </c>
      <c r="S138" s="28" t="s">
        <v>732</v>
      </c>
      <c r="T138" s="28" t="s">
        <v>545</v>
      </c>
      <c r="U138" s="28" t="s">
        <v>597</v>
      </c>
      <c r="V138" s="28" t="s">
        <v>517</v>
      </c>
      <c r="W138" s="28" t="s">
        <v>1176</v>
      </c>
      <c r="Z138" s="28" t="s">
        <v>563</v>
      </c>
      <c r="AB138" s="28" t="s">
        <v>527</v>
      </c>
      <c r="AD138" s="118" t="s">
        <v>528</v>
      </c>
      <c r="AF138" s="126" t="s">
        <v>1174</v>
      </c>
      <c r="AG138" s="28" t="s">
        <v>563</v>
      </c>
      <c r="AK138" s="60">
        <v>2</v>
      </c>
      <c r="AL138" s="28">
        <f>1/COUNTIF(Tableau6[LAT],B138)</f>
        <v>0.2</v>
      </c>
      <c r="AM138" s="60" t="b">
        <f t="shared" si="12"/>
        <v>0</v>
      </c>
      <c r="AN138" s="60" t="b">
        <f t="shared" si="13"/>
        <v>0</v>
      </c>
      <c r="AO138" s="60" t="b">
        <f t="shared" si="14"/>
        <v>0</v>
      </c>
      <c r="AP138" s="60" t="b">
        <f t="shared" si="15"/>
        <v>0</v>
      </c>
      <c r="AQ138" s="60" t="b">
        <f t="shared" si="16"/>
        <v>0</v>
      </c>
      <c r="AR138" s="60" t="str">
        <f t="shared" si="17"/>
        <v>No</v>
      </c>
      <c r="AS138" s="60" t="str">
        <f t="shared" si="18"/>
        <v>No</v>
      </c>
    </row>
    <row r="139" spans="1:45" ht="15" hidden="1">
      <c r="A139" s="103">
        <v>45243</v>
      </c>
      <c r="B139" s="117" t="s">
        <v>1173</v>
      </c>
      <c r="C139" s="28" t="s">
        <v>548</v>
      </c>
      <c r="D139" s="28" t="s">
        <v>1177</v>
      </c>
      <c r="F139" s="28" t="s">
        <v>1175</v>
      </c>
      <c r="G139" s="28" t="s">
        <v>514</v>
      </c>
      <c r="H139" s="28" t="s">
        <v>894</v>
      </c>
      <c r="I139" s="28" t="s">
        <v>516</v>
      </c>
      <c r="J139" s="28" t="s">
        <v>517</v>
      </c>
      <c r="K139" s="28" t="s">
        <v>518</v>
      </c>
      <c r="L139" s="28" t="s">
        <v>596</v>
      </c>
      <c r="M139" s="28" t="s">
        <v>535</v>
      </c>
      <c r="N139" s="28" t="s">
        <v>557</v>
      </c>
      <c r="O139" s="28" t="s">
        <v>559</v>
      </c>
      <c r="S139" s="28" t="s">
        <v>732</v>
      </c>
      <c r="T139" s="28" t="s">
        <v>545</v>
      </c>
      <c r="U139" s="28" t="s">
        <v>597</v>
      </c>
      <c r="V139" s="28" t="s">
        <v>517</v>
      </c>
      <c r="W139" s="28" t="s">
        <v>1178</v>
      </c>
      <c r="Z139" s="28" t="s">
        <v>563</v>
      </c>
      <c r="AB139" s="28" t="s">
        <v>527</v>
      </c>
      <c r="AD139" s="118" t="s">
        <v>528</v>
      </c>
      <c r="AF139" s="126" t="s">
        <v>1177</v>
      </c>
      <c r="AG139" s="28" t="s">
        <v>563</v>
      </c>
      <c r="AK139" s="60">
        <v>2</v>
      </c>
      <c r="AL139" s="28">
        <f>1/COUNTIF(Tableau6[LAT],B139)</f>
        <v>0.2</v>
      </c>
      <c r="AM139" s="60" t="b">
        <f t="shared" si="12"/>
        <v>0</v>
      </c>
      <c r="AN139" s="60" t="b">
        <f t="shared" si="13"/>
        <v>0</v>
      </c>
      <c r="AO139" s="60" t="b">
        <f t="shared" si="14"/>
        <v>0</v>
      </c>
      <c r="AP139" s="60" t="b">
        <f t="shared" si="15"/>
        <v>0</v>
      </c>
      <c r="AQ139" s="60" t="b">
        <f t="shared" si="16"/>
        <v>0</v>
      </c>
      <c r="AR139" s="60" t="str">
        <f t="shared" si="17"/>
        <v>No</v>
      </c>
      <c r="AS139" s="60" t="str">
        <f t="shared" si="18"/>
        <v>No</v>
      </c>
    </row>
    <row r="140" spans="1:45" ht="15" hidden="1">
      <c r="A140" s="103">
        <v>45243</v>
      </c>
      <c r="B140" s="117" t="s">
        <v>1173</v>
      </c>
      <c r="C140" s="28" t="s">
        <v>612</v>
      </c>
      <c r="D140" s="28" t="s">
        <v>1179</v>
      </c>
      <c r="F140" s="28" t="s">
        <v>1175</v>
      </c>
      <c r="G140" s="28" t="s">
        <v>514</v>
      </c>
      <c r="H140" s="28" t="s">
        <v>894</v>
      </c>
      <c r="I140" s="28" t="s">
        <v>516</v>
      </c>
      <c r="J140" s="28" t="s">
        <v>517</v>
      </c>
      <c r="K140" s="28" t="s">
        <v>518</v>
      </c>
      <c r="L140" s="28" t="s">
        <v>596</v>
      </c>
      <c r="M140" s="28" t="s">
        <v>535</v>
      </c>
      <c r="N140" s="28" t="s">
        <v>557</v>
      </c>
      <c r="O140" s="28" t="s">
        <v>559</v>
      </c>
      <c r="S140" s="28" t="s">
        <v>732</v>
      </c>
      <c r="T140" s="28" t="s">
        <v>545</v>
      </c>
      <c r="U140" s="28" t="s">
        <v>597</v>
      </c>
      <c r="V140" s="28" t="s">
        <v>517</v>
      </c>
      <c r="W140" s="28" t="s">
        <v>1180</v>
      </c>
      <c r="Z140" s="28" t="s">
        <v>563</v>
      </c>
      <c r="AB140" s="28" t="s">
        <v>527</v>
      </c>
      <c r="AD140" s="118" t="s">
        <v>528</v>
      </c>
      <c r="AF140" s="126" t="s">
        <v>1179</v>
      </c>
      <c r="AG140" s="28" t="s">
        <v>563</v>
      </c>
      <c r="AK140" s="60">
        <v>2</v>
      </c>
      <c r="AL140" s="28">
        <f>1/COUNTIF(Tableau6[LAT],B140)</f>
        <v>0.2</v>
      </c>
      <c r="AM140" s="60" t="b">
        <f t="shared" si="12"/>
        <v>0</v>
      </c>
      <c r="AN140" s="60" t="b">
        <f t="shared" si="13"/>
        <v>0</v>
      </c>
      <c r="AO140" s="60" t="b">
        <f t="shared" si="14"/>
        <v>0</v>
      </c>
      <c r="AP140" s="60" t="b">
        <f t="shared" si="15"/>
        <v>0</v>
      </c>
      <c r="AQ140" s="60" t="b">
        <f t="shared" si="16"/>
        <v>0</v>
      </c>
      <c r="AR140" s="60" t="str">
        <f t="shared" si="17"/>
        <v>No</v>
      </c>
      <c r="AS140" s="60" t="str">
        <f t="shared" si="18"/>
        <v>No</v>
      </c>
    </row>
    <row r="141" spans="1:45" ht="15" hidden="1">
      <c r="A141" s="103">
        <v>45243</v>
      </c>
      <c r="B141" s="117" t="s">
        <v>1173</v>
      </c>
      <c r="C141" s="28" t="s">
        <v>691</v>
      </c>
      <c r="D141" s="28" t="s">
        <v>1181</v>
      </c>
      <c r="F141" s="28" t="s">
        <v>1175</v>
      </c>
      <c r="G141" s="28" t="s">
        <v>514</v>
      </c>
      <c r="H141" s="28" t="s">
        <v>894</v>
      </c>
      <c r="I141" s="28" t="s">
        <v>516</v>
      </c>
      <c r="J141" s="28" t="s">
        <v>517</v>
      </c>
      <c r="K141" s="28" t="s">
        <v>518</v>
      </c>
      <c r="L141" s="28" t="s">
        <v>596</v>
      </c>
      <c r="M141" s="28" t="s">
        <v>535</v>
      </c>
      <c r="N141" s="28" t="s">
        <v>557</v>
      </c>
      <c r="O141" s="28" t="s">
        <v>559</v>
      </c>
      <c r="S141" s="28" t="s">
        <v>732</v>
      </c>
      <c r="T141" s="28" t="s">
        <v>545</v>
      </c>
      <c r="U141" s="28" t="s">
        <v>597</v>
      </c>
      <c r="V141" s="28" t="s">
        <v>517</v>
      </c>
      <c r="W141" s="28" t="s">
        <v>1182</v>
      </c>
      <c r="Z141" s="28" t="s">
        <v>563</v>
      </c>
      <c r="AB141" s="28" t="s">
        <v>527</v>
      </c>
      <c r="AD141" s="118" t="s">
        <v>528</v>
      </c>
      <c r="AF141" s="126" t="s">
        <v>1181</v>
      </c>
      <c r="AG141" s="28" t="s">
        <v>563</v>
      </c>
      <c r="AK141" s="60">
        <v>2</v>
      </c>
      <c r="AL141" s="28">
        <f>1/COUNTIF(Tableau6[LAT],B141)</f>
        <v>0.2</v>
      </c>
      <c r="AM141" s="60" t="b">
        <f t="shared" si="12"/>
        <v>0</v>
      </c>
      <c r="AN141" s="60" t="b">
        <f t="shared" si="13"/>
        <v>0</v>
      </c>
      <c r="AO141" s="60" t="b">
        <f t="shared" si="14"/>
        <v>0</v>
      </c>
      <c r="AP141" s="60" t="b">
        <f t="shared" si="15"/>
        <v>0</v>
      </c>
      <c r="AQ141" s="60" t="b">
        <f t="shared" si="16"/>
        <v>0</v>
      </c>
      <c r="AR141" s="60" t="str">
        <f t="shared" si="17"/>
        <v>No</v>
      </c>
      <c r="AS141" s="60" t="str">
        <f t="shared" si="18"/>
        <v>No</v>
      </c>
    </row>
    <row r="142" spans="1:45" ht="15" hidden="1">
      <c r="A142" s="103">
        <v>45243</v>
      </c>
      <c r="B142" s="117" t="s">
        <v>1173</v>
      </c>
      <c r="C142" s="28" t="s">
        <v>859</v>
      </c>
      <c r="D142" s="28" t="s">
        <v>1183</v>
      </c>
      <c r="F142" s="28" t="s">
        <v>1175</v>
      </c>
      <c r="G142" s="28" t="s">
        <v>514</v>
      </c>
      <c r="H142" s="28" t="s">
        <v>894</v>
      </c>
      <c r="I142" s="28" t="s">
        <v>516</v>
      </c>
      <c r="J142" s="28" t="s">
        <v>517</v>
      </c>
      <c r="K142" s="28" t="s">
        <v>518</v>
      </c>
      <c r="L142" s="28" t="s">
        <v>596</v>
      </c>
      <c r="M142" s="28" t="s">
        <v>535</v>
      </c>
      <c r="N142" s="28" t="s">
        <v>557</v>
      </c>
      <c r="O142" s="28" t="s">
        <v>559</v>
      </c>
      <c r="S142" s="28" t="s">
        <v>732</v>
      </c>
      <c r="T142" s="28" t="s">
        <v>545</v>
      </c>
      <c r="U142" s="28" t="s">
        <v>597</v>
      </c>
      <c r="V142" s="28" t="s">
        <v>517</v>
      </c>
      <c r="W142" s="28" t="s">
        <v>1176</v>
      </c>
      <c r="Z142" s="28" t="s">
        <v>563</v>
      </c>
      <c r="AB142" s="28" t="s">
        <v>527</v>
      </c>
      <c r="AD142" s="118" t="s">
        <v>528</v>
      </c>
      <c r="AF142" s="126" t="s">
        <v>1183</v>
      </c>
      <c r="AG142" s="28" t="s">
        <v>563</v>
      </c>
      <c r="AK142" s="60">
        <v>2</v>
      </c>
      <c r="AL142" s="28">
        <f>1/COUNTIF(Tableau6[LAT],B142)</f>
        <v>0.2</v>
      </c>
      <c r="AM142" s="60" t="b">
        <f t="shared" si="12"/>
        <v>0</v>
      </c>
      <c r="AN142" s="60" t="b">
        <f t="shared" si="13"/>
        <v>0</v>
      </c>
      <c r="AO142" s="60" t="b">
        <f t="shared" si="14"/>
        <v>0</v>
      </c>
      <c r="AP142" s="60" t="b">
        <f t="shared" si="15"/>
        <v>0</v>
      </c>
      <c r="AQ142" s="60" t="b">
        <f t="shared" si="16"/>
        <v>0</v>
      </c>
      <c r="AR142" s="60" t="str">
        <f t="shared" si="17"/>
        <v>No</v>
      </c>
      <c r="AS142" s="60" t="str">
        <f t="shared" si="18"/>
        <v>No</v>
      </c>
    </row>
    <row r="143" spans="1:45" ht="15" hidden="1">
      <c r="A143" s="103">
        <v>45243</v>
      </c>
      <c r="B143" s="117" t="s">
        <v>1184</v>
      </c>
      <c r="C143" s="28" t="s">
        <v>511</v>
      </c>
      <c r="D143" s="28" t="s">
        <v>1185</v>
      </c>
      <c r="F143" s="28" t="s">
        <v>1186</v>
      </c>
      <c r="G143" s="28" t="s">
        <v>514</v>
      </c>
      <c r="H143" s="28" t="s">
        <v>1187</v>
      </c>
      <c r="I143" s="28" t="s">
        <v>516</v>
      </c>
      <c r="J143" s="28" t="s">
        <v>517</v>
      </c>
      <c r="K143" s="28" t="s">
        <v>518</v>
      </c>
      <c r="L143" s="28" t="s">
        <v>1032</v>
      </c>
      <c r="M143" s="28" t="s">
        <v>520</v>
      </c>
      <c r="N143" s="28" t="s">
        <v>557</v>
      </c>
      <c r="O143" s="28" t="s">
        <v>544</v>
      </c>
      <c r="P143" s="28" t="s">
        <v>559</v>
      </c>
      <c r="S143" s="28" t="s">
        <v>732</v>
      </c>
      <c r="T143" s="28" t="s">
        <v>545</v>
      </c>
      <c r="U143" s="28" t="s">
        <v>545</v>
      </c>
      <c r="V143" s="28" t="s">
        <v>517</v>
      </c>
      <c r="W143" s="28" t="s">
        <v>1188</v>
      </c>
      <c r="Z143" s="28" t="s">
        <v>563</v>
      </c>
      <c r="AB143" s="28" t="s">
        <v>527</v>
      </c>
      <c r="AD143" s="118" t="s">
        <v>528</v>
      </c>
      <c r="AF143" s="126" t="s">
        <v>1185</v>
      </c>
      <c r="AG143" s="28" t="s">
        <v>563</v>
      </c>
      <c r="AK143" s="60">
        <v>2</v>
      </c>
      <c r="AL143" s="28">
        <f>1/COUNTIF(Tableau6[LAT],B143)</f>
        <v>0.5</v>
      </c>
      <c r="AM143" s="60" t="b">
        <f t="shared" si="12"/>
        <v>0</v>
      </c>
      <c r="AN143" s="60" t="b">
        <f t="shared" si="13"/>
        <v>0</v>
      </c>
      <c r="AO143" s="60" t="b">
        <f t="shared" si="14"/>
        <v>0</v>
      </c>
      <c r="AP143" s="60" t="b">
        <f t="shared" si="15"/>
        <v>0</v>
      </c>
      <c r="AQ143" s="60" t="b">
        <f t="shared" si="16"/>
        <v>0</v>
      </c>
      <c r="AR143" s="60" t="str">
        <f t="shared" si="17"/>
        <v>No</v>
      </c>
      <c r="AS143" s="60" t="str">
        <f t="shared" si="18"/>
        <v>No</v>
      </c>
    </row>
    <row r="144" spans="1:45" ht="15" hidden="1">
      <c r="A144" s="103">
        <v>45243</v>
      </c>
      <c r="B144" s="117" t="s">
        <v>1184</v>
      </c>
      <c r="C144" s="28" t="s">
        <v>548</v>
      </c>
      <c r="D144" s="28" t="s">
        <v>1189</v>
      </c>
      <c r="F144" s="28" t="s">
        <v>1190</v>
      </c>
      <c r="G144" s="28" t="s">
        <v>514</v>
      </c>
      <c r="H144" s="28" t="s">
        <v>515</v>
      </c>
      <c r="I144" s="28" t="s">
        <v>516</v>
      </c>
      <c r="J144" s="28" t="s">
        <v>517</v>
      </c>
      <c r="K144" s="28" t="s">
        <v>518</v>
      </c>
      <c r="L144" s="28" t="s">
        <v>1032</v>
      </c>
      <c r="M144" s="28" t="s">
        <v>520</v>
      </c>
      <c r="N144" s="28" t="s">
        <v>557</v>
      </c>
      <c r="O144" s="28" t="s">
        <v>544</v>
      </c>
      <c r="P144" s="28" t="s">
        <v>559</v>
      </c>
      <c r="S144" s="28" t="s">
        <v>732</v>
      </c>
      <c r="T144" s="28" t="s">
        <v>545</v>
      </c>
      <c r="U144" s="28" t="s">
        <v>545</v>
      </c>
      <c r="V144" s="28" t="s">
        <v>517</v>
      </c>
      <c r="W144" s="28" t="s">
        <v>1191</v>
      </c>
      <c r="Z144" s="28" t="s">
        <v>563</v>
      </c>
      <c r="AB144" s="28" t="s">
        <v>527</v>
      </c>
      <c r="AD144" s="118" t="s">
        <v>528</v>
      </c>
      <c r="AF144" s="126" t="s">
        <v>1189</v>
      </c>
      <c r="AG144" s="28" t="s">
        <v>563</v>
      </c>
      <c r="AK144" s="60">
        <v>2</v>
      </c>
      <c r="AL144" s="28">
        <f>1/COUNTIF(Tableau6[LAT],B144)</f>
        <v>0.5</v>
      </c>
      <c r="AM144" s="60" t="b">
        <f t="shared" si="12"/>
        <v>0</v>
      </c>
      <c r="AN144" s="60" t="b">
        <f t="shared" si="13"/>
        <v>0</v>
      </c>
      <c r="AO144" s="60" t="b">
        <f t="shared" si="14"/>
        <v>0</v>
      </c>
      <c r="AP144" s="60" t="b">
        <f t="shared" si="15"/>
        <v>0</v>
      </c>
      <c r="AQ144" s="60" t="b">
        <f t="shared" si="16"/>
        <v>0</v>
      </c>
      <c r="AR144" s="60" t="str">
        <f t="shared" si="17"/>
        <v>No</v>
      </c>
      <c r="AS144" s="60" t="str">
        <f t="shared" si="18"/>
        <v>No</v>
      </c>
    </row>
    <row r="145" spans="1:45" ht="15" hidden="1">
      <c r="A145" s="103">
        <v>45243</v>
      </c>
      <c r="B145" s="117" t="s">
        <v>1192</v>
      </c>
      <c r="C145" s="28" t="s">
        <v>511</v>
      </c>
      <c r="D145" s="28" t="s">
        <v>1193</v>
      </c>
      <c r="F145" s="28" t="s">
        <v>1194</v>
      </c>
      <c r="G145" s="28" t="s">
        <v>514</v>
      </c>
      <c r="H145" s="28" t="s">
        <v>1187</v>
      </c>
      <c r="I145" s="28" t="s">
        <v>516</v>
      </c>
      <c r="J145" s="28" t="s">
        <v>517</v>
      </c>
      <c r="K145" s="28" t="s">
        <v>518</v>
      </c>
      <c r="L145" s="28" t="s">
        <v>649</v>
      </c>
      <c r="M145" s="28" t="s">
        <v>535</v>
      </c>
      <c r="N145" s="28" t="s">
        <v>557</v>
      </c>
      <c r="O145" s="28" t="s">
        <v>559</v>
      </c>
      <c r="S145" s="28" t="s">
        <v>775</v>
      </c>
      <c r="T145" s="28" t="s">
        <v>651</v>
      </c>
      <c r="U145" s="28" t="s">
        <v>651</v>
      </c>
      <c r="V145" s="28" t="s">
        <v>517</v>
      </c>
      <c r="W145" s="28" t="s">
        <v>1195</v>
      </c>
      <c r="Z145" s="28" t="s">
        <v>526</v>
      </c>
      <c r="AD145" s="118" t="s">
        <v>954</v>
      </c>
      <c r="AF145" s="125" t="s">
        <v>1193</v>
      </c>
      <c r="AG145" s="28" t="s">
        <v>563</v>
      </c>
      <c r="AK145" s="60">
        <v>2</v>
      </c>
      <c r="AL145" s="28">
        <f>1/COUNTIF(Tableau6[LAT],B145)</f>
        <v>1</v>
      </c>
      <c r="AM145" s="60" t="b">
        <f t="shared" si="12"/>
        <v>0</v>
      </c>
      <c r="AN145" s="60" t="b">
        <f t="shared" si="13"/>
        <v>0</v>
      </c>
      <c r="AO145" s="60" t="b">
        <f t="shared" si="14"/>
        <v>0</v>
      </c>
      <c r="AP145" s="60" t="b">
        <f t="shared" si="15"/>
        <v>0</v>
      </c>
      <c r="AQ145" s="60" t="b">
        <f t="shared" si="16"/>
        <v>0</v>
      </c>
      <c r="AR145" s="60" t="str">
        <f t="shared" si="17"/>
        <v>No</v>
      </c>
      <c r="AS145" s="60" t="str">
        <f t="shared" si="18"/>
        <v>No</v>
      </c>
    </row>
    <row r="146" spans="1:45" ht="15" hidden="1">
      <c r="A146" s="103">
        <v>45243</v>
      </c>
      <c r="B146" s="117" t="s">
        <v>1196</v>
      </c>
      <c r="C146" s="28" t="s">
        <v>511</v>
      </c>
      <c r="D146" s="28" t="s">
        <v>1197</v>
      </c>
      <c r="F146" s="28" t="s">
        <v>1137</v>
      </c>
      <c r="G146" s="28" t="s">
        <v>514</v>
      </c>
      <c r="H146" s="28" t="s">
        <v>1198</v>
      </c>
      <c r="I146" s="28" t="s">
        <v>516</v>
      </c>
      <c r="J146" s="28" t="s">
        <v>517</v>
      </c>
      <c r="K146" s="28" t="s">
        <v>518</v>
      </c>
      <c r="L146" s="28" t="s">
        <v>1199</v>
      </c>
      <c r="M146" s="28" t="s">
        <v>535</v>
      </c>
      <c r="N146" s="28" t="s">
        <v>522</v>
      </c>
      <c r="S146" s="28" t="s">
        <v>991</v>
      </c>
      <c r="T146" s="28" t="s">
        <v>651</v>
      </c>
      <c r="U146" s="28" t="s">
        <v>651</v>
      </c>
      <c r="V146" s="28" t="s">
        <v>517</v>
      </c>
      <c r="W146" s="28" t="s">
        <v>835</v>
      </c>
      <c r="Z146" s="28" t="s">
        <v>526</v>
      </c>
      <c r="AD146" s="118" t="s">
        <v>528</v>
      </c>
      <c r="AF146" s="125" t="s">
        <v>1197</v>
      </c>
      <c r="AG146" s="28" t="s">
        <v>529</v>
      </c>
      <c r="AK146" s="60">
        <v>2</v>
      </c>
      <c r="AL146" s="28">
        <f>1/COUNTIF(Tableau6[LAT],B146)</f>
        <v>1</v>
      </c>
      <c r="AM146" s="60" t="b">
        <f t="shared" si="12"/>
        <v>0</v>
      </c>
      <c r="AN146" s="60" t="b">
        <f t="shared" si="13"/>
        <v>0</v>
      </c>
      <c r="AO146" s="60" t="b">
        <f t="shared" si="14"/>
        <v>0</v>
      </c>
      <c r="AP146" s="60" t="b">
        <f t="shared" si="15"/>
        <v>0</v>
      </c>
      <c r="AQ146" s="60" t="b">
        <f t="shared" si="16"/>
        <v>0</v>
      </c>
      <c r="AR146" s="60" t="str">
        <f t="shared" si="17"/>
        <v>No</v>
      </c>
      <c r="AS146" s="60" t="str">
        <f t="shared" si="18"/>
        <v>No</v>
      </c>
    </row>
    <row r="147" spans="1:45" ht="15" hidden="1">
      <c r="A147" s="103">
        <v>45243</v>
      </c>
      <c r="B147" s="117" t="s">
        <v>1200</v>
      </c>
      <c r="C147" s="28" t="s">
        <v>511</v>
      </c>
      <c r="D147" s="28" t="s">
        <v>1201</v>
      </c>
      <c r="F147" s="28" t="s">
        <v>1128</v>
      </c>
      <c r="G147" s="28" t="s">
        <v>514</v>
      </c>
      <c r="H147" s="28" t="s">
        <v>1091</v>
      </c>
      <c r="I147" s="28" t="s">
        <v>516</v>
      </c>
      <c r="J147" s="28" t="s">
        <v>517</v>
      </c>
      <c r="K147" s="28" t="s">
        <v>518</v>
      </c>
      <c r="L147" s="28" t="s">
        <v>596</v>
      </c>
      <c r="M147" s="28" t="s">
        <v>535</v>
      </c>
      <c r="N147" s="28" t="s">
        <v>557</v>
      </c>
      <c r="O147" s="28" t="s">
        <v>522</v>
      </c>
      <c r="S147" s="28" t="s">
        <v>1202</v>
      </c>
      <c r="T147" s="28" t="s">
        <v>597</v>
      </c>
      <c r="U147" s="28" t="s">
        <v>597</v>
      </c>
      <c r="V147" s="28" t="s">
        <v>517</v>
      </c>
      <c r="W147" s="28" t="s">
        <v>1203</v>
      </c>
      <c r="Z147" s="28" t="s">
        <v>563</v>
      </c>
      <c r="AB147" s="28" t="s">
        <v>527</v>
      </c>
      <c r="AD147" s="118" t="s">
        <v>528</v>
      </c>
      <c r="AF147" s="125" t="s">
        <v>1201</v>
      </c>
      <c r="AG147" s="28" t="s">
        <v>563</v>
      </c>
      <c r="AK147" s="60">
        <v>2</v>
      </c>
      <c r="AL147" s="28">
        <f>1/COUNTIF(Tableau6[LAT],B147)</f>
        <v>1</v>
      </c>
      <c r="AM147" s="60" t="b">
        <f t="shared" si="12"/>
        <v>0</v>
      </c>
      <c r="AN147" s="60" t="b">
        <f t="shared" si="13"/>
        <v>0</v>
      </c>
      <c r="AO147" s="60" t="b">
        <f t="shared" si="14"/>
        <v>0</v>
      </c>
      <c r="AP147" s="60" t="b">
        <f t="shared" si="15"/>
        <v>0</v>
      </c>
      <c r="AQ147" s="60" t="b">
        <f t="shared" si="16"/>
        <v>0</v>
      </c>
      <c r="AR147" s="60" t="str">
        <f t="shared" si="17"/>
        <v>No</v>
      </c>
      <c r="AS147" s="60" t="str">
        <f t="shared" si="18"/>
        <v>No</v>
      </c>
    </row>
    <row r="148" spans="1:45" ht="15" hidden="1">
      <c r="A148" s="103">
        <v>45243</v>
      </c>
      <c r="B148" s="117" t="s">
        <v>1204</v>
      </c>
      <c r="C148" s="28" t="s">
        <v>511</v>
      </c>
      <c r="D148" s="28" t="s">
        <v>1205</v>
      </c>
      <c r="F148" s="28" t="s">
        <v>1206</v>
      </c>
      <c r="G148" s="28" t="s">
        <v>514</v>
      </c>
      <c r="H148" s="28" t="s">
        <v>658</v>
      </c>
      <c r="I148" s="28" t="s">
        <v>516</v>
      </c>
      <c r="J148" s="28" t="s">
        <v>517</v>
      </c>
      <c r="K148" s="28" t="s">
        <v>518</v>
      </c>
      <c r="L148" s="28" t="s">
        <v>809</v>
      </c>
      <c r="M148" s="28" t="s">
        <v>535</v>
      </c>
      <c r="N148" s="28" t="s">
        <v>557</v>
      </c>
      <c r="O148" s="28" t="s">
        <v>544</v>
      </c>
      <c r="S148" s="28" t="s">
        <v>536</v>
      </c>
      <c r="T148" s="28" t="s">
        <v>811</v>
      </c>
      <c r="U148" s="28" t="s">
        <v>811</v>
      </c>
      <c r="V148" s="28" t="s">
        <v>517</v>
      </c>
      <c r="W148" s="28" t="s">
        <v>1207</v>
      </c>
      <c r="Z148" s="28" t="s">
        <v>526</v>
      </c>
      <c r="AD148" s="118" t="s">
        <v>528</v>
      </c>
      <c r="AF148" s="125" t="s">
        <v>1205</v>
      </c>
      <c r="AG148" s="28" t="s">
        <v>529</v>
      </c>
      <c r="AK148" s="60">
        <v>2</v>
      </c>
      <c r="AL148" s="28">
        <f>1/COUNTIF(Tableau6[LAT],B148)</f>
        <v>1</v>
      </c>
      <c r="AM148" s="60" t="b">
        <f t="shared" si="12"/>
        <v>0</v>
      </c>
      <c r="AN148" s="60" t="b">
        <f t="shared" si="13"/>
        <v>0</v>
      </c>
      <c r="AO148" s="60" t="b">
        <f t="shared" si="14"/>
        <v>0</v>
      </c>
      <c r="AP148" s="60" t="b">
        <f t="shared" si="15"/>
        <v>0</v>
      </c>
      <c r="AQ148" s="60" t="b">
        <f t="shared" si="16"/>
        <v>0</v>
      </c>
      <c r="AR148" s="60" t="str">
        <f t="shared" si="17"/>
        <v>No</v>
      </c>
      <c r="AS148" s="60" t="str">
        <f t="shared" si="18"/>
        <v>Yes</v>
      </c>
    </row>
    <row r="149" spans="1:45" ht="15" hidden="1">
      <c r="A149" s="103">
        <v>45243</v>
      </c>
      <c r="B149" s="117" t="s">
        <v>1208</v>
      </c>
      <c r="C149" s="28" t="s">
        <v>511</v>
      </c>
      <c r="D149" s="28" t="s">
        <v>1209</v>
      </c>
      <c r="F149" s="28" t="s">
        <v>1210</v>
      </c>
      <c r="G149" s="28" t="s">
        <v>514</v>
      </c>
      <c r="H149" s="28" t="s">
        <v>1156</v>
      </c>
      <c r="I149" s="28" t="s">
        <v>516</v>
      </c>
      <c r="J149" s="28" t="s">
        <v>517</v>
      </c>
      <c r="K149" s="28" t="s">
        <v>518</v>
      </c>
      <c r="L149" s="28" t="s">
        <v>895</v>
      </c>
      <c r="M149" s="28" t="s">
        <v>520</v>
      </c>
      <c r="N149" s="28" t="s">
        <v>544</v>
      </c>
      <c r="S149" s="28" t="s">
        <v>1211</v>
      </c>
      <c r="T149" s="28" t="s">
        <v>897</v>
      </c>
      <c r="U149" s="28" t="s">
        <v>897</v>
      </c>
      <c r="V149" s="28" t="s">
        <v>517</v>
      </c>
      <c r="W149" s="28" t="s">
        <v>1212</v>
      </c>
      <c r="Z149" s="28" t="s">
        <v>563</v>
      </c>
      <c r="AB149" s="28" t="s">
        <v>527</v>
      </c>
      <c r="AD149" s="118" t="s">
        <v>528</v>
      </c>
      <c r="AF149" s="126" t="s">
        <v>1209</v>
      </c>
      <c r="AG149" s="28" t="s">
        <v>563</v>
      </c>
      <c r="AK149" s="60">
        <v>2</v>
      </c>
      <c r="AL149" s="28">
        <f>1/COUNTIF(Tableau6[LAT],B149)</f>
        <v>0.125</v>
      </c>
      <c r="AM149" s="60" t="b">
        <f t="shared" si="12"/>
        <v>0</v>
      </c>
      <c r="AN149" s="60" t="b">
        <f t="shared" si="13"/>
        <v>0</v>
      </c>
      <c r="AO149" s="60" t="b">
        <f t="shared" si="14"/>
        <v>0</v>
      </c>
      <c r="AP149" s="60" t="b">
        <f t="shared" si="15"/>
        <v>0</v>
      </c>
      <c r="AQ149" s="60" t="b">
        <f t="shared" si="16"/>
        <v>0</v>
      </c>
      <c r="AR149" s="60" t="str">
        <f t="shared" si="17"/>
        <v>No</v>
      </c>
      <c r="AS149" s="60" t="str">
        <f t="shared" si="18"/>
        <v>No</v>
      </c>
    </row>
    <row r="150" spans="1:45" ht="15" hidden="1">
      <c r="A150" s="103">
        <v>45243</v>
      </c>
      <c r="B150" s="117" t="s">
        <v>1208</v>
      </c>
      <c r="C150" s="28" t="s">
        <v>548</v>
      </c>
      <c r="D150" s="28" t="s">
        <v>1213</v>
      </c>
      <c r="F150" s="28" t="s">
        <v>1210</v>
      </c>
      <c r="G150" s="28" t="s">
        <v>514</v>
      </c>
      <c r="H150" s="28" t="s">
        <v>1156</v>
      </c>
      <c r="I150" s="28" t="s">
        <v>516</v>
      </c>
      <c r="J150" s="28" t="s">
        <v>517</v>
      </c>
      <c r="K150" s="28" t="s">
        <v>518</v>
      </c>
      <c r="L150" s="28" t="s">
        <v>895</v>
      </c>
      <c r="M150" s="28" t="s">
        <v>520</v>
      </c>
      <c r="N150" s="28" t="s">
        <v>544</v>
      </c>
      <c r="S150" s="28" t="s">
        <v>1211</v>
      </c>
      <c r="T150" s="28" t="s">
        <v>897</v>
      </c>
      <c r="U150" s="28" t="s">
        <v>897</v>
      </c>
      <c r="V150" s="28" t="s">
        <v>517</v>
      </c>
      <c r="W150" s="28" t="s">
        <v>1214</v>
      </c>
      <c r="Z150" s="28" t="s">
        <v>563</v>
      </c>
      <c r="AB150" s="28" t="s">
        <v>527</v>
      </c>
      <c r="AD150" s="118" t="s">
        <v>528</v>
      </c>
      <c r="AF150" s="126" t="s">
        <v>1213</v>
      </c>
      <c r="AG150" s="28" t="s">
        <v>563</v>
      </c>
      <c r="AK150" s="60">
        <v>2</v>
      </c>
      <c r="AL150" s="28">
        <f>1/COUNTIF(Tableau6[LAT],B150)</f>
        <v>0.125</v>
      </c>
      <c r="AM150" s="60" t="b">
        <f t="shared" si="12"/>
        <v>0</v>
      </c>
      <c r="AN150" s="60" t="b">
        <f t="shared" si="13"/>
        <v>0</v>
      </c>
      <c r="AO150" s="60" t="b">
        <f t="shared" si="14"/>
        <v>0</v>
      </c>
      <c r="AP150" s="60" t="b">
        <f t="shared" si="15"/>
        <v>0</v>
      </c>
      <c r="AQ150" s="60" t="b">
        <f t="shared" si="16"/>
        <v>0</v>
      </c>
      <c r="AR150" s="60" t="str">
        <f t="shared" si="17"/>
        <v>No</v>
      </c>
      <c r="AS150" s="60" t="str">
        <f t="shared" si="18"/>
        <v>No</v>
      </c>
    </row>
    <row r="151" spans="1:45" ht="15" hidden="1">
      <c r="A151" s="103">
        <v>45243</v>
      </c>
      <c r="B151" s="117" t="s">
        <v>1208</v>
      </c>
      <c r="C151" s="28" t="s">
        <v>612</v>
      </c>
      <c r="D151" s="28" t="s">
        <v>1215</v>
      </c>
      <c r="F151" s="28" t="s">
        <v>1216</v>
      </c>
      <c r="G151" s="28" t="s">
        <v>958</v>
      </c>
      <c r="H151" s="28" t="s">
        <v>1217</v>
      </c>
      <c r="I151" s="28" t="s">
        <v>516</v>
      </c>
      <c r="J151" s="28" t="s">
        <v>517</v>
      </c>
      <c r="K151" s="28" t="s">
        <v>518</v>
      </c>
      <c r="L151" s="28" t="s">
        <v>895</v>
      </c>
      <c r="M151" s="28" t="s">
        <v>520</v>
      </c>
      <c r="N151" s="28" t="s">
        <v>544</v>
      </c>
      <c r="S151" s="28" t="s">
        <v>1211</v>
      </c>
      <c r="T151" s="28" t="s">
        <v>897</v>
      </c>
      <c r="U151" s="28" t="s">
        <v>897</v>
      </c>
      <c r="V151" s="28" t="s">
        <v>517</v>
      </c>
      <c r="W151" s="28" t="s">
        <v>821</v>
      </c>
      <c r="Z151" s="28" t="s">
        <v>563</v>
      </c>
      <c r="AB151" s="28" t="s">
        <v>527</v>
      </c>
      <c r="AD151" s="118" t="s">
        <v>528</v>
      </c>
      <c r="AF151" s="126" t="s">
        <v>1215</v>
      </c>
      <c r="AG151" s="28" t="s">
        <v>563</v>
      </c>
      <c r="AK151" s="60">
        <v>2</v>
      </c>
      <c r="AL151" s="28">
        <f>1/COUNTIF(Tableau6[LAT],B151)</f>
        <v>0.125</v>
      </c>
      <c r="AM151" s="60" t="b">
        <f t="shared" si="12"/>
        <v>0</v>
      </c>
      <c r="AN151" s="60" t="b">
        <f t="shared" si="13"/>
        <v>0</v>
      </c>
      <c r="AO151" s="60" t="b">
        <f t="shared" si="14"/>
        <v>0</v>
      </c>
      <c r="AP151" s="60" t="b">
        <f t="shared" si="15"/>
        <v>0</v>
      </c>
      <c r="AQ151" s="60" t="b">
        <f t="shared" si="16"/>
        <v>0</v>
      </c>
      <c r="AR151" s="60" t="str">
        <f t="shared" si="17"/>
        <v>No</v>
      </c>
      <c r="AS151" s="60" t="str">
        <f t="shared" si="18"/>
        <v>No</v>
      </c>
    </row>
    <row r="152" spans="1:45" ht="15" hidden="1">
      <c r="A152" s="103">
        <v>45243</v>
      </c>
      <c r="B152" s="117" t="s">
        <v>1208</v>
      </c>
      <c r="C152" s="28" t="s">
        <v>691</v>
      </c>
      <c r="D152" s="28" t="s">
        <v>1218</v>
      </c>
      <c r="F152" s="28" t="s">
        <v>1216</v>
      </c>
      <c r="G152" s="28" t="s">
        <v>958</v>
      </c>
      <c r="H152" s="28" t="s">
        <v>1217</v>
      </c>
      <c r="I152" s="28" t="s">
        <v>516</v>
      </c>
      <c r="J152" s="28" t="s">
        <v>517</v>
      </c>
      <c r="K152" s="28" t="s">
        <v>518</v>
      </c>
      <c r="L152" s="28" t="s">
        <v>895</v>
      </c>
      <c r="M152" s="28" t="s">
        <v>520</v>
      </c>
      <c r="N152" s="28" t="s">
        <v>544</v>
      </c>
      <c r="S152" s="28" t="s">
        <v>1211</v>
      </c>
      <c r="T152" s="28" t="s">
        <v>897</v>
      </c>
      <c r="U152" s="28" t="s">
        <v>897</v>
      </c>
      <c r="V152" s="28" t="s">
        <v>517</v>
      </c>
      <c r="W152" s="28" t="s">
        <v>1214</v>
      </c>
      <c r="Z152" s="28" t="s">
        <v>563</v>
      </c>
      <c r="AB152" s="28" t="s">
        <v>527</v>
      </c>
      <c r="AD152" s="118" t="s">
        <v>528</v>
      </c>
      <c r="AF152" s="126" t="s">
        <v>1218</v>
      </c>
      <c r="AG152" s="28" t="s">
        <v>563</v>
      </c>
      <c r="AK152" s="60">
        <v>2</v>
      </c>
      <c r="AL152" s="28">
        <f>1/COUNTIF(Tableau6[LAT],B152)</f>
        <v>0.125</v>
      </c>
      <c r="AM152" s="60" t="b">
        <f t="shared" ref="AM152:AM215" si="19">IF(N152="ALM","Yes",IF(N152="ALI","Yes",IF(N152="CAO","Yes",IF(N152="ICE","Yes",IF(N152="MAG","Yes",IF(N152="MAG","Yes",IF(N152="RBI","Yes",IF(N152="RBM","Yes",IF(N152="RCL","Yes",IF(N152="RCM","Yes",IF(N152="RCX","Yes",IF(N152="RDS","Yes",IF(N152="REQ","Yes",IF(N152="REX","Yes",IF(N152="RFG","Yes",IF(N152="RFL","Yes",IF(N152="RFS","Yes",IF(N152="RFW","Yes",IF(N152="RGX","Yes",IF(N152="RIS",IF(N152="RLI","Yes",IF(N152="RLM","Yes",IF(N152="RMD","Yes",IF(N152="RNG","Yes",IF(N152="ROP","Yes",IF(N152="ROX","Yes",IF(N152="RPB","Yes",IF(N152="RPG","Yes",IF(N152="RRE","Yes",IF(N152="RRW","Yes",IF(N152="RRY","Yes",IF(N152="RSB","Yes",IF(N152="RSC","Yes",IF(N152="RXB","Yes",IF(N152="RXC","Yes",IF(N152="RXD","Yes",IF(N152="RXE","Yes",IF(N152="RXG","Yes",IF(N152="RXS","Yes",)))))))))))))))))))))))))))))))))))))))</f>
        <v>0</v>
      </c>
      <c r="AN152" s="60" t="b">
        <f t="shared" ref="AN152:AN215" si="20">IF(O152="ALM","Yes",IF(O152="ALI","Yes",IF(O152="CAO","Yes",IF(O152="ICE","Yes",IF(O152="MAG","Yes",IF(O152="MAG","Yes",IF(O152="RBI","Yes",IF(O152="RBM","Yes",IF(O152="RCL","Yes",IF(O152="RCM","Yes",IF(O152="RCX","Yes",IF(O152="RDS","Yes",IF(O152="REQ","Yes",IF(O152="REX","Yes",IF(O152="RFG","Yes",IF(O152="RFL","Yes",IF(O152="RFS","Yes",IF(O152="RFW","Yes",IF(O152="RGX","Yes",IF(O152="RIS",IF(O152="RLI","Yes",IF(O152="RLM","Yes",IF(O152="RMD","Yes",IF(O152="RNG","Yes",IF(O152="ROP","Yes",IF(O152="ROX","Yes",IF(O152="RPB","Yes",IF(O152="RPG","Yes",IF(O152="RRE","Yes",IF(O152="RRW","Yes",IF(O152="RRY","Yes",IF(O152="RSB","Yes",IF(O152="RSC","Yes",IF(O152="RXB","Yes",IF(O152="RXC","Yes",IF(O152="RXD","Yes",IF(O152="RXE","Yes",IF(O152="RXG","Yes",IF(O152="RXS","Yes",)))))))))))))))))))))))))))))))))))))))</f>
        <v>0</v>
      </c>
      <c r="AO152" s="60" t="b">
        <f t="shared" ref="AO152:AO215" si="21">IF(P152="ALM","Yes",IF(P152="ALI","Yes",IF(P152="CAO","Yes",IF(P152="ICE","Yes",IF(P152="MAG","Yes",IF(P152="MAG","Yes",IF(P152="RBI","Yes",IF(P152="RBM","Yes",IF(P152="RCL","Yes",IF(P152="RCM","Yes",IF(P152="RCX","Yes",IF(P152="RDS","Yes",IF(P152="REQ","Yes",IF(P152="REX","Yes",IF(P152="RFG","Yes",IF(P152="RFL","Yes",IF(P152="RFS","Yes",IF(P152="RFW","Yes",IF(P152="RGX","Yes",IF(P152="RIS",IF(P152="RLI","Yes",IF(P152="RLM","Yes",IF(P152="RMD","Yes",IF(P152="RNG","Yes",IF(P152="ROP","Yes",IF(P152="ROX","Yes",IF(P152="RPB","Yes",IF(P152="RPG","Yes",IF(P152="RRE","Yes",IF(P152="RRW","Yes",IF(P152="RRY","Yes",IF(P152="RSB","Yes",IF(P152="RSC","Yes",IF(P152="RXB","Yes",IF(P152="RXC","Yes",IF(P152="RXD","Yes",IF(P152="RXE","Yes",IF(P152="RXG","Yes",IF(P152="RXS","Yes",)))))))))))))))))))))))))))))))))))))))</f>
        <v>0</v>
      </c>
      <c r="AP152" s="60" t="b">
        <f t="shared" ref="AP152:AP215" si="22">IF(Q152="ALM","Yes",IF(Q152="ALI","Yes",IF(Q152="CAO","Yes",IF(Q152="ICE","Yes",IF(Q152="MAG","Yes",IF(Q152="MAG","Yes",IF(Q152="RBI","Yes",IF(Q152="RBM","Yes",IF(Q152="RCL","Yes",IF(Q152="RCM","Yes",IF(Q152="RCX","Yes",IF(Q152="RDS","Yes",IF(Q152="REQ","Yes",IF(Q152="REX","Yes",IF(Q152="RFG","Yes",IF(Q152="RFL","Yes",IF(Q152="RFS","Yes",IF(Q152="RFW","Yes",IF(Q152="RGX","Yes",IF(Q152="RIS",IF(Q152="RLI","Yes",IF(Q152="RLM","Yes",IF(Q152="RMD","Yes",IF(Q152="RNG","Yes",IF(Q152="ROP","Yes",IF(Q152="ROX","Yes",IF(Q152="RPB","Yes",IF(Q152="RPG","Yes",IF(Q152="RRE","Yes",IF(Q152="RRW","Yes",IF(Q152="RRY","Yes",IF(Q152="RSB","Yes",IF(Q152="RSC","Yes",IF(Q152="RXB","Yes",IF(Q152="RXC","Yes",IF(Q152="RXD","Yes",IF(Q152="RXE","Yes",IF(Q152="RXG","Yes",IF(Q152="RXS","Yes",)))))))))))))))))))))))))))))))))))))))</f>
        <v>0</v>
      </c>
      <c r="AQ152" s="60" t="b">
        <f t="shared" ref="AQ152:AQ215" si="23">IF(R152="ALM","Yes",IF(R152="ALI","Yes",IF(R152="CAO","Yes",IF(R152="ICE","Yes",IF(R152="MAG","Yes",IF(R152="MAG","Yes",IF(R152="RBI","Yes",IF(R152="RBM","Yes",IF(R152="RCL","Yes",IF(R152="RCM","Yes",IF(R152="RCX","Yes",IF(R152="RDS","Yes",IF(R152="REQ","Yes",IF(R152="REX","Yes",IF(R152="RFG","Yes",IF(R152="RFL","Yes",IF(R152="RFS","Yes",IF(R152="RFW","Yes",IF(R152="RGX","Yes",IF(R152="RIS",IF(R152="RLI","Yes",IF(R152="RLM","Yes",IF(R152="RMD","Yes",IF(R152="RNG","Yes",IF(R152="ROP","Yes",IF(R152="ROX","Yes",IF(R152="RPB","Yes",IF(R152="RPG","Yes",IF(R152="RRE","Yes",IF(R152="RRW","Yes",IF(R152="RRY","Yes",IF(R152="RSB","Yes",IF(R152="RSC","Yes",IF(R152="RXB","Yes",IF(R152="RXC","Yes",IF(R152="RXD","Yes",IF(R152="RXE","Yes",IF(R152="RXG","Yes",IF(R152="RXS","Yes",)))))))))))))))))))))))))))))))))))))))</f>
        <v>0</v>
      </c>
      <c r="AR152" s="60" t="str">
        <f t="shared" si="17"/>
        <v>No</v>
      </c>
      <c r="AS152" s="60" t="str">
        <f t="shared" si="18"/>
        <v>No</v>
      </c>
    </row>
    <row r="153" spans="1:45" ht="15" hidden="1">
      <c r="A153" s="103">
        <v>45243</v>
      </c>
      <c r="B153" s="117" t="s">
        <v>1208</v>
      </c>
      <c r="C153" s="28" t="s">
        <v>859</v>
      </c>
      <c r="D153" s="28" t="s">
        <v>1219</v>
      </c>
      <c r="F153" s="28" t="s">
        <v>1216</v>
      </c>
      <c r="G153" s="28" t="s">
        <v>958</v>
      </c>
      <c r="H153" s="28" t="s">
        <v>1217</v>
      </c>
      <c r="I153" s="28" t="s">
        <v>516</v>
      </c>
      <c r="J153" s="28" t="s">
        <v>517</v>
      </c>
      <c r="K153" s="28" t="s">
        <v>518</v>
      </c>
      <c r="L153" s="28" t="s">
        <v>895</v>
      </c>
      <c r="M153" s="28" t="s">
        <v>520</v>
      </c>
      <c r="N153" s="28" t="s">
        <v>544</v>
      </c>
      <c r="S153" s="28" t="s">
        <v>1211</v>
      </c>
      <c r="T153" s="28" t="s">
        <v>897</v>
      </c>
      <c r="U153" s="28" t="s">
        <v>897</v>
      </c>
      <c r="V153" s="28" t="s">
        <v>517</v>
      </c>
      <c r="W153" s="28" t="s">
        <v>1214</v>
      </c>
      <c r="Z153" s="28" t="s">
        <v>563</v>
      </c>
      <c r="AB153" s="28" t="s">
        <v>527</v>
      </c>
      <c r="AD153" s="118" t="s">
        <v>528</v>
      </c>
      <c r="AF153" s="126" t="s">
        <v>1219</v>
      </c>
      <c r="AG153" s="28" t="s">
        <v>563</v>
      </c>
      <c r="AK153" s="60">
        <v>2</v>
      </c>
      <c r="AL153" s="28">
        <f>1/COUNTIF(Tableau6[LAT],B153)</f>
        <v>0.125</v>
      </c>
      <c r="AM153" s="60" t="b">
        <f t="shared" si="19"/>
        <v>0</v>
      </c>
      <c r="AN153" s="60" t="b">
        <f t="shared" si="20"/>
        <v>0</v>
      </c>
      <c r="AO153" s="60" t="b">
        <f t="shared" si="21"/>
        <v>0</v>
      </c>
      <c r="AP153" s="60" t="b">
        <f t="shared" si="22"/>
        <v>0</v>
      </c>
      <c r="AQ153" s="60" t="b">
        <f t="shared" si="23"/>
        <v>0</v>
      </c>
      <c r="AR153" s="60" t="str">
        <f t="shared" si="17"/>
        <v>No</v>
      </c>
      <c r="AS153" s="60" t="str">
        <f t="shared" si="18"/>
        <v>No</v>
      </c>
    </row>
    <row r="154" spans="1:45" ht="15" hidden="1">
      <c r="A154" s="103">
        <v>45243</v>
      </c>
      <c r="B154" s="117" t="s">
        <v>1208</v>
      </c>
      <c r="C154" s="28" t="s">
        <v>861</v>
      </c>
      <c r="D154" s="28" t="s">
        <v>1220</v>
      </c>
      <c r="F154" s="28" t="s">
        <v>1210</v>
      </c>
      <c r="G154" s="28" t="s">
        <v>514</v>
      </c>
      <c r="H154" s="28" t="s">
        <v>1156</v>
      </c>
      <c r="I154" s="28" t="s">
        <v>516</v>
      </c>
      <c r="J154" s="28" t="s">
        <v>517</v>
      </c>
      <c r="K154" s="28" t="s">
        <v>518</v>
      </c>
      <c r="L154" s="28" t="s">
        <v>895</v>
      </c>
      <c r="M154" s="28" t="s">
        <v>520</v>
      </c>
      <c r="N154" s="28" t="s">
        <v>544</v>
      </c>
      <c r="S154" s="28" t="s">
        <v>1211</v>
      </c>
      <c r="T154" s="28" t="s">
        <v>897</v>
      </c>
      <c r="U154" s="28" t="s">
        <v>897</v>
      </c>
      <c r="V154" s="28" t="s">
        <v>517</v>
      </c>
      <c r="W154" s="28" t="s">
        <v>1214</v>
      </c>
      <c r="Z154" s="28" t="s">
        <v>563</v>
      </c>
      <c r="AB154" s="28" t="s">
        <v>527</v>
      </c>
      <c r="AD154" s="118" t="s">
        <v>528</v>
      </c>
      <c r="AF154" s="126" t="s">
        <v>1220</v>
      </c>
      <c r="AG154" s="28" t="s">
        <v>563</v>
      </c>
      <c r="AK154" s="60">
        <v>2</v>
      </c>
      <c r="AL154" s="28">
        <f>1/COUNTIF(Tableau6[LAT],B154)</f>
        <v>0.125</v>
      </c>
      <c r="AM154" s="60" t="b">
        <f t="shared" si="19"/>
        <v>0</v>
      </c>
      <c r="AN154" s="60" t="b">
        <f t="shared" si="20"/>
        <v>0</v>
      </c>
      <c r="AO154" s="60" t="b">
        <f t="shared" si="21"/>
        <v>0</v>
      </c>
      <c r="AP154" s="60" t="b">
        <f t="shared" si="22"/>
        <v>0</v>
      </c>
      <c r="AQ154" s="60" t="b">
        <f t="shared" si="23"/>
        <v>0</v>
      </c>
      <c r="AR154" s="60" t="str">
        <f t="shared" si="17"/>
        <v>No</v>
      </c>
      <c r="AS154" s="60" t="str">
        <f t="shared" si="18"/>
        <v>No</v>
      </c>
    </row>
    <row r="155" spans="1:45" ht="15" hidden="1">
      <c r="A155" s="103">
        <v>45243</v>
      </c>
      <c r="B155" s="117" t="s">
        <v>1208</v>
      </c>
      <c r="D155" s="28" t="s">
        <v>1221</v>
      </c>
      <c r="F155" s="28" t="s">
        <v>1210</v>
      </c>
      <c r="G155" s="28" t="s">
        <v>514</v>
      </c>
      <c r="H155" s="28" t="s">
        <v>1156</v>
      </c>
      <c r="I155" s="28" t="s">
        <v>516</v>
      </c>
      <c r="J155" s="28" t="s">
        <v>517</v>
      </c>
      <c r="K155" s="28" t="s">
        <v>518</v>
      </c>
      <c r="L155" s="28" t="s">
        <v>895</v>
      </c>
      <c r="M155" s="28" t="s">
        <v>520</v>
      </c>
      <c r="N155" s="28" t="s">
        <v>544</v>
      </c>
      <c r="S155" s="28" t="s">
        <v>1211</v>
      </c>
      <c r="T155" s="28" t="s">
        <v>897</v>
      </c>
      <c r="U155" s="28" t="s">
        <v>897</v>
      </c>
      <c r="V155" s="28" t="s">
        <v>517</v>
      </c>
      <c r="W155" s="28" t="s">
        <v>1214</v>
      </c>
      <c r="Z155" s="28" t="s">
        <v>563</v>
      </c>
      <c r="AB155" s="28" t="s">
        <v>527</v>
      </c>
      <c r="AD155" s="118" t="s">
        <v>528</v>
      </c>
      <c r="AF155" s="126" t="s">
        <v>1221</v>
      </c>
      <c r="AG155" s="28" t="s">
        <v>563</v>
      </c>
      <c r="AK155" s="60">
        <v>2</v>
      </c>
      <c r="AL155" s="28">
        <f>1/COUNTIF(Tableau6[LAT],B155)</f>
        <v>0.125</v>
      </c>
      <c r="AM155" s="60" t="b">
        <f t="shared" si="19"/>
        <v>0</v>
      </c>
      <c r="AN155" s="60" t="b">
        <f t="shared" si="20"/>
        <v>0</v>
      </c>
      <c r="AO155" s="60" t="b">
        <f t="shared" si="21"/>
        <v>0</v>
      </c>
      <c r="AP155" s="60" t="b">
        <f t="shared" si="22"/>
        <v>0</v>
      </c>
      <c r="AQ155" s="60" t="b">
        <f t="shared" si="23"/>
        <v>0</v>
      </c>
      <c r="AR155" s="60" t="str">
        <f t="shared" si="17"/>
        <v>No</v>
      </c>
      <c r="AS155" s="60" t="str">
        <f t="shared" si="18"/>
        <v>No</v>
      </c>
    </row>
    <row r="156" spans="1:45" ht="15" hidden="1">
      <c r="A156" s="103">
        <v>45243</v>
      </c>
      <c r="B156" s="117" t="s">
        <v>1208</v>
      </c>
      <c r="C156" s="28" t="s">
        <v>864</v>
      </c>
      <c r="D156" s="28" t="s">
        <v>1222</v>
      </c>
      <c r="F156" s="28" t="s">
        <v>1210</v>
      </c>
      <c r="G156" s="28" t="s">
        <v>514</v>
      </c>
      <c r="H156" s="28" t="s">
        <v>1156</v>
      </c>
      <c r="I156" s="28" t="s">
        <v>516</v>
      </c>
      <c r="J156" s="28" t="s">
        <v>517</v>
      </c>
      <c r="K156" s="28" t="s">
        <v>518</v>
      </c>
      <c r="L156" s="28" t="s">
        <v>895</v>
      </c>
      <c r="M156" s="28" t="s">
        <v>520</v>
      </c>
      <c r="N156" s="28" t="s">
        <v>544</v>
      </c>
      <c r="S156" s="28" t="s">
        <v>1211</v>
      </c>
      <c r="T156" s="28" t="s">
        <v>897</v>
      </c>
      <c r="U156" s="28" t="s">
        <v>897</v>
      </c>
      <c r="V156" s="28" t="s">
        <v>517</v>
      </c>
      <c r="W156" s="28" t="s">
        <v>821</v>
      </c>
      <c r="Z156" s="28" t="s">
        <v>563</v>
      </c>
      <c r="AB156" s="28" t="s">
        <v>527</v>
      </c>
      <c r="AD156" s="118" t="s">
        <v>528</v>
      </c>
      <c r="AF156" s="126" t="s">
        <v>1222</v>
      </c>
      <c r="AG156" s="28" t="s">
        <v>563</v>
      </c>
      <c r="AK156" s="60">
        <v>2</v>
      </c>
      <c r="AL156" s="28">
        <f>1/COUNTIF(Tableau6[LAT],B156)</f>
        <v>0.125</v>
      </c>
      <c r="AM156" s="60" t="b">
        <f t="shared" si="19"/>
        <v>0</v>
      </c>
      <c r="AN156" s="60" t="b">
        <f t="shared" si="20"/>
        <v>0</v>
      </c>
      <c r="AO156" s="60" t="b">
        <f t="shared" si="21"/>
        <v>0</v>
      </c>
      <c r="AP156" s="60" t="b">
        <f t="shared" si="22"/>
        <v>0</v>
      </c>
      <c r="AQ156" s="60" t="b">
        <f t="shared" si="23"/>
        <v>0</v>
      </c>
      <c r="AR156" s="60" t="str">
        <f t="shared" si="17"/>
        <v>No</v>
      </c>
      <c r="AS156" s="60" t="str">
        <f t="shared" si="18"/>
        <v>No</v>
      </c>
    </row>
    <row r="157" spans="1:45" ht="15" hidden="1">
      <c r="A157" s="103">
        <v>45243</v>
      </c>
      <c r="B157" s="117" t="s">
        <v>1223</v>
      </c>
      <c r="C157" s="28" t="s">
        <v>511</v>
      </c>
      <c r="D157" s="28" t="s">
        <v>1224</v>
      </c>
      <c r="F157" s="28" t="s">
        <v>1225</v>
      </c>
      <c r="G157" s="28" t="s">
        <v>514</v>
      </c>
      <c r="H157" s="28" t="s">
        <v>579</v>
      </c>
      <c r="I157" s="28" t="s">
        <v>516</v>
      </c>
      <c r="J157" s="28" t="s">
        <v>517</v>
      </c>
      <c r="K157" s="28" t="s">
        <v>518</v>
      </c>
      <c r="L157" s="28" t="s">
        <v>731</v>
      </c>
      <c r="M157" s="28" t="s">
        <v>535</v>
      </c>
      <c r="N157" s="28" t="s">
        <v>557</v>
      </c>
      <c r="O157" s="28" t="s">
        <v>544</v>
      </c>
      <c r="P157" s="28" t="s">
        <v>522</v>
      </c>
      <c r="S157" s="28" t="s">
        <v>1226</v>
      </c>
      <c r="T157" s="28" t="s">
        <v>733</v>
      </c>
      <c r="U157" s="28" t="s">
        <v>733</v>
      </c>
      <c r="V157" s="28" t="s">
        <v>517</v>
      </c>
      <c r="W157" s="28" t="s">
        <v>1227</v>
      </c>
      <c r="Z157" s="28" t="s">
        <v>563</v>
      </c>
      <c r="AB157" s="28" t="s">
        <v>527</v>
      </c>
      <c r="AD157" s="118" t="s">
        <v>528</v>
      </c>
      <c r="AF157" s="125" t="s">
        <v>1224</v>
      </c>
      <c r="AG157" s="28" t="s">
        <v>563</v>
      </c>
      <c r="AK157" s="60">
        <v>2</v>
      </c>
      <c r="AL157" s="28">
        <f>1/COUNTIF(Tableau6[LAT],B157)</f>
        <v>1</v>
      </c>
      <c r="AM157" s="60" t="b">
        <f t="shared" si="19"/>
        <v>0</v>
      </c>
      <c r="AN157" s="60" t="b">
        <f t="shared" si="20"/>
        <v>0</v>
      </c>
      <c r="AO157" s="60" t="b">
        <f t="shared" si="21"/>
        <v>0</v>
      </c>
      <c r="AP157" s="60" t="b">
        <f t="shared" si="22"/>
        <v>0</v>
      </c>
      <c r="AQ157" s="60" t="b">
        <f t="shared" si="23"/>
        <v>0</v>
      </c>
      <c r="AR157" s="60" t="str">
        <f t="shared" si="17"/>
        <v>No</v>
      </c>
      <c r="AS157" s="60" t="str">
        <f t="shared" si="18"/>
        <v>No</v>
      </c>
    </row>
    <row r="158" spans="1:45" ht="15" hidden="1">
      <c r="A158" s="103">
        <v>45243</v>
      </c>
      <c r="B158" s="117" t="s">
        <v>1228</v>
      </c>
      <c r="C158" s="28" t="s">
        <v>511</v>
      </c>
      <c r="D158" s="28" t="s">
        <v>1229</v>
      </c>
      <c r="F158" s="28" t="s">
        <v>1230</v>
      </c>
      <c r="G158" s="28" t="s">
        <v>958</v>
      </c>
      <c r="H158" s="28" t="s">
        <v>1231</v>
      </c>
      <c r="I158" s="28" t="s">
        <v>516</v>
      </c>
      <c r="J158" s="28" t="s">
        <v>517</v>
      </c>
      <c r="K158" s="28" t="s">
        <v>518</v>
      </c>
      <c r="L158" s="28" t="s">
        <v>731</v>
      </c>
      <c r="M158" s="28" t="s">
        <v>535</v>
      </c>
      <c r="N158" s="28" t="s">
        <v>544</v>
      </c>
      <c r="O158" s="28" t="s">
        <v>1107</v>
      </c>
      <c r="S158" s="28" t="s">
        <v>1232</v>
      </c>
      <c r="T158" s="28" t="s">
        <v>733</v>
      </c>
      <c r="U158" s="28" t="s">
        <v>733</v>
      </c>
      <c r="V158" s="28" t="s">
        <v>517</v>
      </c>
      <c r="W158" s="28" t="s">
        <v>835</v>
      </c>
      <c r="Z158" s="28" t="s">
        <v>563</v>
      </c>
      <c r="AB158" s="28" t="s">
        <v>527</v>
      </c>
      <c r="AD158" s="118" t="s">
        <v>528</v>
      </c>
      <c r="AF158" s="125" t="s">
        <v>1229</v>
      </c>
      <c r="AG158" s="28" t="s">
        <v>563</v>
      </c>
      <c r="AK158" s="60">
        <v>2</v>
      </c>
      <c r="AL158" s="28">
        <f>1/COUNTIF(Tableau6[LAT],B158)</f>
        <v>1</v>
      </c>
      <c r="AM158" s="60" t="b">
        <f t="shared" si="19"/>
        <v>0</v>
      </c>
      <c r="AN158" s="60" t="b">
        <f t="shared" si="20"/>
        <v>0</v>
      </c>
      <c r="AO158" s="60" t="b">
        <f t="shared" si="21"/>
        <v>0</v>
      </c>
      <c r="AP158" s="60" t="b">
        <f t="shared" si="22"/>
        <v>0</v>
      </c>
      <c r="AQ158" s="60" t="b">
        <f t="shared" si="23"/>
        <v>0</v>
      </c>
      <c r="AR158" s="60" t="str">
        <f t="shared" si="17"/>
        <v>No</v>
      </c>
      <c r="AS158" s="60" t="str">
        <f t="shared" si="18"/>
        <v>No</v>
      </c>
    </row>
    <row r="159" spans="1:45" ht="15" hidden="1">
      <c r="A159" s="103">
        <v>45243</v>
      </c>
      <c r="B159" s="117" t="s">
        <v>1233</v>
      </c>
      <c r="C159" s="28" t="s">
        <v>511</v>
      </c>
      <c r="D159" s="28" t="s">
        <v>1234</v>
      </c>
      <c r="F159" s="28" t="s">
        <v>1235</v>
      </c>
      <c r="G159" s="28" t="s">
        <v>514</v>
      </c>
      <c r="H159" s="28" t="s">
        <v>1236</v>
      </c>
      <c r="I159" s="28" t="s">
        <v>516</v>
      </c>
      <c r="J159" s="28" t="s">
        <v>517</v>
      </c>
      <c r="K159" s="28" t="s">
        <v>518</v>
      </c>
      <c r="L159" s="28" t="s">
        <v>809</v>
      </c>
      <c r="M159" s="28" t="s">
        <v>535</v>
      </c>
      <c r="N159" s="28" t="s">
        <v>557</v>
      </c>
      <c r="O159" s="28" t="s">
        <v>544</v>
      </c>
      <c r="S159" s="28" t="s">
        <v>820</v>
      </c>
      <c r="T159" s="28" t="s">
        <v>811</v>
      </c>
      <c r="U159" s="28" t="s">
        <v>811</v>
      </c>
      <c r="V159" s="28" t="s">
        <v>517</v>
      </c>
      <c r="W159" s="28" t="s">
        <v>1237</v>
      </c>
      <c r="Z159" s="28" t="s">
        <v>563</v>
      </c>
      <c r="AB159" s="28" t="s">
        <v>527</v>
      </c>
      <c r="AD159" s="118" t="s">
        <v>528</v>
      </c>
      <c r="AF159" s="125" t="s">
        <v>1234</v>
      </c>
      <c r="AG159" s="28" t="s">
        <v>563</v>
      </c>
      <c r="AK159" s="60">
        <v>2</v>
      </c>
      <c r="AL159" s="28">
        <f>1/COUNTIF(Tableau6[LAT],B159)</f>
        <v>1</v>
      </c>
      <c r="AM159" s="60" t="b">
        <f t="shared" si="19"/>
        <v>0</v>
      </c>
      <c r="AN159" s="60" t="b">
        <f t="shared" si="20"/>
        <v>0</v>
      </c>
      <c r="AO159" s="60" t="b">
        <f t="shared" si="21"/>
        <v>0</v>
      </c>
      <c r="AP159" s="60" t="b">
        <f t="shared" si="22"/>
        <v>0</v>
      </c>
      <c r="AQ159" s="60" t="b">
        <f t="shared" si="23"/>
        <v>0</v>
      </c>
      <c r="AR159" s="60" t="str">
        <f t="shared" si="17"/>
        <v>No</v>
      </c>
      <c r="AS159" s="60" t="str">
        <f t="shared" si="18"/>
        <v>No</v>
      </c>
    </row>
    <row r="160" spans="1:45" ht="15" hidden="1">
      <c r="A160" s="103">
        <v>45243</v>
      </c>
      <c r="B160" s="117" t="s">
        <v>1238</v>
      </c>
      <c r="C160" s="28" t="s">
        <v>511</v>
      </c>
      <c r="D160" s="28" t="s">
        <v>1239</v>
      </c>
      <c r="F160" s="28" t="s">
        <v>1240</v>
      </c>
      <c r="G160" s="28" t="s">
        <v>514</v>
      </c>
      <c r="H160" s="28" t="s">
        <v>1241</v>
      </c>
      <c r="I160" s="28" t="s">
        <v>516</v>
      </c>
      <c r="J160" s="28" t="s">
        <v>517</v>
      </c>
      <c r="K160" s="28" t="s">
        <v>518</v>
      </c>
      <c r="L160" s="28" t="s">
        <v>839</v>
      </c>
      <c r="M160" s="28" t="s">
        <v>520</v>
      </c>
      <c r="N160" s="28" t="s">
        <v>557</v>
      </c>
      <c r="O160" s="28" t="s">
        <v>544</v>
      </c>
      <c r="S160" s="28" t="s">
        <v>718</v>
      </c>
      <c r="T160" s="28" t="s">
        <v>840</v>
      </c>
      <c r="U160" s="28" t="s">
        <v>840</v>
      </c>
      <c r="V160" s="28" t="s">
        <v>517</v>
      </c>
      <c r="W160" s="28" t="s">
        <v>1242</v>
      </c>
      <c r="Z160" s="28" t="s">
        <v>526</v>
      </c>
      <c r="AD160" s="118" t="s">
        <v>528</v>
      </c>
      <c r="AF160" s="125" t="s">
        <v>1239</v>
      </c>
      <c r="AG160" s="28" t="s">
        <v>529</v>
      </c>
      <c r="AK160" s="60">
        <v>2</v>
      </c>
      <c r="AL160" s="28">
        <f>1/COUNTIF(Tableau6[LAT],B160)</f>
        <v>1</v>
      </c>
      <c r="AM160" s="60" t="b">
        <f t="shared" si="19"/>
        <v>0</v>
      </c>
      <c r="AN160" s="60" t="b">
        <f t="shared" si="20"/>
        <v>0</v>
      </c>
      <c r="AO160" s="60" t="b">
        <f t="shared" si="21"/>
        <v>0</v>
      </c>
      <c r="AP160" s="60" t="b">
        <f t="shared" si="22"/>
        <v>0</v>
      </c>
      <c r="AQ160" s="60" t="b">
        <f t="shared" si="23"/>
        <v>0</v>
      </c>
      <c r="AR160" s="60" t="str">
        <f t="shared" si="17"/>
        <v>No</v>
      </c>
      <c r="AS160" s="60" t="str">
        <f t="shared" si="18"/>
        <v>No</v>
      </c>
    </row>
    <row r="161" spans="1:45" ht="15" hidden="1">
      <c r="A161" s="103">
        <v>45243</v>
      </c>
      <c r="B161" s="117" t="s">
        <v>1243</v>
      </c>
      <c r="C161" s="28" t="s">
        <v>511</v>
      </c>
      <c r="D161" s="28" t="s">
        <v>1244</v>
      </c>
      <c r="F161" s="28" t="s">
        <v>1007</v>
      </c>
      <c r="G161" s="28" t="s">
        <v>514</v>
      </c>
      <c r="H161" s="28" t="s">
        <v>894</v>
      </c>
      <c r="I161" s="28" t="s">
        <v>516</v>
      </c>
      <c r="J161" s="28" t="s">
        <v>517</v>
      </c>
      <c r="K161" s="28" t="s">
        <v>518</v>
      </c>
      <c r="L161" s="28" t="s">
        <v>1245</v>
      </c>
      <c r="M161" s="28" t="s">
        <v>535</v>
      </c>
      <c r="N161" s="28" t="s">
        <v>557</v>
      </c>
      <c r="O161" s="28" t="s">
        <v>544</v>
      </c>
      <c r="P161" s="28" t="s">
        <v>559</v>
      </c>
      <c r="S161" s="28" t="s">
        <v>1246</v>
      </c>
      <c r="T161" s="28" t="s">
        <v>1150</v>
      </c>
      <c r="U161" s="28" t="s">
        <v>1150</v>
      </c>
      <c r="V161" s="28" t="s">
        <v>517</v>
      </c>
      <c r="W161" s="28" t="s">
        <v>1247</v>
      </c>
      <c r="Z161" s="28" t="s">
        <v>563</v>
      </c>
      <c r="AB161" s="28" t="s">
        <v>527</v>
      </c>
      <c r="AD161" s="118" t="s">
        <v>528</v>
      </c>
      <c r="AF161" s="126" t="s">
        <v>1244</v>
      </c>
      <c r="AG161" s="28" t="s">
        <v>563</v>
      </c>
      <c r="AK161" s="60">
        <v>2</v>
      </c>
      <c r="AL161" s="28">
        <f>1/COUNTIF(Tableau6[LAT],B161)</f>
        <v>0.2</v>
      </c>
      <c r="AM161" s="60" t="b">
        <f t="shared" si="19"/>
        <v>0</v>
      </c>
      <c r="AN161" s="60" t="b">
        <f t="shared" si="20"/>
        <v>0</v>
      </c>
      <c r="AO161" s="60" t="b">
        <f t="shared" si="21"/>
        <v>0</v>
      </c>
      <c r="AP161" s="60" t="b">
        <f t="shared" si="22"/>
        <v>0</v>
      </c>
      <c r="AQ161" s="60" t="b">
        <f t="shared" si="23"/>
        <v>0</v>
      </c>
      <c r="AR161" s="60" t="str">
        <f t="shared" si="17"/>
        <v>No</v>
      </c>
      <c r="AS161" s="60" t="str">
        <f t="shared" si="18"/>
        <v>No</v>
      </c>
    </row>
    <row r="162" spans="1:45" ht="15" hidden="1">
      <c r="A162" s="103">
        <v>45243</v>
      </c>
      <c r="B162" s="117" t="s">
        <v>1243</v>
      </c>
      <c r="C162" s="28" t="s">
        <v>548</v>
      </c>
      <c r="D162" s="28" t="s">
        <v>1248</v>
      </c>
      <c r="F162" s="28" t="s">
        <v>1007</v>
      </c>
      <c r="G162" s="28" t="s">
        <v>514</v>
      </c>
      <c r="H162" s="28" t="s">
        <v>894</v>
      </c>
      <c r="I162" s="28" t="s">
        <v>516</v>
      </c>
      <c r="J162" s="28" t="s">
        <v>517</v>
      </c>
      <c r="K162" s="28" t="s">
        <v>518</v>
      </c>
      <c r="L162" s="28" t="s">
        <v>1245</v>
      </c>
      <c r="M162" s="28" t="s">
        <v>535</v>
      </c>
      <c r="N162" s="28" t="s">
        <v>557</v>
      </c>
      <c r="O162" s="28" t="s">
        <v>544</v>
      </c>
      <c r="P162" s="28" t="s">
        <v>559</v>
      </c>
      <c r="S162" s="28" t="s">
        <v>1246</v>
      </c>
      <c r="T162" s="28" t="s">
        <v>1150</v>
      </c>
      <c r="U162" s="28" t="s">
        <v>1150</v>
      </c>
      <c r="V162" s="28" t="s">
        <v>517</v>
      </c>
      <c r="W162" s="28" t="s">
        <v>1249</v>
      </c>
      <c r="Z162" s="28" t="s">
        <v>563</v>
      </c>
      <c r="AB162" s="28" t="s">
        <v>527</v>
      </c>
      <c r="AD162" s="118" t="s">
        <v>528</v>
      </c>
      <c r="AF162" s="126" t="s">
        <v>1248</v>
      </c>
      <c r="AG162" s="28" t="s">
        <v>563</v>
      </c>
      <c r="AK162" s="60">
        <v>2</v>
      </c>
      <c r="AL162" s="28">
        <f>1/COUNTIF(Tableau6[LAT],B162)</f>
        <v>0.2</v>
      </c>
      <c r="AM162" s="60" t="b">
        <f t="shared" si="19"/>
        <v>0</v>
      </c>
      <c r="AN162" s="60" t="b">
        <f t="shared" si="20"/>
        <v>0</v>
      </c>
      <c r="AO162" s="60" t="b">
        <f t="shared" si="21"/>
        <v>0</v>
      </c>
      <c r="AP162" s="60" t="b">
        <f t="shared" si="22"/>
        <v>0</v>
      </c>
      <c r="AQ162" s="60" t="b">
        <f t="shared" si="23"/>
        <v>0</v>
      </c>
      <c r="AR162" s="60" t="str">
        <f t="shared" si="17"/>
        <v>No</v>
      </c>
      <c r="AS162" s="60" t="str">
        <f t="shared" si="18"/>
        <v>No</v>
      </c>
    </row>
    <row r="163" spans="1:45" ht="15" hidden="1">
      <c r="A163" s="103">
        <v>45243</v>
      </c>
      <c r="B163" s="117" t="s">
        <v>1243</v>
      </c>
      <c r="C163" s="28" t="s">
        <v>612</v>
      </c>
      <c r="D163" s="28" t="s">
        <v>1250</v>
      </c>
      <c r="F163" s="28" t="s">
        <v>1007</v>
      </c>
      <c r="G163" s="28" t="s">
        <v>514</v>
      </c>
      <c r="H163" s="28" t="s">
        <v>894</v>
      </c>
      <c r="I163" s="28" t="s">
        <v>516</v>
      </c>
      <c r="J163" s="28" t="s">
        <v>517</v>
      </c>
      <c r="K163" s="28" t="s">
        <v>518</v>
      </c>
      <c r="L163" s="28" t="s">
        <v>1245</v>
      </c>
      <c r="M163" s="28" t="s">
        <v>535</v>
      </c>
      <c r="N163" s="28" t="s">
        <v>557</v>
      </c>
      <c r="O163" s="28" t="s">
        <v>544</v>
      </c>
      <c r="P163" s="28" t="s">
        <v>559</v>
      </c>
      <c r="S163" s="28" t="s">
        <v>1246</v>
      </c>
      <c r="T163" s="28" t="s">
        <v>1150</v>
      </c>
      <c r="U163" s="28" t="s">
        <v>1150</v>
      </c>
      <c r="V163" s="28" t="s">
        <v>517</v>
      </c>
      <c r="W163" s="28" t="s">
        <v>1251</v>
      </c>
      <c r="Z163" s="28" t="s">
        <v>563</v>
      </c>
      <c r="AB163" s="28" t="s">
        <v>527</v>
      </c>
      <c r="AD163" s="118" t="s">
        <v>528</v>
      </c>
      <c r="AF163" s="126" t="s">
        <v>1250</v>
      </c>
      <c r="AG163" s="28" t="s">
        <v>563</v>
      </c>
      <c r="AK163" s="60">
        <v>2</v>
      </c>
      <c r="AL163" s="28">
        <f>1/COUNTIF(Tableau6[LAT],B163)</f>
        <v>0.2</v>
      </c>
      <c r="AM163" s="60" t="b">
        <f t="shared" si="19"/>
        <v>0</v>
      </c>
      <c r="AN163" s="60" t="b">
        <f t="shared" si="20"/>
        <v>0</v>
      </c>
      <c r="AO163" s="60" t="b">
        <f t="shared" si="21"/>
        <v>0</v>
      </c>
      <c r="AP163" s="60" t="b">
        <f t="shared" si="22"/>
        <v>0</v>
      </c>
      <c r="AQ163" s="60" t="b">
        <f t="shared" si="23"/>
        <v>0</v>
      </c>
      <c r="AR163" s="60" t="str">
        <f t="shared" si="17"/>
        <v>No</v>
      </c>
      <c r="AS163" s="60" t="str">
        <f t="shared" si="18"/>
        <v>No</v>
      </c>
    </row>
    <row r="164" spans="1:45" ht="15" hidden="1">
      <c r="A164" s="103">
        <v>45243</v>
      </c>
      <c r="B164" s="117" t="s">
        <v>1243</v>
      </c>
      <c r="C164" s="28" t="s">
        <v>691</v>
      </c>
      <c r="D164" s="28" t="s">
        <v>1252</v>
      </c>
      <c r="F164" s="28" t="s">
        <v>1007</v>
      </c>
      <c r="G164" s="28" t="s">
        <v>514</v>
      </c>
      <c r="H164" s="28" t="s">
        <v>894</v>
      </c>
      <c r="I164" s="28" t="s">
        <v>516</v>
      </c>
      <c r="J164" s="28" t="s">
        <v>517</v>
      </c>
      <c r="K164" s="28" t="s">
        <v>518</v>
      </c>
      <c r="L164" s="28" t="s">
        <v>1245</v>
      </c>
      <c r="M164" s="28" t="s">
        <v>535</v>
      </c>
      <c r="N164" s="28" t="s">
        <v>557</v>
      </c>
      <c r="O164" s="28" t="s">
        <v>544</v>
      </c>
      <c r="P164" s="28" t="s">
        <v>559</v>
      </c>
      <c r="S164" s="28" t="s">
        <v>1246</v>
      </c>
      <c r="T164" s="28" t="s">
        <v>1150</v>
      </c>
      <c r="U164" s="28" t="s">
        <v>1150</v>
      </c>
      <c r="V164" s="28" t="s">
        <v>517</v>
      </c>
      <c r="W164" s="28" t="s">
        <v>889</v>
      </c>
      <c r="Z164" s="28" t="s">
        <v>563</v>
      </c>
      <c r="AB164" s="28" t="s">
        <v>527</v>
      </c>
      <c r="AD164" s="118" t="s">
        <v>528</v>
      </c>
      <c r="AF164" s="126" t="s">
        <v>1252</v>
      </c>
      <c r="AG164" s="28" t="s">
        <v>563</v>
      </c>
      <c r="AK164" s="60">
        <v>2</v>
      </c>
      <c r="AL164" s="28">
        <f>1/COUNTIF(Tableau6[LAT],B164)</f>
        <v>0.2</v>
      </c>
      <c r="AM164" s="60" t="b">
        <f t="shared" si="19"/>
        <v>0</v>
      </c>
      <c r="AN164" s="60" t="b">
        <f t="shared" si="20"/>
        <v>0</v>
      </c>
      <c r="AO164" s="60" t="b">
        <f t="shared" si="21"/>
        <v>0</v>
      </c>
      <c r="AP164" s="60" t="b">
        <f t="shared" si="22"/>
        <v>0</v>
      </c>
      <c r="AQ164" s="60" t="b">
        <f t="shared" si="23"/>
        <v>0</v>
      </c>
      <c r="AR164" s="60" t="str">
        <f t="shared" si="17"/>
        <v>No</v>
      </c>
      <c r="AS164" s="60" t="str">
        <f t="shared" si="18"/>
        <v>No</v>
      </c>
    </row>
    <row r="165" spans="1:45" ht="15" hidden="1">
      <c r="A165" s="103">
        <v>45243</v>
      </c>
      <c r="B165" s="117" t="s">
        <v>1243</v>
      </c>
      <c r="C165" s="28" t="s">
        <v>859</v>
      </c>
      <c r="D165" s="28" t="s">
        <v>1253</v>
      </c>
      <c r="F165" s="28" t="s">
        <v>1007</v>
      </c>
      <c r="G165" s="28" t="s">
        <v>514</v>
      </c>
      <c r="H165" s="28" t="s">
        <v>894</v>
      </c>
      <c r="I165" s="28" t="s">
        <v>516</v>
      </c>
      <c r="J165" s="28" t="s">
        <v>517</v>
      </c>
      <c r="K165" s="28" t="s">
        <v>518</v>
      </c>
      <c r="L165" s="28" t="s">
        <v>1245</v>
      </c>
      <c r="M165" s="28" t="s">
        <v>535</v>
      </c>
      <c r="N165" s="28" t="s">
        <v>557</v>
      </c>
      <c r="O165" s="28" t="s">
        <v>544</v>
      </c>
      <c r="P165" s="28" t="s">
        <v>559</v>
      </c>
      <c r="S165" s="28" t="s">
        <v>1246</v>
      </c>
      <c r="T165" s="28" t="s">
        <v>1150</v>
      </c>
      <c r="U165" s="28" t="s">
        <v>1150</v>
      </c>
      <c r="V165" s="28" t="s">
        <v>517</v>
      </c>
      <c r="W165" s="28" t="s">
        <v>889</v>
      </c>
      <c r="Z165" s="28" t="s">
        <v>563</v>
      </c>
      <c r="AB165" s="28" t="s">
        <v>527</v>
      </c>
      <c r="AD165" s="118" t="s">
        <v>528</v>
      </c>
      <c r="AF165" s="126" t="s">
        <v>1253</v>
      </c>
      <c r="AG165" s="28" t="s">
        <v>563</v>
      </c>
      <c r="AK165" s="60">
        <v>2</v>
      </c>
      <c r="AL165" s="28">
        <f>1/COUNTIF(Tableau6[LAT],B165)</f>
        <v>0.2</v>
      </c>
      <c r="AM165" s="60" t="b">
        <f t="shared" si="19"/>
        <v>0</v>
      </c>
      <c r="AN165" s="60" t="b">
        <f t="shared" si="20"/>
        <v>0</v>
      </c>
      <c r="AO165" s="60" t="b">
        <f t="shared" si="21"/>
        <v>0</v>
      </c>
      <c r="AP165" s="60" t="b">
        <f t="shared" si="22"/>
        <v>0</v>
      </c>
      <c r="AQ165" s="60" t="b">
        <f t="shared" si="23"/>
        <v>0</v>
      </c>
      <c r="AR165" s="60" t="str">
        <f t="shared" si="17"/>
        <v>No</v>
      </c>
      <c r="AS165" s="60" t="str">
        <f t="shared" si="18"/>
        <v>No</v>
      </c>
    </row>
    <row r="166" spans="1:45" ht="15" hidden="1">
      <c r="A166" s="103">
        <v>45243</v>
      </c>
      <c r="B166" s="117" t="s">
        <v>1254</v>
      </c>
      <c r="C166" s="28" t="s">
        <v>511</v>
      </c>
      <c r="D166" s="28" t="s">
        <v>1255</v>
      </c>
      <c r="F166" s="28" t="s">
        <v>1050</v>
      </c>
      <c r="G166" s="28" t="s">
        <v>724</v>
      </c>
      <c r="H166" s="28" t="s">
        <v>1256</v>
      </c>
      <c r="I166" s="28" t="s">
        <v>516</v>
      </c>
      <c r="J166" s="28" t="s">
        <v>517</v>
      </c>
      <c r="K166" s="28" t="s">
        <v>518</v>
      </c>
      <c r="L166" s="28" t="s">
        <v>519</v>
      </c>
      <c r="M166" s="28" t="s">
        <v>535</v>
      </c>
      <c r="S166" s="28" t="s">
        <v>733</v>
      </c>
      <c r="T166" s="28" t="s">
        <v>524</v>
      </c>
      <c r="U166" s="28" t="s">
        <v>524</v>
      </c>
      <c r="V166" s="28" t="s">
        <v>517</v>
      </c>
      <c r="W166" s="28" t="s">
        <v>1257</v>
      </c>
      <c r="Z166" s="28" t="s">
        <v>526</v>
      </c>
      <c r="AB166" s="28" t="s">
        <v>527</v>
      </c>
      <c r="AD166" s="118" t="s">
        <v>528</v>
      </c>
      <c r="AF166" s="125" t="s">
        <v>1255</v>
      </c>
      <c r="AG166" s="28" t="s">
        <v>563</v>
      </c>
      <c r="AK166" s="60">
        <v>2</v>
      </c>
      <c r="AL166" s="28">
        <f>1/COUNTIF(Tableau6[LAT],B166)</f>
        <v>1</v>
      </c>
      <c r="AM166" s="60" t="b">
        <f t="shared" si="19"/>
        <v>0</v>
      </c>
      <c r="AN166" s="60" t="b">
        <f t="shared" si="20"/>
        <v>0</v>
      </c>
      <c r="AO166" s="60" t="b">
        <f t="shared" si="21"/>
        <v>0</v>
      </c>
      <c r="AP166" s="60" t="b">
        <f t="shared" si="22"/>
        <v>0</v>
      </c>
      <c r="AQ166" s="60" t="b">
        <f t="shared" si="23"/>
        <v>0</v>
      </c>
      <c r="AR166" s="60" t="str">
        <f t="shared" si="17"/>
        <v>No</v>
      </c>
      <c r="AS166" s="60" t="str">
        <f t="shared" si="18"/>
        <v>Yes</v>
      </c>
    </row>
    <row r="167" spans="1:45" ht="15" hidden="1">
      <c r="A167" s="103">
        <v>45243</v>
      </c>
      <c r="B167" s="117" t="s">
        <v>1258</v>
      </c>
      <c r="C167" s="28" t="s">
        <v>511</v>
      </c>
      <c r="D167" s="28" t="s">
        <v>1259</v>
      </c>
      <c r="F167" s="28" t="s">
        <v>1260</v>
      </c>
      <c r="G167" s="28" t="s">
        <v>958</v>
      </c>
      <c r="H167" s="28" t="s">
        <v>1261</v>
      </c>
      <c r="I167" s="28" t="s">
        <v>516</v>
      </c>
      <c r="J167" s="28" t="s">
        <v>517</v>
      </c>
      <c r="K167" s="28" t="s">
        <v>682</v>
      </c>
      <c r="L167" s="28" t="s">
        <v>1262</v>
      </c>
      <c r="M167" s="28" t="s">
        <v>535</v>
      </c>
      <c r="N167" s="28" t="s">
        <v>557</v>
      </c>
      <c r="O167" s="28" t="s">
        <v>544</v>
      </c>
      <c r="S167" s="28" t="s">
        <v>1263</v>
      </c>
      <c r="T167" s="28" t="s">
        <v>733</v>
      </c>
      <c r="U167" s="28" t="s">
        <v>1264</v>
      </c>
      <c r="V167" s="28" t="s">
        <v>517</v>
      </c>
      <c r="W167" s="28" t="s">
        <v>835</v>
      </c>
      <c r="Z167" s="28" t="s">
        <v>563</v>
      </c>
      <c r="AB167" s="28" t="s">
        <v>527</v>
      </c>
      <c r="AD167" s="118" t="s">
        <v>528</v>
      </c>
      <c r="AF167" s="125" t="s">
        <v>1259</v>
      </c>
      <c r="AG167" s="28" t="s">
        <v>563</v>
      </c>
      <c r="AK167" s="60">
        <v>2</v>
      </c>
      <c r="AL167" s="28">
        <f>1/COUNTIF(Tableau6[LAT],B167)</f>
        <v>1</v>
      </c>
      <c r="AM167" s="60" t="b">
        <f t="shared" si="19"/>
        <v>0</v>
      </c>
      <c r="AN167" s="60" t="b">
        <f t="shared" si="20"/>
        <v>0</v>
      </c>
      <c r="AO167" s="60" t="b">
        <f t="shared" si="21"/>
        <v>0</v>
      </c>
      <c r="AP167" s="60" t="b">
        <f t="shared" si="22"/>
        <v>0</v>
      </c>
      <c r="AQ167" s="60" t="b">
        <f t="shared" si="23"/>
        <v>0</v>
      </c>
      <c r="AR167" s="60" t="str">
        <f t="shared" si="17"/>
        <v>No</v>
      </c>
      <c r="AS167" s="60" t="str">
        <f t="shared" si="18"/>
        <v>No</v>
      </c>
    </row>
    <row r="168" spans="1:45" ht="15" hidden="1">
      <c r="A168" s="103">
        <v>45243</v>
      </c>
      <c r="B168" s="117" t="s">
        <v>1265</v>
      </c>
      <c r="C168" s="28" t="s">
        <v>511</v>
      </c>
      <c r="D168" s="28" t="s">
        <v>1266</v>
      </c>
      <c r="F168" s="28" t="s">
        <v>1267</v>
      </c>
      <c r="G168" s="28" t="s">
        <v>514</v>
      </c>
      <c r="H168" s="28" t="s">
        <v>1268</v>
      </c>
      <c r="I168" s="28" t="s">
        <v>516</v>
      </c>
      <c r="J168" s="28" t="s">
        <v>517</v>
      </c>
      <c r="K168" s="28" t="s">
        <v>518</v>
      </c>
      <c r="L168" s="28" t="s">
        <v>1269</v>
      </c>
      <c r="M168" s="28" t="s">
        <v>535</v>
      </c>
      <c r="N168" s="28" t="s">
        <v>557</v>
      </c>
      <c r="S168" s="28" t="s">
        <v>733</v>
      </c>
      <c r="T168" s="28" t="s">
        <v>1270</v>
      </c>
      <c r="U168" s="28" t="s">
        <v>1041</v>
      </c>
      <c r="V168" s="28" t="s">
        <v>517</v>
      </c>
      <c r="W168" s="28" t="s">
        <v>1271</v>
      </c>
      <c r="Z168" s="28" t="s">
        <v>526</v>
      </c>
      <c r="AD168" s="118" t="s">
        <v>528</v>
      </c>
      <c r="AF168" s="125" t="s">
        <v>1266</v>
      </c>
      <c r="AG168" s="28" t="s">
        <v>529</v>
      </c>
      <c r="AK168" s="60">
        <v>2</v>
      </c>
      <c r="AL168" s="28">
        <f>1/COUNTIF(Tableau6[LAT],B168)</f>
        <v>1</v>
      </c>
      <c r="AM168" s="60" t="b">
        <f t="shared" si="19"/>
        <v>0</v>
      </c>
      <c r="AN168" s="60" t="b">
        <f t="shared" si="20"/>
        <v>0</v>
      </c>
      <c r="AO168" s="60" t="b">
        <f t="shared" si="21"/>
        <v>0</v>
      </c>
      <c r="AP168" s="60" t="b">
        <f t="shared" si="22"/>
        <v>0</v>
      </c>
      <c r="AQ168" s="60" t="b">
        <f t="shared" si="23"/>
        <v>0</v>
      </c>
      <c r="AR168" s="60" t="str">
        <f t="shared" si="17"/>
        <v>No</v>
      </c>
      <c r="AS168" s="60" t="str">
        <f t="shared" si="18"/>
        <v>Yes</v>
      </c>
    </row>
    <row r="169" spans="1:45" ht="15" hidden="1">
      <c r="A169" s="103">
        <v>45243</v>
      </c>
      <c r="B169" s="117" t="s">
        <v>1272</v>
      </c>
      <c r="C169" s="28" t="s">
        <v>548</v>
      </c>
      <c r="D169" s="28" t="s">
        <v>1273</v>
      </c>
      <c r="F169" s="28" t="s">
        <v>1274</v>
      </c>
      <c r="G169" s="28" t="s">
        <v>514</v>
      </c>
      <c r="H169" s="28" t="s">
        <v>1275</v>
      </c>
      <c r="I169" s="28" t="s">
        <v>516</v>
      </c>
      <c r="J169" s="28" t="s">
        <v>517</v>
      </c>
      <c r="K169" s="28" t="s">
        <v>518</v>
      </c>
      <c r="L169" s="28" t="s">
        <v>1276</v>
      </c>
      <c r="M169" s="28" t="s">
        <v>535</v>
      </c>
      <c r="N169" s="28" t="s">
        <v>544</v>
      </c>
      <c r="O169" s="28" t="s">
        <v>522</v>
      </c>
      <c r="S169" s="28" t="s">
        <v>732</v>
      </c>
      <c r="T169" s="28" t="s">
        <v>917</v>
      </c>
      <c r="U169" s="28" t="s">
        <v>917</v>
      </c>
      <c r="V169" s="28" t="s">
        <v>517</v>
      </c>
      <c r="W169" s="28" t="s">
        <v>918</v>
      </c>
      <c r="Z169" s="28" t="s">
        <v>563</v>
      </c>
      <c r="AB169" s="28" t="s">
        <v>527</v>
      </c>
      <c r="AD169" s="118" t="s">
        <v>528</v>
      </c>
      <c r="AF169" s="126" t="s">
        <v>1277</v>
      </c>
      <c r="AG169" s="28" t="s">
        <v>529</v>
      </c>
      <c r="AK169" s="60">
        <v>2</v>
      </c>
      <c r="AL169" s="28">
        <f>1/COUNTIF(Tableau6[LAT],B169)</f>
        <v>0.33333333333333331</v>
      </c>
      <c r="AM169" s="60" t="b">
        <f t="shared" si="19"/>
        <v>0</v>
      </c>
      <c r="AN169" s="60" t="b">
        <f t="shared" si="20"/>
        <v>0</v>
      </c>
      <c r="AO169" s="60" t="b">
        <f t="shared" si="21"/>
        <v>0</v>
      </c>
      <c r="AP169" s="60" t="b">
        <f t="shared" si="22"/>
        <v>0</v>
      </c>
      <c r="AQ169" s="60" t="b">
        <f t="shared" si="23"/>
        <v>0</v>
      </c>
      <c r="AR169" s="60" t="str">
        <f t="shared" si="17"/>
        <v>No</v>
      </c>
      <c r="AS169" s="60" t="str">
        <f t="shared" si="18"/>
        <v>No</v>
      </c>
    </row>
    <row r="170" spans="1:45" ht="15" hidden="1">
      <c r="A170" s="103">
        <v>45243</v>
      </c>
      <c r="B170" s="117">
        <v>5705304950</v>
      </c>
      <c r="C170" s="28" t="s">
        <v>612</v>
      </c>
      <c r="D170" s="28" t="s">
        <v>1278</v>
      </c>
      <c r="F170" s="28" t="s">
        <v>1274</v>
      </c>
      <c r="G170" s="28" t="s">
        <v>514</v>
      </c>
      <c r="H170" s="28" t="s">
        <v>1275</v>
      </c>
      <c r="I170" s="28" t="s">
        <v>516</v>
      </c>
      <c r="J170" s="28" t="s">
        <v>517</v>
      </c>
      <c r="K170" s="28" t="s">
        <v>518</v>
      </c>
      <c r="L170" s="28" t="s">
        <v>1276</v>
      </c>
      <c r="M170" s="28" t="s">
        <v>535</v>
      </c>
      <c r="N170" s="28" t="s">
        <v>544</v>
      </c>
      <c r="O170" s="28" t="s">
        <v>522</v>
      </c>
      <c r="S170" s="28" t="s">
        <v>732</v>
      </c>
      <c r="T170" s="28" t="s">
        <v>917</v>
      </c>
      <c r="U170" s="28" t="s">
        <v>917</v>
      </c>
      <c r="V170" s="28" t="s">
        <v>517</v>
      </c>
      <c r="W170" s="28" t="s">
        <v>835</v>
      </c>
      <c r="Z170" s="28" t="s">
        <v>563</v>
      </c>
      <c r="AB170" s="28" t="s">
        <v>527</v>
      </c>
      <c r="AD170" s="118" t="s">
        <v>528</v>
      </c>
      <c r="AF170" s="126" t="s">
        <v>1273</v>
      </c>
      <c r="AG170" s="28" t="s">
        <v>529</v>
      </c>
      <c r="AK170" s="60">
        <v>2</v>
      </c>
      <c r="AL170" s="28">
        <f>1/COUNTIF(Tableau6[LAT],B170)</f>
        <v>0.33333333333333331</v>
      </c>
      <c r="AM170" s="60" t="b">
        <f t="shared" si="19"/>
        <v>0</v>
      </c>
      <c r="AN170" s="60" t="b">
        <f t="shared" si="20"/>
        <v>0</v>
      </c>
      <c r="AO170" s="60" t="b">
        <f t="shared" si="21"/>
        <v>0</v>
      </c>
      <c r="AP170" s="60" t="b">
        <f t="shared" si="22"/>
        <v>0</v>
      </c>
      <c r="AQ170" s="60" t="b">
        <f t="shared" si="23"/>
        <v>0</v>
      </c>
      <c r="AR170" s="60" t="str">
        <f t="shared" si="17"/>
        <v>No</v>
      </c>
      <c r="AS170" s="60" t="str">
        <f t="shared" si="18"/>
        <v>No</v>
      </c>
    </row>
    <row r="171" spans="1:45" ht="15" hidden="1">
      <c r="A171" s="103">
        <v>45243</v>
      </c>
      <c r="B171" s="117" t="s">
        <v>1272</v>
      </c>
      <c r="C171" s="28" t="s">
        <v>691</v>
      </c>
      <c r="D171" s="28" t="s">
        <v>1279</v>
      </c>
      <c r="F171" s="28" t="s">
        <v>1274</v>
      </c>
      <c r="G171" s="28" t="s">
        <v>514</v>
      </c>
      <c r="H171" s="28" t="s">
        <v>1275</v>
      </c>
      <c r="I171" s="28" t="s">
        <v>516</v>
      </c>
      <c r="J171" s="28" t="s">
        <v>517</v>
      </c>
      <c r="K171" s="28" t="s">
        <v>518</v>
      </c>
      <c r="L171" s="28" t="s">
        <v>1276</v>
      </c>
      <c r="M171" s="28" t="s">
        <v>535</v>
      </c>
      <c r="N171" s="28" t="s">
        <v>544</v>
      </c>
      <c r="O171" s="28" t="s">
        <v>522</v>
      </c>
      <c r="S171" s="28" t="s">
        <v>732</v>
      </c>
      <c r="T171" s="28" t="s">
        <v>917</v>
      </c>
      <c r="U171" s="28" t="s">
        <v>917</v>
      </c>
      <c r="V171" s="28" t="s">
        <v>517</v>
      </c>
      <c r="W171" s="28" t="s">
        <v>1280</v>
      </c>
      <c r="Z171" s="28" t="s">
        <v>563</v>
      </c>
      <c r="AB171" s="28" t="s">
        <v>527</v>
      </c>
      <c r="AD171" s="118" t="s">
        <v>528</v>
      </c>
      <c r="AF171" s="126" t="s">
        <v>1278</v>
      </c>
      <c r="AG171" s="28" t="s">
        <v>529</v>
      </c>
      <c r="AK171" s="60">
        <v>2</v>
      </c>
      <c r="AL171" s="28">
        <f>1/COUNTIF(Tableau6[LAT],B171)</f>
        <v>0.33333333333333331</v>
      </c>
      <c r="AM171" s="60" t="b">
        <f t="shared" si="19"/>
        <v>0</v>
      </c>
      <c r="AN171" s="60" t="b">
        <f t="shared" si="20"/>
        <v>0</v>
      </c>
      <c r="AO171" s="60" t="b">
        <f t="shared" si="21"/>
        <v>0</v>
      </c>
      <c r="AP171" s="60" t="b">
        <f t="shared" si="22"/>
        <v>0</v>
      </c>
      <c r="AQ171" s="60" t="b">
        <f t="shared" si="23"/>
        <v>0</v>
      </c>
      <c r="AR171" s="60" t="str">
        <f t="shared" si="17"/>
        <v>No</v>
      </c>
      <c r="AS171" s="60" t="str">
        <f t="shared" si="18"/>
        <v>No</v>
      </c>
    </row>
    <row r="172" spans="1:45" ht="15" hidden="1">
      <c r="A172" s="103">
        <v>45243</v>
      </c>
      <c r="B172" s="117" t="s">
        <v>1281</v>
      </c>
      <c r="C172" s="28" t="s">
        <v>511</v>
      </c>
      <c r="D172" s="28" t="s">
        <v>1282</v>
      </c>
      <c r="F172" s="28" t="s">
        <v>1283</v>
      </c>
      <c r="G172" s="28" t="s">
        <v>514</v>
      </c>
      <c r="H172" s="28" t="s">
        <v>1284</v>
      </c>
      <c r="I172" s="28" t="s">
        <v>516</v>
      </c>
      <c r="J172" s="28" t="s">
        <v>517</v>
      </c>
      <c r="K172" s="28" t="s">
        <v>518</v>
      </c>
      <c r="L172" s="28" t="s">
        <v>895</v>
      </c>
      <c r="M172" s="28" t="s">
        <v>535</v>
      </c>
      <c r="N172" s="28" t="s">
        <v>557</v>
      </c>
      <c r="O172" s="28" t="s">
        <v>544</v>
      </c>
      <c r="S172" s="28" t="s">
        <v>775</v>
      </c>
      <c r="T172" s="28" t="s">
        <v>897</v>
      </c>
      <c r="U172" s="28" t="s">
        <v>897</v>
      </c>
      <c r="V172" s="28" t="s">
        <v>517</v>
      </c>
      <c r="W172" s="28" t="s">
        <v>1285</v>
      </c>
      <c r="Z172" s="28" t="s">
        <v>563</v>
      </c>
      <c r="AB172" s="28" t="s">
        <v>527</v>
      </c>
      <c r="AD172" s="118" t="s">
        <v>528</v>
      </c>
      <c r="AF172" s="126" t="s">
        <v>1282</v>
      </c>
      <c r="AG172" s="28" t="s">
        <v>563</v>
      </c>
      <c r="AK172" s="60">
        <v>2</v>
      </c>
      <c r="AL172" s="28">
        <f>1/COUNTIF(Tableau6[LAT],B172)</f>
        <v>0.5</v>
      </c>
      <c r="AM172" s="60" t="b">
        <f t="shared" si="19"/>
        <v>0</v>
      </c>
      <c r="AN172" s="60" t="b">
        <f t="shared" si="20"/>
        <v>0</v>
      </c>
      <c r="AO172" s="60" t="b">
        <f t="shared" si="21"/>
        <v>0</v>
      </c>
      <c r="AP172" s="60" t="b">
        <f t="shared" si="22"/>
        <v>0</v>
      </c>
      <c r="AQ172" s="60" t="b">
        <f t="shared" si="23"/>
        <v>0</v>
      </c>
      <c r="AR172" s="60" t="str">
        <f t="shared" si="17"/>
        <v>No</v>
      </c>
      <c r="AS172" s="60" t="str">
        <f t="shared" si="18"/>
        <v>No</v>
      </c>
    </row>
    <row r="173" spans="1:45" ht="15" hidden="1">
      <c r="A173" s="103">
        <v>45243</v>
      </c>
      <c r="B173" s="117" t="s">
        <v>1281</v>
      </c>
      <c r="C173" s="28" t="s">
        <v>548</v>
      </c>
      <c r="D173" s="28" t="s">
        <v>1286</v>
      </c>
      <c r="F173" s="28" t="s">
        <v>1283</v>
      </c>
      <c r="G173" s="28" t="s">
        <v>514</v>
      </c>
      <c r="H173" s="28" t="s">
        <v>1144</v>
      </c>
      <c r="I173" s="28" t="s">
        <v>516</v>
      </c>
      <c r="J173" s="28" t="s">
        <v>517</v>
      </c>
      <c r="K173" s="28" t="s">
        <v>518</v>
      </c>
      <c r="L173" s="28" t="s">
        <v>895</v>
      </c>
      <c r="M173" s="28" t="s">
        <v>535</v>
      </c>
      <c r="N173" s="28" t="s">
        <v>557</v>
      </c>
      <c r="O173" s="28" t="s">
        <v>544</v>
      </c>
      <c r="S173" s="28" t="s">
        <v>775</v>
      </c>
      <c r="T173" s="28" t="s">
        <v>897</v>
      </c>
      <c r="U173" s="28" t="s">
        <v>897</v>
      </c>
      <c r="V173" s="28" t="s">
        <v>517</v>
      </c>
      <c r="W173" s="28" t="s">
        <v>1287</v>
      </c>
      <c r="Z173" s="28" t="s">
        <v>563</v>
      </c>
      <c r="AB173" s="28" t="s">
        <v>527</v>
      </c>
      <c r="AD173" s="118" t="s">
        <v>528</v>
      </c>
      <c r="AF173" s="126" t="s">
        <v>1286</v>
      </c>
      <c r="AG173" s="28" t="s">
        <v>563</v>
      </c>
      <c r="AK173" s="60">
        <v>2</v>
      </c>
      <c r="AL173" s="28">
        <f>1/COUNTIF(Tableau6[LAT],B173)</f>
        <v>0.5</v>
      </c>
      <c r="AM173" s="60" t="b">
        <f t="shared" si="19"/>
        <v>0</v>
      </c>
      <c r="AN173" s="60" t="b">
        <f t="shared" si="20"/>
        <v>0</v>
      </c>
      <c r="AO173" s="60" t="b">
        <f t="shared" si="21"/>
        <v>0</v>
      </c>
      <c r="AP173" s="60" t="b">
        <f t="shared" si="22"/>
        <v>0</v>
      </c>
      <c r="AQ173" s="60" t="b">
        <f t="shared" si="23"/>
        <v>0</v>
      </c>
      <c r="AR173" s="60" t="str">
        <f t="shared" si="17"/>
        <v>No</v>
      </c>
      <c r="AS173" s="60" t="str">
        <f t="shared" si="18"/>
        <v>No</v>
      </c>
    </row>
    <row r="174" spans="1:45" ht="15" hidden="1">
      <c r="A174" s="103">
        <v>45243</v>
      </c>
      <c r="B174" s="117" t="s">
        <v>1288</v>
      </c>
      <c r="C174" s="28" t="s">
        <v>511</v>
      </c>
      <c r="D174" s="28" t="s">
        <v>1289</v>
      </c>
      <c r="E174" s="28" t="s">
        <v>926</v>
      </c>
      <c r="F174" s="28" t="s">
        <v>1290</v>
      </c>
      <c r="G174" s="28" t="s">
        <v>514</v>
      </c>
      <c r="H174" s="28" t="s">
        <v>1291</v>
      </c>
      <c r="I174" s="28" t="s">
        <v>516</v>
      </c>
      <c r="J174" s="28" t="s">
        <v>517</v>
      </c>
      <c r="K174" s="28" t="s">
        <v>518</v>
      </c>
      <c r="L174" s="28" t="s">
        <v>809</v>
      </c>
      <c r="M174" s="28" t="s">
        <v>535</v>
      </c>
      <c r="N174" s="28" t="s">
        <v>934</v>
      </c>
      <c r="S174" s="28" t="s">
        <v>536</v>
      </c>
      <c r="T174" s="28" t="s">
        <v>811</v>
      </c>
      <c r="U174" s="28" t="s">
        <v>811</v>
      </c>
      <c r="V174" s="28" t="s">
        <v>517</v>
      </c>
      <c r="W174" s="28" t="s">
        <v>929</v>
      </c>
      <c r="X174" s="28" t="s">
        <v>670</v>
      </c>
      <c r="Z174" s="28" t="s">
        <v>563</v>
      </c>
      <c r="AB174"/>
      <c r="AD174" s="118" t="s">
        <v>954</v>
      </c>
      <c r="AF174" s="125" t="s">
        <v>1289</v>
      </c>
      <c r="AG174" s="28" t="s">
        <v>563</v>
      </c>
      <c r="AK174" s="60">
        <v>2</v>
      </c>
      <c r="AL174" s="28">
        <f>1/COUNTIF(Tableau6[LAT],B174)</f>
        <v>1</v>
      </c>
      <c r="AM174" s="60" t="b">
        <f t="shared" si="19"/>
        <v>0</v>
      </c>
      <c r="AN174" s="60" t="b">
        <f t="shared" si="20"/>
        <v>0</v>
      </c>
      <c r="AO174" s="60" t="b">
        <f t="shared" si="21"/>
        <v>0</v>
      </c>
      <c r="AP174" s="60" t="b">
        <f t="shared" si="22"/>
        <v>0</v>
      </c>
      <c r="AQ174" s="60" t="b">
        <f t="shared" si="23"/>
        <v>0</v>
      </c>
      <c r="AR174" s="60" t="str">
        <f t="shared" si="17"/>
        <v>No</v>
      </c>
      <c r="AS174" s="60" t="str">
        <f t="shared" si="18"/>
        <v>Yes</v>
      </c>
    </row>
    <row r="175" spans="1:45" ht="15" hidden="1">
      <c r="A175" s="103">
        <v>45243</v>
      </c>
      <c r="B175" s="117" t="s">
        <v>1292</v>
      </c>
      <c r="C175" s="28" t="s">
        <v>511</v>
      </c>
      <c r="D175" s="28" t="s">
        <v>1293</v>
      </c>
      <c r="F175" s="28" t="s">
        <v>1294</v>
      </c>
      <c r="G175" s="28" t="s">
        <v>514</v>
      </c>
      <c r="H175" s="28" t="s">
        <v>1295</v>
      </c>
      <c r="I175" s="28" t="s">
        <v>516</v>
      </c>
      <c r="J175" s="28" t="s">
        <v>517</v>
      </c>
      <c r="K175" s="28" t="s">
        <v>518</v>
      </c>
      <c r="L175" s="28" t="s">
        <v>1149</v>
      </c>
      <c r="M175" s="28" t="s">
        <v>535</v>
      </c>
      <c r="N175" s="28" t="s">
        <v>557</v>
      </c>
      <c r="O175" s="28" t="s">
        <v>544</v>
      </c>
      <c r="P175" s="28" t="s">
        <v>522</v>
      </c>
      <c r="S175" s="28" t="s">
        <v>733</v>
      </c>
      <c r="T175" s="28" t="s">
        <v>820</v>
      </c>
      <c r="U175" s="28" t="s">
        <v>820</v>
      </c>
      <c r="V175" s="28" t="s">
        <v>517</v>
      </c>
      <c r="W175" s="28" t="s">
        <v>1296</v>
      </c>
      <c r="Z175" s="28" t="s">
        <v>563</v>
      </c>
      <c r="AB175" s="73" t="s">
        <v>609</v>
      </c>
      <c r="AD175" s="118" t="s">
        <v>528</v>
      </c>
      <c r="AF175" s="125" t="s">
        <v>1297</v>
      </c>
      <c r="AG175" s="28" t="s">
        <v>563</v>
      </c>
      <c r="AK175" s="60">
        <v>2</v>
      </c>
      <c r="AL175" s="28">
        <f>1/COUNTIF(Tableau6[LAT],B175)</f>
        <v>1</v>
      </c>
      <c r="AM175" s="60" t="b">
        <f t="shared" si="19"/>
        <v>0</v>
      </c>
      <c r="AN175" s="60" t="b">
        <f t="shared" si="20"/>
        <v>0</v>
      </c>
      <c r="AO175" s="60" t="b">
        <f t="shared" si="21"/>
        <v>0</v>
      </c>
      <c r="AP175" s="60" t="b">
        <f t="shared" si="22"/>
        <v>0</v>
      </c>
      <c r="AQ175" s="60" t="b">
        <f t="shared" si="23"/>
        <v>0</v>
      </c>
      <c r="AR175" s="60" t="str">
        <f t="shared" si="17"/>
        <v>No</v>
      </c>
      <c r="AS175" s="60" t="str">
        <f t="shared" si="18"/>
        <v>Yes</v>
      </c>
    </row>
    <row r="176" spans="1:45" ht="15" hidden="1">
      <c r="A176" s="103">
        <v>45243</v>
      </c>
      <c r="B176" s="117" t="s">
        <v>1298</v>
      </c>
      <c r="C176" s="28" t="s">
        <v>511</v>
      </c>
      <c r="D176" s="28" t="s">
        <v>1299</v>
      </c>
      <c r="F176" s="28" t="s">
        <v>1300</v>
      </c>
      <c r="G176" s="28" t="s">
        <v>514</v>
      </c>
      <c r="H176" s="28" t="s">
        <v>1301</v>
      </c>
      <c r="I176" s="28" t="s">
        <v>516</v>
      </c>
      <c r="J176" s="28" t="s">
        <v>517</v>
      </c>
      <c r="K176" s="28" t="s">
        <v>518</v>
      </c>
      <c r="L176" s="28" t="s">
        <v>1302</v>
      </c>
      <c r="M176" s="28" t="s">
        <v>802</v>
      </c>
      <c r="S176" s="28" t="s">
        <v>545</v>
      </c>
      <c r="T176" s="28" t="s">
        <v>1246</v>
      </c>
      <c r="U176" s="28" t="s">
        <v>1246</v>
      </c>
      <c r="V176" s="28" t="s">
        <v>517</v>
      </c>
      <c r="W176" s="28" t="s">
        <v>1303</v>
      </c>
      <c r="Z176" s="28" t="s">
        <v>563</v>
      </c>
      <c r="AB176" s="28" t="s">
        <v>527</v>
      </c>
      <c r="AD176" s="118" t="s">
        <v>528</v>
      </c>
      <c r="AF176" s="125" t="s">
        <v>1299</v>
      </c>
      <c r="AG176" s="28" t="s">
        <v>563</v>
      </c>
      <c r="AK176" s="60">
        <v>2</v>
      </c>
      <c r="AL176" s="28">
        <f>1/COUNTIF(Tableau6[LAT],B176)</f>
        <v>1</v>
      </c>
      <c r="AM176" s="60" t="b">
        <f t="shared" si="19"/>
        <v>0</v>
      </c>
      <c r="AN176" s="60" t="b">
        <f t="shared" si="20"/>
        <v>0</v>
      </c>
      <c r="AO176" s="60" t="b">
        <f t="shared" si="21"/>
        <v>0</v>
      </c>
      <c r="AP176" s="60" t="b">
        <f t="shared" si="22"/>
        <v>0</v>
      </c>
      <c r="AQ176" s="60" t="b">
        <f t="shared" si="23"/>
        <v>0</v>
      </c>
      <c r="AR176" s="60" t="str">
        <f t="shared" si="17"/>
        <v>No</v>
      </c>
      <c r="AS176" s="60" t="str">
        <f t="shared" si="18"/>
        <v>No</v>
      </c>
    </row>
    <row r="177" spans="1:45" ht="15" hidden="1">
      <c r="A177" s="103">
        <v>45243</v>
      </c>
      <c r="B177" s="117" t="s">
        <v>1304</v>
      </c>
      <c r="C177" s="28" t="s">
        <v>511</v>
      </c>
      <c r="D177" s="28" t="s">
        <v>1305</v>
      </c>
      <c r="F177" s="28" t="s">
        <v>1306</v>
      </c>
      <c r="G177" s="28" t="s">
        <v>514</v>
      </c>
      <c r="H177" s="28" t="s">
        <v>1291</v>
      </c>
      <c r="I177" s="28" t="s">
        <v>516</v>
      </c>
      <c r="J177" s="28" t="s">
        <v>517</v>
      </c>
      <c r="K177" s="28" t="s">
        <v>518</v>
      </c>
      <c r="L177" s="28" t="s">
        <v>649</v>
      </c>
      <c r="M177" s="28" t="s">
        <v>535</v>
      </c>
      <c r="N177" s="28" t="s">
        <v>1307</v>
      </c>
      <c r="O177" s="28" t="s">
        <v>557</v>
      </c>
      <c r="P177" s="28" t="s">
        <v>522</v>
      </c>
      <c r="S177" s="28" t="s">
        <v>741</v>
      </c>
      <c r="T177" s="28" t="s">
        <v>651</v>
      </c>
      <c r="U177" s="28" t="s">
        <v>651</v>
      </c>
      <c r="V177" s="28" t="s">
        <v>517</v>
      </c>
      <c r="W177" s="28" t="s">
        <v>1308</v>
      </c>
      <c r="Z177" s="28" t="s">
        <v>526</v>
      </c>
      <c r="AD177" s="118" t="s">
        <v>528</v>
      </c>
      <c r="AF177" s="125" t="s">
        <v>1305</v>
      </c>
      <c r="AG177" s="28" t="s">
        <v>529</v>
      </c>
      <c r="AK177" s="60">
        <v>2</v>
      </c>
      <c r="AL177" s="28">
        <f>1/COUNTIF(Tableau6[LAT],B177)</f>
        <v>1</v>
      </c>
      <c r="AM177" s="60" t="b">
        <f t="shared" si="19"/>
        <v>0</v>
      </c>
      <c r="AN177" s="60" t="b">
        <f t="shared" si="20"/>
        <v>0</v>
      </c>
      <c r="AO177" s="60" t="b">
        <f t="shared" si="21"/>
        <v>0</v>
      </c>
      <c r="AP177" s="60" t="b">
        <f t="shared" si="22"/>
        <v>0</v>
      </c>
      <c r="AQ177" s="60" t="b">
        <f t="shared" si="23"/>
        <v>0</v>
      </c>
      <c r="AR177" s="60" t="str">
        <f t="shared" si="17"/>
        <v>No</v>
      </c>
      <c r="AS177" s="60" t="str">
        <f t="shared" si="18"/>
        <v>Yes</v>
      </c>
    </row>
    <row r="178" spans="1:45" ht="15" hidden="1">
      <c r="A178" s="103">
        <v>45243</v>
      </c>
      <c r="B178" s="117" t="s">
        <v>1309</v>
      </c>
      <c r="C178" s="28" t="s">
        <v>511</v>
      </c>
      <c r="D178" s="28" t="s">
        <v>1310</v>
      </c>
      <c r="F178" s="28" t="s">
        <v>1311</v>
      </c>
      <c r="G178" s="28" t="s">
        <v>514</v>
      </c>
      <c r="H178" s="28" t="s">
        <v>1312</v>
      </c>
      <c r="I178" s="28" t="s">
        <v>516</v>
      </c>
      <c r="J178" s="28" t="s">
        <v>517</v>
      </c>
      <c r="K178" s="28" t="s">
        <v>518</v>
      </c>
      <c r="L178" s="28" t="s">
        <v>751</v>
      </c>
      <c r="M178" s="28" t="s">
        <v>535</v>
      </c>
      <c r="N178" s="28" t="s">
        <v>557</v>
      </c>
      <c r="O178" s="28" t="s">
        <v>544</v>
      </c>
      <c r="P178" s="28" t="s">
        <v>522</v>
      </c>
      <c r="Q178" s="28" t="s">
        <v>559</v>
      </c>
      <c r="S178" s="28" t="s">
        <v>607</v>
      </c>
      <c r="T178" s="28" t="s">
        <v>753</v>
      </c>
      <c r="U178" s="28" t="s">
        <v>753</v>
      </c>
      <c r="V178" s="28" t="s">
        <v>517</v>
      </c>
      <c r="W178" s="28" t="s">
        <v>1313</v>
      </c>
      <c r="Z178" s="28" t="s">
        <v>563</v>
      </c>
      <c r="AB178" s="28" t="s">
        <v>527</v>
      </c>
      <c r="AD178" s="118" t="s">
        <v>528</v>
      </c>
      <c r="AF178" s="125" t="s">
        <v>1310</v>
      </c>
      <c r="AG178" s="28" t="s">
        <v>563</v>
      </c>
      <c r="AK178" s="60">
        <v>2</v>
      </c>
      <c r="AL178" s="28">
        <f>1/COUNTIF(Tableau6[LAT],B178)</f>
        <v>1</v>
      </c>
      <c r="AM178" s="60" t="b">
        <f t="shared" si="19"/>
        <v>0</v>
      </c>
      <c r="AN178" s="60" t="b">
        <f t="shared" si="20"/>
        <v>0</v>
      </c>
      <c r="AO178" s="60" t="b">
        <f t="shared" si="21"/>
        <v>0</v>
      </c>
      <c r="AP178" s="60" t="b">
        <f t="shared" si="22"/>
        <v>0</v>
      </c>
      <c r="AQ178" s="60" t="b">
        <f t="shared" si="23"/>
        <v>0</v>
      </c>
      <c r="AR178" s="60" t="str">
        <f t="shared" si="17"/>
        <v>No</v>
      </c>
      <c r="AS178" s="60" t="str">
        <f t="shared" si="18"/>
        <v>No</v>
      </c>
    </row>
    <row r="179" spans="1:45" ht="15" hidden="1">
      <c r="A179" s="103">
        <v>45243</v>
      </c>
      <c r="B179" s="117" t="s">
        <v>1314</v>
      </c>
      <c r="C179" s="28" t="s">
        <v>511</v>
      </c>
      <c r="D179" s="28" t="s">
        <v>1315</v>
      </c>
      <c r="F179" s="28" t="s">
        <v>1316</v>
      </c>
      <c r="G179" s="28" t="s">
        <v>514</v>
      </c>
      <c r="H179" s="28" t="s">
        <v>1317</v>
      </c>
      <c r="I179" s="28" t="s">
        <v>516</v>
      </c>
      <c r="J179" s="28" t="s">
        <v>517</v>
      </c>
      <c r="K179" s="28" t="s">
        <v>518</v>
      </c>
      <c r="L179" s="28" t="s">
        <v>1032</v>
      </c>
      <c r="M179" s="28" t="s">
        <v>535</v>
      </c>
      <c r="N179" s="28" t="s">
        <v>557</v>
      </c>
      <c r="O179" s="28" t="s">
        <v>522</v>
      </c>
      <c r="S179" s="28" t="s">
        <v>1318</v>
      </c>
      <c r="T179" s="28" t="s">
        <v>545</v>
      </c>
      <c r="U179" s="28" t="s">
        <v>545</v>
      </c>
      <c r="V179" s="28" t="s">
        <v>517</v>
      </c>
      <c r="W179" s="28" t="s">
        <v>1319</v>
      </c>
      <c r="Z179" s="28" t="s">
        <v>563</v>
      </c>
      <c r="AB179" s="28" t="s">
        <v>527</v>
      </c>
      <c r="AD179" s="118" t="s">
        <v>528</v>
      </c>
      <c r="AF179" s="126" t="s">
        <v>1315</v>
      </c>
      <c r="AG179" s="28" t="s">
        <v>563</v>
      </c>
      <c r="AK179" s="60">
        <v>2</v>
      </c>
      <c r="AL179" s="28">
        <f>1/COUNTIF(Tableau6[LAT],B179)</f>
        <v>0.5</v>
      </c>
      <c r="AM179" s="60" t="b">
        <f t="shared" si="19"/>
        <v>0</v>
      </c>
      <c r="AN179" s="60" t="b">
        <f t="shared" si="20"/>
        <v>0</v>
      </c>
      <c r="AO179" s="60" t="b">
        <f t="shared" si="21"/>
        <v>0</v>
      </c>
      <c r="AP179" s="60" t="b">
        <f t="shared" si="22"/>
        <v>0</v>
      </c>
      <c r="AQ179" s="60" t="b">
        <f t="shared" si="23"/>
        <v>0</v>
      </c>
      <c r="AR179" s="60" t="str">
        <f t="shared" si="17"/>
        <v>No</v>
      </c>
      <c r="AS179" s="60" t="str">
        <f t="shared" si="18"/>
        <v>No</v>
      </c>
    </row>
    <row r="180" spans="1:45" ht="15" hidden="1">
      <c r="A180" s="103">
        <v>45243</v>
      </c>
      <c r="B180" s="117" t="s">
        <v>1314</v>
      </c>
      <c r="C180" s="28" t="s">
        <v>548</v>
      </c>
      <c r="D180" s="28" t="s">
        <v>1320</v>
      </c>
      <c r="F180" s="28" t="s">
        <v>1316</v>
      </c>
      <c r="G180" s="28" t="s">
        <v>514</v>
      </c>
      <c r="H180" s="28" t="s">
        <v>1321</v>
      </c>
      <c r="I180" s="28" t="s">
        <v>516</v>
      </c>
      <c r="J180" s="28" t="s">
        <v>517</v>
      </c>
      <c r="K180" s="28" t="s">
        <v>518</v>
      </c>
      <c r="L180" s="28" t="s">
        <v>1032</v>
      </c>
      <c r="M180" s="28" t="s">
        <v>535</v>
      </c>
      <c r="N180" s="28" t="s">
        <v>557</v>
      </c>
      <c r="O180" s="28" t="s">
        <v>522</v>
      </c>
      <c r="S180" s="28" t="s">
        <v>1318</v>
      </c>
      <c r="T180" s="28" t="s">
        <v>545</v>
      </c>
      <c r="U180" s="28" t="s">
        <v>545</v>
      </c>
      <c r="V180" s="28" t="s">
        <v>517</v>
      </c>
      <c r="W180" s="28" t="s">
        <v>1322</v>
      </c>
      <c r="Z180" s="28" t="s">
        <v>563</v>
      </c>
      <c r="AB180" s="28" t="s">
        <v>527</v>
      </c>
      <c r="AD180" s="118" t="s">
        <v>528</v>
      </c>
      <c r="AF180" s="126" t="s">
        <v>1320</v>
      </c>
      <c r="AG180" s="28" t="s">
        <v>563</v>
      </c>
      <c r="AK180" s="60">
        <v>2</v>
      </c>
      <c r="AL180" s="28">
        <f>1/COUNTIF(Tableau6[LAT],B180)</f>
        <v>0.5</v>
      </c>
      <c r="AM180" s="60" t="b">
        <f t="shared" si="19"/>
        <v>0</v>
      </c>
      <c r="AN180" s="60" t="b">
        <f t="shared" si="20"/>
        <v>0</v>
      </c>
      <c r="AO180" s="60" t="b">
        <f t="shared" si="21"/>
        <v>0</v>
      </c>
      <c r="AP180" s="60" t="b">
        <f t="shared" si="22"/>
        <v>0</v>
      </c>
      <c r="AQ180" s="60" t="b">
        <f t="shared" si="23"/>
        <v>0</v>
      </c>
      <c r="AR180" s="60" t="str">
        <f t="shared" si="17"/>
        <v>No</v>
      </c>
      <c r="AS180" s="60" t="str">
        <f t="shared" si="18"/>
        <v>No</v>
      </c>
    </row>
    <row r="181" spans="1:45" ht="15" hidden="1">
      <c r="A181" s="103">
        <v>45243</v>
      </c>
      <c r="B181" s="117" t="s">
        <v>1323</v>
      </c>
      <c r="C181" s="28" t="s">
        <v>511</v>
      </c>
      <c r="D181" s="28" t="s">
        <v>1324</v>
      </c>
      <c r="F181" s="28" t="s">
        <v>1194</v>
      </c>
      <c r="G181" s="28" t="s">
        <v>514</v>
      </c>
      <c r="H181" s="28" t="s">
        <v>1325</v>
      </c>
      <c r="I181" s="28" t="s">
        <v>516</v>
      </c>
      <c r="J181" s="28" t="s">
        <v>517</v>
      </c>
      <c r="K181" s="28" t="s">
        <v>518</v>
      </c>
      <c r="L181" s="28" t="s">
        <v>649</v>
      </c>
      <c r="M181" s="28" t="s">
        <v>535</v>
      </c>
      <c r="N181" s="28" t="s">
        <v>557</v>
      </c>
      <c r="S181" s="28" t="s">
        <v>752</v>
      </c>
      <c r="T181" s="28" t="s">
        <v>651</v>
      </c>
      <c r="U181" s="28" t="s">
        <v>651</v>
      </c>
      <c r="V181" s="28" t="s">
        <v>517</v>
      </c>
      <c r="W181" s="28" t="s">
        <v>1326</v>
      </c>
      <c r="Z181" s="28" t="s">
        <v>563</v>
      </c>
      <c r="AB181" s="28" t="s">
        <v>527</v>
      </c>
      <c r="AD181" s="118" t="s">
        <v>528</v>
      </c>
      <c r="AF181" s="125" t="s">
        <v>1324</v>
      </c>
      <c r="AG181" s="28" t="s">
        <v>563</v>
      </c>
      <c r="AK181" s="60">
        <v>2</v>
      </c>
      <c r="AL181" s="28">
        <f>1/COUNTIF(Tableau6[LAT],B181)</f>
        <v>1</v>
      </c>
      <c r="AM181" s="60" t="b">
        <f t="shared" si="19"/>
        <v>0</v>
      </c>
      <c r="AN181" s="60" t="b">
        <f t="shared" si="20"/>
        <v>0</v>
      </c>
      <c r="AO181" s="60" t="b">
        <f t="shared" si="21"/>
        <v>0</v>
      </c>
      <c r="AP181" s="60" t="b">
        <f t="shared" si="22"/>
        <v>0</v>
      </c>
      <c r="AQ181" s="60" t="b">
        <f t="shared" si="23"/>
        <v>0</v>
      </c>
      <c r="AR181" s="60" t="str">
        <f t="shared" si="17"/>
        <v>No</v>
      </c>
      <c r="AS181" s="60" t="str">
        <f t="shared" si="18"/>
        <v>No</v>
      </c>
    </row>
    <row r="182" spans="1:45" ht="15" hidden="1">
      <c r="A182" s="103">
        <v>45243</v>
      </c>
      <c r="B182" s="117" t="s">
        <v>1327</v>
      </c>
      <c r="C182" s="28" t="s">
        <v>511</v>
      </c>
      <c r="D182" s="28" t="s">
        <v>1328</v>
      </c>
      <c r="F182" s="28" t="s">
        <v>1329</v>
      </c>
      <c r="G182" s="28" t="s">
        <v>514</v>
      </c>
      <c r="H182" s="28" t="s">
        <v>1330</v>
      </c>
      <c r="I182" s="28" t="s">
        <v>516</v>
      </c>
      <c r="J182" s="28" t="s">
        <v>517</v>
      </c>
      <c r="K182" s="28" t="s">
        <v>518</v>
      </c>
      <c r="L182" s="28" t="s">
        <v>580</v>
      </c>
      <c r="M182" s="28" t="s">
        <v>520</v>
      </c>
      <c r="N182" s="28" t="s">
        <v>1307</v>
      </c>
      <c r="O182" s="28" t="s">
        <v>521</v>
      </c>
      <c r="P182" s="28" t="s">
        <v>544</v>
      </c>
      <c r="Q182" s="28" t="s">
        <v>522</v>
      </c>
      <c r="S182" s="28" t="s">
        <v>741</v>
      </c>
      <c r="T182" s="28" t="s">
        <v>582</v>
      </c>
      <c r="U182" s="28" t="s">
        <v>582</v>
      </c>
      <c r="V182" s="28" t="s">
        <v>517</v>
      </c>
      <c r="W182" s="28" t="s">
        <v>1331</v>
      </c>
      <c r="Z182" s="28" t="s">
        <v>526</v>
      </c>
      <c r="AD182" s="118" t="s">
        <v>528</v>
      </c>
      <c r="AF182" s="125" t="s">
        <v>1328</v>
      </c>
      <c r="AG182" s="28" t="s">
        <v>529</v>
      </c>
      <c r="AK182" s="60">
        <v>2</v>
      </c>
      <c r="AL182" s="28">
        <f>1/COUNTIF(Tableau6[LAT],B182)</f>
        <v>1</v>
      </c>
      <c r="AM182" s="60" t="b">
        <f t="shared" si="19"/>
        <v>0</v>
      </c>
      <c r="AN182" s="60" t="b">
        <f t="shared" si="20"/>
        <v>0</v>
      </c>
      <c r="AO182" s="60" t="b">
        <f t="shared" si="21"/>
        <v>0</v>
      </c>
      <c r="AP182" s="60" t="b">
        <f t="shared" si="22"/>
        <v>0</v>
      </c>
      <c r="AQ182" s="60" t="b">
        <f t="shared" si="23"/>
        <v>0</v>
      </c>
      <c r="AR182" s="60" t="str">
        <f t="shared" si="17"/>
        <v>No</v>
      </c>
      <c r="AS182" s="60" t="str">
        <f t="shared" si="18"/>
        <v>Yes</v>
      </c>
    </row>
    <row r="183" spans="1:45" ht="15" hidden="1">
      <c r="A183" s="103">
        <v>45243</v>
      </c>
      <c r="B183" s="117" t="s">
        <v>1332</v>
      </c>
      <c r="C183" s="28" t="s">
        <v>511</v>
      </c>
      <c r="D183" s="28" t="s">
        <v>1333</v>
      </c>
      <c r="F183" s="28" t="s">
        <v>1334</v>
      </c>
      <c r="G183" s="28" t="s">
        <v>514</v>
      </c>
      <c r="H183" s="28" t="s">
        <v>1335</v>
      </c>
      <c r="I183" s="28" t="s">
        <v>516</v>
      </c>
      <c r="J183" s="28" t="s">
        <v>517</v>
      </c>
      <c r="K183" s="28" t="s">
        <v>518</v>
      </c>
      <c r="L183" s="28" t="s">
        <v>519</v>
      </c>
      <c r="M183" s="28" t="s">
        <v>535</v>
      </c>
      <c r="N183" s="28" t="s">
        <v>521</v>
      </c>
      <c r="O183" s="28" t="s">
        <v>544</v>
      </c>
      <c r="P183" s="28" t="s">
        <v>522</v>
      </c>
      <c r="S183" s="28" t="s">
        <v>607</v>
      </c>
      <c r="T183" s="28" t="s">
        <v>524</v>
      </c>
      <c r="U183" s="28" t="s">
        <v>524</v>
      </c>
      <c r="V183" s="28" t="s">
        <v>517</v>
      </c>
      <c r="W183" s="28" t="s">
        <v>1336</v>
      </c>
      <c r="Z183" s="28" t="s">
        <v>526</v>
      </c>
      <c r="AD183" s="118" t="s">
        <v>954</v>
      </c>
      <c r="AF183" s="125" t="s">
        <v>1333</v>
      </c>
      <c r="AG183" s="28" t="s">
        <v>563</v>
      </c>
      <c r="AK183" s="60">
        <v>2</v>
      </c>
      <c r="AL183" s="28">
        <f>1/COUNTIF(Tableau6[LAT],B183)</f>
        <v>1</v>
      </c>
      <c r="AM183" s="60" t="b">
        <f t="shared" si="19"/>
        <v>0</v>
      </c>
      <c r="AN183" s="60" t="b">
        <f t="shared" si="20"/>
        <v>0</v>
      </c>
      <c r="AO183" s="60" t="b">
        <f t="shared" si="21"/>
        <v>0</v>
      </c>
      <c r="AP183" s="60" t="b">
        <f t="shared" si="22"/>
        <v>0</v>
      </c>
      <c r="AQ183" s="60" t="b">
        <f t="shared" si="23"/>
        <v>0</v>
      </c>
      <c r="AR183" s="60" t="str">
        <f t="shared" si="17"/>
        <v>No</v>
      </c>
      <c r="AS183" s="60" t="str">
        <f t="shared" si="18"/>
        <v>No</v>
      </c>
    </row>
    <row r="184" spans="1:45" ht="15" hidden="1">
      <c r="A184" s="103">
        <v>45243</v>
      </c>
      <c r="B184" s="117" t="s">
        <v>1337</v>
      </c>
      <c r="C184" s="28" t="s">
        <v>511</v>
      </c>
      <c r="D184" s="28" t="s">
        <v>1338</v>
      </c>
      <c r="F184" s="28" t="s">
        <v>1339</v>
      </c>
      <c r="G184" s="28" t="s">
        <v>514</v>
      </c>
      <c r="H184" s="28" t="s">
        <v>1340</v>
      </c>
      <c r="I184" s="28" t="s">
        <v>516</v>
      </c>
      <c r="J184" s="28" t="s">
        <v>517</v>
      </c>
      <c r="K184" s="28" t="s">
        <v>518</v>
      </c>
      <c r="L184" s="28" t="s">
        <v>519</v>
      </c>
      <c r="M184" s="28" t="s">
        <v>535</v>
      </c>
      <c r="N184" s="28" t="s">
        <v>521</v>
      </c>
      <c r="O184" s="28" t="s">
        <v>544</v>
      </c>
      <c r="P184" s="28" t="s">
        <v>522</v>
      </c>
      <c r="S184" s="28" t="s">
        <v>607</v>
      </c>
      <c r="T184" s="28" t="s">
        <v>524</v>
      </c>
      <c r="U184" s="28" t="s">
        <v>524</v>
      </c>
      <c r="V184" s="28" t="s">
        <v>517</v>
      </c>
      <c r="W184" s="28" t="s">
        <v>1341</v>
      </c>
      <c r="Z184" s="28" t="s">
        <v>526</v>
      </c>
      <c r="AD184" s="118" t="s">
        <v>528</v>
      </c>
      <c r="AF184" s="125" t="s">
        <v>1338</v>
      </c>
      <c r="AG184" s="28" t="s">
        <v>563</v>
      </c>
      <c r="AK184" s="60">
        <v>2</v>
      </c>
      <c r="AL184" s="28">
        <f>1/COUNTIF(Tableau6[LAT],B184)</f>
        <v>1</v>
      </c>
      <c r="AM184" s="60" t="b">
        <f t="shared" si="19"/>
        <v>0</v>
      </c>
      <c r="AN184" s="60" t="b">
        <f t="shared" si="20"/>
        <v>0</v>
      </c>
      <c r="AO184" s="60" t="b">
        <f t="shared" si="21"/>
        <v>0</v>
      </c>
      <c r="AP184" s="60" t="b">
        <f t="shared" si="22"/>
        <v>0</v>
      </c>
      <c r="AQ184" s="60" t="b">
        <f t="shared" si="23"/>
        <v>0</v>
      </c>
      <c r="AR184" s="60" t="str">
        <f t="shared" si="17"/>
        <v>No</v>
      </c>
      <c r="AS184" s="60" t="str">
        <f t="shared" si="18"/>
        <v>No</v>
      </c>
    </row>
    <row r="185" spans="1:45" ht="15" hidden="1">
      <c r="A185" s="103">
        <v>45243</v>
      </c>
      <c r="B185" s="117" t="s">
        <v>1342</v>
      </c>
      <c r="C185" s="28" t="s">
        <v>511</v>
      </c>
      <c r="D185" s="28" t="s">
        <v>1343</v>
      </c>
      <c r="F185" s="28" t="s">
        <v>1344</v>
      </c>
      <c r="G185" s="28" t="s">
        <v>514</v>
      </c>
      <c r="H185" s="28" t="s">
        <v>1236</v>
      </c>
      <c r="I185" s="28" t="s">
        <v>516</v>
      </c>
      <c r="J185" s="28" t="s">
        <v>517</v>
      </c>
      <c r="K185" s="28" t="s">
        <v>518</v>
      </c>
      <c r="L185" s="28" t="s">
        <v>839</v>
      </c>
      <c r="M185" s="28" t="s">
        <v>520</v>
      </c>
      <c r="N185" s="28" t="s">
        <v>557</v>
      </c>
      <c r="O185" s="28" t="s">
        <v>544</v>
      </c>
      <c r="S185" s="28" t="s">
        <v>1158</v>
      </c>
      <c r="T185" s="28" t="s">
        <v>840</v>
      </c>
      <c r="U185" s="28" t="s">
        <v>840</v>
      </c>
      <c r="V185" s="28" t="s">
        <v>517</v>
      </c>
      <c r="W185" s="28" t="s">
        <v>1345</v>
      </c>
      <c r="Z185" s="28" t="s">
        <v>563</v>
      </c>
      <c r="AB185" s="28" t="s">
        <v>527</v>
      </c>
      <c r="AD185" s="118" t="s">
        <v>528</v>
      </c>
      <c r="AF185" s="125" t="s">
        <v>1343</v>
      </c>
      <c r="AG185" s="28" t="s">
        <v>563</v>
      </c>
      <c r="AK185" s="60">
        <v>2</v>
      </c>
      <c r="AL185" s="28">
        <f>1/COUNTIF(Tableau6[LAT],B185)</f>
        <v>1</v>
      </c>
      <c r="AM185" s="60" t="b">
        <f t="shared" si="19"/>
        <v>0</v>
      </c>
      <c r="AN185" s="60" t="b">
        <f t="shared" si="20"/>
        <v>0</v>
      </c>
      <c r="AO185" s="60" t="b">
        <f t="shared" si="21"/>
        <v>0</v>
      </c>
      <c r="AP185" s="60" t="b">
        <f t="shared" si="22"/>
        <v>0</v>
      </c>
      <c r="AQ185" s="60" t="b">
        <f t="shared" si="23"/>
        <v>0</v>
      </c>
      <c r="AR185" s="60" t="str">
        <f t="shared" si="17"/>
        <v>No</v>
      </c>
      <c r="AS185" s="60" t="str">
        <f t="shared" si="18"/>
        <v>No</v>
      </c>
    </row>
    <row r="186" spans="1:45" ht="15" hidden="1">
      <c r="A186" s="103">
        <v>45243</v>
      </c>
      <c r="B186" s="117" t="s">
        <v>1346</v>
      </c>
      <c r="C186" s="28" t="s">
        <v>511</v>
      </c>
      <c r="D186" s="28" t="s">
        <v>1347</v>
      </c>
      <c r="F186" s="28" t="s">
        <v>1348</v>
      </c>
      <c r="G186" s="28" t="s">
        <v>514</v>
      </c>
      <c r="H186" s="28" t="s">
        <v>1349</v>
      </c>
      <c r="I186" s="28" t="s">
        <v>516</v>
      </c>
      <c r="J186" s="28" t="s">
        <v>517</v>
      </c>
      <c r="K186" s="28" t="s">
        <v>518</v>
      </c>
      <c r="L186" s="28" t="s">
        <v>801</v>
      </c>
      <c r="M186" s="28" t="s">
        <v>535</v>
      </c>
      <c r="N186" s="28" t="s">
        <v>557</v>
      </c>
      <c r="O186" s="28" t="s">
        <v>544</v>
      </c>
      <c r="P186" s="28" t="s">
        <v>522</v>
      </c>
      <c r="S186" s="28" t="s">
        <v>1350</v>
      </c>
      <c r="T186" s="28" t="s">
        <v>803</v>
      </c>
      <c r="U186" s="28" t="s">
        <v>803</v>
      </c>
      <c r="V186" s="28" t="s">
        <v>517</v>
      </c>
      <c r="W186" s="28" t="s">
        <v>591</v>
      </c>
      <c r="Z186" s="28" t="s">
        <v>563</v>
      </c>
      <c r="AB186" s="28" t="s">
        <v>527</v>
      </c>
      <c r="AD186" s="118" t="s">
        <v>528</v>
      </c>
      <c r="AF186" s="125" t="s">
        <v>1347</v>
      </c>
      <c r="AG186" s="28" t="s">
        <v>563</v>
      </c>
      <c r="AK186" s="60">
        <v>2</v>
      </c>
      <c r="AL186" s="28">
        <f>1/COUNTIF(Tableau6[LAT],B186)</f>
        <v>1</v>
      </c>
      <c r="AM186" s="60" t="b">
        <f t="shared" si="19"/>
        <v>0</v>
      </c>
      <c r="AN186" s="60" t="b">
        <f t="shared" si="20"/>
        <v>0</v>
      </c>
      <c r="AO186" s="60" t="b">
        <f t="shared" si="21"/>
        <v>0</v>
      </c>
      <c r="AP186" s="60" t="b">
        <f t="shared" si="22"/>
        <v>0</v>
      </c>
      <c r="AQ186" s="60" t="b">
        <f t="shared" si="23"/>
        <v>0</v>
      </c>
      <c r="AR186" s="60" t="str">
        <f t="shared" si="17"/>
        <v>No</v>
      </c>
      <c r="AS186" s="60" t="str">
        <f t="shared" si="18"/>
        <v>No</v>
      </c>
    </row>
    <row r="187" spans="1:45" ht="15" hidden="1">
      <c r="A187" s="103">
        <v>45243</v>
      </c>
      <c r="B187" s="117" t="s">
        <v>1351</v>
      </c>
      <c r="C187" s="28" t="s">
        <v>511</v>
      </c>
      <c r="D187" s="28" t="s">
        <v>1352</v>
      </c>
      <c r="F187" s="28" t="s">
        <v>1353</v>
      </c>
      <c r="G187" s="28" t="s">
        <v>514</v>
      </c>
      <c r="H187" s="28" t="s">
        <v>785</v>
      </c>
      <c r="I187" s="28" t="s">
        <v>516</v>
      </c>
      <c r="J187" s="28" t="s">
        <v>517</v>
      </c>
      <c r="K187" s="28" t="s">
        <v>518</v>
      </c>
      <c r="L187" s="28" t="s">
        <v>1097</v>
      </c>
      <c r="M187" s="28" t="s">
        <v>520</v>
      </c>
      <c r="N187" s="28" t="s">
        <v>544</v>
      </c>
      <c r="S187" s="28" t="s">
        <v>752</v>
      </c>
      <c r="T187" s="28" t="s">
        <v>1098</v>
      </c>
      <c r="U187" s="28" t="s">
        <v>1098</v>
      </c>
      <c r="V187" s="28" t="s">
        <v>517</v>
      </c>
      <c r="W187" s="28" t="s">
        <v>1354</v>
      </c>
      <c r="Z187" s="28" t="s">
        <v>563</v>
      </c>
      <c r="AB187" s="28" t="s">
        <v>527</v>
      </c>
      <c r="AD187" s="118" t="s">
        <v>528</v>
      </c>
      <c r="AF187" s="126" t="s">
        <v>1352</v>
      </c>
      <c r="AG187" s="28" t="s">
        <v>563</v>
      </c>
      <c r="AK187" s="60">
        <v>2</v>
      </c>
      <c r="AL187" s="28">
        <f>1/COUNTIF(Tableau6[LAT],B187)</f>
        <v>0.5</v>
      </c>
      <c r="AM187" s="60" t="b">
        <f t="shared" si="19"/>
        <v>0</v>
      </c>
      <c r="AN187" s="60" t="b">
        <f t="shared" si="20"/>
        <v>0</v>
      </c>
      <c r="AO187" s="60" t="b">
        <f t="shared" si="21"/>
        <v>0</v>
      </c>
      <c r="AP187" s="60" t="b">
        <f t="shared" si="22"/>
        <v>0</v>
      </c>
      <c r="AQ187" s="60" t="b">
        <f t="shared" si="23"/>
        <v>0</v>
      </c>
      <c r="AR187" s="60" t="str">
        <f t="shared" si="17"/>
        <v>No</v>
      </c>
      <c r="AS187" s="60" t="str">
        <f t="shared" si="18"/>
        <v>No</v>
      </c>
    </row>
    <row r="188" spans="1:45" ht="15" hidden="1">
      <c r="A188" s="103">
        <v>45243</v>
      </c>
      <c r="B188" s="117" t="s">
        <v>1351</v>
      </c>
      <c r="C188" s="28" t="s">
        <v>548</v>
      </c>
      <c r="D188" s="28" t="s">
        <v>1355</v>
      </c>
      <c r="F188" s="28" t="s">
        <v>1353</v>
      </c>
      <c r="G188" s="28" t="s">
        <v>514</v>
      </c>
      <c r="H188" s="28" t="s">
        <v>618</v>
      </c>
      <c r="I188" s="28" t="s">
        <v>516</v>
      </c>
      <c r="J188" s="28" t="s">
        <v>517</v>
      </c>
      <c r="K188" s="28" t="s">
        <v>518</v>
      </c>
      <c r="L188" s="28" t="s">
        <v>1097</v>
      </c>
      <c r="M188" s="28" t="s">
        <v>520</v>
      </c>
      <c r="N188" s="28" t="s">
        <v>544</v>
      </c>
      <c r="S188" s="28" t="s">
        <v>752</v>
      </c>
      <c r="T188" s="28" t="s">
        <v>1098</v>
      </c>
      <c r="U188" s="28" t="s">
        <v>1098</v>
      </c>
      <c r="V188" s="28" t="s">
        <v>517</v>
      </c>
      <c r="W188" s="28" t="s">
        <v>1356</v>
      </c>
      <c r="Z188" s="28" t="s">
        <v>563</v>
      </c>
      <c r="AB188" s="28" t="s">
        <v>527</v>
      </c>
      <c r="AD188" s="118"/>
      <c r="AF188" s="126"/>
      <c r="AK188" s="60">
        <v>2</v>
      </c>
      <c r="AL188" s="28">
        <f>1/COUNTIF(Tableau6[LAT],B188)</f>
        <v>0.5</v>
      </c>
      <c r="AM188" s="60" t="b">
        <f t="shared" si="19"/>
        <v>0</v>
      </c>
      <c r="AN188" s="60" t="b">
        <f t="shared" si="20"/>
        <v>0</v>
      </c>
      <c r="AO188" s="60" t="b">
        <f t="shared" si="21"/>
        <v>0</v>
      </c>
      <c r="AP188" s="60" t="b">
        <f t="shared" si="22"/>
        <v>0</v>
      </c>
      <c r="AQ188" s="60" t="b">
        <f t="shared" si="23"/>
        <v>0</v>
      </c>
      <c r="AR188" s="60" t="str">
        <f t="shared" si="17"/>
        <v>No</v>
      </c>
      <c r="AS188" s="60" t="str">
        <f t="shared" si="18"/>
        <v>No</v>
      </c>
    </row>
    <row r="189" spans="1:45" ht="15" hidden="1">
      <c r="A189" s="103">
        <v>45243</v>
      </c>
      <c r="B189" s="117" t="s">
        <v>1357</v>
      </c>
      <c r="C189" s="28" t="s">
        <v>511</v>
      </c>
      <c r="D189" s="28" t="s">
        <v>1358</v>
      </c>
      <c r="F189" s="28" t="s">
        <v>1359</v>
      </c>
      <c r="G189" s="28" t="s">
        <v>514</v>
      </c>
      <c r="H189" s="28" t="s">
        <v>1360</v>
      </c>
      <c r="I189" s="28" t="s">
        <v>516</v>
      </c>
      <c r="J189" s="28" t="s">
        <v>517</v>
      </c>
      <c r="K189" s="28" t="s">
        <v>518</v>
      </c>
      <c r="L189" s="28" t="s">
        <v>809</v>
      </c>
      <c r="M189" s="28" t="s">
        <v>535</v>
      </c>
      <c r="N189" s="28" t="s">
        <v>572</v>
      </c>
      <c r="O189" s="28" t="s">
        <v>544</v>
      </c>
      <c r="S189" s="28" t="s">
        <v>546</v>
      </c>
      <c r="T189" s="28" t="s">
        <v>811</v>
      </c>
      <c r="U189" s="28" t="s">
        <v>811</v>
      </c>
      <c r="V189" s="28" t="s">
        <v>517</v>
      </c>
      <c r="W189" s="28" t="s">
        <v>1361</v>
      </c>
      <c r="Z189" s="28" t="s">
        <v>526</v>
      </c>
      <c r="AD189" s="118" t="s">
        <v>528</v>
      </c>
      <c r="AF189" s="125" t="s">
        <v>1358</v>
      </c>
      <c r="AG189" s="28" t="s">
        <v>529</v>
      </c>
      <c r="AK189" s="60">
        <v>2</v>
      </c>
      <c r="AL189" s="28">
        <f>1/COUNTIF(Tableau6[LAT],B189)</f>
        <v>1</v>
      </c>
      <c r="AM189" s="60" t="b">
        <f t="shared" si="19"/>
        <v>0</v>
      </c>
      <c r="AN189" s="60" t="b">
        <f t="shared" si="20"/>
        <v>0</v>
      </c>
      <c r="AO189" s="60" t="b">
        <f t="shared" si="21"/>
        <v>0</v>
      </c>
      <c r="AP189" s="60" t="b">
        <f t="shared" si="22"/>
        <v>0</v>
      </c>
      <c r="AQ189" s="60" t="b">
        <f t="shared" si="23"/>
        <v>0</v>
      </c>
      <c r="AR189" s="60" t="str">
        <f t="shared" si="17"/>
        <v>No</v>
      </c>
      <c r="AS189" s="60" t="str">
        <f t="shared" si="18"/>
        <v>No</v>
      </c>
    </row>
    <row r="190" spans="1:45" ht="15" hidden="1">
      <c r="A190" s="103">
        <v>45243</v>
      </c>
      <c r="B190" s="117" t="s">
        <v>1362</v>
      </c>
      <c r="C190" s="28" t="s">
        <v>612</v>
      </c>
      <c r="D190" s="28" t="s">
        <v>1363</v>
      </c>
      <c r="F190" s="28" t="s">
        <v>1364</v>
      </c>
      <c r="G190" s="28" t="s">
        <v>514</v>
      </c>
      <c r="H190" s="28" t="s">
        <v>1365</v>
      </c>
      <c r="I190" s="28" t="s">
        <v>516</v>
      </c>
      <c r="J190" s="28" t="s">
        <v>517</v>
      </c>
      <c r="K190" s="28" t="s">
        <v>518</v>
      </c>
      <c r="L190" s="28" t="s">
        <v>717</v>
      </c>
      <c r="M190" s="28" t="s">
        <v>535</v>
      </c>
      <c r="N190" s="28" t="s">
        <v>1140</v>
      </c>
      <c r="O190" s="28" t="s">
        <v>521</v>
      </c>
      <c r="P190" s="28" t="s">
        <v>544</v>
      </c>
      <c r="Q190" s="28" t="s">
        <v>522</v>
      </c>
      <c r="R190" s="28" t="s">
        <v>559</v>
      </c>
      <c r="S190" s="28" t="s">
        <v>1366</v>
      </c>
      <c r="T190" s="28" t="s">
        <v>719</v>
      </c>
      <c r="U190" s="28" t="s">
        <v>719</v>
      </c>
      <c r="V190" s="28" t="s">
        <v>517</v>
      </c>
      <c r="W190" s="28" t="s">
        <v>835</v>
      </c>
      <c r="Z190" s="28" t="s">
        <v>563</v>
      </c>
      <c r="AB190" s="28" t="s">
        <v>527</v>
      </c>
      <c r="AD190" s="118" t="s">
        <v>528</v>
      </c>
      <c r="AF190" s="126" t="s">
        <v>1367</v>
      </c>
      <c r="AG190" s="28" t="s">
        <v>563</v>
      </c>
      <c r="AK190" s="60">
        <v>2</v>
      </c>
      <c r="AL190" s="28">
        <f>1/COUNTIF(Tableau6[LAT],B190)</f>
        <v>0.5</v>
      </c>
      <c r="AM190" s="60" t="b">
        <f t="shared" si="19"/>
        <v>0</v>
      </c>
      <c r="AN190" s="60" t="b">
        <f t="shared" si="20"/>
        <v>0</v>
      </c>
      <c r="AO190" s="60" t="b">
        <f t="shared" si="21"/>
        <v>0</v>
      </c>
      <c r="AP190" s="60" t="b">
        <f t="shared" si="22"/>
        <v>0</v>
      </c>
      <c r="AQ190" s="60" t="b">
        <f t="shared" si="23"/>
        <v>0</v>
      </c>
      <c r="AR190" s="60" t="str">
        <f t="shared" si="17"/>
        <v>No</v>
      </c>
      <c r="AS190" s="60" t="str">
        <f t="shared" si="18"/>
        <v>No</v>
      </c>
    </row>
    <row r="191" spans="1:45" ht="15" hidden="1">
      <c r="A191" s="103">
        <v>45243</v>
      </c>
      <c r="B191" s="117" t="s">
        <v>1362</v>
      </c>
      <c r="C191" s="28" t="s">
        <v>691</v>
      </c>
      <c r="D191" s="28" t="s">
        <v>1368</v>
      </c>
      <c r="F191" s="28" t="s">
        <v>1364</v>
      </c>
      <c r="G191" s="28" t="s">
        <v>514</v>
      </c>
      <c r="H191" s="28" t="s">
        <v>768</v>
      </c>
      <c r="I191" s="28" t="s">
        <v>516</v>
      </c>
      <c r="J191" s="28" t="s">
        <v>517</v>
      </c>
      <c r="K191" s="28" t="s">
        <v>518</v>
      </c>
      <c r="L191" s="28" t="s">
        <v>717</v>
      </c>
      <c r="M191" s="28" t="s">
        <v>535</v>
      </c>
      <c r="N191" s="28" t="s">
        <v>1140</v>
      </c>
      <c r="O191" s="28" t="s">
        <v>521</v>
      </c>
      <c r="P191" s="28" t="s">
        <v>544</v>
      </c>
      <c r="Q191" s="28" t="s">
        <v>522</v>
      </c>
      <c r="R191" s="28" t="s">
        <v>559</v>
      </c>
      <c r="S191" s="28" t="s">
        <v>1366</v>
      </c>
      <c r="T191" s="28" t="s">
        <v>719</v>
      </c>
      <c r="U191" s="28" t="s">
        <v>719</v>
      </c>
      <c r="V191" s="28" t="s">
        <v>517</v>
      </c>
      <c r="W191" s="28" t="s">
        <v>835</v>
      </c>
      <c r="Z191" s="28" t="s">
        <v>563</v>
      </c>
      <c r="AB191" s="28" t="s">
        <v>527</v>
      </c>
      <c r="AD191" s="118" t="s">
        <v>528</v>
      </c>
      <c r="AF191" s="126" t="s">
        <v>1369</v>
      </c>
      <c r="AG191" s="28" t="s">
        <v>563</v>
      </c>
      <c r="AK191" s="60">
        <v>2</v>
      </c>
      <c r="AL191" s="28">
        <f>1/COUNTIF(Tableau6[LAT],B191)</f>
        <v>0.5</v>
      </c>
      <c r="AM191" s="60" t="b">
        <f t="shared" si="19"/>
        <v>0</v>
      </c>
      <c r="AN191" s="60" t="b">
        <f t="shared" si="20"/>
        <v>0</v>
      </c>
      <c r="AO191" s="60" t="b">
        <f t="shared" si="21"/>
        <v>0</v>
      </c>
      <c r="AP191" s="60" t="b">
        <f t="shared" si="22"/>
        <v>0</v>
      </c>
      <c r="AQ191" s="60" t="b">
        <f t="shared" si="23"/>
        <v>0</v>
      </c>
      <c r="AR191" s="60" t="str">
        <f t="shared" si="17"/>
        <v>No</v>
      </c>
      <c r="AS191" s="60" t="str">
        <f t="shared" si="18"/>
        <v>No</v>
      </c>
    </row>
    <row r="192" spans="1:45" ht="15" hidden="1">
      <c r="A192" s="103">
        <v>45243</v>
      </c>
      <c r="B192" s="117" t="s">
        <v>1370</v>
      </c>
      <c r="C192" s="28" t="s">
        <v>511</v>
      </c>
      <c r="D192" s="28" t="s">
        <v>1371</v>
      </c>
      <c r="F192" s="28" t="s">
        <v>1267</v>
      </c>
      <c r="G192" s="28" t="s">
        <v>514</v>
      </c>
      <c r="H192" s="28" t="s">
        <v>1372</v>
      </c>
      <c r="I192" s="28" t="s">
        <v>516</v>
      </c>
      <c r="J192" s="28" t="s">
        <v>517</v>
      </c>
      <c r="K192" s="28" t="s">
        <v>518</v>
      </c>
      <c r="L192" s="28" t="s">
        <v>1373</v>
      </c>
      <c r="M192" s="28" t="s">
        <v>1374</v>
      </c>
      <c r="S192" s="28" t="s">
        <v>1375</v>
      </c>
      <c r="T192" s="28" t="s">
        <v>1376</v>
      </c>
      <c r="U192" s="28" t="s">
        <v>1376</v>
      </c>
      <c r="V192" s="28" t="s">
        <v>517</v>
      </c>
      <c r="W192" s="28" t="s">
        <v>1377</v>
      </c>
      <c r="Z192" s="28" t="s">
        <v>526</v>
      </c>
      <c r="AD192" s="118" t="s">
        <v>528</v>
      </c>
      <c r="AF192" s="125" t="s">
        <v>1371</v>
      </c>
      <c r="AG192" s="28" t="s">
        <v>529</v>
      </c>
      <c r="AK192" s="60">
        <v>2</v>
      </c>
      <c r="AL192" s="28">
        <f>1/COUNTIF(Tableau6[LAT],B192)</f>
        <v>1</v>
      </c>
      <c r="AM192" s="60" t="b">
        <f t="shared" si="19"/>
        <v>0</v>
      </c>
      <c r="AN192" s="60" t="b">
        <f t="shared" si="20"/>
        <v>0</v>
      </c>
      <c r="AO192" s="60" t="b">
        <f t="shared" si="21"/>
        <v>0</v>
      </c>
      <c r="AP192" s="60" t="b">
        <f t="shared" si="22"/>
        <v>0</v>
      </c>
      <c r="AQ192" s="60" t="b">
        <f t="shared" si="23"/>
        <v>0</v>
      </c>
      <c r="AR192" s="60" t="str">
        <f t="shared" si="17"/>
        <v>No</v>
      </c>
      <c r="AS192" s="60" t="str">
        <f t="shared" si="18"/>
        <v>No</v>
      </c>
    </row>
    <row r="193" spans="1:45" ht="15" hidden="1">
      <c r="A193" s="103">
        <v>45243</v>
      </c>
      <c r="B193" s="117" t="s">
        <v>1378</v>
      </c>
      <c r="C193" s="28" t="s">
        <v>511</v>
      </c>
      <c r="D193" s="28" t="s">
        <v>1379</v>
      </c>
      <c r="F193" s="28" t="s">
        <v>1380</v>
      </c>
      <c r="G193" s="28" t="s">
        <v>514</v>
      </c>
      <c r="H193" s="28" t="s">
        <v>1381</v>
      </c>
      <c r="I193" s="28" t="s">
        <v>516</v>
      </c>
      <c r="J193" s="28" t="s">
        <v>517</v>
      </c>
      <c r="K193" s="28" t="s">
        <v>518</v>
      </c>
      <c r="L193" s="28" t="s">
        <v>1157</v>
      </c>
      <c r="M193" s="28" t="s">
        <v>535</v>
      </c>
      <c r="N193" s="28" t="s">
        <v>1382</v>
      </c>
      <c r="O193" s="28" t="s">
        <v>1383</v>
      </c>
      <c r="P193" s="28" t="s">
        <v>521</v>
      </c>
      <c r="Q193" s="28" t="s">
        <v>544</v>
      </c>
      <c r="S193" s="28" t="s">
        <v>1384</v>
      </c>
      <c r="T193" s="28" t="s">
        <v>1159</v>
      </c>
      <c r="U193" s="28" t="s">
        <v>1159</v>
      </c>
      <c r="V193" s="28" t="s">
        <v>517</v>
      </c>
      <c r="W193" s="28" t="s">
        <v>1385</v>
      </c>
      <c r="Z193" s="28" t="s">
        <v>563</v>
      </c>
      <c r="AB193" s="28" t="s">
        <v>527</v>
      </c>
      <c r="AD193" s="118" t="s">
        <v>528</v>
      </c>
      <c r="AF193" s="126" t="s">
        <v>1379</v>
      </c>
      <c r="AG193" s="28" t="s">
        <v>563</v>
      </c>
      <c r="AK193" s="60">
        <v>2</v>
      </c>
      <c r="AL193" s="28">
        <f>1/COUNTIF(Tableau6[LAT],B193)</f>
        <v>0.5</v>
      </c>
      <c r="AM193" s="60" t="b">
        <f t="shared" si="19"/>
        <v>0</v>
      </c>
      <c r="AN193" s="60" t="b">
        <f t="shared" si="20"/>
        <v>0</v>
      </c>
      <c r="AO193" s="60" t="b">
        <f t="shared" si="21"/>
        <v>0</v>
      </c>
      <c r="AP193" s="60" t="b">
        <f t="shared" si="22"/>
        <v>0</v>
      </c>
      <c r="AQ193" s="60" t="b">
        <f t="shared" si="23"/>
        <v>0</v>
      </c>
      <c r="AR193" s="60" t="str">
        <f t="shared" si="17"/>
        <v>No</v>
      </c>
      <c r="AS193" s="60" t="str">
        <f t="shared" si="18"/>
        <v>No</v>
      </c>
    </row>
    <row r="194" spans="1:45" ht="15" hidden="1">
      <c r="A194" s="103">
        <v>45243</v>
      </c>
      <c r="B194" s="117" t="s">
        <v>1378</v>
      </c>
      <c r="C194" s="28" t="s">
        <v>548</v>
      </c>
      <c r="D194" s="28" t="s">
        <v>1386</v>
      </c>
      <c r="F194" s="28" t="s">
        <v>1380</v>
      </c>
      <c r="G194" s="28" t="s">
        <v>514</v>
      </c>
      <c r="H194" s="28" t="s">
        <v>1387</v>
      </c>
      <c r="I194" s="28" t="s">
        <v>516</v>
      </c>
      <c r="J194" s="28" t="s">
        <v>517</v>
      </c>
      <c r="K194" s="28" t="s">
        <v>518</v>
      </c>
      <c r="L194" s="28" t="s">
        <v>1157</v>
      </c>
      <c r="M194" s="28" t="s">
        <v>535</v>
      </c>
      <c r="N194" s="28" t="s">
        <v>1382</v>
      </c>
      <c r="O194" s="28" t="s">
        <v>1383</v>
      </c>
      <c r="P194" s="28" t="s">
        <v>521</v>
      </c>
      <c r="Q194" s="28" t="s">
        <v>544</v>
      </c>
      <c r="S194" s="28" t="s">
        <v>1384</v>
      </c>
      <c r="T194" s="28" t="s">
        <v>1159</v>
      </c>
      <c r="U194" s="28" t="s">
        <v>1159</v>
      </c>
      <c r="V194" s="28" t="s">
        <v>517</v>
      </c>
      <c r="W194" s="28" t="s">
        <v>1388</v>
      </c>
      <c r="Z194" s="28" t="s">
        <v>563</v>
      </c>
      <c r="AB194" s="28" t="s">
        <v>527</v>
      </c>
      <c r="AD194" s="118" t="s">
        <v>528</v>
      </c>
      <c r="AF194" s="126"/>
      <c r="AG194" s="28" t="s">
        <v>563</v>
      </c>
      <c r="AK194" s="60">
        <v>2</v>
      </c>
      <c r="AL194" s="28">
        <f>1/COUNTIF(Tableau6[LAT],B194)</f>
        <v>0.5</v>
      </c>
      <c r="AM194" s="60" t="b">
        <f t="shared" si="19"/>
        <v>0</v>
      </c>
      <c r="AN194" s="60" t="b">
        <f t="shared" si="20"/>
        <v>0</v>
      </c>
      <c r="AO194" s="60" t="b">
        <f t="shared" si="21"/>
        <v>0</v>
      </c>
      <c r="AP194" s="60" t="b">
        <f t="shared" si="22"/>
        <v>0</v>
      </c>
      <c r="AQ194" s="60" t="b">
        <f t="shared" si="23"/>
        <v>0</v>
      </c>
      <c r="AR194" s="60" t="str">
        <f t="shared" si="17"/>
        <v>No</v>
      </c>
      <c r="AS194" s="60" t="str">
        <f t="shared" si="18"/>
        <v>No</v>
      </c>
    </row>
    <row r="195" spans="1:45" ht="15" hidden="1">
      <c r="A195" s="103">
        <v>45243</v>
      </c>
      <c r="B195" s="117" t="s">
        <v>1389</v>
      </c>
      <c r="C195" s="28" t="s">
        <v>511</v>
      </c>
      <c r="D195" s="28" t="s">
        <v>1390</v>
      </c>
      <c r="F195" s="28" t="s">
        <v>1391</v>
      </c>
      <c r="G195" s="28" t="s">
        <v>514</v>
      </c>
      <c r="H195" s="28" t="s">
        <v>1091</v>
      </c>
      <c r="I195" s="28" t="s">
        <v>516</v>
      </c>
      <c r="J195" s="28" t="s">
        <v>517</v>
      </c>
      <c r="K195" s="28" t="s">
        <v>518</v>
      </c>
      <c r="L195" s="28" t="s">
        <v>649</v>
      </c>
      <c r="M195" s="28" t="s">
        <v>535</v>
      </c>
      <c r="S195" s="28" t="s">
        <v>1232</v>
      </c>
      <c r="T195" s="28" t="s">
        <v>651</v>
      </c>
      <c r="U195" s="28" t="s">
        <v>651</v>
      </c>
      <c r="V195" s="28" t="s">
        <v>517</v>
      </c>
      <c r="W195" s="28" t="s">
        <v>1392</v>
      </c>
      <c r="Z195" s="28" t="s">
        <v>563</v>
      </c>
      <c r="AB195" s="28" t="s">
        <v>527</v>
      </c>
      <c r="AD195" s="118" t="s">
        <v>528</v>
      </c>
      <c r="AF195" s="126" t="s">
        <v>1390</v>
      </c>
      <c r="AG195" s="28" t="s">
        <v>563</v>
      </c>
      <c r="AK195" s="60">
        <v>2</v>
      </c>
      <c r="AL195" s="28">
        <f>1/COUNTIF(Tableau6[LAT],B195)</f>
        <v>0.25</v>
      </c>
      <c r="AM195" s="60" t="b">
        <f t="shared" si="19"/>
        <v>0</v>
      </c>
      <c r="AN195" s="60" t="b">
        <f t="shared" si="20"/>
        <v>0</v>
      </c>
      <c r="AO195" s="60" t="b">
        <f t="shared" si="21"/>
        <v>0</v>
      </c>
      <c r="AP195" s="60" t="b">
        <f t="shared" si="22"/>
        <v>0</v>
      </c>
      <c r="AQ195" s="60" t="b">
        <f t="shared" si="23"/>
        <v>0</v>
      </c>
      <c r="AR195" s="60" t="str">
        <f t="shared" si="17"/>
        <v>No</v>
      </c>
      <c r="AS195" s="60" t="str">
        <f t="shared" si="18"/>
        <v>No</v>
      </c>
    </row>
    <row r="196" spans="1:45" ht="15" hidden="1">
      <c r="A196" s="103">
        <v>45243</v>
      </c>
      <c r="B196" s="117" t="s">
        <v>1389</v>
      </c>
      <c r="C196" s="28" t="s">
        <v>548</v>
      </c>
      <c r="D196" s="28" t="s">
        <v>1393</v>
      </c>
      <c r="F196" s="28" t="s">
        <v>1391</v>
      </c>
      <c r="G196" s="28" t="s">
        <v>514</v>
      </c>
      <c r="H196" s="28" t="s">
        <v>1394</v>
      </c>
      <c r="I196" s="28" t="s">
        <v>516</v>
      </c>
      <c r="J196" s="28" t="s">
        <v>517</v>
      </c>
      <c r="K196" s="28" t="s">
        <v>518</v>
      </c>
      <c r="L196" s="28" t="s">
        <v>649</v>
      </c>
      <c r="M196" s="28" t="s">
        <v>535</v>
      </c>
      <c r="S196" s="28" t="s">
        <v>1232</v>
      </c>
      <c r="T196" s="28" t="s">
        <v>651</v>
      </c>
      <c r="U196" s="28" t="s">
        <v>651</v>
      </c>
      <c r="V196" s="28" t="s">
        <v>517</v>
      </c>
      <c r="W196" s="28" t="s">
        <v>1395</v>
      </c>
      <c r="Z196" s="28" t="s">
        <v>563</v>
      </c>
      <c r="AB196" s="28" t="s">
        <v>527</v>
      </c>
      <c r="AD196" s="118" t="s">
        <v>528</v>
      </c>
      <c r="AF196" s="126" t="s">
        <v>1393</v>
      </c>
      <c r="AG196" s="28" t="s">
        <v>563</v>
      </c>
      <c r="AK196" s="60">
        <v>2</v>
      </c>
      <c r="AL196" s="28">
        <f>1/COUNTIF(Tableau6[LAT],B196)</f>
        <v>0.25</v>
      </c>
      <c r="AM196" s="60" t="b">
        <f t="shared" si="19"/>
        <v>0</v>
      </c>
      <c r="AN196" s="60" t="b">
        <f t="shared" si="20"/>
        <v>0</v>
      </c>
      <c r="AO196" s="60" t="b">
        <f t="shared" si="21"/>
        <v>0</v>
      </c>
      <c r="AP196" s="60" t="b">
        <f t="shared" si="22"/>
        <v>0</v>
      </c>
      <c r="AQ196" s="60" t="b">
        <f t="shared" si="23"/>
        <v>0</v>
      </c>
      <c r="AR196" s="60" t="str">
        <f t="shared" ref="AR196:AR259" si="24">IF(AM196="Yes","Yes",IF(AN196="Yes","Yes",IF(AO196="yes","Yes",IF(AP196="Yes","Yes","No"))))</f>
        <v>No</v>
      </c>
      <c r="AS196" s="60" t="str">
        <f t="shared" ref="AS196:AS259" si="25">IF(S196="QFA","Yes",IF(S196="LCJ","Yes",IF(S196="CAJ","Yes",IF(S196="WRO","Yes",IF(S196="BEY","Yes",IF(S196="TUN","Yes",IF(S196="LFW","Yes",IF(S196="DLA","Yes",IF(S196="NSI","Yes",IF(S196="OUA","Yes",IF(S196="IAH","Yes",IF(S196="LYS","Yes",IF(S196="DSS","Yes",IF(S196="BKO","Yes",IF(S196="BZV","Yes",IF(S196="COO","Yes",IF(S196="EZE","Yes",IF(S196="CKY","Yes",IF(S196="PTP","Yes",IF(S196="ORD","Yes",IF(S196="CFE","Yes",IF(S196="NKC","Yes",IF(S196="FDF","Yes",IF(S196="SDQ","Yes",IF(S196="PNR","Yes",IF(S196="ICAY","Yes",IF(S196="DTW","Yes",IF(S196="TNR","Yes",IF(S196="RUN","Yes",IF(S196="NIM","Yes","No"))))))))))))))))))))))))))))))</f>
        <v>No</v>
      </c>
    </row>
    <row r="197" spans="1:45" ht="15" hidden="1">
      <c r="A197" s="103">
        <v>45243</v>
      </c>
      <c r="B197" s="117" t="s">
        <v>1389</v>
      </c>
      <c r="C197" s="28" t="s">
        <v>612</v>
      </c>
      <c r="D197" s="28" t="s">
        <v>1396</v>
      </c>
      <c r="F197" s="28" t="s">
        <v>1391</v>
      </c>
      <c r="G197" s="28" t="s">
        <v>514</v>
      </c>
      <c r="H197" s="28" t="s">
        <v>1394</v>
      </c>
      <c r="I197" s="28" t="s">
        <v>516</v>
      </c>
      <c r="J197" s="28" t="s">
        <v>517</v>
      </c>
      <c r="K197" s="28" t="s">
        <v>518</v>
      </c>
      <c r="L197" s="28" t="s">
        <v>649</v>
      </c>
      <c r="M197" s="28" t="s">
        <v>535</v>
      </c>
      <c r="S197" s="28" t="s">
        <v>1232</v>
      </c>
      <c r="T197" s="28" t="s">
        <v>651</v>
      </c>
      <c r="U197" s="28" t="s">
        <v>651</v>
      </c>
      <c r="V197" s="28" t="s">
        <v>517</v>
      </c>
      <c r="W197" s="28" t="s">
        <v>1397</v>
      </c>
      <c r="Z197" s="28" t="s">
        <v>563</v>
      </c>
      <c r="AB197" s="28" t="s">
        <v>527</v>
      </c>
      <c r="AD197" s="118"/>
      <c r="AF197" s="126" t="s">
        <v>1396</v>
      </c>
      <c r="AK197" s="60">
        <v>2</v>
      </c>
      <c r="AL197" s="28">
        <f>1/COUNTIF(Tableau6[LAT],B197)</f>
        <v>0.25</v>
      </c>
      <c r="AM197" s="60" t="b">
        <f t="shared" si="19"/>
        <v>0</v>
      </c>
      <c r="AN197" s="60" t="b">
        <f t="shared" si="20"/>
        <v>0</v>
      </c>
      <c r="AO197" s="60" t="b">
        <f t="shared" si="21"/>
        <v>0</v>
      </c>
      <c r="AP197" s="60" t="b">
        <f t="shared" si="22"/>
        <v>0</v>
      </c>
      <c r="AQ197" s="60" t="b">
        <f t="shared" si="23"/>
        <v>0</v>
      </c>
      <c r="AR197" s="60" t="str">
        <f t="shared" si="24"/>
        <v>No</v>
      </c>
      <c r="AS197" s="60" t="str">
        <f t="shared" si="25"/>
        <v>No</v>
      </c>
    </row>
    <row r="198" spans="1:45" ht="15" hidden="1">
      <c r="A198" s="103">
        <v>45243</v>
      </c>
      <c r="B198" s="117" t="s">
        <v>1389</v>
      </c>
      <c r="C198" s="28" t="s">
        <v>691</v>
      </c>
      <c r="D198" s="28" t="s">
        <v>1398</v>
      </c>
      <c r="F198" s="28" t="s">
        <v>1391</v>
      </c>
      <c r="G198" s="28" t="s">
        <v>514</v>
      </c>
      <c r="H198" s="28" t="s">
        <v>1394</v>
      </c>
      <c r="I198" s="28" t="s">
        <v>516</v>
      </c>
      <c r="J198" s="28" t="s">
        <v>517</v>
      </c>
      <c r="K198" s="28" t="s">
        <v>518</v>
      </c>
      <c r="L198" s="28" t="s">
        <v>649</v>
      </c>
      <c r="M198" s="28" t="s">
        <v>535</v>
      </c>
      <c r="S198" s="28" t="s">
        <v>1232</v>
      </c>
      <c r="T198" s="28" t="s">
        <v>651</v>
      </c>
      <c r="U198" s="28" t="s">
        <v>651</v>
      </c>
      <c r="V198" s="28" t="s">
        <v>517</v>
      </c>
      <c r="W198" s="28" t="s">
        <v>1399</v>
      </c>
      <c r="Z198" s="28" t="s">
        <v>563</v>
      </c>
      <c r="AB198" s="28" t="s">
        <v>527</v>
      </c>
      <c r="AD198" s="118"/>
      <c r="AF198" s="126"/>
      <c r="AK198" s="60">
        <v>2</v>
      </c>
      <c r="AL198" s="28">
        <f>1/COUNTIF(Tableau6[LAT],B198)</f>
        <v>0.25</v>
      </c>
      <c r="AM198" s="60" t="b">
        <f t="shared" si="19"/>
        <v>0</v>
      </c>
      <c r="AN198" s="60" t="b">
        <f t="shared" si="20"/>
        <v>0</v>
      </c>
      <c r="AO198" s="60" t="b">
        <f t="shared" si="21"/>
        <v>0</v>
      </c>
      <c r="AP198" s="60" t="b">
        <f t="shared" si="22"/>
        <v>0</v>
      </c>
      <c r="AQ198" s="60" t="b">
        <f t="shared" si="23"/>
        <v>0</v>
      </c>
      <c r="AR198" s="60" t="str">
        <f t="shared" si="24"/>
        <v>No</v>
      </c>
      <c r="AS198" s="60" t="str">
        <f t="shared" si="25"/>
        <v>No</v>
      </c>
    </row>
    <row r="199" spans="1:45" ht="15" hidden="1">
      <c r="A199" s="103">
        <v>45243</v>
      </c>
      <c r="B199" s="117" t="s">
        <v>1400</v>
      </c>
      <c r="C199" s="28" t="s">
        <v>511</v>
      </c>
      <c r="D199" s="28" t="s">
        <v>1401</v>
      </c>
      <c r="F199" s="28" t="s">
        <v>827</v>
      </c>
      <c r="G199" s="28" t="s">
        <v>648</v>
      </c>
      <c r="H199" s="28" t="s">
        <v>1171</v>
      </c>
      <c r="I199" s="28" t="s">
        <v>516</v>
      </c>
      <c r="J199" s="28" t="s">
        <v>517</v>
      </c>
      <c r="K199" s="28" t="s">
        <v>518</v>
      </c>
      <c r="L199" s="28" t="s">
        <v>1276</v>
      </c>
      <c r="M199" s="28" t="s">
        <v>535</v>
      </c>
      <c r="S199" s="28" t="s">
        <v>1402</v>
      </c>
      <c r="T199" s="28" t="s">
        <v>1403</v>
      </c>
      <c r="U199" s="28" t="s">
        <v>917</v>
      </c>
      <c r="V199" s="28" t="s">
        <v>517</v>
      </c>
      <c r="W199" s="28" t="s">
        <v>1404</v>
      </c>
      <c r="Z199" s="28" t="s">
        <v>563</v>
      </c>
      <c r="AB199" s="28" t="s">
        <v>527</v>
      </c>
      <c r="AD199" s="118" t="s">
        <v>528</v>
      </c>
      <c r="AF199" s="125"/>
      <c r="AG199" s="28" t="s">
        <v>563</v>
      </c>
      <c r="AK199" s="60">
        <v>2</v>
      </c>
      <c r="AL199" s="28">
        <f>1/COUNTIF(Tableau6[LAT],B199)</f>
        <v>1</v>
      </c>
      <c r="AM199" s="60" t="b">
        <f t="shared" si="19"/>
        <v>0</v>
      </c>
      <c r="AN199" s="60" t="b">
        <f t="shared" si="20"/>
        <v>0</v>
      </c>
      <c r="AO199" s="60" t="b">
        <f t="shared" si="21"/>
        <v>0</v>
      </c>
      <c r="AP199" s="60" t="b">
        <f t="shared" si="22"/>
        <v>0</v>
      </c>
      <c r="AQ199" s="60" t="b">
        <f t="shared" si="23"/>
        <v>0</v>
      </c>
      <c r="AR199" s="60" t="str">
        <f t="shared" si="24"/>
        <v>No</v>
      </c>
      <c r="AS199" s="60" t="str">
        <f t="shared" si="25"/>
        <v>No</v>
      </c>
    </row>
    <row r="200" spans="1:45" ht="15" hidden="1">
      <c r="A200" s="103">
        <v>45243</v>
      </c>
      <c r="B200" s="117" t="s">
        <v>1405</v>
      </c>
      <c r="C200" s="28" t="s">
        <v>511</v>
      </c>
      <c r="D200" s="28" t="s">
        <v>1406</v>
      </c>
      <c r="F200" s="28" t="s">
        <v>1407</v>
      </c>
      <c r="G200" s="28" t="s">
        <v>514</v>
      </c>
      <c r="H200" s="28" t="s">
        <v>1284</v>
      </c>
      <c r="I200" s="28" t="s">
        <v>516</v>
      </c>
      <c r="J200" s="28" t="s">
        <v>517</v>
      </c>
      <c r="K200" s="28" t="s">
        <v>518</v>
      </c>
      <c r="L200" s="28" t="s">
        <v>1149</v>
      </c>
      <c r="M200" s="28" t="s">
        <v>535</v>
      </c>
      <c r="N200" s="28" t="s">
        <v>557</v>
      </c>
      <c r="O200" s="28" t="s">
        <v>544</v>
      </c>
      <c r="S200" s="28" t="s">
        <v>733</v>
      </c>
      <c r="T200" s="28" t="s">
        <v>1151</v>
      </c>
      <c r="U200" s="28" t="s">
        <v>1151</v>
      </c>
      <c r="V200" s="28" t="s">
        <v>517</v>
      </c>
      <c r="W200" s="28" t="s">
        <v>1408</v>
      </c>
      <c r="Z200" s="28" t="s">
        <v>526</v>
      </c>
      <c r="AB200" s="28" t="s">
        <v>527</v>
      </c>
      <c r="AD200" s="118" t="s">
        <v>954</v>
      </c>
      <c r="AF200" s="125" t="s">
        <v>1406</v>
      </c>
      <c r="AG200" s="28" t="s">
        <v>563</v>
      </c>
      <c r="AK200" s="60">
        <v>2</v>
      </c>
      <c r="AL200" s="28">
        <f>1/COUNTIF(Tableau6[LAT],B200)</f>
        <v>1</v>
      </c>
      <c r="AM200" s="60" t="b">
        <f t="shared" si="19"/>
        <v>0</v>
      </c>
      <c r="AN200" s="60" t="b">
        <f t="shared" si="20"/>
        <v>0</v>
      </c>
      <c r="AO200" s="60" t="b">
        <f t="shared" si="21"/>
        <v>0</v>
      </c>
      <c r="AP200" s="60" t="b">
        <f t="shared" si="22"/>
        <v>0</v>
      </c>
      <c r="AQ200" s="60" t="b">
        <f t="shared" si="23"/>
        <v>0</v>
      </c>
      <c r="AR200" s="60" t="str">
        <f t="shared" si="24"/>
        <v>No</v>
      </c>
      <c r="AS200" s="60" t="str">
        <f t="shared" si="25"/>
        <v>Yes</v>
      </c>
    </row>
    <row r="201" spans="1:45" ht="15" hidden="1">
      <c r="A201" s="103">
        <v>45243</v>
      </c>
      <c r="B201" s="117" t="s">
        <v>1409</v>
      </c>
      <c r="C201" s="28" t="s">
        <v>511</v>
      </c>
      <c r="D201" s="28" t="s">
        <v>1410</v>
      </c>
      <c r="E201" s="28" t="s">
        <v>1411</v>
      </c>
      <c r="F201" s="28" t="s">
        <v>1412</v>
      </c>
      <c r="G201" s="28" t="s">
        <v>648</v>
      </c>
      <c r="H201" s="28" t="s">
        <v>1413</v>
      </c>
      <c r="I201" s="28" t="s">
        <v>516</v>
      </c>
      <c r="J201" s="28" t="s">
        <v>517</v>
      </c>
      <c r="K201" s="28" t="s">
        <v>518</v>
      </c>
      <c r="L201" s="28" t="s">
        <v>731</v>
      </c>
      <c r="M201" s="28" t="s">
        <v>535</v>
      </c>
      <c r="N201" s="28" t="s">
        <v>1414</v>
      </c>
      <c r="O201" s="28" t="s">
        <v>1415</v>
      </c>
      <c r="P201" s="28" t="s">
        <v>557</v>
      </c>
      <c r="Q201" s="28" t="s">
        <v>544</v>
      </c>
      <c r="R201" s="28" t="s">
        <v>522</v>
      </c>
      <c r="S201" s="28" t="s">
        <v>1416</v>
      </c>
      <c r="T201" s="28" t="s">
        <v>733</v>
      </c>
      <c r="U201" s="28" t="s">
        <v>733</v>
      </c>
      <c r="V201" s="28" t="s">
        <v>517</v>
      </c>
      <c r="W201" s="28" t="s">
        <v>1417</v>
      </c>
      <c r="X201" s="28" t="s">
        <v>1418</v>
      </c>
      <c r="Z201" s="28" t="s">
        <v>563</v>
      </c>
      <c r="AB201" s="28" t="s">
        <v>1419</v>
      </c>
      <c r="AD201" s="118" t="s">
        <v>954</v>
      </c>
      <c r="AF201" s="126" t="s">
        <v>1410</v>
      </c>
      <c r="AG201" s="28" t="s">
        <v>563</v>
      </c>
      <c r="AK201" s="60">
        <v>2</v>
      </c>
      <c r="AL201" s="28">
        <f>1/COUNTIF(Tableau6[LAT],B201)</f>
        <v>0.5</v>
      </c>
      <c r="AM201" s="60" t="str">
        <f t="shared" si="19"/>
        <v>Yes</v>
      </c>
      <c r="AN201" s="60" t="str">
        <f t="shared" si="20"/>
        <v>Yes</v>
      </c>
      <c r="AO201" s="60" t="b">
        <f t="shared" si="21"/>
        <v>0</v>
      </c>
      <c r="AP201" s="60" t="b">
        <f t="shared" si="22"/>
        <v>0</v>
      </c>
      <c r="AQ201" s="60" t="b">
        <f t="shared" si="23"/>
        <v>0</v>
      </c>
      <c r="AR201" s="60" t="str">
        <f t="shared" si="24"/>
        <v>Yes</v>
      </c>
      <c r="AS201" s="60" t="str">
        <f t="shared" si="25"/>
        <v>No</v>
      </c>
    </row>
    <row r="202" spans="1:45" ht="15" hidden="1">
      <c r="A202" s="103">
        <v>45243</v>
      </c>
      <c r="B202" s="117">
        <v>5711449115</v>
      </c>
      <c r="C202" s="28" t="s">
        <v>548</v>
      </c>
      <c r="D202" s="28" t="s">
        <v>1420</v>
      </c>
      <c r="E202" s="28" t="s">
        <v>1421</v>
      </c>
      <c r="F202" s="28" t="s">
        <v>1422</v>
      </c>
      <c r="G202" s="28" t="s">
        <v>648</v>
      </c>
      <c r="H202" s="28" t="s">
        <v>1413</v>
      </c>
      <c r="I202" s="28" t="s">
        <v>516</v>
      </c>
      <c r="J202" s="28" t="s">
        <v>517</v>
      </c>
      <c r="K202" s="28" t="s">
        <v>518</v>
      </c>
      <c r="L202" s="28" t="s">
        <v>731</v>
      </c>
      <c r="M202" s="28" t="s">
        <v>535</v>
      </c>
      <c r="N202" s="28" t="s">
        <v>1414</v>
      </c>
      <c r="O202" s="28" t="s">
        <v>1415</v>
      </c>
      <c r="P202" s="28" t="s">
        <v>557</v>
      </c>
      <c r="Q202" s="28" t="s">
        <v>544</v>
      </c>
      <c r="R202" s="28" t="s">
        <v>522</v>
      </c>
      <c r="S202" s="28" t="s">
        <v>1416</v>
      </c>
      <c r="T202" s="28" t="s">
        <v>733</v>
      </c>
      <c r="U202" s="28" t="s">
        <v>733</v>
      </c>
      <c r="V202" s="28" t="s">
        <v>517</v>
      </c>
      <c r="W202" s="28" t="s">
        <v>1423</v>
      </c>
      <c r="X202" s="28" t="s">
        <v>1418</v>
      </c>
      <c r="Z202" s="28" t="s">
        <v>563</v>
      </c>
      <c r="AB202" s="28" t="s">
        <v>1424</v>
      </c>
      <c r="AD202" s="118"/>
      <c r="AF202" s="126"/>
      <c r="AK202" s="60">
        <v>2</v>
      </c>
      <c r="AL202" s="28">
        <f>1/COUNTIF(Tableau6[LAT],B202)</f>
        <v>0.5</v>
      </c>
      <c r="AM202" s="60" t="str">
        <f t="shared" si="19"/>
        <v>Yes</v>
      </c>
      <c r="AN202" s="60" t="str">
        <f t="shared" si="20"/>
        <v>Yes</v>
      </c>
      <c r="AO202" s="60" t="b">
        <f t="shared" si="21"/>
        <v>0</v>
      </c>
      <c r="AP202" s="60" t="b">
        <f t="shared" si="22"/>
        <v>0</v>
      </c>
      <c r="AQ202" s="60" t="b">
        <f t="shared" si="23"/>
        <v>0</v>
      </c>
      <c r="AR202" s="60" t="str">
        <f t="shared" si="24"/>
        <v>Yes</v>
      </c>
      <c r="AS202" s="60" t="str">
        <f t="shared" si="25"/>
        <v>No</v>
      </c>
    </row>
    <row r="203" spans="1:45" ht="15" hidden="1">
      <c r="A203" s="103">
        <v>45243</v>
      </c>
      <c r="B203" s="117" t="s">
        <v>1425</v>
      </c>
      <c r="C203" s="28" t="s">
        <v>511</v>
      </c>
      <c r="D203" s="28" t="s">
        <v>1426</v>
      </c>
      <c r="F203" s="28" t="s">
        <v>1427</v>
      </c>
      <c r="G203" s="28" t="s">
        <v>958</v>
      </c>
      <c r="H203" s="28" t="s">
        <v>1428</v>
      </c>
      <c r="I203" s="28" t="s">
        <v>516</v>
      </c>
      <c r="J203" s="28" t="s">
        <v>517</v>
      </c>
      <c r="K203" s="28" t="s">
        <v>518</v>
      </c>
      <c r="L203" s="28" t="s">
        <v>1429</v>
      </c>
      <c r="M203" s="28" t="s">
        <v>605</v>
      </c>
      <c r="N203" s="28" t="s">
        <v>1430</v>
      </c>
      <c r="O203" s="28" t="s">
        <v>557</v>
      </c>
      <c r="P203" s="28" t="s">
        <v>934</v>
      </c>
      <c r="Q203" s="28" t="s">
        <v>522</v>
      </c>
      <c r="S203" s="28" t="s">
        <v>1366</v>
      </c>
      <c r="T203" s="28" t="s">
        <v>1431</v>
      </c>
      <c r="U203" s="28" t="s">
        <v>1431</v>
      </c>
      <c r="V203" s="28" t="s">
        <v>517</v>
      </c>
      <c r="W203" s="28" t="s">
        <v>1432</v>
      </c>
      <c r="Z203" s="28" t="s">
        <v>526</v>
      </c>
      <c r="AD203" s="118" t="s">
        <v>528</v>
      </c>
      <c r="AF203" s="125" t="s">
        <v>1426</v>
      </c>
      <c r="AG203" s="28" t="s">
        <v>529</v>
      </c>
      <c r="AK203" s="60">
        <v>2</v>
      </c>
      <c r="AL203" s="28">
        <f>1/COUNTIF(Tableau6[LAT],B203)</f>
        <v>1</v>
      </c>
      <c r="AM203" s="60" t="b">
        <f t="shared" si="19"/>
        <v>0</v>
      </c>
      <c r="AN203" s="60" t="b">
        <f t="shared" si="20"/>
        <v>0</v>
      </c>
      <c r="AO203" s="60" t="b">
        <f t="shared" si="21"/>
        <v>0</v>
      </c>
      <c r="AP203" s="60" t="b">
        <f t="shared" si="22"/>
        <v>0</v>
      </c>
      <c r="AQ203" s="60" t="b">
        <f t="shared" si="23"/>
        <v>0</v>
      </c>
      <c r="AR203" s="60" t="str">
        <f t="shared" si="24"/>
        <v>No</v>
      </c>
      <c r="AS203" s="60" t="str">
        <f t="shared" si="25"/>
        <v>No</v>
      </c>
    </row>
    <row r="204" spans="1:45" ht="15" hidden="1">
      <c r="A204" s="103">
        <v>45243</v>
      </c>
      <c r="B204" s="117" t="s">
        <v>1433</v>
      </c>
      <c r="C204" s="28" t="s">
        <v>511</v>
      </c>
      <c r="D204" s="28" t="s">
        <v>1434</v>
      </c>
      <c r="F204" s="28" t="s">
        <v>1435</v>
      </c>
      <c r="G204" s="28" t="s">
        <v>514</v>
      </c>
      <c r="H204" s="28" t="s">
        <v>1144</v>
      </c>
      <c r="I204" s="28" t="s">
        <v>517</v>
      </c>
      <c r="J204" s="28" t="s">
        <v>517</v>
      </c>
      <c r="K204" s="28" t="s">
        <v>518</v>
      </c>
      <c r="L204" s="28" t="s">
        <v>667</v>
      </c>
      <c r="M204" s="28" t="s">
        <v>520</v>
      </c>
      <c r="N204" s="28" t="s">
        <v>619</v>
      </c>
      <c r="O204" s="28" t="s">
        <v>557</v>
      </c>
      <c r="P204" s="28" t="s">
        <v>544</v>
      </c>
      <c r="Q204" s="28" t="s">
        <v>522</v>
      </c>
      <c r="R204" s="28" t="s">
        <v>627</v>
      </c>
      <c r="S204" s="28" t="s">
        <v>573</v>
      </c>
      <c r="T204" s="28" t="s">
        <v>597</v>
      </c>
      <c r="U204" s="28" t="s">
        <v>597</v>
      </c>
      <c r="V204" s="28" t="s">
        <v>517</v>
      </c>
      <c r="W204" s="28" t="s">
        <v>1436</v>
      </c>
      <c r="Z204" s="28" t="s">
        <v>526</v>
      </c>
      <c r="AB204" s="73" t="s">
        <v>630</v>
      </c>
      <c r="AC204" s="73" t="s">
        <v>35</v>
      </c>
      <c r="AD204" s="118" t="s">
        <v>528</v>
      </c>
      <c r="AF204" s="125" t="s">
        <v>1434</v>
      </c>
      <c r="AG204" s="28" t="s">
        <v>529</v>
      </c>
      <c r="AK204" s="60">
        <v>2</v>
      </c>
      <c r="AL204" s="28">
        <f>1/COUNTIF(Tableau6[LAT],B204)</f>
        <v>1</v>
      </c>
      <c r="AM204" s="60" t="b">
        <f t="shared" si="19"/>
        <v>0</v>
      </c>
      <c r="AN204" s="60" t="b">
        <f t="shared" si="20"/>
        <v>0</v>
      </c>
      <c r="AO204" s="60" t="b">
        <f t="shared" si="21"/>
        <v>0</v>
      </c>
      <c r="AP204" s="60" t="b">
        <f t="shared" si="22"/>
        <v>0</v>
      </c>
      <c r="AQ204" s="60" t="b">
        <f t="shared" si="23"/>
        <v>0</v>
      </c>
      <c r="AR204" s="60" t="str">
        <f t="shared" si="24"/>
        <v>No</v>
      </c>
      <c r="AS204" s="60" t="str">
        <f t="shared" si="25"/>
        <v>No</v>
      </c>
    </row>
    <row r="205" spans="1:45" ht="15" hidden="1">
      <c r="A205" s="103">
        <v>45243</v>
      </c>
      <c r="B205" s="117" t="s">
        <v>1437</v>
      </c>
      <c r="C205" s="28" t="s">
        <v>511</v>
      </c>
      <c r="D205" s="28" t="s">
        <v>1438</v>
      </c>
      <c r="F205" s="28" t="s">
        <v>1439</v>
      </c>
      <c r="G205" s="28" t="s">
        <v>514</v>
      </c>
      <c r="H205" s="28" t="s">
        <v>1156</v>
      </c>
      <c r="I205" s="28" t="s">
        <v>516</v>
      </c>
      <c r="J205" s="28" t="s">
        <v>517</v>
      </c>
      <c r="K205" s="28" t="s">
        <v>518</v>
      </c>
      <c r="L205" s="28" t="s">
        <v>981</v>
      </c>
      <c r="M205" s="28" t="s">
        <v>535</v>
      </c>
      <c r="N205" s="28" t="s">
        <v>544</v>
      </c>
      <c r="S205" s="28" t="s">
        <v>1098</v>
      </c>
      <c r="T205" s="28" t="s">
        <v>982</v>
      </c>
      <c r="U205" s="28" t="s">
        <v>982</v>
      </c>
      <c r="V205" s="28" t="s">
        <v>517</v>
      </c>
      <c r="W205" s="28" t="s">
        <v>1440</v>
      </c>
      <c r="Z205" s="28" t="s">
        <v>563</v>
      </c>
      <c r="AB205" s="28" t="s">
        <v>527</v>
      </c>
      <c r="AD205" s="118" t="s">
        <v>528</v>
      </c>
      <c r="AF205" s="126" t="s">
        <v>1438</v>
      </c>
      <c r="AG205" s="28" t="s">
        <v>563</v>
      </c>
      <c r="AK205" s="60">
        <v>2</v>
      </c>
      <c r="AL205" s="28">
        <f>1/COUNTIF(Tableau6[LAT],B205)</f>
        <v>0.25</v>
      </c>
      <c r="AM205" s="60" t="b">
        <f t="shared" si="19"/>
        <v>0</v>
      </c>
      <c r="AN205" s="60" t="b">
        <f t="shared" si="20"/>
        <v>0</v>
      </c>
      <c r="AO205" s="60" t="b">
        <f t="shared" si="21"/>
        <v>0</v>
      </c>
      <c r="AP205" s="60" t="b">
        <f t="shared" si="22"/>
        <v>0</v>
      </c>
      <c r="AQ205" s="60" t="b">
        <f t="shared" si="23"/>
        <v>0</v>
      </c>
      <c r="AR205" s="60" t="str">
        <f t="shared" si="24"/>
        <v>No</v>
      </c>
      <c r="AS205" s="60" t="str">
        <f t="shared" si="25"/>
        <v>No</v>
      </c>
    </row>
    <row r="206" spans="1:45" ht="15" hidden="1">
      <c r="A206" s="103">
        <v>45243</v>
      </c>
      <c r="B206" s="117" t="s">
        <v>1437</v>
      </c>
      <c r="C206" s="28" t="s">
        <v>548</v>
      </c>
      <c r="D206" s="28" t="s">
        <v>1441</v>
      </c>
      <c r="F206" s="28" t="s">
        <v>1439</v>
      </c>
      <c r="G206" s="28" t="s">
        <v>514</v>
      </c>
      <c r="H206" s="28" t="s">
        <v>1156</v>
      </c>
      <c r="I206" s="28" t="s">
        <v>516</v>
      </c>
      <c r="J206" s="28" t="s">
        <v>517</v>
      </c>
      <c r="K206" s="28" t="s">
        <v>518</v>
      </c>
      <c r="L206" s="28" t="s">
        <v>981</v>
      </c>
      <c r="M206" s="28" t="s">
        <v>535</v>
      </c>
      <c r="N206" s="28" t="s">
        <v>544</v>
      </c>
      <c r="S206" s="28" t="s">
        <v>1098</v>
      </c>
      <c r="T206" s="28" t="s">
        <v>982</v>
      </c>
      <c r="U206" s="28" t="s">
        <v>982</v>
      </c>
      <c r="V206" s="28" t="s">
        <v>517</v>
      </c>
      <c r="W206" s="28" t="s">
        <v>1442</v>
      </c>
      <c r="Z206" s="28" t="s">
        <v>563</v>
      </c>
      <c r="AB206" s="28" t="s">
        <v>527</v>
      </c>
      <c r="AD206" s="118" t="s">
        <v>528</v>
      </c>
      <c r="AF206" s="126" t="s">
        <v>1441</v>
      </c>
      <c r="AG206" s="28" t="s">
        <v>563</v>
      </c>
      <c r="AK206" s="60">
        <v>2</v>
      </c>
      <c r="AL206" s="28">
        <f>1/COUNTIF(Tableau6[LAT],B206)</f>
        <v>0.25</v>
      </c>
      <c r="AM206" s="60" t="b">
        <f t="shared" si="19"/>
        <v>0</v>
      </c>
      <c r="AN206" s="60" t="b">
        <f t="shared" si="20"/>
        <v>0</v>
      </c>
      <c r="AO206" s="60" t="b">
        <f t="shared" si="21"/>
        <v>0</v>
      </c>
      <c r="AP206" s="60" t="b">
        <f t="shared" si="22"/>
        <v>0</v>
      </c>
      <c r="AQ206" s="60" t="b">
        <f t="shared" si="23"/>
        <v>0</v>
      </c>
      <c r="AR206" s="60" t="str">
        <f t="shared" si="24"/>
        <v>No</v>
      </c>
      <c r="AS206" s="60" t="str">
        <f t="shared" si="25"/>
        <v>No</v>
      </c>
    </row>
    <row r="207" spans="1:45" ht="15" hidden="1">
      <c r="A207" s="103">
        <v>45243</v>
      </c>
      <c r="B207" s="117" t="s">
        <v>1437</v>
      </c>
      <c r="C207" s="28" t="s">
        <v>612</v>
      </c>
      <c r="D207" s="28" t="s">
        <v>1443</v>
      </c>
      <c r="F207" s="28" t="s">
        <v>1439</v>
      </c>
      <c r="G207" s="28" t="s">
        <v>514</v>
      </c>
      <c r="H207" s="28" t="s">
        <v>1156</v>
      </c>
      <c r="I207" s="28" t="s">
        <v>516</v>
      </c>
      <c r="J207" s="28" t="s">
        <v>517</v>
      </c>
      <c r="K207" s="28" t="s">
        <v>518</v>
      </c>
      <c r="L207" s="28" t="s">
        <v>981</v>
      </c>
      <c r="M207" s="28" t="s">
        <v>535</v>
      </c>
      <c r="N207" s="28" t="s">
        <v>544</v>
      </c>
      <c r="S207" s="28" t="s">
        <v>1098</v>
      </c>
      <c r="T207" s="28" t="s">
        <v>982</v>
      </c>
      <c r="U207" s="28" t="s">
        <v>982</v>
      </c>
      <c r="V207" s="28" t="s">
        <v>517</v>
      </c>
      <c r="W207" s="28" t="s">
        <v>1444</v>
      </c>
      <c r="Z207" s="28" t="s">
        <v>563</v>
      </c>
      <c r="AB207" s="28" t="s">
        <v>527</v>
      </c>
      <c r="AD207" s="118" t="s">
        <v>528</v>
      </c>
      <c r="AF207" s="126" t="s">
        <v>1443</v>
      </c>
      <c r="AG207" s="28" t="s">
        <v>563</v>
      </c>
      <c r="AK207" s="60">
        <v>2</v>
      </c>
      <c r="AL207" s="28">
        <f>1/COUNTIF(Tableau6[LAT],B207)</f>
        <v>0.25</v>
      </c>
      <c r="AM207" s="60" t="b">
        <f t="shared" si="19"/>
        <v>0</v>
      </c>
      <c r="AN207" s="60" t="b">
        <f t="shared" si="20"/>
        <v>0</v>
      </c>
      <c r="AO207" s="60" t="b">
        <f t="shared" si="21"/>
        <v>0</v>
      </c>
      <c r="AP207" s="60" t="b">
        <f t="shared" si="22"/>
        <v>0</v>
      </c>
      <c r="AQ207" s="60" t="b">
        <f t="shared" si="23"/>
        <v>0</v>
      </c>
      <c r="AR207" s="60" t="str">
        <f t="shared" si="24"/>
        <v>No</v>
      </c>
      <c r="AS207" s="60" t="str">
        <f t="shared" si="25"/>
        <v>No</v>
      </c>
    </row>
    <row r="208" spans="1:45" ht="15" hidden="1">
      <c r="A208" s="103">
        <v>45243</v>
      </c>
      <c r="B208" s="117" t="s">
        <v>1437</v>
      </c>
      <c r="C208" s="28" t="s">
        <v>691</v>
      </c>
      <c r="D208" s="28" t="s">
        <v>1445</v>
      </c>
      <c r="F208" s="28" t="s">
        <v>1439</v>
      </c>
      <c r="G208" s="28" t="s">
        <v>514</v>
      </c>
      <c r="H208" s="28" t="s">
        <v>1156</v>
      </c>
      <c r="I208" s="28" t="s">
        <v>516</v>
      </c>
      <c r="J208" s="28" t="s">
        <v>517</v>
      </c>
      <c r="K208" s="28" t="s">
        <v>518</v>
      </c>
      <c r="L208" s="28" t="s">
        <v>981</v>
      </c>
      <c r="M208" s="28" t="s">
        <v>535</v>
      </c>
      <c r="N208" s="28" t="s">
        <v>544</v>
      </c>
      <c r="S208" s="28" t="s">
        <v>1098</v>
      </c>
      <c r="T208" s="28" t="s">
        <v>982</v>
      </c>
      <c r="U208" s="28" t="s">
        <v>982</v>
      </c>
      <c r="V208" s="28" t="s">
        <v>517</v>
      </c>
      <c r="W208" s="28" t="s">
        <v>1446</v>
      </c>
      <c r="Z208" s="28" t="s">
        <v>563</v>
      </c>
      <c r="AB208" s="28" t="s">
        <v>527</v>
      </c>
      <c r="AD208" s="118" t="s">
        <v>528</v>
      </c>
      <c r="AF208" s="126" t="s">
        <v>1445</v>
      </c>
      <c r="AG208" s="28" t="s">
        <v>563</v>
      </c>
      <c r="AK208" s="60">
        <v>2</v>
      </c>
      <c r="AL208" s="28">
        <f>1/COUNTIF(Tableau6[LAT],B208)</f>
        <v>0.25</v>
      </c>
      <c r="AM208" s="60" t="b">
        <f t="shared" si="19"/>
        <v>0</v>
      </c>
      <c r="AN208" s="60" t="b">
        <f t="shared" si="20"/>
        <v>0</v>
      </c>
      <c r="AO208" s="60" t="b">
        <f t="shared" si="21"/>
        <v>0</v>
      </c>
      <c r="AP208" s="60" t="b">
        <f t="shared" si="22"/>
        <v>0</v>
      </c>
      <c r="AQ208" s="60" t="b">
        <f t="shared" si="23"/>
        <v>0</v>
      </c>
      <c r="AR208" s="60" t="str">
        <f t="shared" si="24"/>
        <v>No</v>
      </c>
      <c r="AS208" s="60" t="str">
        <f t="shared" si="25"/>
        <v>No</v>
      </c>
    </row>
    <row r="209" spans="1:45" ht="15" hidden="1">
      <c r="A209" s="103">
        <v>45243</v>
      </c>
      <c r="B209" s="117" t="s">
        <v>1447</v>
      </c>
      <c r="C209" s="28" t="s">
        <v>511</v>
      </c>
      <c r="D209" s="28" t="s">
        <v>1448</v>
      </c>
      <c r="F209" s="28" t="s">
        <v>1449</v>
      </c>
      <c r="G209" s="28" t="s">
        <v>1077</v>
      </c>
      <c r="H209" s="28" t="s">
        <v>1236</v>
      </c>
      <c r="I209" s="28" t="s">
        <v>516</v>
      </c>
      <c r="J209" s="28" t="s">
        <v>517</v>
      </c>
      <c r="K209" s="28" t="s">
        <v>518</v>
      </c>
      <c r="L209" s="28" t="s">
        <v>801</v>
      </c>
      <c r="M209" s="28" t="s">
        <v>535</v>
      </c>
      <c r="S209" s="28" t="s">
        <v>1211</v>
      </c>
      <c r="T209" s="28" t="s">
        <v>803</v>
      </c>
      <c r="U209" s="28" t="s">
        <v>803</v>
      </c>
      <c r="V209" s="28" t="s">
        <v>517</v>
      </c>
      <c r="W209" s="28" t="s">
        <v>1450</v>
      </c>
      <c r="Z209" s="28" t="s">
        <v>526</v>
      </c>
      <c r="AD209" s="118" t="s">
        <v>954</v>
      </c>
      <c r="AF209" s="126" t="s">
        <v>1448</v>
      </c>
      <c r="AG209" s="28" t="s">
        <v>563</v>
      </c>
      <c r="AK209" s="60">
        <v>2</v>
      </c>
      <c r="AL209" s="28">
        <f>1/COUNTIF(Tableau6[LAT],B209)</f>
        <v>0.1111111111111111</v>
      </c>
      <c r="AM209" s="60" t="b">
        <f t="shared" si="19"/>
        <v>0</v>
      </c>
      <c r="AN209" s="60" t="b">
        <f t="shared" si="20"/>
        <v>0</v>
      </c>
      <c r="AO209" s="60" t="b">
        <f t="shared" si="21"/>
        <v>0</v>
      </c>
      <c r="AP209" s="60" t="b">
        <f t="shared" si="22"/>
        <v>0</v>
      </c>
      <c r="AQ209" s="60" t="b">
        <f t="shared" si="23"/>
        <v>0</v>
      </c>
      <c r="AR209" s="60" t="str">
        <f t="shared" si="24"/>
        <v>No</v>
      </c>
      <c r="AS209" s="60" t="str">
        <f t="shared" si="25"/>
        <v>No</v>
      </c>
    </row>
    <row r="210" spans="1:45" ht="15" hidden="1">
      <c r="A210" s="103">
        <v>45243</v>
      </c>
      <c r="B210" s="117" t="s">
        <v>1447</v>
      </c>
      <c r="C210" s="28" t="s">
        <v>548</v>
      </c>
      <c r="D210" s="28" t="s">
        <v>1451</v>
      </c>
      <c r="F210" s="28" t="s">
        <v>1452</v>
      </c>
      <c r="G210" s="28" t="s">
        <v>724</v>
      </c>
      <c r="H210" s="28" t="s">
        <v>1453</v>
      </c>
      <c r="I210" s="28" t="s">
        <v>516</v>
      </c>
      <c r="J210" s="28" t="s">
        <v>517</v>
      </c>
      <c r="K210" s="28" t="s">
        <v>518</v>
      </c>
      <c r="L210" s="28" t="s">
        <v>801</v>
      </c>
      <c r="M210" s="28" t="s">
        <v>535</v>
      </c>
      <c r="S210" s="28" t="s">
        <v>1211</v>
      </c>
      <c r="T210" s="28" t="s">
        <v>803</v>
      </c>
      <c r="U210" s="28" t="s">
        <v>803</v>
      </c>
      <c r="V210" s="28" t="s">
        <v>517</v>
      </c>
      <c r="W210" s="28" t="s">
        <v>821</v>
      </c>
      <c r="Z210" s="28" t="s">
        <v>526</v>
      </c>
      <c r="AD210" s="118" t="s">
        <v>954</v>
      </c>
      <c r="AF210" s="126" t="s">
        <v>1451</v>
      </c>
      <c r="AG210" s="28" t="s">
        <v>563</v>
      </c>
      <c r="AK210" s="60">
        <v>2</v>
      </c>
      <c r="AL210" s="28">
        <f>1/COUNTIF(Tableau6[LAT],B210)</f>
        <v>0.1111111111111111</v>
      </c>
      <c r="AM210" s="60" t="b">
        <f t="shared" si="19"/>
        <v>0</v>
      </c>
      <c r="AN210" s="60" t="b">
        <f t="shared" si="20"/>
        <v>0</v>
      </c>
      <c r="AO210" s="60" t="b">
        <f t="shared" si="21"/>
        <v>0</v>
      </c>
      <c r="AP210" s="60" t="b">
        <f t="shared" si="22"/>
        <v>0</v>
      </c>
      <c r="AQ210" s="60" t="b">
        <f t="shared" si="23"/>
        <v>0</v>
      </c>
      <c r="AR210" s="60" t="str">
        <f t="shared" si="24"/>
        <v>No</v>
      </c>
      <c r="AS210" s="60" t="str">
        <f t="shared" si="25"/>
        <v>No</v>
      </c>
    </row>
    <row r="211" spans="1:45" ht="15" hidden="1">
      <c r="A211" s="103">
        <v>45243</v>
      </c>
      <c r="B211" s="117" t="s">
        <v>1447</v>
      </c>
      <c r="C211" s="28" t="s">
        <v>612</v>
      </c>
      <c r="D211" s="28" t="s">
        <v>1454</v>
      </c>
      <c r="F211" s="28" t="s">
        <v>1455</v>
      </c>
      <c r="G211" s="28" t="s">
        <v>1456</v>
      </c>
      <c r="H211" s="28" t="s">
        <v>1457</v>
      </c>
      <c r="I211" s="28" t="s">
        <v>516</v>
      </c>
      <c r="J211" s="28" t="s">
        <v>517</v>
      </c>
      <c r="K211" s="28" t="s">
        <v>518</v>
      </c>
      <c r="L211" s="28" t="s">
        <v>801</v>
      </c>
      <c r="M211" s="28" t="s">
        <v>535</v>
      </c>
      <c r="S211" s="28" t="s">
        <v>1211</v>
      </c>
      <c r="T211" s="28" t="s">
        <v>803</v>
      </c>
      <c r="U211" s="28" t="s">
        <v>803</v>
      </c>
      <c r="V211" s="28" t="s">
        <v>517</v>
      </c>
      <c r="W211" s="28" t="s">
        <v>821</v>
      </c>
      <c r="Z211" s="28" t="s">
        <v>526</v>
      </c>
      <c r="AD211" s="118" t="s">
        <v>954</v>
      </c>
      <c r="AF211" s="126" t="s">
        <v>1454</v>
      </c>
      <c r="AG211" s="28" t="s">
        <v>563</v>
      </c>
      <c r="AK211" s="60">
        <v>2</v>
      </c>
      <c r="AL211" s="28">
        <f>1/COUNTIF(Tableau6[LAT],B211)</f>
        <v>0.1111111111111111</v>
      </c>
      <c r="AM211" s="60" t="b">
        <f t="shared" si="19"/>
        <v>0</v>
      </c>
      <c r="AN211" s="60" t="b">
        <f t="shared" si="20"/>
        <v>0</v>
      </c>
      <c r="AO211" s="60" t="b">
        <f t="shared" si="21"/>
        <v>0</v>
      </c>
      <c r="AP211" s="60" t="b">
        <f t="shared" si="22"/>
        <v>0</v>
      </c>
      <c r="AQ211" s="60" t="b">
        <f t="shared" si="23"/>
        <v>0</v>
      </c>
      <c r="AR211" s="60" t="str">
        <f t="shared" si="24"/>
        <v>No</v>
      </c>
      <c r="AS211" s="60" t="str">
        <f t="shared" si="25"/>
        <v>No</v>
      </c>
    </row>
    <row r="212" spans="1:45" ht="15" hidden="1">
      <c r="A212" s="103">
        <v>45243</v>
      </c>
      <c r="B212" s="117" t="s">
        <v>1447</v>
      </c>
      <c r="C212" s="28" t="s">
        <v>691</v>
      </c>
      <c r="D212" s="28" t="s">
        <v>1458</v>
      </c>
      <c r="F212" s="28" t="s">
        <v>1455</v>
      </c>
      <c r="G212" s="28" t="s">
        <v>1456</v>
      </c>
      <c r="H212" s="28" t="s">
        <v>1457</v>
      </c>
      <c r="I212" s="28" t="s">
        <v>516</v>
      </c>
      <c r="J212" s="28" t="s">
        <v>517</v>
      </c>
      <c r="K212" s="28" t="s">
        <v>518</v>
      </c>
      <c r="L212" s="28" t="s">
        <v>801</v>
      </c>
      <c r="M212" s="28" t="s">
        <v>535</v>
      </c>
      <c r="S212" s="28" t="s">
        <v>1211</v>
      </c>
      <c r="T212" s="28" t="s">
        <v>803</v>
      </c>
      <c r="U212" s="28" t="s">
        <v>803</v>
      </c>
      <c r="V212" s="28" t="s">
        <v>517</v>
      </c>
      <c r="W212" s="28" t="s">
        <v>821</v>
      </c>
      <c r="Z212" s="28" t="s">
        <v>526</v>
      </c>
      <c r="AD212" s="118" t="s">
        <v>954</v>
      </c>
      <c r="AF212" s="126" t="s">
        <v>1458</v>
      </c>
      <c r="AG212" s="28" t="s">
        <v>563</v>
      </c>
      <c r="AK212" s="60">
        <v>2</v>
      </c>
      <c r="AL212" s="28">
        <f>1/COUNTIF(Tableau6[LAT],B212)</f>
        <v>0.1111111111111111</v>
      </c>
      <c r="AM212" s="60" t="b">
        <f t="shared" si="19"/>
        <v>0</v>
      </c>
      <c r="AN212" s="60" t="b">
        <f t="shared" si="20"/>
        <v>0</v>
      </c>
      <c r="AO212" s="60" t="b">
        <f t="shared" si="21"/>
        <v>0</v>
      </c>
      <c r="AP212" s="60" t="b">
        <f t="shared" si="22"/>
        <v>0</v>
      </c>
      <c r="AQ212" s="60" t="b">
        <f t="shared" si="23"/>
        <v>0</v>
      </c>
      <c r="AR212" s="60" t="str">
        <f t="shared" si="24"/>
        <v>No</v>
      </c>
      <c r="AS212" s="60" t="str">
        <f t="shared" si="25"/>
        <v>No</v>
      </c>
    </row>
    <row r="213" spans="1:45" ht="15" hidden="1">
      <c r="A213" s="103">
        <v>45243</v>
      </c>
      <c r="B213" s="117" t="s">
        <v>1447</v>
      </c>
      <c r="C213" s="28" t="s">
        <v>859</v>
      </c>
      <c r="D213" s="28" t="s">
        <v>1459</v>
      </c>
      <c r="F213" s="28" t="s">
        <v>1455</v>
      </c>
      <c r="G213" s="28" t="s">
        <v>1456</v>
      </c>
      <c r="H213" s="28" t="s">
        <v>1457</v>
      </c>
      <c r="I213" s="28" t="s">
        <v>516</v>
      </c>
      <c r="J213" s="28" t="s">
        <v>517</v>
      </c>
      <c r="K213" s="28" t="s">
        <v>518</v>
      </c>
      <c r="L213" s="28" t="s">
        <v>801</v>
      </c>
      <c r="M213" s="28" t="s">
        <v>535</v>
      </c>
      <c r="S213" s="28" t="s">
        <v>1211</v>
      </c>
      <c r="T213" s="28" t="s">
        <v>803</v>
      </c>
      <c r="U213" s="28" t="s">
        <v>803</v>
      </c>
      <c r="V213" s="28" t="s">
        <v>517</v>
      </c>
      <c r="W213" s="28" t="s">
        <v>821</v>
      </c>
      <c r="Z213" s="28" t="s">
        <v>526</v>
      </c>
      <c r="AD213" s="118" t="s">
        <v>954</v>
      </c>
      <c r="AF213" s="126" t="s">
        <v>1459</v>
      </c>
      <c r="AG213" s="28" t="s">
        <v>563</v>
      </c>
      <c r="AK213" s="60">
        <v>2</v>
      </c>
      <c r="AL213" s="28">
        <f>1/COUNTIF(Tableau6[LAT],B213)</f>
        <v>0.1111111111111111</v>
      </c>
      <c r="AM213" s="60" t="b">
        <f t="shared" si="19"/>
        <v>0</v>
      </c>
      <c r="AN213" s="60" t="b">
        <f t="shared" si="20"/>
        <v>0</v>
      </c>
      <c r="AO213" s="60" t="b">
        <f t="shared" si="21"/>
        <v>0</v>
      </c>
      <c r="AP213" s="60" t="b">
        <f t="shared" si="22"/>
        <v>0</v>
      </c>
      <c r="AQ213" s="60" t="b">
        <f t="shared" si="23"/>
        <v>0</v>
      </c>
      <c r="AR213" s="60" t="str">
        <f t="shared" si="24"/>
        <v>No</v>
      </c>
      <c r="AS213" s="60" t="str">
        <f t="shared" si="25"/>
        <v>No</v>
      </c>
    </row>
    <row r="214" spans="1:45" ht="15" hidden="1">
      <c r="A214" s="103">
        <v>45243</v>
      </c>
      <c r="B214" s="117" t="s">
        <v>1447</v>
      </c>
      <c r="C214" s="28" t="s">
        <v>861</v>
      </c>
      <c r="D214" s="28" t="s">
        <v>1460</v>
      </c>
      <c r="F214" s="28" t="s">
        <v>1461</v>
      </c>
      <c r="G214" s="28" t="s">
        <v>1456</v>
      </c>
      <c r="H214" s="28" t="s">
        <v>1457</v>
      </c>
      <c r="I214" s="28" t="s">
        <v>516</v>
      </c>
      <c r="J214" s="28" t="s">
        <v>517</v>
      </c>
      <c r="K214" s="28" t="s">
        <v>518</v>
      </c>
      <c r="L214" s="28" t="s">
        <v>801</v>
      </c>
      <c r="M214" s="28" t="s">
        <v>535</v>
      </c>
      <c r="S214" s="28" t="s">
        <v>1211</v>
      </c>
      <c r="T214" s="28" t="s">
        <v>803</v>
      </c>
      <c r="U214" s="28" t="s">
        <v>803</v>
      </c>
      <c r="V214" s="28" t="s">
        <v>517</v>
      </c>
      <c r="W214" s="28" t="s">
        <v>821</v>
      </c>
      <c r="Z214" s="28" t="s">
        <v>526</v>
      </c>
      <c r="AD214" s="118" t="s">
        <v>954</v>
      </c>
      <c r="AF214" s="126" t="s">
        <v>1460</v>
      </c>
      <c r="AG214" s="28" t="s">
        <v>563</v>
      </c>
      <c r="AK214" s="60">
        <v>2</v>
      </c>
      <c r="AL214" s="28">
        <f>1/COUNTIF(Tableau6[LAT],B214)</f>
        <v>0.1111111111111111</v>
      </c>
      <c r="AM214" s="60" t="b">
        <f t="shared" si="19"/>
        <v>0</v>
      </c>
      <c r="AN214" s="60" t="b">
        <f t="shared" si="20"/>
        <v>0</v>
      </c>
      <c r="AO214" s="60" t="b">
        <f t="shared" si="21"/>
        <v>0</v>
      </c>
      <c r="AP214" s="60" t="b">
        <f t="shared" si="22"/>
        <v>0</v>
      </c>
      <c r="AQ214" s="60" t="b">
        <f t="shared" si="23"/>
        <v>0</v>
      </c>
      <c r="AR214" s="60" t="str">
        <f t="shared" si="24"/>
        <v>No</v>
      </c>
      <c r="AS214" s="60" t="str">
        <f t="shared" si="25"/>
        <v>No</v>
      </c>
    </row>
    <row r="215" spans="1:45" ht="15" hidden="1">
      <c r="A215" s="103">
        <v>45243</v>
      </c>
      <c r="B215" s="117" t="s">
        <v>1447</v>
      </c>
      <c r="D215" s="28" t="s">
        <v>1462</v>
      </c>
      <c r="F215" s="28" t="s">
        <v>1452</v>
      </c>
      <c r="G215" s="28" t="s">
        <v>724</v>
      </c>
      <c r="H215" s="28" t="s">
        <v>1463</v>
      </c>
      <c r="I215" s="28" t="s">
        <v>516</v>
      </c>
      <c r="J215" s="28" t="s">
        <v>517</v>
      </c>
      <c r="K215" s="28" t="s">
        <v>518</v>
      </c>
      <c r="L215" s="28" t="s">
        <v>801</v>
      </c>
      <c r="M215" s="28" t="s">
        <v>535</v>
      </c>
      <c r="S215" s="28" t="s">
        <v>1211</v>
      </c>
      <c r="T215" s="28" t="s">
        <v>803</v>
      </c>
      <c r="U215" s="28" t="s">
        <v>803</v>
      </c>
      <c r="V215" s="28" t="s">
        <v>517</v>
      </c>
      <c r="W215" s="28" t="s">
        <v>821</v>
      </c>
      <c r="Z215" s="28" t="s">
        <v>526</v>
      </c>
      <c r="AD215" s="118" t="s">
        <v>954</v>
      </c>
      <c r="AF215" s="126" t="s">
        <v>1462</v>
      </c>
      <c r="AG215" s="28" t="s">
        <v>563</v>
      </c>
      <c r="AK215" s="60">
        <v>2</v>
      </c>
      <c r="AL215" s="28">
        <f>1/COUNTIF(Tableau6[LAT],B215)</f>
        <v>0.1111111111111111</v>
      </c>
      <c r="AM215" s="60" t="b">
        <f t="shared" si="19"/>
        <v>0</v>
      </c>
      <c r="AN215" s="60" t="b">
        <f t="shared" si="20"/>
        <v>0</v>
      </c>
      <c r="AO215" s="60" t="b">
        <f t="shared" si="21"/>
        <v>0</v>
      </c>
      <c r="AP215" s="60" t="b">
        <f t="shared" si="22"/>
        <v>0</v>
      </c>
      <c r="AQ215" s="60" t="b">
        <f t="shared" si="23"/>
        <v>0</v>
      </c>
      <c r="AR215" s="60" t="str">
        <f t="shared" si="24"/>
        <v>No</v>
      </c>
      <c r="AS215" s="60" t="str">
        <f t="shared" si="25"/>
        <v>No</v>
      </c>
    </row>
    <row r="216" spans="1:45" ht="15" hidden="1">
      <c r="A216" s="103">
        <v>45243</v>
      </c>
      <c r="B216" s="117" t="s">
        <v>1464</v>
      </c>
      <c r="C216" s="28" t="s">
        <v>511</v>
      </c>
      <c r="D216" s="28" t="s">
        <v>1465</v>
      </c>
      <c r="F216" s="28" t="s">
        <v>1466</v>
      </c>
      <c r="G216" s="28" t="s">
        <v>514</v>
      </c>
      <c r="H216" s="28" t="s">
        <v>542</v>
      </c>
      <c r="I216" s="28" t="s">
        <v>516</v>
      </c>
      <c r="J216" s="28" t="s">
        <v>517</v>
      </c>
      <c r="K216" s="28" t="s">
        <v>518</v>
      </c>
      <c r="L216" s="28" t="s">
        <v>839</v>
      </c>
      <c r="M216" s="28" t="s">
        <v>520</v>
      </c>
      <c r="N216" s="28" t="s">
        <v>544</v>
      </c>
      <c r="S216" s="28" t="s">
        <v>940</v>
      </c>
      <c r="T216" s="28" t="s">
        <v>840</v>
      </c>
      <c r="U216" s="28" t="s">
        <v>840</v>
      </c>
      <c r="V216" s="28" t="s">
        <v>517</v>
      </c>
      <c r="W216" s="28" t="s">
        <v>975</v>
      </c>
      <c r="Z216" s="28" t="s">
        <v>563</v>
      </c>
      <c r="AB216" s="28" t="s">
        <v>527</v>
      </c>
      <c r="AD216" s="118" t="s">
        <v>954</v>
      </c>
      <c r="AF216" s="126" t="s">
        <v>1465</v>
      </c>
      <c r="AG216" s="28" t="s">
        <v>563</v>
      </c>
      <c r="AK216" s="60">
        <v>2</v>
      </c>
      <c r="AL216" s="28">
        <f>1/COUNTIF(Tableau6[LAT],B216)</f>
        <v>0.25</v>
      </c>
      <c r="AM216" s="60" t="b">
        <f t="shared" ref="AM216:AM279" si="26">IF(N216="ALM","Yes",IF(N216="ALI","Yes",IF(N216="CAO","Yes",IF(N216="ICE","Yes",IF(N216="MAG","Yes",IF(N216="MAG","Yes",IF(N216="RBI","Yes",IF(N216="RBM","Yes",IF(N216="RCL","Yes",IF(N216="RCM","Yes",IF(N216="RCX","Yes",IF(N216="RDS","Yes",IF(N216="REQ","Yes",IF(N216="REX","Yes",IF(N216="RFG","Yes",IF(N216="RFL","Yes",IF(N216="RFS","Yes",IF(N216="RFW","Yes",IF(N216="RGX","Yes",IF(N216="RIS",IF(N216="RLI","Yes",IF(N216="RLM","Yes",IF(N216="RMD","Yes",IF(N216="RNG","Yes",IF(N216="ROP","Yes",IF(N216="ROX","Yes",IF(N216="RPB","Yes",IF(N216="RPG","Yes",IF(N216="RRE","Yes",IF(N216="RRW","Yes",IF(N216="RRY","Yes",IF(N216="RSB","Yes",IF(N216="RSC","Yes",IF(N216="RXB","Yes",IF(N216="RXC","Yes",IF(N216="RXD","Yes",IF(N216="RXE","Yes",IF(N216="RXG","Yes",IF(N216="RXS","Yes",)))))))))))))))))))))))))))))))))))))))</f>
        <v>0</v>
      </c>
      <c r="AN216" s="60" t="b">
        <f t="shared" ref="AN216:AN279" si="27">IF(O216="ALM","Yes",IF(O216="ALI","Yes",IF(O216="CAO","Yes",IF(O216="ICE","Yes",IF(O216="MAG","Yes",IF(O216="MAG","Yes",IF(O216="RBI","Yes",IF(O216="RBM","Yes",IF(O216="RCL","Yes",IF(O216="RCM","Yes",IF(O216="RCX","Yes",IF(O216="RDS","Yes",IF(O216="REQ","Yes",IF(O216="REX","Yes",IF(O216="RFG","Yes",IF(O216="RFL","Yes",IF(O216="RFS","Yes",IF(O216="RFW","Yes",IF(O216="RGX","Yes",IF(O216="RIS",IF(O216="RLI","Yes",IF(O216="RLM","Yes",IF(O216="RMD","Yes",IF(O216="RNG","Yes",IF(O216="ROP","Yes",IF(O216="ROX","Yes",IF(O216="RPB","Yes",IF(O216="RPG","Yes",IF(O216="RRE","Yes",IF(O216="RRW","Yes",IF(O216="RRY","Yes",IF(O216="RSB","Yes",IF(O216="RSC","Yes",IF(O216="RXB","Yes",IF(O216="RXC","Yes",IF(O216="RXD","Yes",IF(O216="RXE","Yes",IF(O216="RXG","Yes",IF(O216="RXS","Yes",)))))))))))))))))))))))))))))))))))))))</f>
        <v>0</v>
      </c>
      <c r="AO216" s="60" t="b">
        <f t="shared" ref="AO216:AO279" si="28">IF(P216="ALM","Yes",IF(P216="ALI","Yes",IF(P216="CAO","Yes",IF(P216="ICE","Yes",IF(P216="MAG","Yes",IF(P216="MAG","Yes",IF(P216="RBI","Yes",IF(P216="RBM","Yes",IF(P216="RCL","Yes",IF(P216="RCM","Yes",IF(P216="RCX","Yes",IF(P216="RDS","Yes",IF(P216="REQ","Yes",IF(P216="REX","Yes",IF(P216="RFG","Yes",IF(P216="RFL","Yes",IF(P216="RFS","Yes",IF(P216="RFW","Yes",IF(P216="RGX","Yes",IF(P216="RIS",IF(P216="RLI","Yes",IF(P216="RLM","Yes",IF(P216="RMD","Yes",IF(P216="RNG","Yes",IF(P216="ROP","Yes",IF(P216="ROX","Yes",IF(P216="RPB","Yes",IF(P216="RPG","Yes",IF(P216="RRE","Yes",IF(P216="RRW","Yes",IF(P216="RRY","Yes",IF(P216="RSB","Yes",IF(P216="RSC","Yes",IF(P216="RXB","Yes",IF(P216="RXC","Yes",IF(P216="RXD","Yes",IF(P216="RXE","Yes",IF(P216="RXG","Yes",IF(P216="RXS","Yes",)))))))))))))))))))))))))))))))))))))))</f>
        <v>0</v>
      </c>
      <c r="AP216" s="60" t="b">
        <f t="shared" ref="AP216:AP279" si="29">IF(Q216="ALM","Yes",IF(Q216="ALI","Yes",IF(Q216="CAO","Yes",IF(Q216="ICE","Yes",IF(Q216="MAG","Yes",IF(Q216="MAG","Yes",IF(Q216="RBI","Yes",IF(Q216="RBM","Yes",IF(Q216="RCL","Yes",IF(Q216="RCM","Yes",IF(Q216="RCX","Yes",IF(Q216="RDS","Yes",IF(Q216="REQ","Yes",IF(Q216="REX","Yes",IF(Q216="RFG","Yes",IF(Q216="RFL","Yes",IF(Q216="RFS","Yes",IF(Q216="RFW","Yes",IF(Q216="RGX","Yes",IF(Q216="RIS",IF(Q216="RLI","Yes",IF(Q216="RLM","Yes",IF(Q216="RMD","Yes",IF(Q216="RNG","Yes",IF(Q216="ROP","Yes",IF(Q216="ROX","Yes",IF(Q216="RPB","Yes",IF(Q216="RPG","Yes",IF(Q216="RRE","Yes",IF(Q216="RRW","Yes",IF(Q216="RRY","Yes",IF(Q216="RSB","Yes",IF(Q216="RSC","Yes",IF(Q216="RXB","Yes",IF(Q216="RXC","Yes",IF(Q216="RXD","Yes",IF(Q216="RXE","Yes",IF(Q216="RXG","Yes",IF(Q216="RXS","Yes",)))))))))))))))))))))))))))))))))))))))</f>
        <v>0</v>
      </c>
      <c r="AQ216" s="60" t="b">
        <f t="shared" ref="AQ216:AQ279" si="30">IF(R216="ALM","Yes",IF(R216="ALI","Yes",IF(R216="CAO","Yes",IF(R216="ICE","Yes",IF(R216="MAG","Yes",IF(R216="MAG","Yes",IF(R216="RBI","Yes",IF(R216="RBM","Yes",IF(R216="RCL","Yes",IF(R216="RCM","Yes",IF(R216="RCX","Yes",IF(R216="RDS","Yes",IF(R216="REQ","Yes",IF(R216="REX","Yes",IF(R216="RFG","Yes",IF(R216="RFL","Yes",IF(R216="RFS","Yes",IF(R216="RFW","Yes",IF(R216="RGX","Yes",IF(R216="RIS",IF(R216="RLI","Yes",IF(R216="RLM","Yes",IF(R216="RMD","Yes",IF(R216="RNG","Yes",IF(R216="ROP","Yes",IF(R216="ROX","Yes",IF(R216="RPB","Yes",IF(R216="RPG","Yes",IF(R216="RRE","Yes",IF(R216="RRW","Yes",IF(R216="RRY","Yes",IF(R216="RSB","Yes",IF(R216="RSC","Yes",IF(R216="RXB","Yes",IF(R216="RXC","Yes",IF(R216="RXD","Yes",IF(R216="RXE","Yes",IF(R216="RXG","Yes",IF(R216="RXS","Yes",)))))))))))))))))))))))))))))))))))))))</f>
        <v>0</v>
      </c>
      <c r="AR216" s="60" t="str">
        <f t="shared" si="24"/>
        <v>No</v>
      </c>
      <c r="AS216" s="60" t="str">
        <f t="shared" si="25"/>
        <v>No</v>
      </c>
    </row>
    <row r="217" spans="1:45" ht="15" hidden="1">
      <c r="A217" s="103">
        <v>45243</v>
      </c>
      <c r="B217" s="117" t="s">
        <v>1464</v>
      </c>
      <c r="C217" s="28" t="s">
        <v>548</v>
      </c>
      <c r="D217" s="28" t="s">
        <v>1467</v>
      </c>
      <c r="F217" s="28" t="s">
        <v>1466</v>
      </c>
      <c r="G217" s="28" t="s">
        <v>514</v>
      </c>
      <c r="H217" s="28" t="s">
        <v>542</v>
      </c>
      <c r="I217" s="28" t="s">
        <v>516</v>
      </c>
      <c r="J217" s="28" t="s">
        <v>517</v>
      </c>
      <c r="K217" s="28" t="s">
        <v>518</v>
      </c>
      <c r="L217" s="28" t="s">
        <v>839</v>
      </c>
      <c r="M217" s="28" t="s">
        <v>520</v>
      </c>
      <c r="N217" s="28" t="s">
        <v>544</v>
      </c>
      <c r="S217" s="28" t="s">
        <v>940</v>
      </c>
      <c r="T217" s="28" t="s">
        <v>840</v>
      </c>
      <c r="U217" s="28" t="s">
        <v>840</v>
      </c>
      <c r="V217" s="28" t="s">
        <v>517</v>
      </c>
      <c r="W217" s="28" t="s">
        <v>1468</v>
      </c>
      <c r="Z217" s="28" t="s">
        <v>563</v>
      </c>
      <c r="AB217" s="28" t="s">
        <v>527</v>
      </c>
      <c r="AD217" s="118" t="s">
        <v>954</v>
      </c>
      <c r="AF217" s="126" t="s">
        <v>1467</v>
      </c>
      <c r="AG217" s="28" t="s">
        <v>563</v>
      </c>
      <c r="AK217" s="60">
        <v>2</v>
      </c>
      <c r="AL217" s="28">
        <f>1/COUNTIF(Tableau6[LAT],B217)</f>
        <v>0.25</v>
      </c>
      <c r="AM217" s="60" t="b">
        <f t="shared" si="26"/>
        <v>0</v>
      </c>
      <c r="AN217" s="60" t="b">
        <f t="shared" si="27"/>
        <v>0</v>
      </c>
      <c r="AO217" s="60" t="b">
        <f t="shared" si="28"/>
        <v>0</v>
      </c>
      <c r="AP217" s="60" t="b">
        <f t="shared" si="29"/>
        <v>0</v>
      </c>
      <c r="AQ217" s="60" t="b">
        <f t="shared" si="30"/>
        <v>0</v>
      </c>
      <c r="AR217" s="60" t="str">
        <f t="shared" si="24"/>
        <v>No</v>
      </c>
      <c r="AS217" s="60" t="str">
        <f t="shared" si="25"/>
        <v>No</v>
      </c>
    </row>
    <row r="218" spans="1:45" ht="15" hidden="1">
      <c r="A218" s="103">
        <v>45243</v>
      </c>
      <c r="B218" s="117" t="s">
        <v>1464</v>
      </c>
      <c r="C218" s="28" t="s">
        <v>612</v>
      </c>
      <c r="D218" s="28" t="s">
        <v>1469</v>
      </c>
      <c r="F218" s="28" t="s">
        <v>1466</v>
      </c>
      <c r="G218" s="28" t="s">
        <v>514</v>
      </c>
      <c r="H218" s="28" t="s">
        <v>542</v>
      </c>
      <c r="I218" s="28" t="s">
        <v>516</v>
      </c>
      <c r="J218" s="28" t="s">
        <v>517</v>
      </c>
      <c r="K218" s="28" t="s">
        <v>518</v>
      </c>
      <c r="L218" s="28" t="s">
        <v>839</v>
      </c>
      <c r="M218" s="28" t="s">
        <v>520</v>
      </c>
      <c r="N218" s="28" t="s">
        <v>544</v>
      </c>
      <c r="S218" s="28" t="s">
        <v>940</v>
      </c>
      <c r="T218" s="28" t="s">
        <v>840</v>
      </c>
      <c r="U218" s="28" t="s">
        <v>840</v>
      </c>
      <c r="V218" s="28" t="s">
        <v>517</v>
      </c>
      <c r="W218" s="28" t="s">
        <v>1470</v>
      </c>
      <c r="Z218" s="28" t="s">
        <v>563</v>
      </c>
      <c r="AB218" s="28" t="s">
        <v>527</v>
      </c>
      <c r="AD218" s="118" t="s">
        <v>954</v>
      </c>
      <c r="AF218" s="126" t="s">
        <v>1469</v>
      </c>
      <c r="AG218" s="28" t="s">
        <v>563</v>
      </c>
      <c r="AK218" s="60">
        <v>2</v>
      </c>
      <c r="AL218" s="28">
        <f>1/COUNTIF(Tableau6[LAT],B218)</f>
        <v>0.25</v>
      </c>
      <c r="AM218" s="60" t="b">
        <f t="shared" si="26"/>
        <v>0</v>
      </c>
      <c r="AN218" s="60" t="b">
        <f t="shared" si="27"/>
        <v>0</v>
      </c>
      <c r="AO218" s="60" t="b">
        <f t="shared" si="28"/>
        <v>0</v>
      </c>
      <c r="AP218" s="60" t="b">
        <f t="shared" si="29"/>
        <v>0</v>
      </c>
      <c r="AQ218" s="60" t="b">
        <f t="shared" si="30"/>
        <v>0</v>
      </c>
      <c r="AR218" s="60" t="str">
        <f t="shared" si="24"/>
        <v>No</v>
      </c>
      <c r="AS218" s="60" t="str">
        <f t="shared" si="25"/>
        <v>No</v>
      </c>
    </row>
    <row r="219" spans="1:45" ht="15" hidden="1">
      <c r="A219" s="103">
        <v>45243</v>
      </c>
      <c r="B219" s="117" t="s">
        <v>1464</v>
      </c>
      <c r="C219" s="28" t="s">
        <v>691</v>
      </c>
      <c r="D219" s="28" t="s">
        <v>1471</v>
      </c>
      <c r="F219" s="28" t="s">
        <v>1466</v>
      </c>
      <c r="G219" s="28" t="s">
        <v>514</v>
      </c>
      <c r="H219" s="28" t="s">
        <v>542</v>
      </c>
      <c r="I219" s="28" t="s">
        <v>516</v>
      </c>
      <c r="J219" s="28" t="s">
        <v>517</v>
      </c>
      <c r="K219" s="28" t="s">
        <v>518</v>
      </c>
      <c r="L219" s="28" t="s">
        <v>839</v>
      </c>
      <c r="M219" s="28" t="s">
        <v>520</v>
      </c>
      <c r="N219" s="28" t="s">
        <v>544</v>
      </c>
      <c r="S219" s="28" t="s">
        <v>940</v>
      </c>
      <c r="T219" s="28" t="s">
        <v>840</v>
      </c>
      <c r="U219" s="28" t="s">
        <v>840</v>
      </c>
      <c r="V219" s="28" t="s">
        <v>517</v>
      </c>
      <c r="W219" s="28" t="s">
        <v>1472</v>
      </c>
      <c r="Z219" s="28" t="s">
        <v>563</v>
      </c>
      <c r="AB219" s="28" t="s">
        <v>527</v>
      </c>
      <c r="AD219" s="118" t="s">
        <v>954</v>
      </c>
      <c r="AF219" s="126" t="s">
        <v>1471</v>
      </c>
      <c r="AG219" s="28" t="s">
        <v>563</v>
      </c>
      <c r="AK219" s="60">
        <v>2</v>
      </c>
      <c r="AL219" s="28">
        <f>1/COUNTIF(Tableau6[LAT],B219)</f>
        <v>0.25</v>
      </c>
      <c r="AM219" s="60" t="b">
        <f t="shared" si="26"/>
        <v>0</v>
      </c>
      <c r="AN219" s="60" t="b">
        <f t="shared" si="27"/>
        <v>0</v>
      </c>
      <c r="AO219" s="60" t="b">
        <f t="shared" si="28"/>
        <v>0</v>
      </c>
      <c r="AP219" s="60" t="b">
        <f t="shared" si="29"/>
        <v>0</v>
      </c>
      <c r="AQ219" s="60" t="b">
        <f t="shared" si="30"/>
        <v>0</v>
      </c>
      <c r="AR219" s="60" t="str">
        <f t="shared" si="24"/>
        <v>No</v>
      </c>
      <c r="AS219" s="60" t="str">
        <f t="shared" si="25"/>
        <v>No</v>
      </c>
    </row>
    <row r="220" spans="1:45" ht="15" hidden="1">
      <c r="A220" s="103">
        <v>45243</v>
      </c>
      <c r="B220" s="117" t="s">
        <v>1473</v>
      </c>
      <c r="C220" s="28" t="s">
        <v>511</v>
      </c>
      <c r="D220" s="28" t="s">
        <v>1474</v>
      </c>
      <c r="F220" s="28" t="s">
        <v>1475</v>
      </c>
      <c r="G220" s="28" t="s">
        <v>514</v>
      </c>
      <c r="H220" s="28" t="s">
        <v>1372</v>
      </c>
      <c r="I220" s="28" t="s">
        <v>516</v>
      </c>
      <c r="J220" s="28" t="s">
        <v>517</v>
      </c>
      <c r="K220" s="28" t="s">
        <v>518</v>
      </c>
      <c r="L220" s="28" t="s">
        <v>667</v>
      </c>
      <c r="M220" s="28" t="s">
        <v>520</v>
      </c>
      <c r="N220" s="28" t="s">
        <v>557</v>
      </c>
      <c r="O220" s="28" t="s">
        <v>559</v>
      </c>
      <c r="S220" s="28" t="s">
        <v>1402</v>
      </c>
      <c r="T220" s="28" t="s">
        <v>597</v>
      </c>
      <c r="U220" s="28" t="s">
        <v>597</v>
      </c>
      <c r="V220" s="28" t="s">
        <v>517</v>
      </c>
      <c r="W220" s="28" t="s">
        <v>1476</v>
      </c>
      <c r="Z220" s="28" t="s">
        <v>563</v>
      </c>
      <c r="AB220" s="28" t="s">
        <v>527</v>
      </c>
      <c r="AD220" s="118" t="s">
        <v>528</v>
      </c>
      <c r="AF220" s="126" t="s">
        <v>1474</v>
      </c>
      <c r="AG220" s="28" t="s">
        <v>563</v>
      </c>
      <c r="AK220" s="60">
        <v>2</v>
      </c>
      <c r="AL220" s="28">
        <f>1/COUNTIF(Tableau6[LAT],B220)</f>
        <v>0.5</v>
      </c>
      <c r="AM220" s="60" t="b">
        <f t="shared" si="26"/>
        <v>0</v>
      </c>
      <c r="AN220" s="60" t="b">
        <f t="shared" si="27"/>
        <v>0</v>
      </c>
      <c r="AO220" s="60" t="b">
        <f t="shared" si="28"/>
        <v>0</v>
      </c>
      <c r="AP220" s="60" t="b">
        <f t="shared" si="29"/>
        <v>0</v>
      </c>
      <c r="AQ220" s="60" t="b">
        <f t="shared" si="30"/>
        <v>0</v>
      </c>
      <c r="AR220" s="60" t="str">
        <f t="shared" si="24"/>
        <v>No</v>
      </c>
      <c r="AS220" s="60" t="str">
        <f t="shared" si="25"/>
        <v>No</v>
      </c>
    </row>
    <row r="221" spans="1:45" ht="15" hidden="1">
      <c r="A221" s="103">
        <v>45243</v>
      </c>
      <c r="B221" s="117" t="s">
        <v>1473</v>
      </c>
      <c r="C221" s="28" t="s">
        <v>548</v>
      </c>
      <c r="D221" s="28" t="s">
        <v>1477</v>
      </c>
      <c r="F221" s="28" t="s">
        <v>1475</v>
      </c>
      <c r="G221" s="28" t="s">
        <v>514</v>
      </c>
      <c r="H221" s="28" t="s">
        <v>1372</v>
      </c>
      <c r="I221" s="28" t="s">
        <v>516</v>
      </c>
      <c r="J221" s="28" t="s">
        <v>517</v>
      </c>
      <c r="K221" s="28" t="s">
        <v>518</v>
      </c>
      <c r="L221" s="28" t="s">
        <v>667</v>
      </c>
      <c r="M221" s="28" t="s">
        <v>520</v>
      </c>
      <c r="N221" s="28" t="s">
        <v>557</v>
      </c>
      <c r="O221" s="28" t="s">
        <v>559</v>
      </c>
      <c r="S221" s="28" t="s">
        <v>1402</v>
      </c>
      <c r="T221" s="28" t="s">
        <v>597</v>
      </c>
      <c r="U221" s="28" t="s">
        <v>597</v>
      </c>
      <c r="V221" s="28" t="s">
        <v>517</v>
      </c>
      <c r="W221" s="28" t="s">
        <v>1478</v>
      </c>
      <c r="Z221" s="28" t="s">
        <v>563</v>
      </c>
      <c r="AB221" s="28" t="s">
        <v>527</v>
      </c>
      <c r="AD221" s="118" t="s">
        <v>528</v>
      </c>
      <c r="AF221" s="126" t="s">
        <v>1477</v>
      </c>
      <c r="AG221" s="28" t="s">
        <v>563</v>
      </c>
      <c r="AK221" s="60">
        <v>2</v>
      </c>
      <c r="AL221" s="28">
        <f>1/COUNTIF(Tableau6[LAT],B221)</f>
        <v>0.5</v>
      </c>
      <c r="AM221" s="60" t="b">
        <f t="shared" si="26"/>
        <v>0</v>
      </c>
      <c r="AN221" s="60" t="b">
        <f t="shared" si="27"/>
        <v>0</v>
      </c>
      <c r="AO221" s="60" t="b">
        <f t="shared" si="28"/>
        <v>0</v>
      </c>
      <c r="AP221" s="60" t="b">
        <f t="shared" si="29"/>
        <v>0</v>
      </c>
      <c r="AQ221" s="60" t="b">
        <f t="shared" si="30"/>
        <v>0</v>
      </c>
      <c r="AR221" s="60" t="str">
        <f t="shared" si="24"/>
        <v>No</v>
      </c>
      <c r="AS221" s="60" t="str">
        <f t="shared" si="25"/>
        <v>No</v>
      </c>
    </row>
    <row r="222" spans="1:45" ht="15" hidden="1">
      <c r="A222" s="103">
        <v>45243</v>
      </c>
      <c r="B222" s="117" t="s">
        <v>1479</v>
      </c>
      <c r="C222" s="28" t="s">
        <v>511</v>
      </c>
      <c r="D222" s="28" t="s">
        <v>1480</v>
      </c>
      <c r="F222" s="28" t="s">
        <v>1481</v>
      </c>
      <c r="G222" s="28" t="s">
        <v>514</v>
      </c>
      <c r="H222" s="28" t="s">
        <v>1482</v>
      </c>
      <c r="I222" s="28" t="s">
        <v>516</v>
      </c>
      <c r="J222" s="28" t="s">
        <v>517</v>
      </c>
      <c r="K222" s="28" t="s">
        <v>518</v>
      </c>
      <c r="L222" s="28" t="s">
        <v>543</v>
      </c>
      <c r="M222" s="28" t="s">
        <v>535</v>
      </c>
      <c r="N222" s="28" t="s">
        <v>557</v>
      </c>
      <c r="O222" s="28" t="s">
        <v>544</v>
      </c>
      <c r="P222" s="28" t="s">
        <v>522</v>
      </c>
      <c r="S222" s="28" t="s">
        <v>733</v>
      </c>
      <c r="T222" s="28" t="s">
        <v>546</v>
      </c>
      <c r="U222" s="28" t="s">
        <v>546</v>
      </c>
      <c r="V222" s="28" t="s">
        <v>517</v>
      </c>
      <c r="W222" s="28" t="s">
        <v>1483</v>
      </c>
      <c r="Z222" s="28" t="s">
        <v>526</v>
      </c>
      <c r="AB222" s="28" t="s">
        <v>527</v>
      </c>
      <c r="AD222" s="118" t="s">
        <v>528</v>
      </c>
      <c r="AF222" s="125" t="s">
        <v>1480</v>
      </c>
      <c r="AG222" s="28" t="s">
        <v>563</v>
      </c>
      <c r="AK222" s="60">
        <v>2</v>
      </c>
      <c r="AL222" s="28">
        <f>1/COUNTIF(Tableau6[LAT],B222)</f>
        <v>1</v>
      </c>
      <c r="AM222" s="60" t="b">
        <f t="shared" si="26"/>
        <v>0</v>
      </c>
      <c r="AN222" s="60" t="b">
        <f t="shared" si="27"/>
        <v>0</v>
      </c>
      <c r="AO222" s="60" t="b">
        <f t="shared" si="28"/>
        <v>0</v>
      </c>
      <c r="AP222" s="60" t="b">
        <f t="shared" si="29"/>
        <v>0</v>
      </c>
      <c r="AQ222" s="60" t="b">
        <f t="shared" si="30"/>
        <v>0</v>
      </c>
      <c r="AR222" s="60" t="str">
        <f t="shared" si="24"/>
        <v>No</v>
      </c>
      <c r="AS222" s="60" t="str">
        <f t="shared" si="25"/>
        <v>Yes</v>
      </c>
    </row>
    <row r="223" spans="1:45" ht="15" hidden="1">
      <c r="A223" s="103">
        <v>45243</v>
      </c>
      <c r="B223" s="117" t="s">
        <v>1484</v>
      </c>
      <c r="C223" s="28" t="s">
        <v>511</v>
      </c>
      <c r="D223" s="28" t="s">
        <v>1485</v>
      </c>
      <c r="F223" s="28" t="s">
        <v>1486</v>
      </c>
      <c r="G223" s="28" t="s">
        <v>514</v>
      </c>
      <c r="H223" s="28" t="s">
        <v>1487</v>
      </c>
      <c r="I223" s="28" t="s">
        <v>516</v>
      </c>
      <c r="J223" s="28" t="s">
        <v>517</v>
      </c>
      <c r="K223" s="28" t="s">
        <v>518</v>
      </c>
      <c r="L223" s="28" t="s">
        <v>1199</v>
      </c>
      <c r="M223" s="28" t="s">
        <v>535</v>
      </c>
      <c r="N223" s="28" t="s">
        <v>557</v>
      </c>
      <c r="O223" s="28" t="s">
        <v>544</v>
      </c>
      <c r="P223" s="28" t="s">
        <v>522</v>
      </c>
      <c r="S223" s="28" t="s">
        <v>1488</v>
      </c>
      <c r="T223" s="28" t="s">
        <v>651</v>
      </c>
      <c r="U223" s="28" t="s">
        <v>651</v>
      </c>
      <c r="V223" s="28" t="s">
        <v>517</v>
      </c>
      <c r="W223" s="28" t="s">
        <v>975</v>
      </c>
      <c r="Z223" s="28" t="s">
        <v>563</v>
      </c>
      <c r="AB223" s="28" t="s">
        <v>923</v>
      </c>
      <c r="AD223" s="118" t="s">
        <v>528</v>
      </c>
      <c r="AF223" s="125" t="s">
        <v>1485</v>
      </c>
      <c r="AG223" s="28" t="s">
        <v>563</v>
      </c>
      <c r="AK223" s="60">
        <v>2</v>
      </c>
      <c r="AL223" s="28">
        <f>1/COUNTIF(Tableau6[LAT],B223)</f>
        <v>1</v>
      </c>
      <c r="AM223" s="60" t="b">
        <f t="shared" si="26"/>
        <v>0</v>
      </c>
      <c r="AN223" s="60" t="b">
        <f t="shared" si="27"/>
        <v>0</v>
      </c>
      <c r="AO223" s="60" t="b">
        <f t="shared" si="28"/>
        <v>0</v>
      </c>
      <c r="AP223" s="60" t="b">
        <f t="shared" si="29"/>
        <v>0</v>
      </c>
      <c r="AQ223" s="60" t="b">
        <f t="shared" si="30"/>
        <v>0</v>
      </c>
      <c r="AR223" s="60" t="str">
        <f t="shared" si="24"/>
        <v>No</v>
      </c>
      <c r="AS223" s="60" t="str">
        <f t="shared" si="25"/>
        <v>No</v>
      </c>
    </row>
    <row r="224" spans="1:45" ht="15" hidden="1">
      <c r="A224" s="103">
        <v>45243</v>
      </c>
      <c r="B224" s="117" t="s">
        <v>1489</v>
      </c>
      <c r="C224" s="28" t="s">
        <v>511</v>
      </c>
      <c r="D224" s="28" t="s">
        <v>1490</v>
      </c>
      <c r="F224" s="28" t="s">
        <v>1316</v>
      </c>
      <c r="G224" s="28" t="s">
        <v>514</v>
      </c>
      <c r="H224" s="28" t="s">
        <v>1091</v>
      </c>
      <c r="I224" s="28" t="s">
        <v>516</v>
      </c>
      <c r="J224" s="28" t="s">
        <v>517</v>
      </c>
      <c r="K224" s="28" t="s">
        <v>518</v>
      </c>
      <c r="L224" s="28" t="s">
        <v>1491</v>
      </c>
      <c r="M224" s="28" t="s">
        <v>520</v>
      </c>
      <c r="N224" s="28" t="s">
        <v>1492</v>
      </c>
      <c r="O224" s="28" t="s">
        <v>557</v>
      </c>
      <c r="P224" s="28" t="s">
        <v>559</v>
      </c>
      <c r="S224" s="28" t="s">
        <v>1493</v>
      </c>
      <c r="T224" s="28" t="s">
        <v>1494</v>
      </c>
      <c r="U224" s="28" t="s">
        <v>1494</v>
      </c>
      <c r="V224" s="28" t="s">
        <v>517</v>
      </c>
      <c r="W224" s="28" t="s">
        <v>1495</v>
      </c>
      <c r="Z224" s="28" t="s">
        <v>563</v>
      </c>
      <c r="AB224" s="28" t="s">
        <v>527</v>
      </c>
      <c r="AD224" s="118" t="s">
        <v>954</v>
      </c>
      <c r="AF224" s="125" t="s">
        <v>1490</v>
      </c>
      <c r="AG224" s="28" t="s">
        <v>563</v>
      </c>
      <c r="AK224" s="60">
        <v>2</v>
      </c>
      <c r="AL224" s="28">
        <f>1/COUNTIF(Tableau6[LAT],B224)</f>
        <v>1</v>
      </c>
      <c r="AM224" s="60" t="b">
        <f t="shared" si="26"/>
        <v>0</v>
      </c>
      <c r="AN224" s="60" t="b">
        <f t="shared" si="27"/>
        <v>0</v>
      </c>
      <c r="AO224" s="60" t="b">
        <f t="shared" si="28"/>
        <v>0</v>
      </c>
      <c r="AP224" s="60" t="b">
        <f t="shared" si="29"/>
        <v>0</v>
      </c>
      <c r="AQ224" s="60" t="b">
        <f t="shared" si="30"/>
        <v>0</v>
      </c>
      <c r="AR224" s="60" t="str">
        <f t="shared" si="24"/>
        <v>No</v>
      </c>
      <c r="AS224" s="60" t="str">
        <f t="shared" si="25"/>
        <v>No</v>
      </c>
    </row>
    <row r="225" spans="1:45" ht="15" hidden="1">
      <c r="A225" s="103">
        <v>45243</v>
      </c>
      <c r="B225" s="117" t="s">
        <v>1496</v>
      </c>
      <c r="C225" s="28" t="s">
        <v>511</v>
      </c>
      <c r="D225" s="28" t="s">
        <v>1497</v>
      </c>
      <c r="F225" s="28" t="s">
        <v>1002</v>
      </c>
      <c r="G225" s="28" t="s">
        <v>514</v>
      </c>
      <c r="H225" s="28" t="s">
        <v>639</v>
      </c>
      <c r="I225" s="28" t="s">
        <v>516</v>
      </c>
      <c r="J225" s="28" t="s">
        <v>517</v>
      </c>
      <c r="K225" s="28" t="s">
        <v>518</v>
      </c>
      <c r="L225" s="28" t="s">
        <v>1373</v>
      </c>
      <c r="M225" s="28" t="s">
        <v>1374</v>
      </c>
      <c r="N225" s="28" t="s">
        <v>544</v>
      </c>
      <c r="O225" s="28" t="s">
        <v>522</v>
      </c>
      <c r="S225" s="28" t="s">
        <v>991</v>
      </c>
      <c r="T225" s="28" t="s">
        <v>1376</v>
      </c>
      <c r="U225" s="28" t="s">
        <v>1376</v>
      </c>
      <c r="V225" s="28" t="s">
        <v>517</v>
      </c>
      <c r="W225" s="28" t="s">
        <v>1498</v>
      </c>
      <c r="Z225" s="28" t="s">
        <v>526</v>
      </c>
      <c r="AD225" s="118" t="s">
        <v>528</v>
      </c>
      <c r="AF225" s="125" t="s">
        <v>1497</v>
      </c>
      <c r="AG225" s="28" t="s">
        <v>529</v>
      </c>
      <c r="AK225" s="60">
        <v>2</v>
      </c>
      <c r="AL225" s="28">
        <f>1/COUNTIF(Tableau6[LAT],B225)</f>
        <v>1</v>
      </c>
      <c r="AM225" s="60" t="b">
        <f t="shared" si="26"/>
        <v>0</v>
      </c>
      <c r="AN225" s="60" t="b">
        <f t="shared" si="27"/>
        <v>0</v>
      </c>
      <c r="AO225" s="60" t="b">
        <f t="shared" si="28"/>
        <v>0</v>
      </c>
      <c r="AP225" s="60" t="b">
        <f t="shared" si="29"/>
        <v>0</v>
      </c>
      <c r="AQ225" s="60" t="b">
        <f t="shared" si="30"/>
        <v>0</v>
      </c>
      <c r="AR225" s="60" t="str">
        <f t="shared" si="24"/>
        <v>No</v>
      </c>
      <c r="AS225" s="60" t="str">
        <f t="shared" si="25"/>
        <v>No</v>
      </c>
    </row>
    <row r="226" spans="1:45" ht="15" hidden="1">
      <c r="A226" s="103">
        <v>45243</v>
      </c>
      <c r="B226" s="117">
        <v>5745144326</v>
      </c>
      <c r="C226" s="28" t="s">
        <v>511</v>
      </c>
      <c r="D226" s="28" t="s">
        <v>1499</v>
      </c>
      <c r="F226" s="28" t="s">
        <v>1500</v>
      </c>
      <c r="G226" s="28" t="s">
        <v>514</v>
      </c>
      <c r="H226" s="28" t="s">
        <v>1501</v>
      </c>
      <c r="I226" s="28" t="s">
        <v>516</v>
      </c>
      <c r="J226" s="28" t="s">
        <v>517</v>
      </c>
      <c r="K226" s="28" t="s">
        <v>518</v>
      </c>
      <c r="L226" s="28" t="s">
        <v>1502</v>
      </c>
      <c r="M226" s="28" t="s">
        <v>605</v>
      </c>
      <c r="N226" s="28" t="s">
        <v>1415</v>
      </c>
      <c r="O226" s="28" t="s">
        <v>544</v>
      </c>
      <c r="P226" s="28" t="s">
        <v>522</v>
      </c>
      <c r="S226" s="28" t="s">
        <v>991</v>
      </c>
      <c r="T226" s="28" t="s">
        <v>811</v>
      </c>
      <c r="U226" s="28" t="s">
        <v>811</v>
      </c>
      <c r="V226" s="28" t="s">
        <v>517</v>
      </c>
      <c r="W226" s="28" t="s">
        <v>1503</v>
      </c>
      <c r="Z226" s="28" t="s">
        <v>563</v>
      </c>
      <c r="AB226" s="28" t="s">
        <v>1419</v>
      </c>
      <c r="AD226" s="118" t="s">
        <v>528</v>
      </c>
      <c r="AF226" s="125" t="s">
        <v>1504</v>
      </c>
      <c r="AG226" s="28" t="s">
        <v>529</v>
      </c>
      <c r="AK226" s="60">
        <v>2</v>
      </c>
      <c r="AL226" s="28">
        <f>1/COUNTIF(Tableau6[LAT],B226)</f>
        <v>1</v>
      </c>
      <c r="AM226" s="60" t="str">
        <f t="shared" si="26"/>
        <v>Yes</v>
      </c>
      <c r="AN226" s="60" t="b">
        <f t="shared" si="27"/>
        <v>0</v>
      </c>
      <c r="AO226" s="60" t="b">
        <f t="shared" si="28"/>
        <v>0</v>
      </c>
      <c r="AP226" s="60" t="b">
        <f t="shared" si="29"/>
        <v>0</v>
      </c>
      <c r="AQ226" s="60" t="b">
        <f t="shared" si="30"/>
        <v>0</v>
      </c>
      <c r="AR226" s="60" t="str">
        <f t="shared" si="24"/>
        <v>Yes</v>
      </c>
      <c r="AS226" s="60" t="str">
        <f t="shared" si="25"/>
        <v>No</v>
      </c>
    </row>
    <row r="227" spans="1:45" ht="15" hidden="1">
      <c r="A227" s="103">
        <v>45243</v>
      </c>
      <c r="B227" s="117" t="s">
        <v>1505</v>
      </c>
      <c r="C227" s="28" t="s">
        <v>511</v>
      </c>
      <c r="D227" s="28" t="s">
        <v>1506</v>
      </c>
      <c r="F227" s="28" t="s">
        <v>1507</v>
      </c>
      <c r="G227" s="28" t="s">
        <v>958</v>
      </c>
      <c r="H227" s="28" t="s">
        <v>1508</v>
      </c>
      <c r="I227" s="28" t="s">
        <v>516</v>
      </c>
      <c r="J227" s="28" t="s">
        <v>517</v>
      </c>
      <c r="K227" s="28" t="s">
        <v>518</v>
      </c>
      <c r="L227" s="28" t="s">
        <v>731</v>
      </c>
      <c r="M227" s="28" t="s">
        <v>535</v>
      </c>
      <c r="N227" s="28" t="s">
        <v>1140</v>
      </c>
      <c r="O227" s="28" t="s">
        <v>1430</v>
      </c>
      <c r="P227" s="28" t="s">
        <v>557</v>
      </c>
      <c r="Q227" s="28" t="s">
        <v>544</v>
      </c>
      <c r="R227" s="28" t="s">
        <v>427</v>
      </c>
      <c r="S227" s="28" t="s">
        <v>1375</v>
      </c>
      <c r="T227" s="28" t="s">
        <v>733</v>
      </c>
      <c r="U227" s="28" t="s">
        <v>733</v>
      </c>
      <c r="V227" s="28" t="s">
        <v>517</v>
      </c>
      <c r="W227" s="28" t="s">
        <v>1509</v>
      </c>
      <c r="Z227" s="28" t="s">
        <v>563</v>
      </c>
      <c r="AB227" s="28" t="s">
        <v>527</v>
      </c>
      <c r="AD227" s="118" t="s">
        <v>528</v>
      </c>
      <c r="AF227" s="125" t="s">
        <v>1506</v>
      </c>
      <c r="AG227" s="28" t="s">
        <v>563</v>
      </c>
      <c r="AK227" s="60">
        <v>2</v>
      </c>
      <c r="AL227" s="28">
        <f>1/COUNTIF(Tableau6[LAT],B227)</f>
        <v>1</v>
      </c>
      <c r="AM227" s="60" t="b">
        <f t="shared" si="26"/>
        <v>0</v>
      </c>
      <c r="AN227" s="60" t="b">
        <f t="shared" si="27"/>
        <v>0</v>
      </c>
      <c r="AO227" s="60" t="b">
        <f t="shared" si="28"/>
        <v>0</v>
      </c>
      <c r="AP227" s="60" t="b">
        <f t="shared" si="29"/>
        <v>0</v>
      </c>
      <c r="AQ227" s="60" t="b">
        <f t="shared" si="30"/>
        <v>0</v>
      </c>
      <c r="AR227" s="60" t="str">
        <f t="shared" si="24"/>
        <v>No</v>
      </c>
      <c r="AS227" s="60" t="str">
        <f t="shared" si="25"/>
        <v>No</v>
      </c>
    </row>
    <row r="228" spans="1:45" ht="15" hidden="1">
      <c r="A228" s="103">
        <v>45243</v>
      </c>
      <c r="B228" s="117" t="s">
        <v>1510</v>
      </c>
      <c r="C228" s="28" t="s">
        <v>511</v>
      </c>
      <c r="D228" s="28" t="s">
        <v>1511</v>
      </c>
      <c r="F228" s="28" t="s">
        <v>1311</v>
      </c>
      <c r="G228" s="28" t="s">
        <v>514</v>
      </c>
      <c r="H228" s="28" t="s">
        <v>1512</v>
      </c>
      <c r="I228" s="28" t="s">
        <v>516</v>
      </c>
      <c r="J228" s="28" t="s">
        <v>517</v>
      </c>
      <c r="K228" s="28" t="s">
        <v>518</v>
      </c>
      <c r="L228" s="28" t="s">
        <v>1199</v>
      </c>
      <c r="M228" s="28" t="s">
        <v>520</v>
      </c>
      <c r="N228" s="28" t="s">
        <v>557</v>
      </c>
      <c r="O228" s="28" t="s">
        <v>544</v>
      </c>
      <c r="S228" s="28" t="s">
        <v>1232</v>
      </c>
      <c r="T228" s="28" t="s">
        <v>651</v>
      </c>
      <c r="U228" s="28" t="s">
        <v>651</v>
      </c>
      <c r="V228" s="28" t="s">
        <v>517</v>
      </c>
      <c r="W228" s="28" t="s">
        <v>1513</v>
      </c>
      <c r="Z228" s="28" t="s">
        <v>526</v>
      </c>
      <c r="AD228" s="118" t="s">
        <v>528</v>
      </c>
      <c r="AF228" s="125" t="s">
        <v>1511</v>
      </c>
      <c r="AG228" s="28" t="s">
        <v>529</v>
      </c>
      <c r="AK228" s="60">
        <v>2</v>
      </c>
      <c r="AL228" s="28">
        <f>1/COUNTIF(Tableau6[LAT],B228)</f>
        <v>1</v>
      </c>
      <c r="AM228" s="60" t="b">
        <f t="shared" si="26"/>
        <v>0</v>
      </c>
      <c r="AN228" s="60" t="b">
        <f t="shared" si="27"/>
        <v>0</v>
      </c>
      <c r="AO228" s="60" t="b">
        <f t="shared" si="28"/>
        <v>0</v>
      </c>
      <c r="AP228" s="60" t="b">
        <f t="shared" si="29"/>
        <v>0</v>
      </c>
      <c r="AQ228" s="60" t="b">
        <f t="shared" si="30"/>
        <v>0</v>
      </c>
      <c r="AR228" s="60" t="str">
        <f t="shared" si="24"/>
        <v>No</v>
      </c>
      <c r="AS228" s="60" t="str">
        <f t="shared" si="25"/>
        <v>No</v>
      </c>
    </row>
    <row r="229" spans="1:45" ht="15" hidden="1">
      <c r="A229" s="103">
        <v>45243</v>
      </c>
      <c r="B229" s="117" t="s">
        <v>1514</v>
      </c>
      <c r="C229" s="28" t="s">
        <v>511</v>
      </c>
      <c r="D229" s="28" t="s">
        <v>1515</v>
      </c>
      <c r="F229" s="28" t="s">
        <v>1516</v>
      </c>
      <c r="G229" s="28" t="s">
        <v>514</v>
      </c>
      <c r="H229" s="28" t="s">
        <v>828</v>
      </c>
      <c r="I229" s="28" t="s">
        <v>516</v>
      </c>
      <c r="J229" s="28" t="s">
        <v>517</v>
      </c>
      <c r="K229" s="28" t="s">
        <v>518</v>
      </c>
      <c r="L229" s="28" t="s">
        <v>649</v>
      </c>
      <c r="M229" s="28" t="s">
        <v>520</v>
      </c>
      <c r="N229" s="28" t="s">
        <v>557</v>
      </c>
      <c r="O229" s="28" t="s">
        <v>544</v>
      </c>
      <c r="S229" s="28" t="s">
        <v>1232</v>
      </c>
      <c r="T229" s="28" t="s">
        <v>651</v>
      </c>
      <c r="U229" s="28" t="s">
        <v>651</v>
      </c>
      <c r="V229" s="28" t="s">
        <v>517</v>
      </c>
      <c r="W229" s="28" t="s">
        <v>1517</v>
      </c>
      <c r="Z229" s="28" t="s">
        <v>526</v>
      </c>
      <c r="AD229" s="118" t="s">
        <v>528</v>
      </c>
      <c r="AF229" s="126" t="s">
        <v>1515</v>
      </c>
      <c r="AG229" s="28" t="s">
        <v>529</v>
      </c>
      <c r="AK229" s="60">
        <v>2</v>
      </c>
      <c r="AL229" s="28">
        <f>1/COUNTIF(Tableau6[LAT],B229)</f>
        <v>0.5</v>
      </c>
      <c r="AM229" s="60" t="b">
        <f t="shared" si="26"/>
        <v>0</v>
      </c>
      <c r="AN229" s="60" t="b">
        <f t="shared" si="27"/>
        <v>0</v>
      </c>
      <c r="AO229" s="60" t="b">
        <f t="shared" si="28"/>
        <v>0</v>
      </c>
      <c r="AP229" s="60" t="b">
        <f t="shared" si="29"/>
        <v>0</v>
      </c>
      <c r="AQ229" s="60" t="b">
        <f t="shared" si="30"/>
        <v>0</v>
      </c>
      <c r="AR229" s="60" t="str">
        <f t="shared" si="24"/>
        <v>No</v>
      </c>
      <c r="AS229" s="60" t="str">
        <f t="shared" si="25"/>
        <v>No</v>
      </c>
    </row>
    <row r="230" spans="1:45" ht="15" hidden="1">
      <c r="A230" s="103">
        <v>45243</v>
      </c>
      <c r="B230" s="117" t="s">
        <v>1514</v>
      </c>
      <c r="C230" s="28" t="s">
        <v>548</v>
      </c>
      <c r="D230" s="28" t="s">
        <v>1518</v>
      </c>
      <c r="F230" s="28" t="s">
        <v>1516</v>
      </c>
      <c r="G230" s="28" t="s">
        <v>514</v>
      </c>
      <c r="H230" s="28" t="s">
        <v>828</v>
      </c>
      <c r="I230" s="28" t="s">
        <v>516</v>
      </c>
      <c r="J230" s="28" t="s">
        <v>517</v>
      </c>
      <c r="K230" s="28" t="s">
        <v>518</v>
      </c>
      <c r="L230" s="28" t="s">
        <v>649</v>
      </c>
      <c r="M230" s="28" t="s">
        <v>520</v>
      </c>
      <c r="N230" s="28" t="s">
        <v>557</v>
      </c>
      <c r="O230" s="28" t="s">
        <v>544</v>
      </c>
      <c r="S230" s="28" t="s">
        <v>1232</v>
      </c>
      <c r="T230" s="28" t="s">
        <v>651</v>
      </c>
      <c r="U230" s="28" t="s">
        <v>651</v>
      </c>
      <c r="V230" s="28" t="s">
        <v>517</v>
      </c>
      <c r="W230" s="28" t="s">
        <v>1519</v>
      </c>
      <c r="Z230" s="28" t="s">
        <v>526</v>
      </c>
      <c r="AD230" s="118" t="s">
        <v>528</v>
      </c>
      <c r="AF230" s="126" t="s">
        <v>1518</v>
      </c>
      <c r="AG230" s="28" t="s">
        <v>529</v>
      </c>
      <c r="AK230" s="60">
        <v>2</v>
      </c>
      <c r="AL230" s="28">
        <f>1/COUNTIF(Tableau6[LAT],B230)</f>
        <v>0.5</v>
      </c>
      <c r="AM230" s="60" t="b">
        <f t="shared" si="26"/>
        <v>0</v>
      </c>
      <c r="AN230" s="60" t="b">
        <f t="shared" si="27"/>
        <v>0</v>
      </c>
      <c r="AO230" s="60" t="b">
        <f t="shared" si="28"/>
        <v>0</v>
      </c>
      <c r="AP230" s="60" t="b">
        <f t="shared" si="29"/>
        <v>0</v>
      </c>
      <c r="AQ230" s="60" t="b">
        <f t="shared" si="30"/>
        <v>0</v>
      </c>
      <c r="AR230" s="60" t="str">
        <f t="shared" si="24"/>
        <v>No</v>
      </c>
      <c r="AS230" s="60" t="str">
        <f t="shared" si="25"/>
        <v>No</v>
      </c>
    </row>
    <row r="231" spans="1:45" ht="15" hidden="1">
      <c r="A231" s="103">
        <v>45243</v>
      </c>
      <c r="B231" s="117" t="s">
        <v>1520</v>
      </c>
      <c r="C231" s="28" t="s">
        <v>511</v>
      </c>
      <c r="D231" s="28" t="s">
        <v>1521</v>
      </c>
      <c r="F231" s="28" t="s">
        <v>1522</v>
      </c>
      <c r="G231" s="28" t="s">
        <v>514</v>
      </c>
      <c r="H231" s="28" t="s">
        <v>1453</v>
      </c>
      <c r="I231" s="28" t="s">
        <v>516</v>
      </c>
      <c r="J231" s="28" t="s">
        <v>517</v>
      </c>
      <c r="K231" s="28" t="s">
        <v>518</v>
      </c>
      <c r="L231" s="28" t="s">
        <v>534</v>
      </c>
      <c r="M231" s="28" t="s">
        <v>535</v>
      </c>
      <c r="N231" s="28" t="s">
        <v>1523</v>
      </c>
      <c r="O231" s="28" t="s">
        <v>1524</v>
      </c>
      <c r="P231" s="28" t="s">
        <v>522</v>
      </c>
      <c r="S231" s="28" t="s">
        <v>740</v>
      </c>
      <c r="T231" s="28" t="s">
        <v>537</v>
      </c>
      <c r="U231" s="28" t="s">
        <v>537</v>
      </c>
      <c r="V231" s="28" t="s">
        <v>517</v>
      </c>
      <c r="W231" s="28" t="s">
        <v>1525</v>
      </c>
      <c r="Z231" s="28" t="s">
        <v>526</v>
      </c>
      <c r="AD231" s="118" t="s">
        <v>528</v>
      </c>
      <c r="AF231" s="125" t="s">
        <v>1521</v>
      </c>
      <c r="AG231" s="28" t="s">
        <v>529</v>
      </c>
      <c r="AK231" s="60">
        <v>2</v>
      </c>
      <c r="AL231" s="28">
        <f>1/COUNTIF(Tableau6[LAT],B231)</f>
        <v>1</v>
      </c>
      <c r="AM231" s="60" t="b">
        <f t="shared" si="26"/>
        <v>0</v>
      </c>
      <c r="AN231" s="60" t="b">
        <f t="shared" si="27"/>
        <v>0</v>
      </c>
      <c r="AO231" s="60" t="b">
        <f t="shared" si="28"/>
        <v>0</v>
      </c>
      <c r="AP231" s="60" t="b">
        <f t="shared" si="29"/>
        <v>0</v>
      </c>
      <c r="AQ231" s="60" t="b">
        <f t="shared" si="30"/>
        <v>0</v>
      </c>
      <c r="AR231" s="60" t="str">
        <f t="shared" si="24"/>
        <v>No</v>
      </c>
      <c r="AS231" s="60" t="str">
        <f t="shared" si="25"/>
        <v>No</v>
      </c>
    </row>
    <row r="232" spans="1:45" ht="15" hidden="1">
      <c r="A232" s="103">
        <v>45243</v>
      </c>
      <c r="B232" s="117" t="s">
        <v>1526</v>
      </c>
      <c r="C232" s="28" t="s">
        <v>511</v>
      </c>
      <c r="D232" s="28" t="s">
        <v>1527</v>
      </c>
      <c r="F232" s="28" t="s">
        <v>1528</v>
      </c>
      <c r="G232" s="28" t="s">
        <v>514</v>
      </c>
      <c r="H232" s="28" t="s">
        <v>1301</v>
      </c>
      <c r="I232" s="28" t="s">
        <v>516</v>
      </c>
      <c r="J232" s="28" t="s">
        <v>517</v>
      </c>
      <c r="K232" s="28" t="s">
        <v>518</v>
      </c>
      <c r="L232" s="28" t="s">
        <v>667</v>
      </c>
      <c r="M232" s="28" t="s">
        <v>520</v>
      </c>
      <c r="N232" s="28" t="s">
        <v>619</v>
      </c>
      <c r="O232" s="28" t="s">
        <v>544</v>
      </c>
      <c r="P232" s="28" t="s">
        <v>522</v>
      </c>
      <c r="S232" s="28" t="s">
        <v>1529</v>
      </c>
      <c r="T232" s="28" t="s">
        <v>597</v>
      </c>
      <c r="U232" s="28" t="s">
        <v>597</v>
      </c>
      <c r="V232" s="28" t="s">
        <v>517</v>
      </c>
      <c r="W232" s="28" t="s">
        <v>821</v>
      </c>
      <c r="Z232" s="28" t="s">
        <v>526</v>
      </c>
      <c r="AD232" s="118" t="s">
        <v>528</v>
      </c>
      <c r="AF232" s="126" t="s">
        <v>1527</v>
      </c>
      <c r="AG232" s="28" t="s">
        <v>529</v>
      </c>
      <c r="AK232" s="60">
        <v>2</v>
      </c>
      <c r="AL232" s="28">
        <f>1/COUNTIF(Tableau6[LAT],B232)</f>
        <v>0.25</v>
      </c>
      <c r="AM232" s="60" t="b">
        <f t="shared" si="26"/>
        <v>0</v>
      </c>
      <c r="AN232" s="60" t="b">
        <f t="shared" si="27"/>
        <v>0</v>
      </c>
      <c r="AO232" s="60" t="b">
        <f t="shared" si="28"/>
        <v>0</v>
      </c>
      <c r="AP232" s="60" t="b">
        <f t="shared" si="29"/>
        <v>0</v>
      </c>
      <c r="AQ232" s="60" t="b">
        <f t="shared" si="30"/>
        <v>0</v>
      </c>
      <c r="AR232" s="60" t="str">
        <f t="shared" si="24"/>
        <v>No</v>
      </c>
      <c r="AS232" s="60" t="str">
        <f t="shared" si="25"/>
        <v>No</v>
      </c>
    </row>
    <row r="233" spans="1:45" ht="15" hidden="1">
      <c r="A233" s="103">
        <v>45243</v>
      </c>
      <c r="B233" s="117" t="s">
        <v>1526</v>
      </c>
      <c r="C233" s="28" t="s">
        <v>548</v>
      </c>
      <c r="D233" s="28" t="s">
        <v>1530</v>
      </c>
      <c r="F233" s="28" t="s">
        <v>1528</v>
      </c>
      <c r="G233" s="28" t="s">
        <v>514</v>
      </c>
      <c r="H233" s="28" t="s">
        <v>1301</v>
      </c>
      <c r="I233" s="28" t="s">
        <v>516</v>
      </c>
      <c r="J233" s="28" t="s">
        <v>517</v>
      </c>
      <c r="K233" s="28" t="s">
        <v>518</v>
      </c>
      <c r="L233" s="28" t="s">
        <v>667</v>
      </c>
      <c r="M233" s="28" t="s">
        <v>520</v>
      </c>
      <c r="N233" s="28" t="s">
        <v>619</v>
      </c>
      <c r="O233" s="28" t="s">
        <v>544</v>
      </c>
      <c r="P233" s="28" t="s">
        <v>522</v>
      </c>
      <c r="S233" s="28" t="s">
        <v>1529</v>
      </c>
      <c r="T233" s="28" t="s">
        <v>597</v>
      </c>
      <c r="U233" s="28" t="s">
        <v>597</v>
      </c>
      <c r="V233" s="28" t="s">
        <v>517</v>
      </c>
      <c r="W233" s="28" t="s">
        <v>821</v>
      </c>
      <c r="Z233" s="28" t="s">
        <v>526</v>
      </c>
      <c r="AD233" s="118" t="s">
        <v>528</v>
      </c>
      <c r="AF233" s="126" t="s">
        <v>1530</v>
      </c>
      <c r="AG233" s="28" t="s">
        <v>529</v>
      </c>
      <c r="AK233" s="60">
        <v>2</v>
      </c>
      <c r="AL233" s="28">
        <f>1/COUNTIF(Tableau6[LAT],B233)</f>
        <v>0.25</v>
      </c>
      <c r="AM233" s="60" t="b">
        <f t="shared" si="26"/>
        <v>0</v>
      </c>
      <c r="AN233" s="60" t="b">
        <f t="shared" si="27"/>
        <v>0</v>
      </c>
      <c r="AO233" s="60" t="b">
        <f t="shared" si="28"/>
        <v>0</v>
      </c>
      <c r="AP233" s="60" t="b">
        <f t="shared" si="29"/>
        <v>0</v>
      </c>
      <c r="AQ233" s="60" t="b">
        <f t="shared" si="30"/>
        <v>0</v>
      </c>
      <c r="AR233" s="60" t="str">
        <f t="shared" si="24"/>
        <v>No</v>
      </c>
      <c r="AS233" s="60" t="str">
        <f t="shared" si="25"/>
        <v>No</v>
      </c>
    </row>
    <row r="234" spans="1:45" ht="15" hidden="1">
      <c r="A234" s="103">
        <v>45243</v>
      </c>
      <c r="B234" s="117" t="s">
        <v>1526</v>
      </c>
      <c r="C234" s="28" t="s">
        <v>612</v>
      </c>
      <c r="D234" s="28" t="s">
        <v>1531</v>
      </c>
      <c r="F234" s="28" t="s">
        <v>1528</v>
      </c>
      <c r="G234" s="28" t="s">
        <v>514</v>
      </c>
      <c r="H234" s="28" t="s">
        <v>1301</v>
      </c>
      <c r="I234" s="28" t="s">
        <v>516</v>
      </c>
      <c r="J234" s="28" t="s">
        <v>517</v>
      </c>
      <c r="K234" s="28" t="s">
        <v>518</v>
      </c>
      <c r="L234" s="28" t="s">
        <v>667</v>
      </c>
      <c r="M234" s="28" t="s">
        <v>520</v>
      </c>
      <c r="N234" s="28" t="s">
        <v>619</v>
      </c>
      <c r="O234" s="28" t="s">
        <v>544</v>
      </c>
      <c r="P234" s="28" t="s">
        <v>522</v>
      </c>
      <c r="S234" s="28" t="s">
        <v>1529</v>
      </c>
      <c r="T234" s="28" t="s">
        <v>597</v>
      </c>
      <c r="U234" s="28" t="s">
        <v>597</v>
      </c>
      <c r="V234" s="28" t="s">
        <v>517</v>
      </c>
      <c r="W234" s="28" t="s">
        <v>821</v>
      </c>
      <c r="Z234" s="28" t="s">
        <v>526</v>
      </c>
      <c r="AD234" s="118" t="s">
        <v>528</v>
      </c>
      <c r="AF234" s="126" t="s">
        <v>1531</v>
      </c>
      <c r="AG234" s="28" t="s">
        <v>529</v>
      </c>
      <c r="AK234" s="60">
        <v>2</v>
      </c>
      <c r="AL234" s="28">
        <f>1/COUNTIF(Tableau6[LAT],B234)</f>
        <v>0.25</v>
      </c>
      <c r="AM234" s="60" t="b">
        <f t="shared" si="26"/>
        <v>0</v>
      </c>
      <c r="AN234" s="60" t="b">
        <f t="shared" si="27"/>
        <v>0</v>
      </c>
      <c r="AO234" s="60" t="b">
        <f t="shared" si="28"/>
        <v>0</v>
      </c>
      <c r="AP234" s="60" t="b">
        <f t="shared" si="29"/>
        <v>0</v>
      </c>
      <c r="AQ234" s="60" t="b">
        <f t="shared" si="30"/>
        <v>0</v>
      </c>
      <c r="AR234" s="60" t="str">
        <f t="shared" si="24"/>
        <v>No</v>
      </c>
      <c r="AS234" s="60" t="str">
        <f t="shared" si="25"/>
        <v>No</v>
      </c>
    </row>
    <row r="235" spans="1:45" ht="15" hidden="1">
      <c r="A235" s="103">
        <v>45243</v>
      </c>
      <c r="B235" s="117" t="s">
        <v>1526</v>
      </c>
      <c r="C235" s="28" t="s">
        <v>691</v>
      </c>
      <c r="D235" s="28" t="s">
        <v>1532</v>
      </c>
      <c r="F235" s="28" t="s">
        <v>1528</v>
      </c>
      <c r="G235" s="28" t="s">
        <v>514</v>
      </c>
      <c r="H235" s="28" t="s">
        <v>1301</v>
      </c>
      <c r="I235" s="28" t="s">
        <v>516</v>
      </c>
      <c r="J235" s="28" t="s">
        <v>517</v>
      </c>
      <c r="K235" s="28" t="s">
        <v>518</v>
      </c>
      <c r="L235" s="28" t="s">
        <v>667</v>
      </c>
      <c r="M235" s="28" t="s">
        <v>520</v>
      </c>
      <c r="N235" s="28" t="s">
        <v>619</v>
      </c>
      <c r="O235" s="28" t="s">
        <v>544</v>
      </c>
      <c r="P235" s="28" t="s">
        <v>522</v>
      </c>
      <c r="S235" s="28" t="s">
        <v>1529</v>
      </c>
      <c r="T235" s="28" t="s">
        <v>597</v>
      </c>
      <c r="U235" s="28" t="s">
        <v>597</v>
      </c>
      <c r="V235" s="28" t="s">
        <v>517</v>
      </c>
      <c r="W235" s="28" t="s">
        <v>821</v>
      </c>
      <c r="Z235" s="28" t="s">
        <v>526</v>
      </c>
      <c r="AD235" s="118" t="s">
        <v>528</v>
      </c>
      <c r="AF235" s="126" t="s">
        <v>1532</v>
      </c>
      <c r="AG235" s="28" t="s">
        <v>529</v>
      </c>
      <c r="AK235" s="60">
        <v>2</v>
      </c>
      <c r="AL235" s="28">
        <f>1/COUNTIF(Tableau6[LAT],B235)</f>
        <v>0.25</v>
      </c>
      <c r="AM235" s="60" t="b">
        <f t="shared" si="26"/>
        <v>0</v>
      </c>
      <c r="AN235" s="60" t="b">
        <f t="shared" si="27"/>
        <v>0</v>
      </c>
      <c r="AO235" s="60" t="b">
        <f t="shared" si="28"/>
        <v>0</v>
      </c>
      <c r="AP235" s="60" t="b">
        <f t="shared" si="29"/>
        <v>0</v>
      </c>
      <c r="AQ235" s="60" t="b">
        <f t="shared" si="30"/>
        <v>0</v>
      </c>
      <c r="AR235" s="60" t="str">
        <f t="shared" si="24"/>
        <v>No</v>
      </c>
      <c r="AS235" s="60" t="str">
        <f t="shared" si="25"/>
        <v>No</v>
      </c>
    </row>
    <row r="236" spans="1:45" ht="15" hidden="1">
      <c r="A236" s="103">
        <v>45243</v>
      </c>
      <c r="B236" s="117" t="s">
        <v>1533</v>
      </c>
      <c r="C236" s="28" t="s">
        <v>511</v>
      </c>
      <c r="D236" s="28" t="s">
        <v>1534</v>
      </c>
      <c r="F236" s="28" t="s">
        <v>1535</v>
      </c>
      <c r="G236" s="28" t="s">
        <v>514</v>
      </c>
      <c r="H236" s="28" t="s">
        <v>1051</v>
      </c>
      <c r="I236" s="28" t="s">
        <v>516</v>
      </c>
      <c r="J236" s="28" t="s">
        <v>517</v>
      </c>
      <c r="K236" s="28" t="s">
        <v>518</v>
      </c>
      <c r="L236" s="28" t="s">
        <v>1536</v>
      </c>
      <c r="M236" s="28" t="s">
        <v>520</v>
      </c>
      <c r="N236" s="28" t="s">
        <v>521</v>
      </c>
      <c r="O236" s="28" t="s">
        <v>522</v>
      </c>
      <c r="S236" s="28" t="s">
        <v>1350</v>
      </c>
      <c r="T236" s="28" t="s">
        <v>1537</v>
      </c>
      <c r="U236" s="28" t="s">
        <v>1537</v>
      </c>
      <c r="V236" s="28" t="s">
        <v>517</v>
      </c>
      <c r="W236" s="28" t="s">
        <v>1538</v>
      </c>
      <c r="Z236" s="28" t="s">
        <v>526</v>
      </c>
      <c r="AD236" s="118" t="s">
        <v>528</v>
      </c>
      <c r="AF236" s="126" t="s">
        <v>1534</v>
      </c>
      <c r="AG236" s="28" t="s">
        <v>529</v>
      </c>
      <c r="AK236" s="60">
        <v>2</v>
      </c>
      <c r="AL236" s="28">
        <f>1/COUNTIF(Tableau6[LAT],B236)</f>
        <v>0.5</v>
      </c>
      <c r="AM236" s="60" t="b">
        <f t="shared" si="26"/>
        <v>0</v>
      </c>
      <c r="AN236" s="60" t="b">
        <f t="shared" si="27"/>
        <v>0</v>
      </c>
      <c r="AO236" s="60" t="b">
        <f t="shared" si="28"/>
        <v>0</v>
      </c>
      <c r="AP236" s="60" t="b">
        <f t="shared" si="29"/>
        <v>0</v>
      </c>
      <c r="AQ236" s="60" t="b">
        <f t="shared" si="30"/>
        <v>0</v>
      </c>
      <c r="AR236" s="60" t="str">
        <f t="shared" si="24"/>
        <v>No</v>
      </c>
      <c r="AS236" s="60" t="str">
        <f t="shared" si="25"/>
        <v>No</v>
      </c>
    </row>
    <row r="237" spans="1:45" ht="15" hidden="1">
      <c r="A237" s="103">
        <v>45243</v>
      </c>
      <c r="B237" s="117" t="s">
        <v>1533</v>
      </c>
      <c r="C237" s="28" t="s">
        <v>548</v>
      </c>
      <c r="D237" s="28" t="s">
        <v>1539</v>
      </c>
      <c r="F237" s="28" t="s">
        <v>1535</v>
      </c>
      <c r="G237" s="28" t="s">
        <v>514</v>
      </c>
      <c r="H237" s="28" t="s">
        <v>1540</v>
      </c>
      <c r="I237" s="28" t="s">
        <v>516</v>
      </c>
      <c r="J237" s="28" t="s">
        <v>517</v>
      </c>
      <c r="K237" s="28" t="s">
        <v>518</v>
      </c>
      <c r="L237" s="28" t="s">
        <v>1536</v>
      </c>
      <c r="M237" s="28" t="s">
        <v>520</v>
      </c>
      <c r="N237" s="28" t="s">
        <v>521</v>
      </c>
      <c r="O237" s="28" t="s">
        <v>522</v>
      </c>
      <c r="S237" s="28" t="s">
        <v>1350</v>
      </c>
      <c r="T237" s="28" t="s">
        <v>1537</v>
      </c>
      <c r="U237" s="28" t="s">
        <v>1537</v>
      </c>
      <c r="V237" s="28" t="s">
        <v>517</v>
      </c>
      <c r="W237" s="28" t="s">
        <v>1541</v>
      </c>
      <c r="Z237" s="28" t="s">
        <v>526</v>
      </c>
      <c r="AD237" s="118" t="s">
        <v>528</v>
      </c>
      <c r="AF237" s="126" t="s">
        <v>1539</v>
      </c>
      <c r="AG237" s="28" t="s">
        <v>529</v>
      </c>
      <c r="AK237" s="60">
        <v>2</v>
      </c>
      <c r="AL237" s="28">
        <f>1/COUNTIF(Tableau6[LAT],B237)</f>
        <v>0.5</v>
      </c>
      <c r="AM237" s="60" t="b">
        <f t="shared" si="26"/>
        <v>0</v>
      </c>
      <c r="AN237" s="60" t="b">
        <f t="shared" si="27"/>
        <v>0</v>
      </c>
      <c r="AO237" s="60" t="b">
        <f t="shared" si="28"/>
        <v>0</v>
      </c>
      <c r="AP237" s="60" t="b">
        <f t="shared" si="29"/>
        <v>0</v>
      </c>
      <c r="AQ237" s="60" t="b">
        <f t="shared" si="30"/>
        <v>0</v>
      </c>
      <c r="AR237" s="60" t="str">
        <f t="shared" si="24"/>
        <v>No</v>
      </c>
      <c r="AS237" s="60" t="str">
        <f t="shared" si="25"/>
        <v>No</v>
      </c>
    </row>
    <row r="238" spans="1:45" ht="15" hidden="1">
      <c r="A238" s="103">
        <v>45243</v>
      </c>
      <c r="B238" s="117" t="s">
        <v>1542</v>
      </c>
      <c r="C238" s="28" t="s">
        <v>511</v>
      </c>
      <c r="D238" s="28" t="s">
        <v>1543</v>
      </c>
      <c r="F238" s="28" t="s">
        <v>1544</v>
      </c>
      <c r="G238" s="28" t="s">
        <v>514</v>
      </c>
      <c r="H238" s="28" t="s">
        <v>1241</v>
      </c>
      <c r="I238" s="28" t="s">
        <v>516</v>
      </c>
      <c r="J238" s="28" t="s">
        <v>517</v>
      </c>
      <c r="K238" s="28" t="s">
        <v>518</v>
      </c>
      <c r="L238" s="28" t="s">
        <v>801</v>
      </c>
      <c r="M238" s="28" t="s">
        <v>535</v>
      </c>
      <c r="N238" s="28" t="s">
        <v>557</v>
      </c>
      <c r="O238" s="28" t="s">
        <v>544</v>
      </c>
      <c r="P238" s="28" t="s">
        <v>522</v>
      </c>
      <c r="S238" s="28" t="s">
        <v>1350</v>
      </c>
      <c r="T238" s="28" t="s">
        <v>803</v>
      </c>
      <c r="U238" s="28" t="s">
        <v>803</v>
      </c>
      <c r="V238" s="28" t="s">
        <v>517</v>
      </c>
      <c r="W238" s="28" t="s">
        <v>591</v>
      </c>
      <c r="Z238" s="28" t="s">
        <v>563</v>
      </c>
      <c r="AB238" s="28" t="s">
        <v>527</v>
      </c>
      <c r="AD238" s="118" t="s">
        <v>528</v>
      </c>
      <c r="AF238" s="125" t="s">
        <v>1543</v>
      </c>
      <c r="AG238" s="28" t="s">
        <v>563</v>
      </c>
      <c r="AK238" s="60">
        <v>2</v>
      </c>
      <c r="AL238" s="28">
        <f>1/COUNTIF(Tableau6[LAT],B238)</f>
        <v>1</v>
      </c>
      <c r="AM238" s="60" t="b">
        <f t="shared" si="26"/>
        <v>0</v>
      </c>
      <c r="AN238" s="60" t="b">
        <f t="shared" si="27"/>
        <v>0</v>
      </c>
      <c r="AO238" s="60" t="b">
        <f t="shared" si="28"/>
        <v>0</v>
      </c>
      <c r="AP238" s="60" t="b">
        <f t="shared" si="29"/>
        <v>0</v>
      </c>
      <c r="AQ238" s="60" t="b">
        <f t="shared" si="30"/>
        <v>0</v>
      </c>
      <c r="AR238" s="60" t="str">
        <f t="shared" si="24"/>
        <v>No</v>
      </c>
      <c r="AS238" s="60" t="str">
        <f t="shared" si="25"/>
        <v>No</v>
      </c>
    </row>
    <row r="239" spans="1:45" ht="15" hidden="1">
      <c r="A239" s="103">
        <v>45243</v>
      </c>
      <c r="B239" s="117" t="s">
        <v>1545</v>
      </c>
      <c r="C239" s="28" t="s">
        <v>511</v>
      </c>
      <c r="D239" s="28" t="s">
        <v>1546</v>
      </c>
      <c r="F239" s="28" t="s">
        <v>1547</v>
      </c>
      <c r="G239" s="28" t="s">
        <v>514</v>
      </c>
      <c r="H239" s="28" t="s">
        <v>1501</v>
      </c>
      <c r="I239" s="28" t="s">
        <v>516</v>
      </c>
      <c r="J239" s="28" t="s">
        <v>517</v>
      </c>
      <c r="K239" s="28" t="s">
        <v>518</v>
      </c>
      <c r="L239" s="28" t="s">
        <v>1548</v>
      </c>
      <c r="M239" s="28" t="s">
        <v>535</v>
      </c>
      <c r="N239" s="28" t="s">
        <v>521</v>
      </c>
      <c r="O239" s="28" t="s">
        <v>522</v>
      </c>
      <c r="S239" s="28" t="s">
        <v>523</v>
      </c>
      <c r="T239" s="28" t="s">
        <v>1549</v>
      </c>
      <c r="U239" s="28" t="s">
        <v>1549</v>
      </c>
      <c r="V239" s="28" t="s">
        <v>517</v>
      </c>
      <c r="W239" s="28" t="s">
        <v>1550</v>
      </c>
      <c r="Z239" s="28" t="s">
        <v>526</v>
      </c>
      <c r="AD239" s="118" t="s">
        <v>954</v>
      </c>
      <c r="AF239" s="125" t="s">
        <v>1546</v>
      </c>
      <c r="AG239" s="28" t="s">
        <v>563</v>
      </c>
      <c r="AK239" s="60">
        <v>2</v>
      </c>
      <c r="AL239" s="28">
        <f>1/COUNTIF(Tableau6[LAT],B239)</f>
        <v>1</v>
      </c>
      <c r="AM239" s="60" t="b">
        <f t="shared" si="26"/>
        <v>0</v>
      </c>
      <c r="AN239" s="60" t="b">
        <f t="shared" si="27"/>
        <v>0</v>
      </c>
      <c r="AO239" s="60" t="b">
        <f t="shared" si="28"/>
        <v>0</v>
      </c>
      <c r="AP239" s="60" t="b">
        <f t="shared" si="29"/>
        <v>0</v>
      </c>
      <c r="AQ239" s="60" t="b">
        <f t="shared" si="30"/>
        <v>0</v>
      </c>
      <c r="AR239" s="60" t="str">
        <f t="shared" si="24"/>
        <v>No</v>
      </c>
      <c r="AS239" s="60" t="str">
        <f t="shared" si="25"/>
        <v>No</v>
      </c>
    </row>
    <row r="240" spans="1:45" ht="15" hidden="1">
      <c r="A240" s="103">
        <v>45243</v>
      </c>
      <c r="B240" s="117" t="s">
        <v>1551</v>
      </c>
      <c r="C240" s="28" t="s">
        <v>511</v>
      </c>
      <c r="D240" s="28" t="s">
        <v>1552</v>
      </c>
      <c r="F240" s="28" t="s">
        <v>1553</v>
      </c>
      <c r="G240" s="28" t="s">
        <v>514</v>
      </c>
      <c r="H240" s="28" t="s">
        <v>1554</v>
      </c>
      <c r="I240" s="28" t="s">
        <v>516</v>
      </c>
      <c r="J240" s="28" t="s">
        <v>517</v>
      </c>
      <c r="K240" s="28" t="s">
        <v>518</v>
      </c>
      <c r="L240" s="28" t="s">
        <v>534</v>
      </c>
      <c r="M240" s="28" t="s">
        <v>535</v>
      </c>
      <c r="N240" s="28" t="s">
        <v>1307</v>
      </c>
      <c r="O240" s="28" t="s">
        <v>521</v>
      </c>
      <c r="P240" s="28" t="s">
        <v>934</v>
      </c>
      <c r="S240" s="28" t="s">
        <v>718</v>
      </c>
      <c r="T240" s="28" t="s">
        <v>537</v>
      </c>
      <c r="U240" s="28" t="s">
        <v>537</v>
      </c>
      <c r="V240" s="28" t="s">
        <v>517</v>
      </c>
      <c r="W240" s="28" t="s">
        <v>1555</v>
      </c>
      <c r="Z240" s="28" t="s">
        <v>526</v>
      </c>
      <c r="AD240" s="118"/>
      <c r="AF240" s="125" t="s">
        <v>1083</v>
      </c>
      <c r="AK240" s="60">
        <v>2</v>
      </c>
      <c r="AL240" s="28">
        <f>1/COUNTIF(Tableau6[LAT],B240)</f>
        <v>1</v>
      </c>
      <c r="AM240" s="60" t="b">
        <f t="shared" si="26"/>
        <v>0</v>
      </c>
      <c r="AN240" s="60" t="b">
        <f t="shared" si="27"/>
        <v>0</v>
      </c>
      <c r="AO240" s="60" t="b">
        <f t="shared" si="28"/>
        <v>0</v>
      </c>
      <c r="AP240" s="60" t="b">
        <f t="shared" si="29"/>
        <v>0</v>
      </c>
      <c r="AQ240" s="60" t="b">
        <f t="shared" si="30"/>
        <v>0</v>
      </c>
      <c r="AR240" s="60" t="str">
        <f t="shared" si="24"/>
        <v>No</v>
      </c>
      <c r="AS240" s="60" t="str">
        <f t="shared" si="25"/>
        <v>No</v>
      </c>
    </row>
    <row r="241" spans="1:45" ht="15" hidden="1">
      <c r="A241" s="103">
        <v>45243</v>
      </c>
      <c r="B241" s="117" t="s">
        <v>1556</v>
      </c>
      <c r="C241" s="28" t="s">
        <v>511</v>
      </c>
      <c r="D241" s="28" t="s">
        <v>1557</v>
      </c>
      <c r="F241" s="28" t="s">
        <v>1558</v>
      </c>
      <c r="G241" s="28" t="s">
        <v>514</v>
      </c>
      <c r="H241" s="28" t="s">
        <v>1559</v>
      </c>
      <c r="I241" s="28" t="s">
        <v>516</v>
      </c>
      <c r="J241" s="28" t="s">
        <v>517</v>
      </c>
      <c r="K241" s="28" t="s">
        <v>518</v>
      </c>
      <c r="L241" s="28" t="s">
        <v>1032</v>
      </c>
      <c r="M241" s="28" t="s">
        <v>535</v>
      </c>
      <c r="N241" s="28" t="s">
        <v>557</v>
      </c>
      <c r="O241" s="28" t="s">
        <v>544</v>
      </c>
      <c r="P241" s="28" t="s">
        <v>522</v>
      </c>
      <c r="S241" s="28" t="s">
        <v>698</v>
      </c>
      <c r="T241" s="28" t="s">
        <v>545</v>
      </c>
      <c r="U241" s="28" t="s">
        <v>545</v>
      </c>
      <c r="V241" s="28" t="s">
        <v>517</v>
      </c>
      <c r="W241" s="28" t="s">
        <v>1560</v>
      </c>
      <c r="Z241" s="28" t="s">
        <v>563</v>
      </c>
      <c r="AB241" s="28" t="s">
        <v>527</v>
      </c>
      <c r="AD241" s="118" t="s">
        <v>954</v>
      </c>
      <c r="AF241" s="126" t="s">
        <v>1557</v>
      </c>
      <c r="AG241" s="28" t="s">
        <v>563</v>
      </c>
      <c r="AK241" s="60">
        <v>2</v>
      </c>
      <c r="AL241" s="28">
        <f>1/COUNTIF(Tableau6[LAT],B241)</f>
        <v>0.5</v>
      </c>
      <c r="AM241" s="60" t="b">
        <f t="shared" si="26"/>
        <v>0</v>
      </c>
      <c r="AN241" s="60" t="b">
        <f t="shared" si="27"/>
        <v>0</v>
      </c>
      <c r="AO241" s="60" t="b">
        <f t="shared" si="28"/>
        <v>0</v>
      </c>
      <c r="AP241" s="60" t="b">
        <f t="shared" si="29"/>
        <v>0</v>
      </c>
      <c r="AQ241" s="60" t="b">
        <f t="shared" si="30"/>
        <v>0</v>
      </c>
      <c r="AR241" s="60" t="str">
        <f t="shared" si="24"/>
        <v>No</v>
      </c>
      <c r="AS241" s="60" t="str">
        <f t="shared" si="25"/>
        <v>No</v>
      </c>
    </row>
    <row r="242" spans="1:45" ht="15" hidden="1">
      <c r="A242" s="103">
        <v>45243</v>
      </c>
      <c r="B242" s="117" t="s">
        <v>1556</v>
      </c>
      <c r="C242" s="28" t="s">
        <v>548</v>
      </c>
      <c r="D242" s="28" t="s">
        <v>1561</v>
      </c>
      <c r="F242" s="28" t="s">
        <v>1558</v>
      </c>
      <c r="G242" s="28" t="s">
        <v>514</v>
      </c>
      <c r="H242" s="28" t="s">
        <v>933</v>
      </c>
      <c r="I242" s="28" t="s">
        <v>516</v>
      </c>
      <c r="J242" s="28" t="s">
        <v>517</v>
      </c>
      <c r="K242" s="28" t="s">
        <v>518</v>
      </c>
      <c r="L242" s="28" t="s">
        <v>1032</v>
      </c>
      <c r="M242" s="28" t="s">
        <v>535</v>
      </c>
      <c r="N242" s="28" t="s">
        <v>557</v>
      </c>
      <c r="O242" s="28" t="s">
        <v>544</v>
      </c>
      <c r="P242" s="28" t="s">
        <v>522</v>
      </c>
      <c r="S242" s="28" t="s">
        <v>698</v>
      </c>
      <c r="T242" s="28" t="s">
        <v>545</v>
      </c>
      <c r="U242" s="28" t="s">
        <v>545</v>
      </c>
      <c r="V242" s="28" t="s">
        <v>517</v>
      </c>
      <c r="W242" s="28" t="s">
        <v>1562</v>
      </c>
      <c r="Z242" s="28" t="s">
        <v>563</v>
      </c>
      <c r="AB242" s="28" t="s">
        <v>527</v>
      </c>
      <c r="AD242" s="118" t="s">
        <v>954</v>
      </c>
      <c r="AF242" s="126" t="s">
        <v>1561</v>
      </c>
      <c r="AG242" s="28" t="s">
        <v>563</v>
      </c>
      <c r="AK242" s="60">
        <v>2</v>
      </c>
      <c r="AL242" s="28">
        <f>1/COUNTIF(Tableau6[LAT],B242)</f>
        <v>0.5</v>
      </c>
      <c r="AM242" s="60" t="b">
        <f t="shared" si="26"/>
        <v>0</v>
      </c>
      <c r="AN242" s="60" t="b">
        <f t="shared" si="27"/>
        <v>0</v>
      </c>
      <c r="AO242" s="60" t="b">
        <f t="shared" si="28"/>
        <v>0</v>
      </c>
      <c r="AP242" s="60" t="b">
        <f t="shared" si="29"/>
        <v>0</v>
      </c>
      <c r="AQ242" s="60" t="b">
        <f t="shared" si="30"/>
        <v>0</v>
      </c>
      <c r="AR242" s="60" t="str">
        <f t="shared" si="24"/>
        <v>No</v>
      </c>
      <c r="AS242" s="60" t="str">
        <f t="shared" si="25"/>
        <v>No</v>
      </c>
    </row>
    <row r="243" spans="1:45" ht="15" hidden="1">
      <c r="A243" s="103">
        <v>45243</v>
      </c>
      <c r="B243" s="117" t="s">
        <v>1563</v>
      </c>
      <c r="C243" s="28" t="s">
        <v>511</v>
      </c>
      <c r="D243" s="28" t="s">
        <v>1564</v>
      </c>
      <c r="F243" s="28" t="s">
        <v>1007</v>
      </c>
      <c r="G243" s="28" t="s">
        <v>514</v>
      </c>
      <c r="H243" s="28" t="s">
        <v>1565</v>
      </c>
      <c r="I243" s="28" t="s">
        <v>516</v>
      </c>
      <c r="J243" s="28" t="s">
        <v>517</v>
      </c>
      <c r="K243" s="28" t="s">
        <v>518</v>
      </c>
      <c r="L243" s="28" t="s">
        <v>1149</v>
      </c>
      <c r="M243" s="28" t="s">
        <v>535</v>
      </c>
      <c r="N243" s="28" t="s">
        <v>619</v>
      </c>
      <c r="O243" s="28" t="s">
        <v>557</v>
      </c>
      <c r="P243" s="28" t="s">
        <v>544</v>
      </c>
      <c r="Q243" s="28" t="s">
        <v>522</v>
      </c>
      <c r="S243" s="28" t="s">
        <v>659</v>
      </c>
      <c r="T243" s="28" t="s">
        <v>1151</v>
      </c>
      <c r="U243" s="28" t="s">
        <v>1151</v>
      </c>
      <c r="V243" s="28" t="s">
        <v>517</v>
      </c>
      <c r="W243" s="28" t="s">
        <v>1566</v>
      </c>
      <c r="Z243" s="28" t="s">
        <v>563</v>
      </c>
      <c r="AB243" s="28" t="s">
        <v>527</v>
      </c>
      <c r="AD243" s="118" t="s">
        <v>528</v>
      </c>
      <c r="AF243" s="125" t="s">
        <v>1564</v>
      </c>
      <c r="AG243" s="28" t="s">
        <v>563</v>
      </c>
      <c r="AK243" s="60">
        <v>2</v>
      </c>
      <c r="AL243" s="28">
        <f>1/COUNTIF(Tableau6[LAT],B243)</f>
        <v>1</v>
      </c>
      <c r="AM243" s="60" t="b">
        <f t="shared" si="26"/>
        <v>0</v>
      </c>
      <c r="AN243" s="60" t="b">
        <f t="shared" si="27"/>
        <v>0</v>
      </c>
      <c r="AO243" s="60" t="b">
        <f t="shared" si="28"/>
        <v>0</v>
      </c>
      <c r="AP243" s="60" t="b">
        <f t="shared" si="29"/>
        <v>0</v>
      </c>
      <c r="AQ243" s="60" t="b">
        <f t="shared" si="30"/>
        <v>0</v>
      </c>
      <c r="AR243" s="60" t="str">
        <f t="shared" si="24"/>
        <v>No</v>
      </c>
      <c r="AS243" s="60" t="str">
        <f t="shared" si="25"/>
        <v>No</v>
      </c>
    </row>
    <row r="244" spans="1:45" ht="15" hidden="1">
      <c r="A244" s="103">
        <v>45243</v>
      </c>
      <c r="B244" s="117" t="s">
        <v>1567</v>
      </c>
      <c r="C244" s="28" t="s">
        <v>511</v>
      </c>
      <c r="D244" s="28" t="s">
        <v>1568</v>
      </c>
      <c r="E244" s="28" t="s">
        <v>1569</v>
      </c>
      <c r="F244" s="28" t="s">
        <v>1570</v>
      </c>
      <c r="G244" s="28" t="s">
        <v>1077</v>
      </c>
      <c r="H244" s="28" t="s">
        <v>1571</v>
      </c>
      <c r="I244" s="28" t="s">
        <v>516</v>
      </c>
      <c r="J244" s="28" t="s">
        <v>517</v>
      </c>
      <c r="K244" s="28" t="s">
        <v>518</v>
      </c>
      <c r="L244" s="28" t="s">
        <v>763</v>
      </c>
      <c r="M244" s="28" t="s">
        <v>535</v>
      </c>
      <c r="N244" s="28" t="s">
        <v>619</v>
      </c>
      <c r="O244" s="28" t="s">
        <v>557</v>
      </c>
      <c r="P244" s="28" t="s">
        <v>1572</v>
      </c>
      <c r="Q244" s="28" t="s">
        <v>559</v>
      </c>
      <c r="S244" s="28" t="s">
        <v>1014</v>
      </c>
      <c r="T244" s="28" t="s">
        <v>545</v>
      </c>
      <c r="U244" s="28" t="s">
        <v>545</v>
      </c>
      <c r="V244" s="28" t="s">
        <v>517</v>
      </c>
      <c r="W244" s="28" t="s">
        <v>1573</v>
      </c>
      <c r="X244" s="28" t="s">
        <v>670</v>
      </c>
      <c r="Z244" s="28" t="s">
        <v>563</v>
      </c>
      <c r="AB244" s="73" t="s">
        <v>609</v>
      </c>
      <c r="AD244" s="118" t="s">
        <v>954</v>
      </c>
      <c r="AF244" s="126" t="s">
        <v>1568</v>
      </c>
      <c r="AG244" s="28" t="s">
        <v>563</v>
      </c>
      <c r="AK244" s="60">
        <v>2</v>
      </c>
      <c r="AL244" s="28">
        <f>1/COUNTIF(Tableau6[LAT],B244)</f>
        <v>0.5</v>
      </c>
      <c r="AM244" s="60" t="b">
        <f t="shared" si="26"/>
        <v>0</v>
      </c>
      <c r="AN244" s="60" t="b">
        <f t="shared" si="27"/>
        <v>0</v>
      </c>
      <c r="AO244" s="60" t="b">
        <f t="shared" si="28"/>
        <v>0</v>
      </c>
      <c r="AP244" s="60" t="b">
        <f t="shared" si="29"/>
        <v>0</v>
      </c>
      <c r="AQ244" s="60" t="b">
        <f t="shared" si="30"/>
        <v>0</v>
      </c>
      <c r="AR244" s="60" t="str">
        <f t="shared" si="24"/>
        <v>No</v>
      </c>
      <c r="AS244" s="60" t="str">
        <f t="shared" si="25"/>
        <v>No</v>
      </c>
    </row>
    <row r="245" spans="1:45" ht="15" hidden="1">
      <c r="A245" s="103">
        <v>45243</v>
      </c>
      <c r="B245" s="117" t="s">
        <v>1567</v>
      </c>
      <c r="C245" s="28" t="s">
        <v>548</v>
      </c>
      <c r="D245" s="28" t="s">
        <v>1574</v>
      </c>
      <c r="E245" s="28" t="s">
        <v>1569</v>
      </c>
      <c r="F245" s="28" t="s">
        <v>1575</v>
      </c>
      <c r="G245" s="28" t="s">
        <v>958</v>
      </c>
      <c r="H245" s="28" t="s">
        <v>1576</v>
      </c>
      <c r="I245" s="28" t="s">
        <v>516</v>
      </c>
      <c r="J245" s="28" t="s">
        <v>517</v>
      </c>
      <c r="K245" s="28" t="s">
        <v>518</v>
      </c>
      <c r="L245" s="28" t="s">
        <v>763</v>
      </c>
      <c r="M245" s="28" t="s">
        <v>535</v>
      </c>
      <c r="N245" s="28" t="s">
        <v>557</v>
      </c>
      <c r="O245" s="28" t="s">
        <v>1572</v>
      </c>
      <c r="P245" s="28" t="s">
        <v>559</v>
      </c>
      <c r="S245" s="28" t="s">
        <v>1014</v>
      </c>
      <c r="T245" s="28" t="s">
        <v>545</v>
      </c>
      <c r="U245" s="28" t="s">
        <v>545</v>
      </c>
      <c r="V245" s="28" t="s">
        <v>517</v>
      </c>
      <c r="W245" s="28" t="s">
        <v>1573</v>
      </c>
      <c r="X245" s="28" t="s">
        <v>670</v>
      </c>
      <c r="Z245" s="28" t="s">
        <v>563</v>
      </c>
      <c r="AB245" s="73" t="s">
        <v>609</v>
      </c>
      <c r="AD245" s="118" t="s">
        <v>954</v>
      </c>
      <c r="AF245" s="126" t="s">
        <v>1574</v>
      </c>
      <c r="AG245" s="28" t="s">
        <v>563</v>
      </c>
      <c r="AK245" s="60">
        <v>2</v>
      </c>
      <c r="AL245" s="28">
        <f>1/COUNTIF(Tableau6[LAT],B245)</f>
        <v>0.5</v>
      </c>
      <c r="AM245" s="60" t="b">
        <f t="shared" si="26"/>
        <v>0</v>
      </c>
      <c r="AN245" s="60" t="b">
        <f t="shared" si="27"/>
        <v>0</v>
      </c>
      <c r="AO245" s="60" t="b">
        <f t="shared" si="28"/>
        <v>0</v>
      </c>
      <c r="AP245" s="60" t="b">
        <f t="shared" si="29"/>
        <v>0</v>
      </c>
      <c r="AQ245" s="60" t="b">
        <f t="shared" si="30"/>
        <v>0</v>
      </c>
      <c r="AR245" s="60" t="str">
        <f t="shared" si="24"/>
        <v>No</v>
      </c>
      <c r="AS245" s="60" t="str">
        <f t="shared" si="25"/>
        <v>No</v>
      </c>
    </row>
    <row r="246" spans="1:45" ht="15" hidden="1">
      <c r="A246" s="103">
        <v>45243</v>
      </c>
      <c r="B246" s="117" t="s">
        <v>1577</v>
      </c>
      <c r="C246" s="28" t="s">
        <v>511</v>
      </c>
      <c r="D246" s="28" t="s">
        <v>1578</v>
      </c>
      <c r="F246" s="28" t="s">
        <v>1579</v>
      </c>
      <c r="G246" s="28" t="s">
        <v>514</v>
      </c>
      <c r="H246" s="28" t="s">
        <v>1580</v>
      </c>
      <c r="I246" s="28" t="s">
        <v>516</v>
      </c>
      <c r="J246" s="28" t="s">
        <v>517</v>
      </c>
      <c r="K246" s="28" t="s">
        <v>518</v>
      </c>
      <c r="L246" s="28" t="s">
        <v>1032</v>
      </c>
      <c r="M246" s="28" t="s">
        <v>535</v>
      </c>
      <c r="N246" s="28" t="s">
        <v>557</v>
      </c>
      <c r="O246" s="28" t="s">
        <v>544</v>
      </c>
      <c r="P246" s="28" t="s">
        <v>559</v>
      </c>
      <c r="S246" s="28" t="s">
        <v>1581</v>
      </c>
      <c r="T246" s="28" t="s">
        <v>545</v>
      </c>
      <c r="U246" s="28" t="s">
        <v>545</v>
      </c>
      <c r="V246" s="28" t="s">
        <v>517</v>
      </c>
      <c r="W246" s="28" t="s">
        <v>889</v>
      </c>
      <c r="Z246" s="28" t="s">
        <v>563</v>
      </c>
      <c r="AB246" s="28" t="s">
        <v>527</v>
      </c>
      <c r="AD246" s="118" t="s">
        <v>954</v>
      </c>
      <c r="AF246" s="126" t="s">
        <v>1578</v>
      </c>
      <c r="AG246" s="28" t="s">
        <v>563</v>
      </c>
      <c r="AK246" s="60">
        <v>2</v>
      </c>
      <c r="AL246" s="28">
        <f>1/COUNTIF(Tableau6[LAT],B246)</f>
        <v>0.33333333333333331</v>
      </c>
      <c r="AM246" s="60" t="b">
        <f t="shared" si="26"/>
        <v>0</v>
      </c>
      <c r="AN246" s="60" t="b">
        <f t="shared" si="27"/>
        <v>0</v>
      </c>
      <c r="AO246" s="60" t="b">
        <f t="shared" si="28"/>
        <v>0</v>
      </c>
      <c r="AP246" s="60" t="b">
        <f t="shared" si="29"/>
        <v>0</v>
      </c>
      <c r="AQ246" s="60" t="b">
        <f t="shared" si="30"/>
        <v>0</v>
      </c>
      <c r="AR246" s="60" t="str">
        <f t="shared" si="24"/>
        <v>No</v>
      </c>
      <c r="AS246" s="60" t="str">
        <f t="shared" si="25"/>
        <v>No</v>
      </c>
    </row>
    <row r="247" spans="1:45" ht="15" hidden="1">
      <c r="A247" s="103">
        <v>45243</v>
      </c>
      <c r="B247" s="117" t="s">
        <v>1577</v>
      </c>
      <c r="C247" s="28" t="s">
        <v>548</v>
      </c>
      <c r="D247" s="28" t="s">
        <v>1582</v>
      </c>
      <c r="F247" s="28" t="s">
        <v>1579</v>
      </c>
      <c r="G247" s="28" t="s">
        <v>514</v>
      </c>
      <c r="H247" s="28" t="s">
        <v>1580</v>
      </c>
      <c r="I247" s="28" t="s">
        <v>516</v>
      </c>
      <c r="J247" s="28" t="s">
        <v>517</v>
      </c>
      <c r="K247" s="28" t="s">
        <v>518</v>
      </c>
      <c r="L247" s="28" t="s">
        <v>1032</v>
      </c>
      <c r="M247" s="28" t="s">
        <v>535</v>
      </c>
      <c r="N247" s="28" t="s">
        <v>557</v>
      </c>
      <c r="O247" s="28" t="s">
        <v>544</v>
      </c>
      <c r="P247" s="28" t="s">
        <v>559</v>
      </c>
      <c r="S247" s="28" t="s">
        <v>1581</v>
      </c>
      <c r="T247" s="28" t="s">
        <v>545</v>
      </c>
      <c r="U247" s="28" t="s">
        <v>545</v>
      </c>
      <c r="V247" s="28" t="s">
        <v>517</v>
      </c>
      <c r="W247" s="28" t="s">
        <v>1583</v>
      </c>
      <c r="Z247" s="28" t="s">
        <v>563</v>
      </c>
      <c r="AB247" s="28" t="s">
        <v>527</v>
      </c>
      <c r="AD247" s="118" t="s">
        <v>954</v>
      </c>
      <c r="AF247" s="126" t="s">
        <v>1582</v>
      </c>
      <c r="AG247" s="28" t="s">
        <v>563</v>
      </c>
      <c r="AK247" s="60">
        <v>2</v>
      </c>
      <c r="AL247" s="28">
        <f>1/COUNTIF(Tableau6[LAT],B247)</f>
        <v>0.33333333333333331</v>
      </c>
      <c r="AM247" s="60" t="b">
        <f t="shared" si="26"/>
        <v>0</v>
      </c>
      <c r="AN247" s="60" t="b">
        <f t="shared" si="27"/>
        <v>0</v>
      </c>
      <c r="AO247" s="60" t="b">
        <f t="shared" si="28"/>
        <v>0</v>
      </c>
      <c r="AP247" s="60" t="b">
        <f t="shared" si="29"/>
        <v>0</v>
      </c>
      <c r="AQ247" s="60" t="b">
        <f t="shared" si="30"/>
        <v>0</v>
      </c>
      <c r="AR247" s="60" t="str">
        <f t="shared" si="24"/>
        <v>No</v>
      </c>
      <c r="AS247" s="60" t="str">
        <f t="shared" si="25"/>
        <v>No</v>
      </c>
    </row>
    <row r="248" spans="1:45" ht="15" hidden="1">
      <c r="A248" s="103">
        <v>45243</v>
      </c>
      <c r="B248" s="117" t="s">
        <v>1577</v>
      </c>
      <c r="C248" s="28" t="s">
        <v>612</v>
      </c>
      <c r="D248" s="28" t="s">
        <v>1584</v>
      </c>
      <c r="F248" s="28" t="s">
        <v>1579</v>
      </c>
      <c r="G248" s="28" t="s">
        <v>514</v>
      </c>
      <c r="H248" s="28" t="s">
        <v>1580</v>
      </c>
      <c r="I248" s="28" t="s">
        <v>516</v>
      </c>
      <c r="J248" s="28" t="s">
        <v>517</v>
      </c>
      <c r="K248" s="28" t="s">
        <v>518</v>
      </c>
      <c r="L248" s="28" t="s">
        <v>1032</v>
      </c>
      <c r="M248" s="28" t="s">
        <v>535</v>
      </c>
      <c r="N248" s="28" t="s">
        <v>557</v>
      </c>
      <c r="O248" s="28" t="s">
        <v>544</v>
      </c>
      <c r="P248" s="28" t="s">
        <v>559</v>
      </c>
      <c r="S248" s="28" t="s">
        <v>1581</v>
      </c>
      <c r="T248" s="28" t="s">
        <v>545</v>
      </c>
      <c r="U248" s="28" t="s">
        <v>545</v>
      </c>
      <c r="V248" s="28" t="s">
        <v>517</v>
      </c>
      <c r="W248" s="28" t="s">
        <v>1585</v>
      </c>
      <c r="Z248" s="28" t="s">
        <v>563</v>
      </c>
      <c r="AB248" s="28" t="s">
        <v>527</v>
      </c>
      <c r="AD248" s="118" t="s">
        <v>954</v>
      </c>
      <c r="AF248" s="126" t="s">
        <v>1584</v>
      </c>
      <c r="AG248" s="28" t="s">
        <v>563</v>
      </c>
      <c r="AK248" s="60">
        <v>2</v>
      </c>
      <c r="AL248" s="28">
        <f>1/COUNTIF(Tableau6[LAT],B248)</f>
        <v>0.33333333333333331</v>
      </c>
      <c r="AM248" s="60" t="b">
        <f t="shared" si="26"/>
        <v>0</v>
      </c>
      <c r="AN248" s="60" t="b">
        <f t="shared" si="27"/>
        <v>0</v>
      </c>
      <c r="AO248" s="60" t="b">
        <f t="shared" si="28"/>
        <v>0</v>
      </c>
      <c r="AP248" s="60" t="b">
        <f t="shared" si="29"/>
        <v>0</v>
      </c>
      <c r="AQ248" s="60" t="b">
        <f t="shared" si="30"/>
        <v>0</v>
      </c>
      <c r="AR248" s="60" t="str">
        <f t="shared" si="24"/>
        <v>No</v>
      </c>
      <c r="AS248" s="60" t="str">
        <f t="shared" si="25"/>
        <v>No</v>
      </c>
    </row>
    <row r="249" spans="1:45" ht="15" hidden="1">
      <c r="A249" s="103">
        <v>45243</v>
      </c>
      <c r="B249" s="117" t="s">
        <v>1586</v>
      </c>
      <c r="C249" s="28" t="s">
        <v>511</v>
      </c>
      <c r="D249" s="28" t="s">
        <v>1587</v>
      </c>
      <c r="F249" s="28" t="s">
        <v>1588</v>
      </c>
      <c r="G249" s="28" t="s">
        <v>514</v>
      </c>
      <c r="H249" s="28" t="s">
        <v>639</v>
      </c>
      <c r="I249" s="28" t="s">
        <v>516</v>
      </c>
      <c r="J249" s="28" t="s">
        <v>517</v>
      </c>
      <c r="K249" s="28" t="s">
        <v>518</v>
      </c>
      <c r="L249" s="28" t="s">
        <v>801</v>
      </c>
      <c r="M249" s="28" t="s">
        <v>520</v>
      </c>
      <c r="N249" s="28" t="s">
        <v>544</v>
      </c>
      <c r="O249" s="28" t="s">
        <v>522</v>
      </c>
      <c r="S249" s="28" t="s">
        <v>1589</v>
      </c>
      <c r="T249" s="28" t="s">
        <v>803</v>
      </c>
      <c r="U249" s="28" t="s">
        <v>803</v>
      </c>
      <c r="V249" s="28" t="s">
        <v>517</v>
      </c>
      <c r="W249" s="28" t="s">
        <v>1590</v>
      </c>
      <c r="Z249" s="28" t="s">
        <v>526</v>
      </c>
      <c r="AD249" s="118"/>
      <c r="AF249" s="126" t="s">
        <v>1083</v>
      </c>
      <c r="AK249" s="60">
        <v>2</v>
      </c>
      <c r="AL249" s="28">
        <f>1/COUNTIF(Tableau6[LAT],B249)</f>
        <v>0.5</v>
      </c>
      <c r="AM249" s="60" t="b">
        <f t="shared" si="26"/>
        <v>0</v>
      </c>
      <c r="AN249" s="60" t="b">
        <f t="shared" si="27"/>
        <v>0</v>
      </c>
      <c r="AO249" s="60" t="b">
        <f t="shared" si="28"/>
        <v>0</v>
      </c>
      <c r="AP249" s="60" t="b">
        <f t="shared" si="29"/>
        <v>0</v>
      </c>
      <c r="AQ249" s="60" t="b">
        <f t="shared" si="30"/>
        <v>0</v>
      </c>
      <c r="AR249" s="60" t="str">
        <f t="shared" si="24"/>
        <v>No</v>
      </c>
      <c r="AS249" s="60" t="str">
        <f t="shared" si="25"/>
        <v>No</v>
      </c>
    </row>
    <row r="250" spans="1:45" ht="15" hidden="1">
      <c r="A250" s="103">
        <v>45243</v>
      </c>
      <c r="B250" s="117" t="s">
        <v>1586</v>
      </c>
      <c r="C250" s="28" t="s">
        <v>548</v>
      </c>
      <c r="D250" s="28" t="s">
        <v>1591</v>
      </c>
      <c r="F250" s="28" t="s">
        <v>1588</v>
      </c>
      <c r="G250" s="28" t="s">
        <v>514</v>
      </c>
      <c r="H250" s="28" t="s">
        <v>639</v>
      </c>
      <c r="I250" s="28" t="s">
        <v>516</v>
      </c>
      <c r="J250" s="28" t="s">
        <v>517</v>
      </c>
      <c r="K250" s="28" t="s">
        <v>518</v>
      </c>
      <c r="L250" s="28" t="s">
        <v>801</v>
      </c>
      <c r="M250" s="28" t="s">
        <v>520</v>
      </c>
      <c r="N250" s="28" t="s">
        <v>544</v>
      </c>
      <c r="O250" s="28" t="s">
        <v>522</v>
      </c>
      <c r="S250" s="28" t="s">
        <v>1589</v>
      </c>
      <c r="T250" s="28" t="s">
        <v>803</v>
      </c>
      <c r="U250" s="28" t="s">
        <v>803</v>
      </c>
      <c r="V250" s="28" t="s">
        <v>517</v>
      </c>
      <c r="W250" s="28" t="s">
        <v>1592</v>
      </c>
      <c r="Z250" s="28" t="s">
        <v>526</v>
      </c>
      <c r="AD250" s="118"/>
      <c r="AF250" s="126" t="s">
        <v>1083</v>
      </c>
      <c r="AK250" s="60">
        <v>2</v>
      </c>
      <c r="AL250" s="28">
        <f>1/COUNTIF(Tableau6[LAT],B250)</f>
        <v>0.5</v>
      </c>
      <c r="AM250" s="60" t="b">
        <f t="shared" si="26"/>
        <v>0</v>
      </c>
      <c r="AN250" s="60" t="b">
        <f t="shared" si="27"/>
        <v>0</v>
      </c>
      <c r="AO250" s="60" t="b">
        <f t="shared" si="28"/>
        <v>0</v>
      </c>
      <c r="AP250" s="60" t="b">
        <f t="shared" si="29"/>
        <v>0</v>
      </c>
      <c r="AQ250" s="60" t="b">
        <f t="shared" si="30"/>
        <v>0</v>
      </c>
      <c r="AR250" s="60" t="str">
        <f t="shared" si="24"/>
        <v>No</v>
      </c>
      <c r="AS250" s="60" t="str">
        <f t="shared" si="25"/>
        <v>No</v>
      </c>
    </row>
    <row r="251" spans="1:45" ht="15" hidden="1">
      <c r="A251" s="103">
        <v>45243</v>
      </c>
      <c r="B251" s="117" t="s">
        <v>1593</v>
      </c>
      <c r="C251" s="28" t="s">
        <v>548</v>
      </c>
      <c r="D251" s="28" t="s">
        <v>1594</v>
      </c>
      <c r="E251" s="28" t="s">
        <v>792</v>
      </c>
      <c r="F251" s="28" t="s">
        <v>1595</v>
      </c>
      <c r="G251" s="28" t="s">
        <v>1456</v>
      </c>
      <c r="H251" s="28" t="s">
        <v>1596</v>
      </c>
      <c r="I251" s="28" t="s">
        <v>516</v>
      </c>
      <c r="J251" s="28" t="s">
        <v>517</v>
      </c>
      <c r="K251" s="28" t="s">
        <v>518</v>
      </c>
      <c r="L251" s="28" t="s">
        <v>774</v>
      </c>
      <c r="M251" s="28" t="s">
        <v>605</v>
      </c>
      <c r="S251" s="28" t="s">
        <v>795</v>
      </c>
      <c r="T251" s="28" t="s">
        <v>776</v>
      </c>
      <c r="U251" s="28" t="s">
        <v>776</v>
      </c>
      <c r="V251" s="28" t="s">
        <v>517</v>
      </c>
      <c r="W251" s="28" t="s">
        <v>796</v>
      </c>
      <c r="X251" s="28" t="s">
        <v>670</v>
      </c>
      <c r="Z251" s="28" t="s">
        <v>563</v>
      </c>
      <c r="AB251" s="73" t="s">
        <v>609</v>
      </c>
      <c r="AD251" s="118" t="s">
        <v>528</v>
      </c>
      <c r="AF251" s="125" t="s">
        <v>1597</v>
      </c>
      <c r="AG251" s="28" t="s">
        <v>563</v>
      </c>
      <c r="AK251" s="60">
        <v>2</v>
      </c>
      <c r="AL251" s="28">
        <f>1/COUNTIF(Tableau6[LAT],B251)</f>
        <v>1</v>
      </c>
      <c r="AM251" s="60" t="b">
        <f t="shared" si="26"/>
        <v>0</v>
      </c>
      <c r="AN251" s="60" t="b">
        <f t="shared" si="27"/>
        <v>0</v>
      </c>
      <c r="AO251" s="60" t="b">
        <f t="shared" si="28"/>
        <v>0</v>
      </c>
      <c r="AP251" s="60" t="b">
        <f t="shared" si="29"/>
        <v>0</v>
      </c>
      <c r="AQ251" s="60" t="b">
        <f t="shared" si="30"/>
        <v>0</v>
      </c>
      <c r="AR251" s="60" t="str">
        <f t="shared" si="24"/>
        <v>No</v>
      </c>
      <c r="AS251" s="60" t="str">
        <f t="shared" si="25"/>
        <v>No</v>
      </c>
    </row>
    <row r="252" spans="1:45" ht="15" hidden="1">
      <c r="A252" s="103">
        <v>45243</v>
      </c>
      <c r="B252" s="117" t="s">
        <v>1598</v>
      </c>
      <c r="C252" s="28" t="s">
        <v>511</v>
      </c>
      <c r="D252" s="28" t="s">
        <v>1599</v>
      </c>
      <c r="F252" s="28" t="s">
        <v>1600</v>
      </c>
      <c r="G252" s="28" t="s">
        <v>514</v>
      </c>
      <c r="H252" s="28" t="s">
        <v>603</v>
      </c>
      <c r="I252" s="28" t="s">
        <v>516</v>
      </c>
      <c r="J252" s="28" t="s">
        <v>517</v>
      </c>
      <c r="K252" s="28" t="s">
        <v>518</v>
      </c>
      <c r="L252" s="28" t="s">
        <v>1097</v>
      </c>
      <c r="M252" s="28" t="s">
        <v>520</v>
      </c>
      <c r="N252" s="28" t="s">
        <v>557</v>
      </c>
      <c r="O252" s="28" t="s">
        <v>522</v>
      </c>
      <c r="S252" s="28" t="s">
        <v>698</v>
      </c>
      <c r="T252" s="28" t="s">
        <v>1098</v>
      </c>
      <c r="U252" s="28" t="s">
        <v>1098</v>
      </c>
      <c r="V252" s="28" t="s">
        <v>517</v>
      </c>
      <c r="W252" s="28" t="s">
        <v>1601</v>
      </c>
      <c r="Z252" s="28" t="s">
        <v>563</v>
      </c>
      <c r="AB252" s="28" t="s">
        <v>527</v>
      </c>
      <c r="AD252" s="118" t="s">
        <v>954</v>
      </c>
      <c r="AF252" s="125" t="s">
        <v>1599</v>
      </c>
      <c r="AG252" s="28" t="s">
        <v>563</v>
      </c>
      <c r="AK252" s="60">
        <v>2</v>
      </c>
      <c r="AL252" s="28">
        <f>1/COUNTIF(Tableau6[LAT],B252)</f>
        <v>1</v>
      </c>
      <c r="AM252" s="60" t="b">
        <f t="shared" si="26"/>
        <v>0</v>
      </c>
      <c r="AN252" s="60" t="b">
        <f t="shared" si="27"/>
        <v>0</v>
      </c>
      <c r="AO252" s="60" t="b">
        <f t="shared" si="28"/>
        <v>0</v>
      </c>
      <c r="AP252" s="60" t="b">
        <f t="shared" si="29"/>
        <v>0</v>
      </c>
      <c r="AQ252" s="60" t="b">
        <f t="shared" si="30"/>
        <v>0</v>
      </c>
      <c r="AR252" s="60" t="str">
        <f t="shared" si="24"/>
        <v>No</v>
      </c>
      <c r="AS252" s="60" t="str">
        <f t="shared" si="25"/>
        <v>No</v>
      </c>
    </row>
    <row r="253" spans="1:45" ht="15" hidden="1">
      <c r="A253" s="103">
        <v>45243</v>
      </c>
      <c r="B253" s="117" t="s">
        <v>1602</v>
      </c>
      <c r="C253" s="28" t="s">
        <v>511</v>
      </c>
      <c r="D253" s="28" t="s">
        <v>1603</v>
      </c>
      <c r="F253" s="28" t="s">
        <v>1604</v>
      </c>
      <c r="G253" s="28" t="s">
        <v>514</v>
      </c>
      <c r="H253" s="28" t="s">
        <v>1605</v>
      </c>
      <c r="I253" s="28" t="s">
        <v>516</v>
      </c>
      <c r="J253" s="28" t="s">
        <v>517</v>
      </c>
      <c r="K253" s="28" t="s">
        <v>518</v>
      </c>
      <c r="L253" s="28" t="s">
        <v>1097</v>
      </c>
      <c r="M253" s="28" t="s">
        <v>520</v>
      </c>
      <c r="N253" s="28" t="s">
        <v>557</v>
      </c>
      <c r="O253" s="28" t="s">
        <v>522</v>
      </c>
      <c r="P253" s="28" t="s">
        <v>559</v>
      </c>
      <c r="S253" s="28" t="s">
        <v>1318</v>
      </c>
      <c r="T253" s="28" t="s">
        <v>1098</v>
      </c>
      <c r="U253" s="28" t="s">
        <v>1098</v>
      </c>
      <c r="V253" s="28" t="s">
        <v>517</v>
      </c>
      <c r="W253" s="28" t="s">
        <v>1606</v>
      </c>
      <c r="Z253" s="28" t="s">
        <v>563</v>
      </c>
      <c r="AB253" s="28" t="s">
        <v>923</v>
      </c>
      <c r="AD253" s="118" t="s">
        <v>528</v>
      </c>
      <c r="AF253" s="125" t="s">
        <v>1603</v>
      </c>
      <c r="AG253" s="28" t="s">
        <v>563</v>
      </c>
      <c r="AK253" s="60">
        <v>2</v>
      </c>
      <c r="AL253" s="28">
        <f>1/COUNTIF(Tableau6[LAT],B253)</f>
        <v>1</v>
      </c>
      <c r="AM253" s="60" t="b">
        <f t="shared" si="26"/>
        <v>0</v>
      </c>
      <c r="AN253" s="60" t="b">
        <f t="shared" si="27"/>
        <v>0</v>
      </c>
      <c r="AO253" s="60" t="b">
        <f t="shared" si="28"/>
        <v>0</v>
      </c>
      <c r="AP253" s="60" t="b">
        <f t="shared" si="29"/>
        <v>0</v>
      </c>
      <c r="AQ253" s="60" t="b">
        <f t="shared" si="30"/>
        <v>0</v>
      </c>
      <c r="AR253" s="60" t="str">
        <f t="shared" si="24"/>
        <v>No</v>
      </c>
      <c r="AS253" s="60" t="str">
        <f t="shared" si="25"/>
        <v>No</v>
      </c>
    </row>
    <row r="254" spans="1:45" ht="15" hidden="1">
      <c r="A254" s="103">
        <v>45243</v>
      </c>
      <c r="B254" s="117" t="s">
        <v>1607</v>
      </c>
      <c r="C254" s="28" t="s">
        <v>511</v>
      </c>
      <c r="D254" s="28" t="s">
        <v>1608</v>
      </c>
      <c r="F254" s="28" t="s">
        <v>1609</v>
      </c>
      <c r="G254" s="28" t="s">
        <v>724</v>
      </c>
      <c r="H254" s="28" t="s">
        <v>1610</v>
      </c>
      <c r="I254" s="28" t="s">
        <v>516</v>
      </c>
      <c r="J254" s="28" t="s">
        <v>517</v>
      </c>
      <c r="K254" s="28" t="s">
        <v>518</v>
      </c>
      <c r="L254" s="28" t="s">
        <v>1429</v>
      </c>
      <c r="M254" s="28" t="s">
        <v>535</v>
      </c>
      <c r="N254" s="28" t="s">
        <v>619</v>
      </c>
      <c r="O254" s="28" t="s">
        <v>557</v>
      </c>
      <c r="P254" s="28" t="s">
        <v>522</v>
      </c>
      <c r="S254" s="28" t="s">
        <v>659</v>
      </c>
      <c r="T254" s="28" t="s">
        <v>1431</v>
      </c>
      <c r="U254" s="28" t="s">
        <v>1431</v>
      </c>
      <c r="V254" s="28" t="s">
        <v>517</v>
      </c>
      <c r="W254" s="28" t="s">
        <v>1611</v>
      </c>
      <c r="Z254" s="28" t="s">
        <v>563</v>
      </c>
      <c r="AB254" s="28" t="s">
        <v>527</v>
      </c>
      <c r="AD254" s="118" t="s">
        <v>528</v>
      </c>
      <c r="AF254" s="125" t="s">
        <v>1608</v>
      </c>
      <c r="AG254" s="28" t="s">
        <v>563</v>
      </c>
      <c r="AK254" s="60">
        <v>2</v>
      </c>
      <c r="AL254" s="28">
        <f>1/COUNTIF(Tableau6[LAT],B254)</f>
        <v>1</v>
      </c>
      <c r="AM254" s="60" t="b">
        <f t="shared" si="26"/>
        <v>0</v>
      </c>
      <c r="AN254" s="60" t="b">
        <f t="shared" si="27"/>
        <v>0</v>
      </c>
      <c r="AO254" s="60" t="b">
        <f t="shared" si="28"/>
        <v>0</v>
      </c>
      <c r="AP254" s="60" t="b">
        <f t="shared" si="29"/>
        <v>0</v>
      </c>
      <c r="AQ254" s="60" t="b">
        <f t="shared" si="30"/>
        <v>0</v>
      </c>
      <c r="AR254" s="60" t="str">
        <f t="shared" si="24"/>
        <v>No</v>
      </c>
      <c r="AS254" s="60" t="str">
        <f t="shared" si="25"/>
        <v>No</v>
      </c>
    </row>
    <row r="255" spans="1:45" ht="15" hidden="1">
      <c r="A255" s="103">
        <v>45243</v>
      </c>
      <c r="B255" s="117" t="s">
        <v>1612</v>
      </c>
      <c r="C255" s="28" t="s">
        <v>511</v>
      </c>
      <c r="D255" s="28" t="s">
        <v>1613</v>
      </c>
      <c r="F255" s="28" t="s">
        <v>1614</v>
      </c>
      <c r="G255" s="28" t="s">
        <v>514</v>
      </c>
      <c r="H255" s="28" t="s">
        <v>1615</v>
      </c>
      <c r="I255" s="28" t="s">
        <v>516</v>
      </c>
      <c r="J255" s="28" t="s">
        <v>517</v>
      </c>
      <c r="K255" s="28" t="s">
        <v>518</v>
      </c>
      <c r="L255" s="28" t="s">
        <v>1032</v>
      </c>
      <c r="M255" s="28" t="s">
        <v>535</v>
      </c>
      <c r="N255" s="28" t="s">
        <v>544</v>
      </c>
      <c r="S255" s="28" t="s">
        <v>820</v>
      </c>
      <c r="T255" s="28" t="s">
        <v>545</v>
      </c>
      <c r="U255" s="28" t="s">
        <v>545</v>
      </c>
      <c r="V255" s="28" t="s">
        <v>517</v>
      </c>
      <c r="W255" s="28" t="s">
        <v>835</v>
      </c>
      <c r="Z255" s="28" t="s">
        <v>563</v>
      </c>
      <c r="AB255" s="28" t="s">
        <v>527</v>
      </c>
      <c r="AD255" s="118" t="s">
        <v>528</v>
      </c>
      <c r="AF255" s="125" t="s">
        <v>1613</v>
      </c>
      <c r="AG255" s="28" t="s">
        <v>563</v>
      </c>
      <c r="AK255" s="60">
        <v>2</v>
      </c>
      <c r="AL255" s="28">
        <f>1/COUNTIF(Tableau6[LAT],B255)</f>
        <v>1</v>
      </c>
      <c r="AM255" s="60" t="b">
        <f t="shared" si="26"/>
        <v>0</v>
      </c>
      <c r="AN255" s="60" t="b">
        <f t="shared" si="27"/>
        <v>0</v>
      </c>
      <c r="AO255" s="60" t="b">
        <f t="shared" si="28"/>
        <v>0</v>
      </c>
      <c r="AP255" s="60" t="b">
        <f t="shared" si="29"/>
        <v>0</v>
      </c>
      <c r="AQ255" s="60" t="b">
        <f t="shared" si="30"/>
        <v>0</v>
      </c>
      <c r="AR255" s="60" t="str">
        <f t="shared" si="24"/>
        <v>No</v>
      </c>
      <c r="AS255" s="60" t="str">
        <f t="shared" si="25"/>
        <v>No</v>
      </c>
    </row>
    <row r="256" spans="1:45" ht="15" hidden="1">
      <c r="A256" s="103">
        <v>45243</v>
      </c>
      <c r="B256" s="117" t="s">
        <v>1616</v>
      </c>
      <c r="C256" s="28" t="s">
        <v>511</v>
      </c>
      <c r="D256" s="28" t="s">
        <v>1617</v>
      </c>
      <c r="F256" s="28" t="s">
        <v>1618</v>
      </c>
      <c r="G256" s="28" t="s">
        <v>958</v>
      </c>
      <c r="H256" s="28" t="s">
        <v>1619</v>
      </c>
      <c r="I256" s="28" t="s">
        <v>516</v>
      </c>
      <c r="J256" s="28" t="s">
        <v>517</v>
      </c>
      <c r="K256" s="28" t="s">
        <v>518</v>
      </c>
      <c r="L256" s="28" t="s">
        <v>1040</v>
      </c>
      <c r="M256" s="28" t="s">
        <v>520</v>
      </c>
      <c r="S256" s="28" t="s">
        <v>1246</v>
      </c>
      <c r="T256" s="28" t="s">
        <v>1042</v>
      </c>
      <c r="U256" s="28" t="s">
        <v>1042</v>
      </c>
      <c r="V256" s="28" t="s">
        <v>517</v>
      </c>
      <c r="W256" s="28" t="s">
        <v>1620</v>
      </c>
      <c r="Z256" s="28" t="s">
        <v>563</v>
      </c>
      <c r="AB256" s="28" t="s">
        <v>527</v>
      </c>
      <c r="AD256" s="118" t="s">
        <v>954</v>
      </c>
      <c r="AF256" s="126" t="s">
        <v>1617</v>
      </c>
      <c r="AG256" s="28" t="s">
        <v>563</v>
      </c>
      <c r="AK256" s="60">
        <v>2</v>
      </c>
      <c r="AL256" s="28">
        <f>1/COUNTIF(Tableau6[LAT],B256)</f>
        <v>0.5</v>
      </c>
      <c r="AM256" s="60" t="b">
        <f t="shared" si="26"/>
        <v>0</v>
      </c>
      <c r="AN256" s="60" t="b">
        <f t="shared" si="27"/>
        <v>0</v>
      </c>
      <c r="AO256" s="60" t="b">
        <f t="shared" si="28"/>
        <v>0</v>
      </c>
      <c r="AP256" s="60" t="b">
        <f t="shared" si="29"/>
        <v>0</v>
      </c>
      <c r="AQ256" s="60" t="b">
        <f t="shared" si="30"/>
        <v>0</v>
      </c>
      <c r="AR256" s="60" t="str">
        <f t="shared" si="24"/>
        <v>No</v>
      </c>
      <c r="AS256" s="60" t="str">
        <f t="shared" si="25"/>
        <v>No</v>
      </c>
    </row>
    <row r="257" spans="1:45" ht="15" hidden="1">
      <c r="A257" s="103">
        <v>45243</v>
      </c>
      <c r="B257" s="117" t="s">
        <v>1616</v>
      </c>
      <c r="C257" s="28" t="s">
        <v>548</v>
      </c>
      <c r="D257" s="28" t="s">
        <v>1621</v>
      </c>
      <c r="F257" s="28" t="s">
        <v>1622</v>
      </c>
      <c r="G257" s="28" t="s">
        <v>514</v>
      </c>
      <c r="H257" s="28" t="s">
        <v>658</v>
      </c>
      <c r="I257" s="28" t="s">
        <v>516</v>
      </c>
      <c r="J257" s="28" t="s">
        <v>517</v>
      </c>
      <c r="K257" s="28" t="s">
        <v>518</v>
      </c>
      <c r="L257" s="28" t="s">
        <v>1040</v>
      </c>
      <c r="M257" s="28" t="s">
        <v>520</v>
      </c>
      <c r="S257" s="28" t="s">
        <v>1246</v>
      </c>
      <c r="T257" s="28" t="s">
        <v>1042</v>
      </c>
      <c r="U257" s="28" t="s">
        <v>1042</v>
      </c>
      <c r="V257" s="28" t="s">
        <v>517</v>
      </c>
      <c r="W257" s="28" t="s">
        <v>1620</v>
      </c>
      <c r="Z257" s="28" t="s">
        <v>563</v>
      </c>
      <c r="AB257" s="28" t="s">
        <v>527</v>
      </c>
      <c r="AD257" s="118" t="s">
        <v>954</v>
      </c>
      <c r="AF257" s="126" t="s">
        <v>1621</v>
      </c>
      <c r="AG257" s="28" t="s">
        <v>563</v>
      </c>
      <c r="AK257" s="60">
        <v>2</v>
      </c>
      <c r="AL257" s="28">
        <f>1/COUNTIF(Tableau6[LAT],B257)</f>
        <v>0.5</v>
      </c>
      <c r="AM257" s="60" t="b">
        <f t="shared" si="26"/>
        <v>0</v>
      </c>
      <c r="AN257" s="60" t="b">
        <f t="shared" si="27"/>
        <v>0</v>
      </c>
      <c r="AO257" s="60" t="b">
        <f t="shared" si="28"/>
        <v>0</v>
      </c>
      <c r="AP257" s="60" t="b">
        <f t="shared" si="29"/>
        <v>0</v>
      </c>
      <c r="AQ257" s="60" t="b">
        <f t="shared" si="30"/>
        <v>0</v>
      </c>
      <c r="AR257" s="60" t="str">
        <f t="shared" si="24"/>
        <v>No</v>
      </c>
      <c r="AS257" s="60" t="str">
        <f t="shared" si="25"/>
        <v>No</v>
      </c>
    </row>
    <row r="258" spans="1:45" ht="15" hidden="1">
      <c r="A258" s="103">
        <v>45243</v>
      </c>
      <c r="B258" s="117" t="s">
        <v>1623</v>
      </c>
      <c r="C258" s="28" t="s">
        <v>511</v>
      </c>
      <c r="D258" s="28" t="s">
        <v>1624</v>
      </c>
      <c r="F258" s="28" t="s">
        <v>1625</v>
      </c>
      <c r="G258" s="28" t="s">
        <v>514</v>
      </c>
      <c r="H258" s="28" t="s">
        <v>990</v>
      </c>
      <c r="I258" s="28" t="s">
        <v>516</v>
      </c>
      <c r="J258" s="28" t="s">
        <v>517</v>
      </c>
      <c r="K258" s="28" t="s">
        <v>682</v>
      </c>
      <c r="L258" s="28" t="s">
        <v>1626</v>
      </c>
      <c r="M258" s="28" t="s">
        <v>605</v>
      </c>
      <c r="N258" s="28" t="s">
        <v>1124</v>
      </c>
      <c r="O258" s="28" t="s">
        <v>557</v>
      </c>
      <c r="P258" s="28" t="s">
        <v>544</v>
      </c>
      <c r="S258" s="28" t="s">
        <v>905</v>
      </c>
      <c r="T258" s="28" t="s">
        <v>545</v>
      </c>
      <c r="U258" s="28" t="s">
        <v>545</v>
      </c>
      <c r="V258" s="28" t="s">
        <v>517</v>
      </c>
      <c r="W258" s="28" t="s">
        <v>1627</v>
      </c>
      <c r="Z258" s="28" t="s">
        <v>563</v>
      </c>
      <c r="AB258" s="28" t="s">
        <v>527</v>
      </c>
      <c r="AD258" s="118" t="s">
        <v>954</v>
      </c>
      <c r="AF258" s="126" t="s">
        <v>1624</v>
      </c>
      <c r="AG258" s="28" t="s">
        <v>563</v>
      </c>
      <c r="AK258" s="60">
        <v>2</v>
      </c>
      <c r="AL258" s="28">
        <f>1/COUNTIF(Tableau6[LAT],B258)</f>
        <v>0.33333333333333331</v>
      </c>
      <c r="AM258" s="60" t="b">
        <f t="shared" si="26"/>
        <v>0</v>
      </c>
      <c r="AN258" s="60" t="b">
        <f t="shared" si="27"/>
        <v>0</v>
      </c>
      <c r="AO258" s="60" t="b">
        <f t="shared" si="28"/>
        <v>0</v>
      </c>
      <c r="AP258" s="60" t="b">
        <f t="shared" si="29"/>
        <v>0</v>
      </c>
      <c r="AQ258" s="60" t="b">
        <f t="shared" si="30"/>
        <v>0</v>
      </c>
      <c r="AR258" s="60" t="str">
        <f t="shared" si="24"/>
        <v>No</v>
      </c>
      <c r="AS258" s="60" t="str">
        <f t="shared" si="25"/>
        <v>No</v>
      </c>
    </row>
    <row r="259" spans="1:45" ht="15" hidden="1">
      <c r="A259" s="103">
        <v>45243</v>
      </c>
      <c r="B259" s="117" t="s">
        <v>1623</v>
      </c>
      <c r="C259" s="28" t="s">
        <v>548</v>
      </c>
      <c r="D259" s="28" t="s">
        <v>1628</v>
      </c>
      <c r="F259" s="28" t="s">
        <v>1625</v>
      </c>
      <c r="G259" s="28" t="s">
        <v>514</v>
      </c>
      <c r="H259" s="28" t="s">
        <v>990</v>
      </c>
      <c r="I259" s="28" t="s">
        <v>516</v>
      </c>
      <c r="J259" s="28" t="s">
        <v>517</v>
      </c>
      <c r="K259" s="28" t="s">
        <v>682</v>
      </c>
      <c r="L259" s="28" t="s">
        <v>1626</v>
      </c>
      <c r="M259" s="28" t="s">
        <v>605</v>
      </c>
      <c r="N259" s="28" t="s">
        <v>1124</v>
      </c>
      <c r="O259" s="28" t="s">
        <v>557</v>
      </c>
      <c r="P259" s="28" t="s">
        <v>544</v>
      </c>
      <c r="S259" s="28" t="s">
        <v>905</v>
      </c>
      <c r="T259" s="28" t="s">
        <v>545</v>
      </c>
      <c r="U259" s="28" t="s">
        <v>545</v>
      </c>
      <c r="V259" s="28" t="s">
        <v>517</v>
      </c>
      <c r="W259" s="28" t="s">
        <v>1629</v>
      </c>
      <c r="Z259" s="28" t="s">
        <v>563</v>
      </c>
      <c r="AB259" s="28" t="s">
        <v>527</v>
      </c>
      <c r="AD259" s="118" t="s">
        <v>954</v>
      </c>
      <c r="AF259" s="126" t="s">
        <v>1628</v>
      </c>
      <c r="AG259" s="28" t="s">
        <v>563</v>
      </c>
      <c r="AK259" s="60">
        <v>2</v>
      </c>
      <c r="AL259" s="28">
        <f>1/COUNTIF(Tableau6[LAT],B259)</f>
        <v>0.33333333333333331</v>
      </c>
      <c r="AM259" s="60" t="b">
        <f t="shared" si="26"/>
        <v>0</v>
      </c>
      <c r="AN259" s="60" t="b">
        <f t="shared" si="27"/>
        <v>0</v>
      </c>
      <c r="AO259" s="60" t="b">
        <f t="shared" si="28"/>
        <v>0</v>
      </c>
      <c r="AP259" s="60" t="b">
        <f t="shared" si="29"/>
        <v>0</v>
      </c>
      <c r="AQ259" s="60" t="b">
        <f t="shared" si="30"/>
        <v>0</v>
      </c>
      <c r="AR259" s="60" t="str">
        <f t="shared" si="24"/>
        <v>No</v>
      </c>
      <c r="AS259" s="60" t="str">
        <f t="shared" si="25"/>
        <v>No</v>
      </c>
    </row>
    <row r="260" spans="1:45" ht="15" hidden="1">
      <c r="A260" s="103">
        <v>45243</v>
      </c>
      <c r="B260" s="117" t="s">
        <v>1623</v>
      </c>
      <c r="C260" s="28" t="s">
        <v>612</v>
      </c>
      <c r="D260" s="28" t="s">
        <v>1630</v>
      </c>
      <c r="F260" s="28" t="s">
        <v>1625</v>
      </c>
      <c r="G260" s="28" t="s">
        <v>514</v>
      </c>
      <c r="H260" s="28" t="s">
        <v>990</v>
      </c>
      <c r="I260" s="28" t="s">
        <v>516</v>
      </c>
      <c r="J260" s="28" t="s">
        <v>517</v>
      </c>
      <c r="K260" s="28" t="s">
        <v>682</v>
      </c>
      <c r="L260" s="28" t="s">
        <v>1626</v>
      </c>
      <c r="M260" s="28" t="s">
        <v>605</v>
      </c>
      <c r="N260" s="28" t="s">
        <v>1124</v>
      </c>
      <c r="O260" s="28" t="s">
        <v>557</v>
      </c>
      <c r="P260" s="28" t="s">
        <v>544</v>
      </c>
      <c r="S260" s="28" t="s">
        <v>905</v>
      </c>
      <c r="T260" s="28" t="s">
        <v>545</v>
      </c>
      <c r="U260" s="28" t="s">
        <v>545</v>
      </c>
      <c r="V260" s="28" t="s">
        <v>517</v>
      </c>
      <c r="W260" s="28" t="s">
        <v>1631</v>
      </c>
      <c r="Z260" s="28" t="s">
        <v>563</v>
      </c>
      <c r="AB260" s="28" t="s">
        <v>527</v>
      </c>
      <c r="AD260" s="118" t="s">
        <v>954</v>
      </c>
      <c r="AF260" s="126" t="s">
        <v>1630</v>
      </c>
      <c r="AG260" s="28" t="s">
        <v>563</v>
      </c>
      <c r="AK260" s="60">
        <v>2</v>
      </c>
      <c r="AL260" s="28">
        <f>1/COUNTIF(Tableau6[LAT],B260)</f>
        <v>0.33333333333333331</v>
      </c>
      <c r="AM260" s="60" t="b">
        <f t="shared" si="26"/>
        <v>0</v>
      </c>
      <c r="AN260" s="60" t="b">
        <f t="shared" si="27"/>
        <v>0</v>
      </c>
      <c r="AO260" s="60" t="b">
        <f t="shared" si="28"/>
        <v>0</v>
      </c>
      <c r="AP260" s="60" t="b">
        <f t="shared" si="29"/>
        <v>0</v>
      </c>
      <c r="AQ260" s="60" t="b">
        <f t="shared" si="30"/>
        <v>0</v>
      </c>
      <c r="AR260" s="60" t="str">
        <f t="shared" ref="AR260:AR323" si="31">IF(AM260="Yes","Yes",IF(AN260="Yes","Yes",IF(AO260="yes","Yes",IF(AP260="Yes","Yes","No"))))</f>
        <v>No</v>
      </c>
      <c r="AS260" s="60" t="str">
        <f t="shared" ref="AS260:AS323" si="32">IF(S260="QFA","Yes",IF(S260="LCJ","Yes",IF(S260="CAJ","Yes",IF(S260="WRO","Yes",IF(S260="BEY","Yes",IF(S260="TUN","Yes",IF(S260="LFW","Yes",IF(S260="DLA","Yes",IF(S260="NSI","Yes",IF(S260="OUA","Yes",IF(S260="IAH","Yes",IF(S260="LYS","Yes",IF(S260="DSS","Yes",IF(S260="BKO","Yes",IF(S260="BZV","Yes",IF(S260="COO","Yes",IF(S260="EZE","Yes",IF(S260="CKY","Yes",IF(S260="PTP","Yes",IF(S260="ORD","Yes",IF(S260="CFE","Yes",IF(S260="NKC","Yes",IF(S260="FDF","Yes",IF(S260="SDQ","Yes",IF(S260="PNR","Yes",IF(S260="ICAY","Yes",IF(S260="DTW","Yes",IF(S260="TNR","Yes",IF(S260="RUN","Yes",IF(S260="NIM","Yes","No"))))))))))))))))))))))))))))))</f>
        <v>No</v>
      </c>
    </row>
    <row r="261" spans="1:45" ht="15" hidden="1">
      <c r="A261" s="103">
        <v>45243</v>
      </c>
      <c r="B261" s="117" t="s">
        <v>1632</v>
      </c>
      <c r="C261" s="28" t="s">
        <v>511</v>
      </c>
      <c r="D261" s="28" t="s">
        <v>1633</v>
      </c>
      <c r="F261" s="28" t="s">
        <v>1634</v>
      </c>
      <c r="G261" s="28" t="s">
        <v>1635</v>
      </c>
      <c r="H261" s="28" t="s">
        <v>1636</v>
      </c>
      <c r="I261" s="28" t="s">
        <v>517</v>
      </c>
      <c r="J261" s="28" t="s">
        <v>517</v>
      </c>
      <c r="K261" s="28" t="s">
        <v>518</v>
      </c>
      <c r="L261" s="28" t="s">
        <v>1199</v>
      </c>
      <c r="M261" s="28" t="s">
        <v>520</v>
      </c>
      <c r="N261" s="28" t="s">
        <v>1637</v>
      </c>
      <c r="O261" s="28" t="s">
        <v>1383</v>
      </c>
      <c r="P261" s="28" t="s">
        <v>544</v>
      </c>
      <c r="Q261" s="28" t="s">
        <v>627</v>
      </c>
      <c r="S261" s="28" t="s">
        <v>573</v>
      </c>
      <c r="T261" s="28" t="s">
        <v>651</v>
      </c>
      <c r="U261" s="28" t="s">
        <v>651</v>
      </c>
      <c r="V261" s="28" t="s">
        <v>517</v>
      </c>
      <c r="W261" s="28" t="s">
        <v>835</v>
      </c>
      <c r="Z261" s="28" t="s">
        <v>526</v>
      </c>
      <c r="AB261" s="28" t="s">
        <v>1638</v>
      </c>
      <c r="AC261" s="73" t="s">
        <v>35</v>
      </c>
      <c r="AD261" s="118" t="s">
        <v>528</v>
      </c>
      <c r="AF261" s="126" t="s">
        <v>1633</v>
      </c>
      <c r="AG261" s="28" t="s">
        <v>529</v>
      </c>
      <c r="AK261" s="60">
        <v>2</v>
      </c>
      <c r="AL261" s="28">
        <f>1/COUNTIF(Tableau6[LAT],B261)</f>
        <v>0.14285714285714285</v>
      </c>
      <c r="AM261" s="60" t="b">
        <f t="shared" si="26"/>
        <v>0</v>
      </c>
      <c r="AN261" s="60" t="b">
        <f t="shared" si="27"/>
        <v>0</v>
      </c>
      <c r="AO261" s="60" t="b">
        <f t="shared" si="28"/>
        <v>0</v>
      </c>
      <c r="AP261" s="60" t="b">
        <f t="shared" si="29"/>
        <v>0</v>
      </c>
      <c r="AQ261" s="60" t="b">
        <f t="shared" si="30"/>
        <v>0</v>
      </c>
      <c r="AR261" s="60" t="str">
        <f t="shared" si="31"/>
        <v>No</v>
      </c>
      <c r="AS261" s="60" t="str">
        <f t="shared" si="32"/>
        <v>No</v>
      </c>
    </row>
    <row r="262" spans="1:45" ht="15" hidden="1">
      <c r="A262" s="103">
        <v>45243</v>
      </c>
      <c r="B262" s="117" t="s">
        <v>1632</v>
      </c>
      <c r="C262" s="28" t="s">
        <v>1639</v>
      </c>
      <c r="D262" s="28" t="s">
        <v>1640</v>
      </c>
      <c r="E262" s="28" t="s">
        <v>1641</v>
      </c>
      <c r="F262" s="28" t="s">
        <v>1642</v>
      </c>
      <c r="G262" s="28" t="s">
        <v>1077</v>
      </c>
      <c r="H262" s="28" t="s">
        <v>1643</v>
      </c>
      <c r="I262" s="28" t="s">
        <v>517</v>
      </c>
      <c r="J262" s="28" t="s">
        <v>517</v>
      </c>
      <c r="K262" s="28" t="s">
        <v>518</v>
      </c>
      <c r="L262" s="28" t="s">
        <v>1199</v>
      </c>
      <c r="M262" s="28" t="s">
        <v>520</v>
      </c>
      <c r="N262" s="28" t="s">
        <v>1637</v>
      </c>
      <c r="O262" s="28" t="s">
        <v>1383</v>
      </c>
      <c r="P262" s="28" t="s">
        <v>544</v>
      </c>
      <c r="Q262" s="28" t="s">
        <v>627</v>
      </c>
      <c r="S262" s="28" t="s">
        <v>573</v>
      </c>
      <c r="T262" s="28" t="s">
        <v>651</v>
      </c>
      <c r="U262" s="28" t="s">
        <v>651</v>
      </c>
      <c r="V262" s="28" t="s">
        <v>517</v>
      </c>
      <c r="W262" s="28" t="s">
        <v>1644</v>
      </c>
      <c r="X262" s="28" t="s">
        <v>670</v>
      </c>
      <c r="Z262" s="28" t="s">
        <v>526</v>
      </c>
      <c r="AB262" s="28" t="s">
        <v>1638</v>
      </c>
      <c r="AC262" s="73" t="s">
        <v>35</v>
      </c>
      <c r="AD262" s="118" t="s">
        <v>528</v>
      </c>
      <c r="AF262" s="126" t="s">
        <v>1645</v>
      </c>
      <c r="AG262" s="28" t="s">
        <v>529</v>
      </c>
      <c r="AK262" s="60">
        <v>2</v>
      </c>
      <c r="AL262" s="28">
        <f>1/COUNTIF(Tableau6[LAT],B262)</f>
        <v>0.14285714285714285</v>
      </c>
      <c r="AM262" s="60" t="b">
        <f t="shared" si="26"/>
        <v>0</v>
      </c>
      <c r="AN262" s="60" t="b">
        <f t="shared" si="27"/>
        <v>0</v>
      </c>
      <c r="AO262" s="60" t="b">
        <f t="shared" si="28"/>
        <v>0</v>
      </c>
      <c r="AP262" s="60" t="b">
        <f t="shared" si="29"/>
        <v>0</v>
      </c>
      <c r="AQ262" s="60" t="b">
        <f t="shared" si="30"/>
        <v>0</v>
      </c>
      <c r="AR262" s="60" t="str">
        <f t="shared" si="31"/>
        <v>No</v>
      </c>
      <c r="AS262" s="60" t="str">
        <f t="shared" si="32"/>
        <v>No</v>
      </c>
    </row>
    <row r="263" spans="1:45" ht="15" hidden="1">
      <c r="A263" s="103">
        <v>45243</v>
      </c>
      <c r="B263" s="117" t="s">
        <v>1632</v>
      </c>
      <c r="C263" s="28" t="s">
        <v>1646</v>
      </c>
      <c r="D263" s="28" t="s">
        <v>1647</v>
      </c>
      <c r="E263" s="28" t="s">
        <v>1648</v>
      </c>
      <c r="F263" s="28" t="s">
        <v>1649</v>
      </c>
      <c r="G263" s="28" t="s">
        <v>1077</v>
      </c>
      <c r="H263" s="28" t="s">
        <v>1650</v>
      </c>
      <c r="I263" s="28" t="s">
        <v>517</v>
      </c>
      <c r="J263" s="28" t="s">
        <v>517</v>
      </c>
      <c r="K263" s="28" t="s">
        <v>518</v>
      </c>
      <c r="L263" s="28" t="s">
        <v>1199</v>
      </c>
      <c r="M263" s="28" t="s">
        <v>520</v>
      </c>
      <c r="N263" s="28" t="s">
        <v>1637</v>
      </c>
      <c r="O263" s="28" t="s">
        <v>1383</v>
      </c>
      <c r="P263" s="28" t="s">
        <v>544</v>
      </c>
      <c r="Q263" s="28" t="s">
        <v>627</v>
      </c>
      <c r="S263" s="28" t="s">
        <v>573</v>
      </c>
      <c r="T263" s="28" t="s">
        <v>651</v>
      </c>
      <c r="U263" s="28" t="s">
        <v>651</v>
      </c>
      <c r="V263" s="28" t="s">
        <v>517</v>
      </c>
      <c r="W263" s="28" t="s">
        <v>1651</v>
      </c>
      <c r="X263" s="28" t="s">
        <v>670</v>
      </c>
      <c r="Z263" s="28" t="s">
        <v>526</v>
      </c>
      <c r="AB263" s="28" t="s">
        <v>1638</v>
      </c>
      <c r="AC263" s="73" t="s">
        <v>35</v>
      </c>
      <c r="AD263" s="118" t="s">
        <v>528</v>
      </c>
      <c r="AF263" s="126" t="s">
        <v>1652</v>
      </c>
      <c r="AG263" s="28" t="s">
        <v>529</v>
      </c>
      <c r="AK263" s="60">
        <v>2</v>
      </c>
      <c r="AL263" s="28">
        <f>1/COUNTIF(Tableau6[LAT],B263)</f>
        <v>0.14285714285714285</v>
      </c>
      <c r="AM263" s="60" t="b">
        <f t="shared" si="26"/>
        <v>0</v>
      </c>
      <c r="AN263" s="60" t="b">
        <f t="shared" si="27"/>
        <v>0</v>
      </c>
      <c r="AO263" s="60" t="b">
        <f t="shared" si="28"/>
        <v>0</v>
      </c>
      <c r="AP263" s="60" t="b">
        <f t="shared" si="29"/>
        <v>0</v>
      </c>
      <c r="AQ263" s="60" t="b">
        <f t="shared" si="30"/>
        <v>0</v>
      </c>
      <c r="AR263" s="60" t="str">
        <f t="shared" si="31"/>
        <v>No</v>
      </c>
      <c r="AS263" s="60" t="str">
        <f t="shared" si="32"/>
        <v>No</v>
      </c>
    </row>
    <row r="264" spans="1:45" ht="15" hidden="1">
      <c r="A264" s="103">
        <v>45243</v>
      </c>
      <c r="B264" s="117" t="s">
        <v>1632</v>
      </c>
      <c r="C264" s="28" t="s">
        <v>1653</v>
      </c>
      <c r="D264" s="28" t="s">
        <v>1654</v>
      </c>
      <c r="E264" s="28" t="s">
        <v>1655</v>
      </c>
      <c r="F264" s="28" t="s">
        <v>1656</v>
      </c>
      <c r="G264" s="28" t="s">
        <v>1077</v>
      </c>
      <c r="H264" s="28" t="s">
        <v>888</v>
      </c>
      <c r="I264" s="28" t="s">
        <v>517</v>
      </c>
      <c r="J264" s="28" t="s">
        <v>517</v>
      </c>
      <c r="K264" s="28" t="s">
        <v>518</v>
      </c>
      <c r="L264" s="28" t="s">
        <v>1199</v>
      </c>
      <c r="M264" s="28" t="s">
        <v>520</v>
      </c>
      <c r="N264" s="28" t="s">
        <v>1637</v>
      </c>
      <c r="O264" s="28" t="s">
        <v>1383</v>
      </c>
      <c r="P264" s="28" t="s">
        <v>544</v>
      </c>
      <c r="Q264" s="28" t="s">
        <v>627</v>
      </c>
      <c r="S264" s="28" t="s">
        <v>573</v>
      </c>
      <c r="T264" s="28" t="s">
        <v>651</v>
      </c>
      <c r="U264" s="28" t="s">
        <v>651</v>
      </c>
      <c r="V264" s="28" t="s">
        <v>517</v>
      </c>
      <c r="W264" s="28" t="s">
        <v>1657</v>
      </c>
      <c r="X264" s="28" t="s">
        <v>670</v>
      </c>
      <c r="Z264" s="28" t="s">
        <v>526</v>
      </c>
      <c r="AB264" s="28" t="s">
        <v>1638</v>
      </c>
      <c r="AC264" s="73" t="s">
        <v>35</v>
      </c>
      <c r="AD264" s="118" t="s">
        <v>528</v>
      </c>
      <c r="AF264" s="126" t="s">
        <v>1658</v>
      </c>
      <c r="AG264" s="28" t="s">
        <v>529</v>
      </c>
      <c r="AK264" s="60">
        <v>2</v>
      </c>
      <c r="AL264" s="28">
        <f>1/COUNTIF(Tableau6[LAT],B264)</f>
        <v>0.14285714285714285</v>
      </c>
      <c r="AM264" s="60" t="b">
        <f t="shared" si="26"/>
        <v>0</v>
      </c>
      <c r="AN264" s="60" t="b">
        <f t="shared" si="27"/>
        <v>0</v>
      </c>
      <c r="AO264" s="60" t="b">
        <f t="shared" si="28"/>
        <v>0</v>
      </c>
      <c r="AP264" s="60" t="b">
        <f t="shared" si="29"/>
        <v>0</v>
      </c>
      <c r="AQ264" s="60" t="b">
        <f t="shared" si="30"/>
        <v>0</v>
      </c>
      <c r="AR264" s="60" t="str">
        <f t="shared" si="31"/>
        <v>No</v>
      </c>
      <c r="AS264" s="60" t="str">
        <f t="shared" si="32"/>
        <v>No</v>
      </c>
    </row>
    <row r="265" spans="1:45" ht="15" hidden="1">
      <c r="A265" s="103">
        <v>45243</v>
      </c>
      <c r="B265" s="117" t="s">
        <v>1632</v>
      </c>
      <c r="C265" s="28" t="s">
        <v>1659</v>
      </c>
      <c r="D265" s="28" t="s">
        <v>1660</v>
      </c>
      <c r="E265" s="28" t="s">
        <v>1661</v>
      </c>
      <c r="F265" s="28" t="s">
        <v>1662</v>
      </c>
      <c r="G265" s="28" t="s">
        <v>1077</v>
      </c>
      <c r="H265" s="28" t="s">
        <v>888</v>
      </c>
      <c r="I265" s="28" t="s">
        <v>517</v>
      </c>
      <c r="J265" s="28" t="s">
        <v>517</v>
      </c>
      <c r="K265" s="28" t="s">
        <v>518</v>
      </c>
      <c r="L265" s="28" t="s">
        <v>1199</v>
      </c>
      <c r="M265" s="28" t="s">
        <v>520</v>
      </c>
      <c r="N265" s="28" t="s">
        <v>1637</v>
      </c>
      <c r="O265" s="28" t="s">
        <v>1383</v>
      </c>
      <c r="P265" s="28" t="s">
        <v>544</v>
      </c>
      <c r="Q265" s="28" t="s">
        <v>627</v>
      </c>
      <c r="S265" s="28" t="s">
        <v>573</v>
      </c>
      <c r="T265" s="28" t="s">
        <v>651</v>
      </c>
      <c r="U265" s="28" t="s">
        <v>651</v>
      </c>
      <c r="V265" s="28" t="s">
        <v>517</v>
      </c>
      <c r="W265" s="28" t="s">
        <v>1663</v>
      </c>
      <c r="X265" s="28" t="s">
        <v>670</v>
      </c>
      <c r="Z265" s="28" t="s">
        <v>526</v>
      </c>
      <c r="AB265" s="28" t="s">
        <v>1638</v>
      </c>
      <c r="AC265" s="73" t="s">
        <v>35</v>
      </c>
      <c r="AD265" s="118" t="s">
        <v>528</v>
      </c>
      <c r="AF265" s="126" t="s">
        <v>1664</v>
      </c>
      <c r="AG265" s="28" t="s">
        <v>529</v>
      </c>
      <c r="AK265" s="60">
        <v>2</v>
      </c>
      <c r="AL265" s="28">
        <f>1/COUNTIF(Tableau6[LAT],B265)</f>
        <v>0.14285714285714285</v>
      </c>
      <c r="AM265" s="60" t="b">
        <f t="shared" si="26"/>
        <v>0</v>
      </c>
      <c r="AN265" s="60" t="b">
        <f t="shared" si="27"/>
        <v>0</v>
      </c>
      <c r="AO265" s="60" t="b">
        <f t="shared" si="28"/>
        <v>0</v>
      </c>
      <c r="AP265" s="60" t="b">
        <f t="shared" si="29"/>
        <v>0</v>
      </c>
      <c r="AQ265" s="60" t="b">
        <f t="shared" si="30"/>
        <v>0</v>
      </c>
      <c r="AR265" s="60" t="str">
        <f t="shared" si="31"/>
        <v>No</v>
      </c>
      <c r="AS265" s="60" t="str">
        <f t="shared" si="32"/>
        <v>No</v>
      </c>
    </row>
    <row r="266" spans="1:45" ht="15" hidden="1">
      <c r="A266" s="103">
        <v>45243</v>
      </c>
      <c r="B266" s="117" t="s">
        <v>1632</v>
      </c>
      <c r="C266" s="28" t="s">
        <v>1665</v>
      </c>
      <c r="D266" s="28" t="s">
        <v>1666</v>
      </c>
      <c r="E266" s="28" t="s">
        <v>1667</v>
      </c>
      <c r="F266" s="28" t="s">
        <v>1656</v>
      </c>
      <c r="G266" s="28" t="s">
        <v>1077</v>
      </c>
      <c r="H266" s="28" t="s">
        <v>888</v>
      </c>
      <c r="I266" s="28" t="s">
        <v>517</v>
      </c>
      <c r="J266" s="28" t="s">
        <v>517</v>
      </c>
      <c r="K266" s="28" t="s">
        <v>518</v>
      </c>
      <c r="L266" s="28" t="s">
        <v>1199</v>
      </c>
      <c r="M266" s="28" t="s">
        <v>520</v>
      </c>
      <c r="N266" s="28" t="s">
        <v>1637</v>
      </c>
      <c r="O266" s="28" t="s">
        <v>1383</v>
      </c>
      <c r="P266" s="28" t="s">
        <v>544</v>
      </c>
      <c r="Q266" s="28" t="s">
        <v>627</v>
      </c>
      <c r="S266" s="28" t="s">
        <v>573</v>
      </c>
      <c r="T266" s="28" t="s">
        <v>651</v>
      </c>
      <c r="U266" s="28" t="s">
        <v>651</v>
      </c>
      <c r="V266" s="28" t="s">
        <v>517</v>
      </c>
      <c r="W266" s="28" t="s">
        <v>1668</v>
      </c>
      <c r="X266" s="28" t="s">
        <v>670</v>
      </c>
      <c r="Z266" s="28" t="s">
        <v>526</v>
      </c>
      <c r="AB266" s="28" t="s">
        <v>1638</v>
      </c>
      <c r="AC266" s="73" t="s">
        <v>35</v>
      </c>
      <c r="AD266" s="118" t="s">
        <v>528</v>
      </c>
      <c r="AF266" s="126" t="s">
        <v>1669</v>
      </c>
      <c r="AG266" s="28" t="s">
        <v>529</v>
      </c>
      <c r="AK266" s="60">
        <v>2</v>
      </c>
      <c r="AL266" s="28">
        <f>1/COUNTIF(Tableau6[LAT],B266)</f>
        <v>0.14285714285714285</v>
      </c>
      <c r="AM266" s="60" t="b">
        <f t="shared" si="26"/>
        <v>0</v>
      </c>
      <c r="AN266" s="60" t="b">
        <f t="shared" si="27"/>
        <v>0</v>
      </c>
      <c r="AO266" s="60" t="b">
        <f t="shared" si="28"/>
        <v>0</v>
      </c>
      <c r="AP266" s="60" t="b">
        <f t="shared" si="29"/>
        <v>0</v>
      </c>
      <c r="AQ266" s="60" t="b">
        <f t="shared" si="30"/>
        <v>0</v>
      </c>
      <c r="AR266" s="60" t="str">
        <f t="shared" si="31"/>
        <v>No</v>
      </c>
      <c r="AS266" s="60" t="str">
        <f t="shared" si="32"/>
        <v>No</v>
      </c>
    </row>
    <row r="267" spans="1:45" ht="15" hidden="1">
      <c r="A267" s="103">
        <v>45243</v>
      </c>
      <c r="B267" s="117" t="s">
        <v>1670</v>
      </c>
      <c r="C267" s="28" t="s">
        <v>511</v>
      </c>
      <c r="D267" s="28" t="s">
        <v>1671</v>
      </c>
      <c r="F267" s="28" t="s">
        <v>1672</v>
      </c>
      <c r="G267" s="28" t="s">
        <v>514</v>
      </c>
      <c r="H267" s="28" t="s">
        <v>1673</v>
      </c>
      <c r="I267" s="28" t="s">
        <v>516</v>
      </c>
      <c r="J267" s="28" t="s">
        <v>517</v>
      </c>
      <c r="K267" s="28" t="s">
        <v>518</v>
      </c>
      <c r="L267" s="28" t="s">
        <v>839</v>
      </c>
      <c r="M267" s="28" t="s">
        <v>605</v>
      </c>
      <c r="N267" s="28" t="s">
        <v>557</v>
      </c>
      <c r="O267" s="28" t="s">
        <v>544</v>
      </c>
      <c r="P267" s="28" t="s">
        <v>522</v>
      </c>
      <c r="S267" s="28" t="s">
        <v>1529</v>
      </c>
      <c r="T267" s="28" t="s">
        <v>840</v>
      </c>
      <c r="U267" s="28" t="s">
        <v>840</v>
      </c>
      <c r="V267" s="28" t="s">
        <v>517</v>
      </c>
      <c r="W267" s="28" t="s">
        <v>835</v>
      </c>
      <c r="Z267" s="28" t="s">
        <v>526</v>
      </c>
      <c r="AD267" s="118" t="s">
        <v>528</v>
      </c>
      <c r="AF267" s="126" t="s">
        <v>1671</v>
      </c>
      <c r="AG267" s="28" t="s">
        <v>529</v>
      </c>
      <c r="AK267" s="60">
        <v>2</v>
      </c>
      <c r="AL267" s="28">
        <f>1/COUNTIF(Tableau6[LAT],B267)</f>
        <v>0.5</v>
      </c>
      <c r="AM267" s="60" t="b">
        <f t="shared" si="26"/>
        <v>0</v>
      </c>
      <c r="AN267" s="60" t="b">
        <f t="shared" si="27"/>
        <v>0</v>
      </c>
      <c r="AO267" s="60" t="b">
        <f t="shared" si="28"/>
        <v>0</v>
      </c>
      <c r="AP267" s="60" t="b">
        <f t="shared" si="29"/>
        <v>0</v>
      </c>
      <c r="AQ267" s="60" t="b">
        <f t="shared" si="30"/>
        <v>0</v>
      </c>
      <c r="AR267" s="60" t="str">
        <f t="shared" si="31"/>
        <v>No</v>
      </c>
      <c r="AS267" s="60" t="str">
        <f t="shared" si="32"/>
        <v>No</v>
      </c>
    </row>
    <row r="268" spans="1:45" ht="15" hidden="1">
      <c r="A268" s="103">
        <v>45243</v>
      </c>
      <c r="B268" s="117" t="s">
        <v>1670</v>
      </c>
      <c r="C268" s="28" t="s">
        <v>548</v>
      </c>
      <c r="D268" s="28" t="s">
        <v>1674</v>
      </c>
      <c r="F268" s="28" t="s">
        <v>1672</v>
      </c>
      <c r="G268" s="28" t="s">
        <v>514</v>
      </c>
      <c r="H268" s="28" t="s">
        <v>1673</v>
      </c>
      <c r="I268" s="28" t="s">
        <v>516</v>
      </c>
      <c r="J268" s="28" t="s">
        <v>517</v>
      </c>
      <c r="K268" s="28" t="s">
        <v>518</v>
      </c>
      <c r="L268" s="28" t="s">
        <v>839</v>
      </c>
      <c r="M268" s="28" t="s">
        <v>605</v>
      </c>
      <c r="N268" s="28" t="s">
        <v>557</v>
      </c>
      <c r="O268" s="28" t="s">
        <v>544</v>
      </c>
      <c r="P268" s="28" t="s">
        <v>522</v>
      </c>
      <c r="S268" s="28" t="s">
        <v>1529</v>
      </c>
      <c r="T268" s="28" t="s">
        <v>840</v>
      </c>
      <c r="U268" s="28" t="s">
        <v>840</v>
      </c>
      <c r="V268" s="28" t="s">
        <v>517</v>
      </c>
      <c r="W268" s="28" t="s">
        <v>835</v>
      </c>
      <c r="Z268" s="28" t="s">
        <v>526</v>
      </c>
      <c r="AD268" s="118" t="s">
        <v>528</v>
      </c>
      <c r="AF268" s="126" t="s">
        <v>1674</v>
      </c>
      <c r="AG268" s="28" t="s">
        <v>529</v>
      </c>
      <c r="AK268" s="60">
        <v>2</v>
      </c>
      <c r="AL268" s="28">
        <f>1/COUNTIF(Tableau6[LAT],B268)</f>
        <v>0.5</v>
      </c>
      <c r="AM268" s="60" t="b">
        <f t="shared" si="26"/>
        <v>0</v>
      </c>
      <c r="AN268" s="60" t="b">
        <f t="shared" si="27"/>
        <v>0</v>
      </c>
      <c r="AO268" s="60" t="b">
        <f t="shared" si="28"/>
        <v>0</v>
      </c>
      <c r="AP268" s="60" t="b">
        <f t="shared" si="29"/>
        <v>0</v>
      </c>
      <c r="AQ268" s="60" t="b">
        <f t="shared" si="30"/>
        <v>0</v>
      </c>
      <c r="AR268" s="60" t="str">
        <f t="shared" si="31"/>
        <v>No</v>
      </c>
      <c r="AS268" s="60" t="str">
        <f t="shared" si="32"/>
        <v>No</v>
      </c>
    </row>
    <row r="269" spans="1:45" ht="15" hidden="1">
      <c r="A269" s="103">
        <v>45243</v>
      </c>
      <c r="B269" s="117" t="s">
        <v>1675</v>
      </c>
      <c r="C269" s="28" t="s">
        <v>511</v>
      </c>
      <c r="D269" s="28" t="s">
        <v>1676</v>
      </c>
      <c r="F269" s="28" t="s">
        <v>1677</v>
      </c>
      <c r="G269" s="28" t="s">
        <v>1077</v>
      </c>
      <c r="H269" s="28" t="s">
        <v>1678</v>
      </c>
      <c r="I269" s="28" t="s">
        <v>517</v>
      </c>
      <c r="J269" s="28" t="s">
        <v>517</v>
      </c>
      <c r="K269" s="28" t="s">
        <v>518</v>
      </c>
      <c r="L269" s="28" t="s">
        <v>974</v>
      </c>
      <c r="M269" s="28" t="s">
        <v>535</v>
      </c>
      <c r="N269" s="28" t="s">
        <v>557</v>
      </c>
      <c r="O269" s="28" t="s">
        <v>522</v>
      </c>
      <c r="S269" s="28" t="s">
        <v>573</v>
      </c>
      <c r="T269" s="28" t="s">
        <v>897</v>
      </c>
      <c r="U269" s="28" t="s">
        <v>897</v>
      </c>
      <c r="V269" s="28" t="s">
        <v>517</v>
      </c>
      <c r="W269" s="28" t="s">
        <v>1058</v>
      </c>
      <c r="Z269" s="28" t="s">
        <v>526</v>
      </c>
      <c r="AB269" s="73" t="s">
        <v>630</v>
      </c>
      <c r="AC269" s="73" t="s">
        <v>35</v>
      </c>
      <c r="AD269" s="118" t="s">
        <v>528</v>
      </c>
      <c r="AF269" s="125" t="s">
        <v>1676</v>
      </c>
      <c r="AG269" s="28" t="s">
        <v>529</v>
      </c>
      <c r="AK269" s="60">
        <v>2</v>
      </c>
      <c r="AL269" s="28">
        <f>1/COUNTIF(Tableau6[LAT],B269)</f>
        <v>0.5</v>
      </c>
      <c r="AM269" s="60" t="b">
        <f t="shared" si="26"/>
        <v>0</v>
      </c>
      <c r="AN269" s="60" t="b">
        <f t="shared" si="27"/>
        <v>0</v>
      </c>
      <c r="AO269" s="60" t="b">
        <f t="shared" si="28"/>
        <v>0</v>
      </c>
      <c r="AP269" s="60" t="b">
        <f t="shared" si="29"/>
        <v>0</v>
      </c>
      <c r="AQ269" s="60" t="b">
        <f t="shared" si="30"/>
        <v>0</v>
      </c>
      <c r="AR269" s="60" t="str">
        <f t="shared" si="31"/>
        <v>No</v>
      </c>
      <c r="AS269" s="60" t="str">
        <f t="shared" si="32"/>
        <v>No</v>
      </c>
    </row>
    <row r="270" spans="1:45" ht="15" hidden="1">
      <c r="A270" s="103">
        <v>45243</v>
      </c>
      <c r="B270" s="117" t="s">
        <v>1679</v>
      </c>
      <c r="C270" s="28" t="s">
        <v>511</v>
      </c>
      <c r="D270" s="28" t="s">
        <v>1680</v>
      </c>
      <c r="F270" s="28" t="s">
        <v>1681</v>
      </c>
      <c r="G270" s="28" t="s">
        <v>514</v>
      </c>
      <c r="H270" s="28" t="s">
        <v>1330</v>
      </c>
      <c r="I270" s="28" t="s">
        <v>516</v>
      </c>
      <c r="J270" s="28" t="s">
        <v>517</v>
      </c>
      <c r="K270" s="28" t="s">
        <v>518</v>
      </c>
      <c r="L270" s="28" t="s">
        <v>1429</v>
      </c>
      <c r="M270" s="28" t="s">
        <v>535</v>
      </c>
      <c r="N270" s="28" t="s">
        <v>557</v>
      </c>
      <c r="S270" s="28" t="s">
        <v>659</v>
      </c>
      <c r="T270" s="28" t="s">
        <v>1431</v>
      </c>
      <c r="U270" s="28" t="s">
        <v>1431</v>
      </c>
      <c r="V270" s="28" t="s">
        <v>517</v>
      </c>
      <c r="W270" s="28" t="s">
        <v>1682</v>
      </c>
      <c r="Z270" s="28" t="s">
        <v>563</v>
      </c>
      <c r="AB270" s="28" t="s">
        <v>527</v>
      </c>
      <c r="AD270" s="118" t="s">
        <v>954</v>
      </c>
      <c r="AF270" s="125" t="s">
        <v>1680</v>
      </c>
      <c r="AG270" s="28" t="s">
        <v>563</v>
      </c>
      <c r="AK270" s="60">
        <v>2</v>
      </c>
      <c r="AL270" s="28">
        <f>1/COUNTIF(Tableau6[LAT],B270)</f>
        <v>1</v>
      </c>
      <c r="AM270" s="60" t="b">
        <f t="shared" si="26"/>
        <v>0</v>
      </c>
      <c r="AN270" s="60" t="b">
        <f t="shared" si="27"/>
        <v>0</v>
      </c>
      <c r="AO270" s="60" t="b">
        <f t="shared" si="28"/>
        <v>0</v>
      </c>
      <c r="AP270" s="60" t="b">
        <f t="shared" si="29"/>
        <v>0</v>
      </c>
      <c r="AQ270" s="60" t="b">
        <f t="shared" si="30"/>
        <v>0</v>
      </c>
      <c r="AR270" s="60" t="str">
        <f t="shared" si="31"/>
        <v>No</v>
      </c>
      <c r="AS270" s="60" t="str">
        <f t="shared" si="32"/>
        <v>No</v>
      </c>
    </row>
    <row r="271" spans="1:45" ht="15" hidden="1">
      <c r="A271" s="103">
        <v>45243</v>
      </c>
      <c r="B271" s="117" t="s">
        <v>1683</v>
      </c>
      <c r="C271" s="28" t="s">
        <v>511</v>
      </c>
      <c r="D271" s="28" t="s">
        <v>1684</v>
      </c>
      <c r="F271" s="28" t="s">
        <v>696</v>
      </c>
      <c r="G271" s="28" t="s">
        <v>958</v>
      </c>
      <c r="H271" s="28" t="s">
        <v>1428</v>
      </c>
      <c r="I271" s="28" t="s">
        <v>516</v>
      </c>
      <c r="J271" s="28" t="s">
        <v>517</v>
      </c>
      <c r="K271" s="28" t="s">
        <v>518</v>
      </c>
      <c r="L271" s="28" t="s">
        <v>1157</v>
      </c>
      <c r="M271" s="28" t="s">
        <v>535</v>
      </c>
      <c r="N271" s="28" t="s">
        <v>521</v>
      </c>
      <c r="O271" s="28" t="s">
        <v>559</v>
      </c>
      <c r="S271" s="28" t="s">
        <v>659</v>
      </c>
      <c r="T271" s="28" t="s">
        <v>1159</v>
      </c>
      <c r="U271" s="28" t="s">
        <v>1159</v>
      </c>
      <c r="V271" s="28" t="s">
        <v>517</v>
      </c>
      <c r="W271" s="28" t="s">
        <v>1685</v>
      </c>
      <c r="Z271" s="28" t="s">
        <v>526</v>
      </c>
      <c r="AD271" s="118" t="s">
        <v>528</v>
      </c>
      <c r="AF271" s="125" t="s">
        <v>1684</v>
      </c>
      <c r="AG271" s="28" t="s">
        <v>529</v>
      </c>
      <c r="AK271" s="60">
        <v>2</v>
      </c>
      <c r="AL271" s="28">
        <f>1/COUNTIF(Tableau6[LAT],B271)</f>
        <v>1</v>
      </c>
      <c r="AM271" s="60" t="b">
        <f t="shared" si="26"/>
        <v>0</v>
      </c>
      <c r="AN271" s="60" t="b">
        <f t="shared" si="27"/>
        <v>0</v>
      </c>
      <c r="AO271" s="60" t="b">
        <f t="shared" si="28"/>
        <v>0</v>
      </c>
      <c r="AP271" s="60" t="b">
        <f t="shared" si="29"/>
        <v>0</v>
      </c>
      <c r="AQ271" s="60" t="b">
        <f t="shared" si="30"/>
        <v>0</v>
      </c>
      <c r="AR271" s="60" t="str">
        <f t="shared" si="31"/>
        <v>No</v>
      </c>
      <c r="AS271" s="60" t="str">
        <f t="shared" si="32"/>
        <v>No</v>
      </c>
    </row>
    <row r="272" spans="1:45" ht="15" hidden="1">
      <c r="A272" s="103">
        <v>45243</v>
      </c>
      <c r="B272" s="117" t="s">
        <v>1686</v>
      </c>
      <c r="C272" s="28" t="s">
        <v>511</v>
      </c>
      <c r="D272" s="28" t="s">
        <v>1687</v>
      </c>
      <c r="F272" s="28" t="s">
        <v>1688</v>
      </c>
      <c r="G272" s="28" t="s">
        <v>958</v>
      </c>
      <c r="H272" s="28" t="s">
        <v>1312</v>
      </c>
      <c r="I272" s="28" t="s">
        <v>516</v>
      </c>
      <c r="J272" s="28" t="s">
        <v>517</v>
      </c>
      <c r="K272" s="28" t="s">
        <v>518</v>
      </c>
      <c r="L272" s="28" t="s">
        <v>1157</v>
      </c>
      <c r="M272" s="28" t="s">
        <v>535</v>
      </c>
      <c r="N272" s="28" t="s">
        <v>521</v>
      </c>
      <c r="O272" s="28" t="s">
        <v>559</v>
      </c>
      <c r="S272" s="28" t="s">
        <v>659</v>
      </c>
      <c r="T272" s="28" t="s">
        <v>1159</v>
      </c>
      <c r="U272" s="28" t="s">
        <v>1159</v>
      </c>
      <c r="V272" s="28" t="s">
        <v>517</v>
      </c>
      <c r="W272" s="28" t="s">
        <v>1689</v>
      </c>
      <c r="Z272" s="28" t="s">
        <v>526</v>
      </c>
      <c r="AD272" s="118" t="s">
        <v>528</v>
      </c>
      <c r="AF272" s="125" t="s">
        <v>1687</v>
      </c>
      <c r="AG272" s="28" t="s">
        <v>529</v>
      </c>
      <c r="AK272" s="60">
        <v>2</v>
      </c>
      <c r="AL272" s="28">
        <f>1/COUNTIF(Tableau6[LAT],B272)</f>
        <v>1</v>
      </c>
      <c r="AM272" s="60" t="b">
        <f t="shared" si="26"/>
        <v>0</v>
      </c>
      <c r="AN272" s="60" t="b">
        <f t="shared" si="27"/>
        <v>0</v>
      </c>
      <c r="AO272" s="60" t="b">
        <f t="shared" si="28"/>
        <v>0</v>
      </c>
      <c r="AP272" s="60" t="b">
        <f t="shared" si="29"/>
        <v>0</v>
      </c>
      <c r="AQ272" s="60" t="b">
        <f t="shared" si="30"/>
        <v>0</v>
      </c>
      <c r="AR272" s="60" t="str">
        <f t="shared" si="31"/>
        <v>No</v>
      </c>
      <c r="AS272" s="60" t="str">
        <f t="shared" si="32"/>
        <v>No</v>
      </c>
    </row>
    <row r="273" spans="1:45" ht="15" hidden="1">
      <c r="A273" s="103">
        <v>45243</v>
      </c>
      <c r="B273" s="117" t="s">
        <v>1690</v>
      </c>
      <c r="C273" s="28" t="s">
        <v>548</v>
      </c>
      <c r="D273" s="28" t="s">
        <v>1691</v>
      </c>
      <c r="F273" s="28" t="s">
        <v>1692</v>
      </c>
      <c r="G273" s="28" t="s">
        <v>514</v>
      </c>
      <c r="H273" s="28" t="s">
        <v>1693</v>
      </c>
      <c r="I273" s="28" t="s">
        <v>516</v>
      </c>
      <c r="J273" s="28" t="s">
        <v>517</v>
      </c>
      <c r="K273" s="28" t="s">
        <v>518</v>
      </c>
      <c r="L273" s="28" t="s">
        <v>839</v>
      </c>
      <c r="M273" s="28" t="s">
        <v>605</v>
      </c>
      <c r="N273" s="28" t="s">
        <v>522</v>
      </c>
      <c r="S273" s="28" t="s">
        <v>732</v>
      </c>
      <c r="T273" s="28" t="s">
        <v>840</v>
      </c>
      <c r="U273" s="28" t="s">
        <v>840</v>
      </c>
      <c r="V273" s="28" t="s">
        <v>517</v>
      </c>
      <c r="W273" s="28" t="s">
        <v>1694</v>
      </c>
      <c r="Z273" s="28" t="s">
        <v>563</v>
      </c>
      <c r="AB273" s="28" t="s">
        <v>527</v>
      </c>
      <c r="AD273" s="118" t="s">
        <v>528</v>
      </c>
      <c r="AF273" s="126" t="s">
        <v>1695</v>
      </c>
      <c r="AG273" s="28" t="s">
        <v>563</v>
      </c>
      <c r="AK273" s="60">
        <v>2</v>
      </c>
      <c r="AL273" s="28">
        <f>1/COUNTIF(Tableau6[LAT],B273)</f>
        <v>0.16666666666666666</v>
      </c>
      <c r="AM273" s="60" t="b">
        <f t="shared" si="26"/>
        <v>0</v>
      </c>
      <c r="AN273" s="60" t="b">
        <f t="shared" si="27"/>
        <v>0</v>
      </c>
      <c r="AO273" s="60" t="b">
        <f t="shared" si="28"/>
        <v>0</v>
      </c>
      <c r="AP273" s="60" t="b">
        <f t="shared" si="29"/>
        <v>0</v>
      </c>
      <c r="AQ273" s="60" t="b">
        <f t="shared" si="30"/>
        <v>0</v>
      </c>
      <c r="AR273" s="60" t="str">
        <f t="shared" si="31"/>
        <v>No</v>
      </c>
      <c r="AS273" s="60" t="str">
        <f t="shared" si="32"/>
        <v>No</v>
      </c>
    </row>
    <row r="274" spans="1:45" ht="15" hidden="1">
      <c r="A274" s="103">
        <v>45243</v>
      </c>
      <c r="B274" s="117" t="s">
        <v>1690</v>
      </c>
      <c r="C274" s="28" t="s">
        <v>612</v>
      </c>
      <c r="D274" s="28" t="s">
        <v>1696</v>
      </c>
      <c r="F274" s="28" t="s">
        <v>1697</v>
      </c>
      <c r="G274" s="28" t="s">
        <v>657</v>
      </c>
      <c r="H274" s="28" t="s">
        <v>768</v>
      </c>
      <c r="I274" s="28" t="s">
        <v>516</v>
      </c>
      <c r="J274" s="28" t="s">
        <v>517</v>
      </c>
      <c r="K274" s="28" t="s">
        <v>518</v>
      </c>
      <c r="L274" s="28" t="s">
        <v>839</v>
      </c>
      <c r="M274" s="28" t="s">
        <v>605</v>
      </c>
      <c r="N274" s="28" t="s">
        <v>522</v>
      </c>
      <c r="S274" s="28" t="s">
        <v>732</v>
      </c>
      <c r="T274" s="28" t="s">
        <v>840</v>
      </c>
      <c r="U274" s="28" t="s">
        <v>840</v>
      </c>
      <c r="V274" s="28" t="s">
        <v>517</v>
      </c>
      <c r="W274" s="28" t="s">
        <v>1698</v>
      </c>
      <c r="Z274" s="28" t="s">
        <v>563</v>
      </c>
      <c r="AB274" s="28" t="s">
        <v>527</v>
      </c>
      <c r="AD274" s="118" t="s">
        <v>528</v>
      </c>
      <c r="AF274" s="126" t="s">
        <v>1691</v>
      </c>
      <c r="AG274" s="28" t="s">
        <v>563</v>
      </c>
      <c r="AK274" s="60">
        <v>2</v>
      </c>
      <c r="AL274" s="28">
        <f>1/COUNTIF(Tableau6[LAT],B274)</f>
        <v>0.16666666666666666</v>
      </c>
      <c r="AM274" s="60" t="b">
        <f t="shared" si="26"/>
        <v>0</v>
      </c>
      <c r="AN274" s="60" t="b">
        <f t="shared" si="27"/>
        <v>0</v>
      </c>
      <c r="AO274" s="60" t="b">
        <f t="shared" si="28"/>
        <v>0</v>
      </c>
      <c r="AP274" s="60" t="b">
        <f t="shared" si="29"/>
        <v>0</v>
      </c>
      <c r="AQ274" s="60" t="b">
        <f t="shared" si="30"/>
        <v>0</v>
      </c>
      <c r="AR274" s="60" t="str">
        <f t="shared" si="31"/>
        <v>No</v>
      </c>
      <c r="AS274" s="60" t="str">
        <f t="shared" si="32"/>
        <v>No</v>
      </c>
    </row>
    <row r="275" spans="1:45" ht="15" hidden="1">
      <c r="A275" s="103">
        <v>45243</v>
      </c>
      <c r="B275" s="117" t="s">
        <v>1690</v>
      </c>
      <c r="C275" s="28" t="s">
        <v>691</v>
      </c>
      <c r="D275" s="28" t="s">
        <v>1699</v>
      </c>
      <c r="F275" s="28" t="s">
        <v>1700</v>
      </c>
      <c r="G275" s="28" t="s">
        <v>1163</v>
      </c>
      <c r="H275" s="28" t="s">
        <v>1701</v>
      </c>
      <c r="I275" s="28" t="s">
        <v>516</v>
      </c>
      <c r="J275" s="28" t="s">
        <v>517</v>
      </c>
      <c r="K275" s="28" t="s">
        <v>518</v>
      </c>
      <c r="L275" s="28" t="s">
        <v>839</v>
      </c>
      <c r="M275" s="28" t="s">
        <v>605</v>
      </c>
      <c r="N275" s="28" t="s">
        <v>522</v>
      </c>
      <c r="S275" s="28" t="s">
        <v>732</v>
      </c>
      <c r="T275" s="28" t="s">
        <v>840</v>
      </c>
      <c r="U275" s="28" t="s">
        <v>840</v>
      </c>
      <c r="V275" s="28" t="s">
        <v>517</v>
      </c>
      <c r="W275" s="28" t="s">
        <v>1702</v>
      </c>
      <c r="Z275" s="28" t="s">
        <v>563</v>
      </c>
      <c r="AB275" s="28" t="s">
        <v>527</v>
      </c>
      <c r="AD275" s="118" t="s">
        <v>528</v>
      </c>
      <c r="AF275" s="126" t="s">
        <v>1696</v>
      </c>
      <c r="AG275" s="28" t="s">
        <v>563</v>
      </c>
      <c r="AK275" s="60">
        <v>2</v>
      </c>
      <c r="AL275" s="28">
        <f>1/COUNTIF(Tableau6[LAT],B275)</f>
        <v>0.16666666666666666</v>
      </c>
      <c r="AM275" s="60" t="b">
        <f t="shared" si="26"/>
        <v>0</v>
      </c>
      <c r="AN275" s="60" t="b">
        <f t="shared" si="27"/>
        <v>0</v>
      </c>
      <c r="AO275" s="60" t="b">
        <f t="shared" si="28"/>
        <v>0</v>
      </c>
      <c r="AP275" s="60" t="b">
        <f t="shared" si="29"/>
        <v>0</v>
      </c>
      <c r="AQ275" s="60" t="b">
        <f t="shared" si="30"/>
        <v>0</v>
      </c>
      <c r="AR275" s="60" t="str">
        <f t="shared" si="31"/>
        <v>No</v>
      </c>
      <c r="AS275" s="60" t="str">
        <f t="shared" si="32"/>
        <v>No</v>
      </c>
    </row>
    <row r="276" spans="1:45" ht="15" hidden="1">
      <c r="A276" s="103">
        <v>45243</v>
      </c>
      <c r="B276" s="117" t="s">
        <v>1690</v>
      </c>
      <c r="C276" s="28" t="s">
        <v>859</v>
      </c>
      <c r="D276" s="28" t="s">
        <v>1703</v>
      </c>
      <c r="F276" s="28" t="s">
        <v>1700</v>
      </c>
      <c r="G276" s="28" t="s">
        <v>1163</v>
      </c>
      <c r="H276" s="28" t="s">
        <v>1701</v>
      </c>
      <c r="I276" s="28" t="s">
        <v>516</v>
      </c>
      <c r="J276" s="28" t="s">
        <v>517</v>
      </c>
      <c r="K276" s="28" t="s">
        <v>518</v>
      </c>
      <c r="L276" s="28" t="s">
        <v>839</v>
      </c>
      <c r="M276" s="28" t="s">
        <v>605</v>
      </c>
      <c r="N276" s="28" t="s">
        <v>522</v>
      </c>
      <c r="S276" s="28" t="s">
        <v>732</v>
      </c>
      <c r="T276" s="28" t="s">
        <v>840</v>
      </c>
      <c r="U276" s="28" t="s">
        <v>840</v>
      </c>
      <c r="V276" s="28" t="s">
        <v>517</v>
      </c>
      <c r="W276" s="28" t="s">
        <v>1704</v>
      </c>
      <c r="Z276" s="28" t="s">
        <v>563</v>
      </c>
      <c r="AB276" s="28" t="s">
        <v>527</v>
      </c>
      <c r="AD276" s="118" t="s">
        <v>528</v>
      </c>
      <c r="AF276" s="126" t="s">
        <v>1699</v>
      </c>
      <c r="AG276" s="28" t="s">
        <v>563</v>
      </c>
      <c r="AK276" s="60">
        <v>2</v>
      </c>
      <c r="AL276" s="28">
        <f>1/COUNTIF(Tableau6[LAT],B276)</f>
        <v>0.16666666666666666</v>
      </c>
      <c r="AM276" s="60" t="b">
        <f t="shared" si="26"/>
        <v>0</v>
      </c>
      <c r="AN276" s="60" t="b">
        <f t="shared" si="27"/>
        <v>0</v>
      </c>
      <c r="AO276" s="60" t="b">
        <f t="shared" si="28"/>
        <v>0</v>
      </c>
      <c r="AP276" s="60" t="b">
        <f t="shared" si="29"/>
        <v>0</v>
      </c>
      <c r="AQ276" s="60" t="b">
        <f t="shared" si="30"/>
        <v>0</v>
      </c>
      <c r="AR276" s="60" t="str">
        <f t="shared" si="31"/>
        <v>No</v>
      </c>
      <c r="AS276" s="60" t="str">
        <f t="shared" si="32"/>
        <v>No</v>
      </c>
    </row>
    <row r="277" spans="1:45" ht="15" hidden="1">
      <c r="A277" s="103">
        <v>45243</v>
      </c>
      <c r="B277" s="117" t="s">
        <v>1690</v>
      </c>
      <c r="C277" s="28" t="s">
        <v>861</v>
      </c>
      <c r="D277" s="28" t="s">
        <v>1705</v>
      </c>
      <c r="F277" s="28" t="s">
        <v>1692</v>
      </c>
      <c r="G277" s="28" t="s">
        <v>514</v>
      </c>
      <c r="H277" s="28" t="s">
        <v>1693</v>
      </c>
      <c r="I277" s="28" t="s">
        <v>516</v>
      </c>
      <c r="J277" s="28" t="s">
        <v>517</v>
      </c>
      <c r="K277" s="28" t="s">
        <v>518</v>
      </c>
      <c r="L277" s="28" t="s">
        <v>839</v>
      </c>
      <c r="M277" s="28" t="s">
        <v>605</v>
      </c>
      <c r="N277" s="28" t="s">
        <v>522</v>
      </c>
      <c r="S277" s="28" t="s">
        <v>732</v>
      </c>
      <c r="T277" s="28" t="s">
        <v>840</v>
      </c>
      <c r="U277" s="28" t="s">
        <v>840</v>
      </c>
      <c r="V277" s="28" t="s">
        <v>517</v>
      </c>
      <c r="W277" s="28" t="s">
        <v>1706</v>
      </c>
      <c r="Z277" s="28" t="s">
        <v>563</v>
      </c>
      <c r="AB277" s="28" t="s">
        <v>527</v>
      </c>
      <c r="AD277" s="118" t="s">
        <v>528</v>
      </c>
      <c r="AF277" s="126" t="s">
        <v>1703</v>
      </c>
      <c r="AG277" s="28" t="s">
        <v>563</v>
      </c>
      <c r="AK277" s="60">
        <v>2</v>
      </c>
      <c r="AL277" s="28">
        <f>1/COUNTIF(Tableau6[LAT],B277)</f>
        <v>0.16666666666666666</v>
      </c>
      <c r="AM277" s="60" t="b">
        <f t="shared" si="26"/>
        <v>0</v>
      </c>
      <c r="AN277" s="60" t="b">
        <f t="shared" si="27"/>
        <v>0</v>
      </c>
      <c r="AO277" s="60" t="b">
        <f t="shared" si="28"/>
        <v>0</v>
      </c>
      <c r="AP277" s="60" t="b">
        <f t="shared" si="29"/>
        <v>0</v>
      </c>
      <c r="AQ277" s="60" t="b">
        <f t="shared" si="30"/>
        <v>0</v>
      </c>
      <c r="AR277" s="60" t="str">
        <f t="shared" si="31"/>
        <v>No</v>
      </c>
      <c r="AS277" s="60" t="str">
        <f t="shared" si="32"/>
        <v>No</v>
      </c>
    </row>
    <row r="278" spans="1:45" ht="15" hidden="1">
      <c r="A278" s="103">
        <v>45243</v>
      </c>
      <c r="B278" s="117" t="s">
        <v>1690</v>
      </c>
      <c r="D278" s="28" t="s">
        <v>1707</v>
      </c>
      <c r="F278" s="28" t="s">
        <v>1692</v>
      </c>
      <c r="G278" s="28" t="s">
        <v>514</v>
      </c>
      <c r="H278" s="28" t="s">
        <v>1693</v>
      </c>
      <c r="I278" s="28" t="s">
        <v>516</v>
      </c>
      <c r="J278" s="28" t="s">
        <v>517</v>
      </c>
      <c r="K278" s="28" t="s">
        <v>518</v>
      </c>
      <c r="L278" s="28" t="s">
        <v>839</v>
      </c>
      <c r="M278" s="28" t="s">
        <v>605</v>
      </c>
      <c r="N278" s="28" t="s">
        <v>522</v>
      </c>
      <c r="S278" s="28" t="s">
        <v>732</v>
      </c>
      <c r="T278" s="28" t="s">
        <v>840</v>
      </c>
      <c r="U278" s="28" t="s">
        <v>840</v>
      </c>
      <c r="V278" s="28" t="s">
        <v>517</v>
      </c>
      <c r="W278" s="28" t="s">
        <v>1708</v>
      </c>
      <c r="Z278" s="28" t="s">
        <v>563</v>
      </c>
      <c r="AB278" s="28" t="s">
        <v>527</v>
      </c>
      <c r="AD278" s="118" t="s">
        <v>528</v>
      </c>
      <c r="AF278" s="126" t="s">
        <v>1705</v>
      </c>
      <c r="AG278" s="28" t="s">
        <v>563</v>
      </c>
      <c r="AK278" s="60">
        <v>2</v>
      </c>
      <c r="AL278" s="28">
        <f>1/COUNTIF(Tableau6[LAT],B278)</f>
        <v>0.16666666666666666</v>
      </c>
      <c r="AM278" s="60" t="b">
        <f t="shared" si="26"/>
        <v>0</v>
      </c>
      <c r="AN278" s="60" t="b">
        <f t="shared" si="27"/>
        <v>0</v>
      </c>
      <c r="AO278" s="60" t="b">
        <f t="shared" si="28"/>
        <v>0</v>
      </c>
      <c r="AP278" s="60" t="b">
        <f t="shared" si="29"/>
        <v>0</v>
      </c>
      <c r="AQ278" s="60" t="b">
        <f t="shared" si="30"/>
        <v>0</v>
      </c>
      <c r="AR278" s="60" t="str">
        <f t="shared" si="31"/>
        <v>No</v>
      </c>
      <c r="AS278" s="60" t="str">
        <f t="shared" si="32"/>
        <v>No</v>
      </c>
    </row>
    <row r="279" spans="1:45" ht="15" hidden="1">
      <c r="A279" s="103">
        <v>45243</v>
      </c>
      <c r="B279" s="117" t="s">
        <v>1709</v>
      </c>
      <c r="C279" s="28" t="s">
        <v>511</v>
      </c>
      <c r="D279" s="28" t="s">
        <v>1710</v>
      </c>
      <c r="F279" s="28" t="s">
        <v>1711</v>
      </c>
      <c r="G279" s="28" t="s">
        <v>657</v>
      </c>
      <c r="H279" s="28" t="s">
        <v>768</v>
      </c>
      <c r="I279" s="28" t="s">
        <v>516</v>
      </c>
      <c r="J279" s="28" t="s">
        <v>517</v>
      </c>
      <c r="K279" s="28" t="s">
        <v>518</v>
      </c>
      <c r="L279" s="28" t="s">
        <v>731</v>
      </c>
      <c r="M279" s="28" t="s">
        <v>535</v>
      </c>
      <c r="N279" s="28" t="s">
        <v>557</v>
      </c>
      <c r="O279" s="28" t="s">
        <v>522</v>
      </c>
      <c r="S279" s="28" t="s">
        <v>1712</v>
      </c>
      <c r="T279" s="28" t="s">
        <v>733</v>
      </c>
      <c r="U279" s="28" t="s">
        <v>733</v>
      </c>
      <c r="V279" s="28" t="s">
        <v>517</v>
      </c>
      <c r="W279" s="28" t="s">
        <v>821</v>
      </c>
      <c r="Z279" s="28" t="s">
        <v>563</v>
      </c>
      <c r="AB279" s="28" t="s">
        <v>527</v>
      </c>
      <c r="AD279" s="118" t="s">
        <v>954</v>
      </c>
      <c r="AF279" s="126" t="s">
        <v>1710</v>
      </c>
      <c r="AG279" s="28" t="s">
        <v>563</v>
      </c>
      <c r="AK279" s="60">
        <v>2</v>
      </c>
      <c r="AL279" s="28">
        <f>1/COUNTIF(Tableau6[LAT],B279)</f>
        <v>0.25</v>
      </c>
      <c r="AM279" s="60" t="b">
        <f t="shared" si="26"/>
        <v>0</v>
      </c>
      <c r="AN279" s="60" t="b">
        <f t="shared" si="27"/>
        <v>0</v>
      </c>
      <c r="AO279" s="60" t="b">
        <f t="shared" si="28"/>
        <v>0</v>
      </c>
      <c r="AP279" s="60" t="b">
        <f t="shared" si="29"/>
        <v>0</v>
      </c>
      <c r="AQ279" s="60" t="b">
        <f t="shared" si="30"/>
        <v>0</v>
      </c>
      <c r="AR279" s="60" t="str">
        <f t="shared" si="31"/>
        <v>No</v>
      </c>
      <c r="AS279" s="60" t="str">
        <f t="shared" si="32"/>
        <v>No</v>
      </c>
    </row>
    <row r="280" spans="1:45" ht="15" hidden="1">
      <c r="A280" s="103">
        <v>45243</v>
      </c>
      <c r="B280" s="117" t="s">
        <v>1709</v>
      </c>
      <c r="C280" s="28" t="s">
        <v>548</v>
      </c>
      <c r="D280" s="28" t="s">
        <v>1713</v>
      </c>
      <c r="F280" s="28" t="s">
        <v>1714</v>
      </c>
      <c r="G280" s="28" t="s">
        <v>724</v>
      </c>
      <c r="H280" s="28" t="s">
        <v>1715</v>
      </c>
      <c r="I280" s="28" t="s">
        <v>516</v>
      </c>
      <c r="J280" s="28" t="s">
        <v>517</v>
      </c>
      <c r="K280" s="28" t="s">
        <v>518</v>
      </c>
      <c r="L280" s="28" t="s">
        <v>731</v>
      </c>
      <c r="M280" s="28" t="s">
        <v>535</v>
      </c>
      <c r="N280" s="28" t="s">
        <v>557</v>
      </c>
      <c r="O280" s="28" t="s">
        <v>522</v>
      </c>
      <c r="S280" s="28" t="s">
        <v>1712</v>
      </c>
      <c r="T280" s="28" t="s">
        <v>733</v>
      </c>
      <c r="U280" s="28" t="s">
        <v>733</v>
      </c>
      <c r="V280" s="28" t="s">
        <v>517</v>
      </c>
      <c r="W280" s="28" t="s">
        <v>821</v>
      </c>
      <c r="Z280" s="28" t="s">
        <v>563</v>
      </c>
      <c r="AB280" s="28" t="s">
        <v>527</v>
      </c>
      <c r="AD280" s="118" t="s">
        <v>954</v>
      </c>
      <c r="AF280" s="126" t="s">
        <v>1713</v>
      </c>
      <c r="AG280" s="28" t="s">
        <v>563</v>
      </c>
      <c r="AK280" s="60">
        <v>2</v>
      </c>
      <c r="AL280" s="28">
        <f>1/COUNTIF(Tableau6[LAT],B280)</f>
        <v>0.25</v>
      </c>
      <c r="AM280" s="60" t="b">
        <f t="shared" ref="AM280:AM343" si="33">IF(N280="ALM","Yes",IF(N280="ALI","Yes",IF(N280="CAO","Yes",IF(N280="ICE","Yes",IF(N280="MAG","Yes",IF(N280="MAG","Yes",IF(N280="RBI","Yes",IF(N280="RBM","Yes",IF(N280="RCL","Yes",IF(N280="RCM","Yes",IF(N280="RCX","Yes",IF(N280="RDS","Yes",IF(N280="REQ","Yes",IF(N280="REX","Yes",IF(N280="RFG","Yes",IF(N280="RFL","Yes",IF(N280="RFS","Yes",IF(N280="RFW","Yes",IF(N280="RGX","Yes",IF(N280="RIS",IF(N280="RLI","Yes",IF(N280="RLM","Yes",IF(N280="RMD","Yes",IF(N280="RNG","Yes",IF(N280="ROP","Yes",IF(N280="ROX","Yes",IF(N280="RPB","Yes",IF(N280="RPG","Yes",IF(N280="RRE","Yes",IF(N280="RRW","Yes",IF(N280="RRY","Yes",IF(N280="RSB","Yes",IF(N280="RSC","Yes",IF(N280="RXB","Yes",IF(N280="RXC","Yes",IF(N280="RXD","Yes",IF(N280="RXE","Yes",IF(N280="RXG","Yes",IF(N280="RXS","Yes",)))))))))))))))))))))))))))))))))))))))</f>
        <v>0</v>
      </c>
      <c r="AN280" s="60" t="b">
        <f t="shared" ref="AN280:AN343" si="34">IF(O280="ALM","Yes",IF(O280="ALI","Yes",IF(O280="CAO","Yes",IF(O280="ICE","Yes",IF(O280="MAG","Yes",IF(O280="MAG","Yes",IF(O280="RBI","Yes",IF(O280="RBM","Yes",IF(O280="RCL","Yes",IF(O280="RCM","Yes",IF(O280="RCX","Yes",IF(O280="RDS","Yes",IF(O280="REQ","Yes",IF(O280="REX","Yes",IF(O280="RFG","Yes",IF(O280="RFL","Yes",IF(O280="RFS","Yes",IF(O280="RFW","Yes",IF(O280="RGX","Yes",IF(O280="RIS",IF(O280="RLI","Yes",IF(O280="RLM","Yes",IF(O280="RMD","Yes",IF(O280="RNG","Yes",IF(O280="ROP","Yes",IF(O280="ROX","Yes",IF(O280="RPB","Yes",IF(O280="RPG","Yes",IF(O280="RRE","Yes",IF(O280="RRW","Yes",IF(O280="RRY","Yes",IF(O280="RSB","Yes",IF(O280="RSC","Yes",IF(O280="RXB","Yes",IF(O280="RXC","Yes",IF(O280="RXD","Yes",IF(O280="RXE","Yes",IF(O280="RXG","Yes",IF(O280="RXS","Yes",)))))))))))))))))))))))))))))))))))))))</f>
        <v>0</v>
      </c>
      <c r="AO280" s="60" t="b">
        <f t="shared" ref="AO280:AO343" si="35">IF(P280="ALM","Yes",IF(P280="ALI","Yes",IF(P280="CAO","Yes",IF(P280="ICE","Yes",IF(P280="MAG","Yes",IF(P280="MAG","Yes",IF(P280="RBI","Yes",IF(P280="RBM","Yes",IF(P280="RCL","Yes",IF(P280="RCM","Yes",IF(P280="RCX","Yes",IF(P280="RDS","Yes",IF(P280="REQ","Yes",IF(P280="REX","Yes",IF(P280="RFG","Yes",IF(P280="RFL","Yes",IF(P280="RFS","Yes",IF(P280="RFW","Yes",IF(P280="RGX","Yes",IF(P280="RIS",IF(P280="RLI","Yes",IF(P280="RLM","Yes",IF(P280="RMD","Yes",IF(P280="RNG","Yes",IF(P280="ROP","Yes",IF(P280="ROX","Yes",IF(P280="RPB","Yes",IF(P280="RPG","Yes",IF(P280="RRE","Yes",IF(P280="RRW","Yes",IF(P280="RRY","Yes",IF(P280="RSB","Yes",IF(P280="RSC","Yes",IF(P280="RXB","Yes",IF(P280="RXC","Yes",IF(P280="RXD","Yes",IF(P280="RXE","Yes",IF(P280="RXG","Yes",IF(P280="RXS","Yes",)))))))))))))))))))))))))))))))))))))))</f>
        <v>0</v>
      </c>
      <c r="AP280" s="60" t="b">
        <f t="shared" ref="AP280:AP343" si="36">IF(Q280="ALM","Yes",IF(Q280="ALI","Yes",IF(Q280="CAO","Yes",IF(Q280="ICE","Yes",IF(Q280="MAG","Yes",IF(Q280="MAG","Yes",IF(Q280="RBI","Yes",IF(Q280="RBM","Yes",IF(Q280="RCL","Yes",IF(Q280="RCM","Yes",IF(Q280="RCX","Yes",IF(Q280="RDS","Yes",IF(Q280="REQ","Yes",IF(Q280="REX","Yes",IF(Q280="RFG","Yes",IF(Q280="RFL","Yes",IF(Q280="RFS","Yes",IF(Q280="RFW","Yes",IF(Q280="RGX","Yes",IF(Q280="RIS",IF(Q280="RLI","Yes",IF(Q280="RLM","Yes",IF(Q280="RMD","Yes",IF(Q280="RNG","Yes",IF(Q280="ROP","Yes",IF(Q280="ROX","Yes",IF(Q280="RPB","Yes",IF(Q280="RPG","Yes",IF(Q280="RRE","Yes",IF(Q280="RRW","Yes",IF(Q280="RRY","Yes",IF(Q280="RSB","Yes",IF(Q280="RSC","Yes",IF(Q280="RXB","Yes",IF(Q280="RXC","Yes",IF(Q280="RXD","Yes",IF(Q280="RXE","Yes",IF(Q280="RXG","Yes",IF(Q280="RXS","Yes",)))))))))))))))))))))))))))))))))))))))</f>
        <v>0</v>
      </c>
      <c r="AQ280" s="60" t="b">
        <f t="shared" ref="AQ280:AQ343" si="37">IF(R280="ALM","Yes",IF(R280="ALI","Yes",IF(R280="CAO","Yes",IF(R280="ICE","Yes",IF(R280="MAG","Yes",IF(R280="MAG","Yes",IF(R280="RBI","Yes",IF(R280="RBM","Yes",IF(R280="RCL","Yes",IF(R280="RCM","Yes",IF(R280="RCX","Yes",IF(R280="RDS","Yes",IF(R280="REQ","Yes",IF(R280="REX","Yes",IF(R280="RFG","Yes",IF(R280="RFL","Yes",IF(R280="RFS","Yes",IF(R280="RFW","Yes",IF(R280="RGX","Yes",IF(R280="RIS",IF(R280="RLI","Yes",IF(R280="RLM","Yes",IF(R280="RMD","Yes",IF(R280="RNG","Yes",IF(R280="ROP","Yes",IF(R280="ROX","Yes",IF(R280="RPB","Yes",IF(R280="RPG","Yes",IF(R280="RRE","Yes",IF(R280="RRW","Yes",IF(R280="RRY","Yes",IF(R280="RSB","Yes",IF(R280="RSC","Yes",IF(R280="RXB","Yes",IF(R280="RXC","Yes",IF(R280="RXD","Yes",IF(R280="RXE","Yes",IF(R280="RXG","Yes",IF(R280="RXS","Yes",)))))))))))))))))))))))))))))))))))))))</f>
        <v>0</v>
      </c>
      <c r="AR280" s="60" t="str">
        <f t="shared" si="31"/>
        <v>No</v>
      </c>
      <c r="AS280" s="60" t="str">
        <f t="shared" si="32"/>
        <v>No</v>
      </c>
    </row>
    <row r="281" spans="1:45" ht="15" hidden="1">
      <c r="A281" s="103">
        <v>45243</v>
      </c>
      <c r="B281" s="117" t="s">
        <v>1709</v>
      </c>
      <c r="C281" s="28" t="s">
        <v>612</v>
      </c>
      <c r="D281" s="28" t="s">
        <v>1716</v>
      </c>
      <c r="F281" s="28" t="s">
        <v>1714</v>
      </c>
      <c r="G281" s="28" t="s">
        <v>724</v>
      </c>
      <c r="H281" s="28" t="s">
        <v>1715</v>
      </c>
      <c r="I281" s="28" t="s">
        <v>516</v>
      </c>
      <c r="J281" s="28" t="s">
        <v>517</v>
      </c>
      <c r="K281" s="28" t="s">
        <v>518</v>
      </c>
      <c r="L281" s="28" t="s">
        <v>731</v>
      </c>
      <c r="M281" s="28" t="s">
        <v>535</v>
      </c>
      <c r="N281" s="28" t="s">
        <v>557</v>
      </c>
      <c r="O281" s="28" t="s">
        <v>522</v>
      </c>
      <c r="S281" s="28" t="s">
        <v>1712</v>
      </c>
      <c r="T281" s="28" t="s">
        <v>733</v>
      </c>
      <c r="U281" s="28" t="s">
        <v>733</v>
      </c>
      <c r="V281" s="28" t="s">
        <v>517</v>
      </c>
      <c r="W281" s="28" t="s">
        <v>821</v>
      </c>
      <c r="Z281" s="28" t="s">
        <v>563</v>
      </c>
      <c r="AB281" s="28" t="s">
        <v>527</v>
      </c>
      <c r="AD281" s="118" t="s">
        <v>954</v>
      </c>
      <c r="AF281" s="126" t="s">
        <v>1716</v>
      </c>
      <c r="AG281" s="28" t="s">
        <v>563</v>
      </c>
      <c r="AK281" s="60">
        <v>2</v>
      </c>
      <c r="AL281" s="28">
        <f>1/COUNTIF(Tableau6[LAT],B281)</f>
        <v>0.25</v>
      </c>
      <c r="AM281" s="60" t="b">
        <f t="shared" si="33"/>
        <v>0</v>
      </c>
      <c r="AN281" s="60" t="b">
        <f t="shared" si="34"/>
        <v>0</v>
      </c>
      <c r="AO281" s="60" t="b">
        <f t="shared" si="35"/>
        <v>0</v>
      </c>
      <c r="AP281" s="60" t="b">
        <f t="shared" si="36"/>
        <v>0</v>
      </c>
      <c r="AQ281" s="60" t="b">
        <f t="shared" si="37"/>
        <v>0</v>
      </c>
      <c r="AR281" s="60" t="str">
        <f t="shared" si="31"/>
        <v>No</v>
      </c>
      <c r="AS281" s="60" t="str">
        <f t="shared" si="32"/>
        <v>No</v>
      </c>
    </row>
    <row r="282" spans="1:45" ht="15" hidden="1">
      <c r="A282" s="103">
        <v>45243</v>
      </c>
      <c r="B282" s="117" t="s">
        <v>1709</v>
      </c>
      <c r="C282" s="28" t="s">
        <v>691</v>
      </c>
      <c r="D282" s="28" t="s">
        <v>1717</v>
      </c>
      <c r="F282" s="28" t="s">
        <v>1714</v>
      </c>
      <c r="G282" s="28" t="s">
        <v>724</v>
      </c>
      <c r="H282" s="28" t="s">
        <v>1715</v>
      </c>
      <c r="I282" s="28" t="s">
        <v>516</v>
      </c>
      <c r="J282" s="28" t="s">
        <v>517</v>
      </c>
      <c r="K282" s="28" t="s">
        <v>518</v>
      </c>
      <c r="L282" s="28" t="s">
        <v>731</v>
      </c>
      <c r="M282" s="28" t="s">
        <v>535</v>
      </c>
      <c r="N282" s="28" t="s">
        <v>557</v>
      </c>
      <c r="O282" s="28" t="s">
        <v>522</v>
      </c>
      <c r="S282" s="28" t="s">
        <v>1712</v>
      </c>
      <c r="T282" s="28" t="s">
        <v>733</v>
      </c>
      <c r="U282" s="28" t="s">
        <v>733</v>
      </c>
      <c r="V282" s="28" t="s">
        <v>517</v>
      </c>
      <c r="W282" s="28" t="s">
        <v>821</v>
      </c>
      <c r="Z282" s="28" t="s">
        <v>563</v>
      </c>
      <c r="AB282" s="28" t="s">
        <v>527</v>
      </c>
      <c r="AD282" s="118" t="s">
        <v>954</v>
      </c>
      <c r="AF282" s="126" t="s">
        <v>1717</v>
      </c>
      <c r="AG282" s="28" t="s">
        <v>563</v>
      </c>
      <c r="AK282" s="60">
        <v>2</v>
      </c>
      <c r="AL282" s="28">
        <f>1/COUNTIF(Tableau6[LAT],B282)</f>
        <v>0.25</v>
      </c>
      <c r="AM282" s="60" t="b">
        <f t="shared" si="33"/>
        <v>0</v>
      </c>
      <c r="AN282" s="60" t="b">
        <f t="shared" si="34"/>
        <v>0</v>
      </c>
      <c r="AO282" s="60" t="b">
        <f t="shared" si="35"/>
        <v>0</v>
      </c>
      <c r="AP282" s="60" t="b">
        <f t="shared" si="36"/>
        <v>0</v>
      </c>
      <c r="AQ282" s="60" t="b">
        <f t="shared" si="37"/>
        <v>0</v>
      </c>
      <c r="AR282" s="60" t="str">
        <f t="shared" si="31"/>
        <v>No</v>
      </c>
      <c r="AS282" s="60" t="str">
        <f t="shared" si="32"/>
        <v>No</v>
      </c>
    </row>
    <row r="283" spans="1:45" ht="15" hidden="1">
      <c r="A283" s="103">
        <v>45243</v>
      </c>
      <c r="B283" s="117" t="s">
        <v>1718</v>
      </c>
      <c r="C283" s="28" t="s">
        <v>511</v>
      </c>
      <c r="D283" s="28" t="s">
        <v>1719</v>
      </c>
      <c r="F283" s="28" t="s">
        <v>1720</v>
      </c>
      <c r="G283" s="28" t="s">
        <v>514</v>
      </c>
      <c r="H283" s="28" t="s">
        <v>1721</v>
      </c>
      <c r="I283" s="28" t="s">
        <v>516</v>
      </c>
      <c r="J283" s="28" t="s">
        <v>517</v>
      </c>
      <c r="K283" s="28" t="s">
        <v>518</v>
      </c>
      <c r="L283" s="28" t="s">
        <v>1502</v>
      </c>
      <c r="M283" s="28" t="s">
        <v>535</v>
      </c>
      <c r="N283" s="28" t="s">
        <v>557</v>
      </c>
      <c r="O283" s="28" t="s">
        <v>544</v>
      </c>
      <c r="S283" s="28" t="s">
        <v>732</v>
      </c>
      <c r="T283" s="28" t="s">
        <v>811</v>
      </c>
      <c r="U283" s="28" t="s">
        <v>811</v>
      </c>
      <c r="V283" s="28" t="s">
        <v>517</v>
      </c>
      <c r="W283" s="28" t="s">
        <v>1722</v>
      </c>
      <c r="Z283" s="28" t="s">
        <v>563</v>
      </c>
      <c r="AB283" s="28" t="s">
        <v>527</v>
      </c>
      <c r="AD283" s="118" t="s">
        <v>528</v>
      </c>
      <c r="AF283" s="126" t="s">
        <v>1719</v>
      </c>
      <c r="AG283" s="28" t="s">
        <v>563</v>
      </c>
      <c r="AK283" s="60">
        <v>2</v>
      </c>
      <c r="AL283" s="28">
        <f>1/COUNTIF(Tableau6[LAT],B283)</f>
        <v>0.5</v>
      </c>
      <c r="AM283" s="60" t="b">
        <f t="shared" si="33"/>
        <v>0</v>
      </c>
      <c r="AN283" s="60" t="b">
        <f t="shared" si="34"/>
        <v>0</v>
      </c>
      <c r="AO283" s="60" t="b">
        <f t="shared" si="35"/>
        <v>0</v>
      </c>
      <c r="AP283" s="60" t="b">
        <f t="shared" si="36"/>
        <v>0</v>
      </c>
      <c r="AQ283" s="60" t="b">
        <f t="shared" si="37"/>
        <v>0</v>
      </c>
      <c r="AR283" s="60" t="str">
        <f t="shared" si="31"/>
        <v>No</v>
      </c>
      <c r="AS283" s="60" t="str">
        <f t="shared" si="32"/>
        <v>No</v>
      </c>
    </row>
    <row r="284" spans="1:45" ht="15" hidden="1">
      <c r="A284" s="103">
        <v>45243</v>
      </c>
      <c r="B284" s="117" t="s">
        <v>1718</v>
      </c>
      <c r="C284" s="28" t="s">
        <v>548</v>
      </c>
      <c r="D284" s="28" t="s">
        <v>1723</v>
      </c>
      <c r="F284" s="28" t="s">
        <v>1720</v>
      </c>
      <c r="G284" s="28" t="s">
        <v>514</v>
      </c>
      <c r="H284" s="28" t="s">
        <v>1721</v>
      </c>
      <c r="I284" s="28" t="s">
        <v>516</v>
      </c>
      <c r="J284" s="28" t="s">
        <v>517</v>
      </c>
      <c r="K284" s="28" t="s">
        <v>518</v>
      </c>
      <c r="L284" s="28" t="s">
        <v>1502</v>
      </c>
      <c r="M284" s="28" t="s">
        <v>535</v>
      </c>
      <c r="N284" s="28" t="s">
        <v>557</v>
      </c>
      <c r="O284" s="28" t="s">
        <v>544</v>
      </c>
      <c r="S284" s="28" t="s">
        <v>732</v>
      </c>
      <c r="T284" s="28" t="s">
        <v>811</v>
      </c>
      <c r="U284" s="28" t="s">
        <v>811</v>
      </c>
      <c r="V284" s="28" t="s">
        <v>517</v>
      </c>
      <c r="W284" s="28" t="s">
        <v>1724</v>
      </c>
      <c r="Z284" s="28" t="s">
        <v>563</v>
      </c>
      <c r="AB284" s="28" t="s">
        <v>527</v>
      </c>
      <c r="AD284" s="118" t="s">
        <v>528</v>
      </c>
      <c r="AF284" s="126" t="s">
        <v>1723</v>
      </c>
      <c r="AG284" s="28" t="s">
        <v>563</v>
      </c>
      <c r="AK284" s="60">
        <v>2</v>
      </c>
      <c r="AL284" s="28">
        <f>1/COUNTIF(Tableau6[LAT],B284)</f>
        <v>0.5</v>
      </c>
      <c r="AM284" s="60" t="b">
        <f t="shared" si="33"/>
        <v>0</v>
      </c>
      <c r="AN284" s="60" t="b">
        <f t="shared" si="34"/>
        <v>0</v>
      </c>
      <c r="AO284" s="60" t="b">
        <f t="shared" si="35"/>
        <v>0</v>
      </c>
      <c r="AP284" s="60" t="b">
        <f t="shared" si="36"/>
        <v>0</v>
      </c>
      <c r="AQ284" s="60" t="b">
        <f t="shared" si="37"/>
        <v>0</v>
      </c>
      <c r="AR284" s="60" t="str">
        <f t="shared" si="31"/>
        <v>No</v>
      </c>
      <c r="AS284" s="60" t="str">
        <f t="shared" si="32"/>
        <v>No</v>
      </c>
    </row>
    <row r="285" spans="1:45" ht="15" hidden="1">
      <c r="A285" s="103">
        <v>45243</v>
      </c>
      <c r="B285" s="117" t="s">
        <v>1725</v>
      </c>
      <c r="C285" s="28" t="s">
        <v>511</v>
      </c>
      <c r="D285" s="28" t="s">
        <v>1726</v>
      </c>
      <c r="F285" s="28" t="s">
        <v>1727</v>
      </c>
      <c r="G285" s="28" t="s">
        <v>514</v>
      </c>
      <c r="H285" s="28" t="s">
        <v>1728</v>
      </c>
      <c r="I285" s="28" t="s">
        <v>516</v>
      </c>
      <c r="J285" s="28" t="s">
        <v>517</v>
      </c>
      <c r="K285" s="28" t="s">
        <v>518</v>
      </c>
      <c r="L285" s="28" t="s">
        <v>839</v>
      </c>
      <c r="M285" s="28" t="s">
        <v>605</v>
      </c>
      <c r="N285" s="28" t="s">
        <v>557</v>
      </c>
      <c r="O285" s="28" t="s">
        <v>544</v>
      </c>
      <c r="P285" s="28" t="s">
        <v>522</v>
      </c>
      <c r="S285" s="28" t="s">
        <v>1246</v>
      </c>
      <c r="T285" s="28" t="s">
        <v>840</v>
      </c>
      <c r="U285" s="28" t="s">
        <v>840</v>
      </c>
      <c r="V285" s="28" t="s">
        <v>517</v>
      </c>
      <c r="W285" s="28" t="s">
        <v>1620</v>
      </c>
      <c r="Z285" s="28" t="s">
        <v>563</v>
      </c>
      <c r="AB285" s="28" t="s">
        <v>527</v>
      </c>
      <c r="AD285" s="118" t="s">
        <v>528</v>
      </c>
      <c r="AF285" s="125" t="s">
        <v>1726</v>
      </c>
      <c r="AG285" s="28" t="s">
        <v>563</v>
      </c>
      <c r="AK285" s="60">
        <v>2</v>
      </c>
      <c r="AL285" s="28">
        <f>1/COUNTIF(Tableau6[LAT],B285)</f>
        <v>1</v>
      </c>
      <c r="AM285" s="60" t="b">
        <f t="shared" si="33"/>
        <v>0</v>
      </c>
      <c r="AN285" s="60" t="b">
        <f t="shared" si="34"/>
        <v>0</v>
      </c>
      <c r="AO285" s="60" t="b">
        <f t="shared" si="35"/>
        <v>0</v>
      </c>
      <c r="AP285" s="60" t="b">
        <f t="shared" si="36"/>
        <v>0</v>
      </c>
      <c r="AQ285" s="60" t="b">
        <f t="shared" si="37"/>
        <v>0</v>
      </c>
      <c r="AR285" s="60" t="str">
        <f t="shared" si="31"/>
        <v>No</v>
      </c>
      <c r="AS285" s="60" t="str">
        <f t="shared" si="32"/>
        <v>No</v>
      </c>
    </row>
    <row r="286" spans="1:45" ht="15" hidden="1">
      <c r="A286" s="103">
        <v>45243</v>
      </c>
      <c r="B286" s="117" t="s">
        <v>1729</v>
      </c>
      <c r="C286" s="28" t="s">
        <v>511</v>
      </c>
      <c r="D286" s="28" t="s">
        <v>1730</v>
      </c>
      <c r="F286" s="28" t="s">
        <v>1731</v>
      </c>
      <c r="G286" s="28" t="s">
        <v>514</v>
      </c>
      <c r="H286" s="28" t="s">
        <v>1732</v>
      </c>
      <c r="I286" s="28" t="s">
        <v>516</v>
      </c>
      <c r="J286" s="28" t="s">
        <v>517</v>
      </c>
      <c r="K286" s="28" t="s">
        <v>518</v>
      </c>
      <c r="L286" s="28" t="s">
        <v>717</v>
      </c>
      <c r="M286" s="28" t="s">
        <v>535</v>
      </c>
      <c r="N286" s="28" t="s">
        <v>544</v>
      </c>
      <c r="S286" s="28" t="s">
        <v>752</v>
      </c>
      <c r="T286" s="28" t="s">
        <v>719</v>
      </c>
      <c r="U286" s="28" t="s">
        <v>719</v>
      </c>
      <c r="V286" s="28" t="s">
        <v>517</v>
      </c>
      <c r="W286" s="28" t="s">
        <v>1733</v>
      </c>
      <c r="Z286" s="28" t="s">
        <v>526</v>
      </c>
      <c r="AD286" s="118" t="s">
        <v>528</v>
      </c>
      <c r="AF286" s="126" t="s">
        <v>1730</v>
      </c>
      <c r="AG286" s="28" t="s">
        <v>529</v>
      </c>
      <c r="AK286" s="60">
        <v>2</v>
      </c>
      <c r="AL286" s="28">
        <f>1/COUNTIF(Tableau6[LAT],B286)</f>
        <v>0.5</v>
      </c>
      <c r="AM286" s="60" t="b">
        <f t="shared" si="33"/>
        <v>0</v>
      </c>
      <c r="AN286" s="60" t="b">
        <f t="shared" si="34"/>
        <v>0</v>
      </c>
      <c r="AO286" s="60" t="b">
        <f t="shared" si="35"/>
        <v>0</v>
      </c>
      <c r="AP286" s="60" t="b">
        <f t="shared" si="36"/>
        <v>0</v>
      </c>
      <c r="AQ286" s="60" t="b">
        <f t="shared" si="37"/>
        <v>0</v>
      </c>
      <c r="AR286" s="60" t="str">
        <f t="shared" si="31"/>
        <v>No</v>
      </c>
      <c r="AS286" s="60" t="str">
        <f t="shared" si="32"/>
        <v>No</v>
      </c>
    </row>
    <row r="287" spans="1:45" ht="15" hidden="1">
      <c r="A287" s="103">
        <v>45243</v>
      </c>
      <c r="B287" s="117" t="s">
        <v>1729</v>
      </c>
      <c r="C287" s="28" t="s">
        <v>548</v>
      </c>
      <c r="D287" s="28" t="s">
        <v>1734</v>
      </c>
      <c r="F287" s="28" t="s">
        <v>1731</v>
      </c>
      <c r="G287" s="28" t="s">
        <v>514</v>
      </c>
      <c r="H287" s="28" t="s">
        <v>1735</v>
      </c>
      <c r="I287" s="28" t="s">
        <v>516</v>
      </c>
      <c r="J287" s="28" t="s">
        <v>517</v>
      </c>
      <c r="K287" s="28" t="s">
        <v>518</v>
      </c>
      <c r="L287" s="28" t="s">
        <v>717</v>
      </c>
      <c r="M287" s="28" t="s">
        <v>535</v>
      </c>
      <c r="N287" s="28" t="s">
        <v>544</v>
      </c>
      <c r="S287" s="28" t="s">
        <v>752</v>
      </c>
      <c r="T287" s="28" t="s">
        <v>719</v>
      </c>
      <c r="U287" s="28" t="s">
        <v>719</v>
      </c>
      <c r="V287" s="28" t="s">
        <v>517</v>
      </c>
      <c r="W287" s="28" t="s">
        <v>1736</v>
      </c>
      <c r="Z287" s="28" t="s">
        <v>526</v>
      </c>
      <c r="AD287" s="118" t="s">
        <v>528</v>
      </c>
      <c r="AF287" s="126"/>
      <c r="AG287" s="28" t="s">
        <v>563</v>
      </c>
      <c r="AK287" s="60">
        <v>2</v>
      </c>
      <c r="AL287" s="28">
        <f>1/COUNTIF(Tableau6[LAT],B287)</f>
        <v>0.5</v>
      </c>
      <c r="AM287" s="60" t="b">
        <f t="shared" si="33"/>
        <v>0</v>
      </c>
      <c r="AN287" s="60" t="b">
        <f t="shared" si="34"/>
        <v>0</v>
      </c>
      <c r="AO287" s="60" t="b">
        <f t="shared" si="35"/>
        <v>0</v>
      </c>
      <c r="AP287" s="60" t="b">
        <f t="shared" si="36"/>
        <v>0</v>
      </c>
      <c r="AQ287" s="60" t="b">
        <f t="shared" si="37"/>
        <v>0</v>
      </c>
      <c r="AR287" s="60" t="str">
        <f t="shared" si="31"/>
        <v>No</v>
      </c>
      <c r="AS287" s="60" t="str">
        <f t="shared" si="32"/>
        <v>No</v>
      </c>
    </row>
    <row r="288" spans="1:45" ht="15" hidden="1">
      <c r="A288" s="103">
        <v>45243</v>
      </c>
      <c r="B288" s="117" t="s">
        <v>1737</v>
      </c>
      <c r="C288" s="28" t="s">
        <v>511</v>
      </c>
      <c r="D288" s="28" t="s">
        <v>1738</v>
      </c>
      <c r="F288" s="28" t="s">
        <v>1739</v>
      </c>
      <c r="G288" s="28" t="s">
        <v>514</v>
      </c>
      <c r="H288" s="28" t="s">
        <v>966</v>
      </c>
      <c r="I288" s="28" t="s">
        <v>516</v>
      </c>
      <c r="J288" s="28" t="s">
        <v>517</v>
      </c>
      <c r="K288" s="28" t="s">
        <v>518</v>
      </c>
      <c r="L288" s="28" t="s">
        <v>1040</v>
      </c>
      <c r="M288" s="28" t="s">
        <v>535</v>
      </c>
      <c r="N288" s="28" t="s">
        <v>1637</v>
      </c>
      <c r="O288" s="28" t="s">
        <v>1383</v>
      </c>
      <c r="P288" s="28" t="s">
        <v>521</v>
      </c>
      <c r="Q288" s="28" t="s">
        <v>522</v>
      </c>
      <c r="S288" s="28" t="s">
        <v>1226</v>
      </c>
      <c r="T288" s="28" t="s">
        <v>1042</v>
      </c>
      <c r="U288" s="28" t="s">
        <v>1042</v>
      </c>
      <c r="V288" s="28" t="s">
        <v>517</v>
      </c>
      <c r="W288" s="28" t="s">
        <v>1740</v>
      </c>
      <c r="Z288" s="28" t="s">
        <v>563</v>
      </c>
      <c r="AB288" s="28" t="s">
        <v>527</v>
      </c>
      <c r="AD288" s="118" t="s">
        <v>528</v>
      </c>
      <c r="AF288" s="126" t="s">
        <v>1738</v>
      </c>
      <c r="AG288" s="28" t="s">
        <v>563</v>
      </c>
      <c r="AK288" s="60">
        <v>2</v>
      </c>
      <c r="AL288" s="28">
        <f>1/COUNTIF(Tableau6[LAT],B288)</f>
        <v>0.5</v>
      </c>
      <c r="AM288" s="60" t="b">
        <f t="shared" si="33"/>
        <v>0</v>
      </c>
      <c r="AN288" s="60" t="b">
        <f t="shared" si="34"/>
        <v>0</v>
      </c>
      <c r="AO288" s="60" t="b">
        <f t="shared" si="35"/>
        <v>0</v>
      </c>
      <c r="AP288" s="60" t="b">
        <f t="shared" si="36"/>
        <v>0</v>
      </c>
      <c r="AQ288" s="60" t="b">
        <f t="shared" si="37"/>
        <v>0</v>
      </c>
      <c r="AR288" s="60" t="str">
        <f t="shared" si="31"/>
        <v>No</v>
      </c>
      <c r="AS288" s="60" t="str">
        <f t="shared" si="32"/>
        <v>No</v>
      </c>
    </row>
    <row r="289" spans="1:45" ht="15" hidden="1">
      <c r="A289" s="103">
        <v>45243</v>
      </c>
      <c r="B289" s="117" t="s">
        <v>1737</v>
      </c>
      <c r="C289" s="28" t="s">
        <v>548</v>
      </c>
      <c r="D289" s="28" t="s">
        <v>1741</v>
      </c>
      <c r="F289" s="28" t="s">
        <v>1742</v>
      </c>
      <c r="G289" s="28" t="s">
        <v>514</v>
      </c>
      <c r="H289" s="28" t="s">
        <v>966</v>
      </c>
      <c r="I289" s="28" t="s">
        <v>516</v>
      </c>
      <c r="J289" s="28" t="s">
        <v>517</v>
      </c>
      <c r="K289" s="28" t="s">
        <v>518</v>
      </c>
      <c r="L289" s="28" t="s">
        <v>1040</v>
      </c>
      <c r="M289" s="28" t="s">
        <v>535</v>
      </c>
      <c r="N289" s="28" t="s">
        <v>1637</v>
      </c>
      <c r="O289" s="28" t="s">
        <v>1383</v>
      </c>
      <c r="P289" s="28" t="s">
        <v>521</v>
      </c>
      <c r="Q289" s="28" t="s">
        <v>522</v>
      </c>
      <c r="S289" s="28" t="s">
        <v>1226</v>
      </c>
      <c r="T289" s="28" t="s">
        <v>1042</v>
      </c>
      <c r="U289" s="28" t="s">
        <v>1042</v>
      </c>
      <c r="V289" s="28" t="s">
        <v>517</v>
      </c>
      <c r="W289" s="28" t="s">
        <v>1743</v>
      </c>
      <c r="Z289" s="28" t="s">
        <v>563</v>
      </c>
      <c r="AB289" s="28" t="s">
        <v>527</v>
      </c>
      <c r="AD289" s="118"/>
      <c r="AF289" s="126" t="s">
        <v>1741</v>
      </c>
      <c r="AK289" s="60">
        <v>2</v>
      </c>
      <c r="AL289" s="28">
        <f>1/COUNTIF(Tableau6[LAT],B289)</f>
        <v>0.5</v>
      </c>
      <c r="AM289" s="60" t="b">
        <f t="shared" si="33"/>
        <v>0</v>
      </c>
      <c r="AN289" s="60" t="b">
        <f t="shared" si="34"/>
        <v>0</v>
      </c>
      <c r="AO289" s="60" t="b">
        <f t="shared" si="35"/>
        <v>0</v>
      </c>
      <c r="AP289" s="60" t="b">
        <f t="shared" si="36"/>
        <v>0</v>
      </c>
      <c r="AQ289" s="60" t="b">
        <f t="shared" si="37"/>
        <v>0</v>
      </c>
      <c r="AR289" s="60" t="str">
        <f t="shared" si="31"/>
        <v>No</v>
      </c>
      <c r="AS289" s="60" t="str">
        <f t="shared" si="32"/>
        <v>No</v>
      </c>
    </row>
    <row r="290" spans="1:45" ht="15" hidden="1">
      <c r="A290" s="103">
        <v>45243</v>
      </c>
      <c r="B290" s="117" t="s">
        <v>1744</v>
      </c>
      <c r="C290" s="28" t="s">
        <v>511</v>
      </c>
      <c r="D290" s="28" t="s">
        <v>1745</v>
      </c>
      <c r="E290" s="28" t="s">
        <v>1746</v>
      </c>
      <c r="F290" s="28" t="s">
        <v>1747</v>
      </c>
      <c r="G290" s="28" t="s">
        <v>1077</v>
      </c>
      <c r="H290" s="28" t="s">
        <v>1748</v>
      </c>
      <c r="I290" s="28" t="s">
        <v>516</v>
      </c>
      <c r="J290" s="28" t="s">
        <v>517</v>
      </c>
      <c r="K290" s="28" t="s">
        <v>518</v>
      </c>
      <c r="L290" s="28" t="s">
        <v>519</v>
      </c>
      <c r="M290" s="28" t="s">
        <v>520</v>
      </c>
      <c r="N290" s="28" t="s">
        <v>521</v>
      </c>
      <c r="O290" s="28" t="s">
        <v>544</v>
      </c>
      <c r="P290" s="28" t="s">
        <v>522</v>
      </c>
      <c r="S290" s="28" t="s">
        <v>1749</v>
      </c>
      <c r="T290" s="28" t="s">
        <v>524</v>
      </c>
      <c r="U290" s="28" t="s">
        <v>524</v>
      </c>
      <c r="V290" s="28" t="s">
        <v>517</v>
      </c>
      <c r="W290" s="28" t="s">
        <v>1750</v>
      </c>
      <c r="X290" s="28" t="s">
        <v>670</v>
      </c>
      <c r="Z290" s="28" t="s">
        <v>563</v>
      </c>
      <c r="AB290" s="28" t="s">
        <v>527</v>
      </c>
      <c r="AD290" s="118" t="s">
        <v>954</v>
      </c>
      <c r="AF290" s="126" t="s">
        <v>1745</v>
      </c>
      <c r="AG290" s="28" t="s">
        <v>563</v>
      </c>
      <c r="AK290" s="60">
        <v>2</v>
      </c>
      <c r="AL290" s="28">
        <f>1/COUNTIF(Tableau6[LAT],B290)</f>
        <v>0.33333333333333331</v>
      </c>
      <c r="AM290" s="60" t="b">
        <f t="shared" si="33"/>
        <v>0</v>
      </c>
      <c r="AN290" s="60" t="b">
        <f t="shared" si="34"/>
        <v>0</v>
      </c>
      <c r="AO290" s="60" t="b">
        <f t="shared" si="35"/>
        <v>0</v>
      </c>
      <c r="AP290" s="60" t="b">
        <f t="shared" si="36"/>
        <v>0</v>
      </c>
      <c r="AQ290" s="60" t="b">
        <f t="shared" si="37"/>
        <v>0</v>
      </c>
      <c r="AR290" s="60" t="str">
        <f t="shared" si="31"/>
        <v>No</v>
      </c>
      <c r="AS290" s="60" t="str">
        <f t="shared" si="32"/>
        <v>No</v>
      </c>
    </row>
    <row r="291" spans="1:45" ht="15" hidden="1">
      <c r="A291" s="103">
        <v>45243</v>
      </c>
      <c r="B291" s="117" t="s">
        <v>1744</v>
      </c>
      <c r="C291" s="28" t="s">
        <v>548</v>
      </c>
      <c r="D291" s="28" t="s">
        <v>1751</v>
      </c>
      <c r="E291" s="28" t="s">
        <v>1752</v>
      </c>
      <c r="F291" s="28" t="s">
        <v>1753</v>
      </c>
      <c r="G291" s="28" t="s">
        <v>724</v>
      </c>
      <c r="H291" s="28" t="s">
        <v>1754</v>
      </c>
      <c r="I291" s="28" t="s">
        <v>516</v>
      </c>
      <c r="J291" s="28" t="s">
        <v>517</v>
      </c>
      <c r="K291" s="28" t="s">
        <v>518</v>
      </c>
      <c r="L291" s="28" t="s">
        <v>519</v>
      </c>
      <c r="M291" s="28" t="s">
        <v>520</v>
      </c>
      <c r="N291" s="28" t="s">
        <v>521</v>
      </c>
      <c r="O291" s="28" t="s">
        <v>544</v>
      </c>
      <c r="P291" s="28" t="s">
        <v>522</v>
      </c>
      <c r="S291" s="28" t="s">
        <v>1749</v>
      </c>
      <c r="T291" s="28" t="s">
        <v>524</v>
      </c>
      <c r="U291" s="28" t="s">
        <v>524</v>
      </c>
      <c r="V291" s="28" t="s">
        <v>517</v>
      </c>
      <c r="W291" s="28" t="s">
        <v>1755</v>
      </c>
      <c r="X291" s="28" t="s">
        <v>670</v>
      </c>
      <c r="Z291" s="28" t="s">
        <v>563</v>
      </c>
      <c r="AB291" s="28" t="s">
        <v>527</v>
      </c>
      <c r="AD291" s="118" t="s">
        <v>954</v>
      </c>
      <c r="AF291" s="126" t="s">
        <v>1751</v>
      </c>
      <c r="AG291" s="28" t="s">
        <v>563</v>
      </c>
      <c r="AK291" s="60">
        <v>2</v>
      </c>
      <c r="AL291" s="28">
        <f>1/COUNTIF(Tableau6[LAT],B291)</f>
        <v>0.33333333333333331</v>
      </c>
      <c r="AM291" s="60" t="b">
        <f t="shared" si="33"/>
        <v>0</v>
      </c>
      <c r="AN291" s="60" t="b">
        <f t="shared" si="34"/>
        <v>0</v>
      </c>
      <c r="AO291" s="60" t="b">
        <f t="shared" si="35"/>
        <v>0</v>
      </c>
      <c r="AP291" s="60" t="b">
        <f t="shared" si="36"/>
        <v>0</v>
      </c>
      <c r="AQ291" s="60" t="b">
        <f t="shared" si="37"/>
        <v>0</v>
      </c>
      <c r="AR291" s="60" t="str">
        <f t="shared" si="31"/>
        <v>No</v>
      </c>
      <c r="AS291" s="60" t="str">
        <f t="shared" si="32"/>
        <v>No</v>
      </c>
    </row>
    <row r="292" spans="1:45" ht="15" hidden="1">
      <c r="A292" s="103">
        <v>45243</v>
      </c>
      <c r="B292" s="117" t="s">
        <v>1744</v>
      </c>
      <c r="C292" s="28" t="s">
        <v>612</v>
      </c>
      <c r="D292" s="28" t="s">
        <v>1756</v>
      </c>
      <c r="E292" s="28" t="s">
        <v>1757</v>
      </c>
      <c r="F292" s="28" t="s">
        <v>1753</v>
      </c>
      <c r="G292" s="28" t="s">
        <v>724</v>
      </c>
      <c r="H292" s="28" t="s">
        <v>1754</v>
      </c>
      <c r="I292" s="28" t="s">
        <v>516</v>
      </c>
      <c r="J292" s="28" t="s">
        <v>517</v>
      </c>
      <c r="K292" s="28" t="s">
        <v>518</v>
      </c>
      <c r="L292" s="28" t="s">
        <v>519</v>
      </c>
      <c r="M292" s="28" t="s">
        <v>520</v>
      </c>
      <c r="N292" s="28" t="s">
        <v>521</v>
      </c>
      <c r="O292" s="28" t="s">
        <v>544</v>
      </c>
      <c r="P292" s="28" t="s">
        <v>522</v>
      </c>
      <c r="S292" s="28" t="s">
        <v>1749</v>
      </c>
      <c r="T292" s="28" t="s">
        <v>524</v>
      </c>
      <c r="U292" s="28" t="s">
        <v>524</v>
      </c>
      <c r="V292" s="28" t="s">
        <v>517</v>
      </c>
      <c r="W292" s="28" t="s">
        <v>1758</v>
      </c>
      <c r="X292" s="28" t="s">
        <v>670</v>
      </c>
      <c r="Z292" s="28" t="s">
        <v>563</v>
      </c>
      <c r="AB292" s="28" t="s">
        <v>527</v>
      </c>
      <c r="AD292" s="118" t="s">
        <v>954</v>
      </c>
      <c r="AF292" s="126" t="s">
        <v>1756</v>
      </c>
      <c r="AG292" s="28" t="s">
        <v>563</v>
      </c>
      <c r="AK292" s="60">
        <v>2</v>
      </c>
      <c r="AL292" s="28">
        <f>1/COUNTIF(Tableau6[LAT],B292)</f>
        <v>0.33333333333333331</v>
      </c>
      <c r="AM292" s="60" t="b">
        <f t="shared" si="33"/>
        <v>0</v>
      </c>
      <c r="AN292" s="60" t="b">
        <f t="shared" si="34"/>
        <v>0</v>
      </c>
      <c r="AO292" s="60" t="b">
        <f t="shared" si="35"/>
        <v>0</v>
      </c>
      <c r="AP292" s="60" t="b">
        <f t="shared" si="36"/>
        <v>0</v>
      </c>
      <c r="AQ292" s="60" t="b">
        <f t="shared" si="37"/>
        <v>0</v>
      </c>
      <c r="AR292" s="60" t="str">
        <f t="shared" si="31"/>
        <v>No</v>
      </c>
      <c r="AS292" s="60" t="str">
        <f t="shared" si="32"/>
        <v>No</v>
      </c>
    </row>
    <row r="293" spans="1:45" ht="15" hidden="1">
      <c r="A293" s="103">
        <v>45243</v>
      </c>
      <c r="B293" s="117" t="s">
        <v>1759</v>
      </c>
      <c r="C293" s="28" t="s">
        <v>548</v>
      </c>
      <c r="D293" s="28" t="s">
        <v>1760</v>
      </c>
      <c r="F293" s="28" t="s">
        <v>1761</v>
      </c>
      <c r="G293" s="28" t="s">
        <v>514</v>
      </c>
      <c r="H293" s="28" t="s">
        <v>1256</v>
      </c>
      <c r="I293" s="28" t="s">
        <v>516</v>
      </c>
      <c r="J293" s="28" t="s">
        <v>517</v>
      </c>
      <c r="K293" s="28" t="s">
        <v>518</v>
      </c>
      <c r="L293" s="28" t="s">
        <v>895</v>
      </c>
      <c r="M293" s="28" t="s">
        <v>535</v>
      </c>
      <c r="N293" s="28" t="s">
        <v>557</v>
      </c>
      <c r="O293" s="28" t="s">
        <v>544</v>
      </c>
      <c r="P293" s="28" t="s">
        <v>522</v>
      </c>
      <c r="S293" s="28" t="s">
        <v>1762</v>
      </c>
      <c r="T293" s="28" t="s">
        <v>699</v>
      </c>
      <c r="U293" s="28" t="s">
        <v>897</v>
      </c>
      <c r="V293" s="28" t="s">
        <v>517</v>
      </c>
      <c r="W293" s="28" t="s">
        <v>1763</v>
      </c>
      <c r="Z293" s="28" t="s">
        <v>563</v>
      </c>
      <c r="AB293" s="28" t="s">
        <v>527</v>
      </c>
      <c r="AD293" s="118" t="s">
        <v>528</v>
      </c>
      <c r="AF293" s="125" t="s">
        <v>1764</v>
      </c>
      <c r="AG293" s="28" t="s">
        <v>563</v>
      </c>
      <c r="AK293" s="60">
        <v>2</v>
      </c>
      <c r="AL293" s="28">
        <f>1/COUNTIF(Tableau6[LAT],B293)</f>
        <v>1</v>
      </c>
      <c r="AM293" s="60" t="b">
        <f t="shared" si="33"/>
        <v>0</v>
      </c>
      <c r="AN293" s="60" t="b">
        <f t="shared" si="34"/>
        <v>0</v>
      </c>
      <c r="AO293" s="60" t="b">
        <f t="shared" si="35"/>
        <v>0</v>
      </c>
      <c r="AP293" s="60" t="b">
        <f t="shared" si="36"/>
        <v>0</v>
      </c>
      <c r="AQ293" s="60" t="b">
        <f t="shared" si="37"/>
        <v>0</v>
      </c>
      <c r="AR293" s="60" t="str">
        <f t="shared" si="31"/>
        <v>No</v>
      </c>
      <c r="AS293" s="60" t="str">
        <f t="shared" si="32"/>
        <v>No</v>
      </c>
    </row>
    <row r="294" spans="1:45" ht="15" hidden="1">
      <c r="A294" s="103">
        <v>45243</v>
      </c>
      <c r="B294" s="117" t="s">
        <v>1765</v>
      </c>
      <c r="C294" s="28" t="s">
        <v>511</v>
      </c>
      <c r="D294" s="28" t="s">
        <v>1766</v>
      </c>
      <c r="F294" s="28" t="s">
        <v>1767</v>
      </c>
      <c r="G294" s="28" t="s">
        <v>514</v>
      </c>
      <c r="H294" s="28" t="s">
        <v>1768</v>
      </c>
      <c r="I294" s="28" t="s">
        <v>516</v>
      </c>
      <c r="J294" s="28" t="s">
        <v>517</v>
      </c>
      <c r="K294" s="28" t="s">
        <v>518</v>
      </c>
      <c r="L294" s="28" t="s">
        <v>1769</v>
      </c>
      <c r="M294" s="28" t="s">
        <v>605</v>
      </c>
      <c r="N294" s="28" t="s">
        <v>557</v>
      </c>
      <c r="O294" s="28" t="s">
        <v>544</v>
      </c>
      <c r="P294" s="28" t="s">
        <v>1107</v>
      </c>
      <c r="S294" s="28" t="s">
        <v>775</v>
      </c>
      <c r="T294" s="28" t="s">
        <v>733</v>
      </c>
      <c r="U294" s="28" t="s">
        <v>733</v>
      </c>
      <c r="V294" s="28" t="s">
        <v>517</v>
      </c>
      <c r="W294" s="28" t="s">
        <v>1770</v>
      </c>
      <c r="Z294" s="28" t="s">
        <v>563</v>
      </c>
      <c r="AB294" s="28" t="s">
        <v>527</v>
      </c>
      <c r="AD294" s="118" t="s">
        <v>954</v>
      </c>
      <c r="AF294" s="126" t="s">
        <v>1766</v>
      </c>
      <c r="AG294" s="28" t="s">
        <v>563</v>
      </c>
      <c r="AK294" s="60">
        <v>2</v>
      </c>
      <c r="AL294" s="28">
        <f>1/COUNTIF(Tableau6[LAT],B294)</f>
        <v>0.25</v>
      </c>
      <c r="AM294" s="60" t="b">
        <f t="shared" si="33"/>
        <v>0</v>
      </c>
      <c r="AN294" s="60" t="b">
        <f t="shared" si="34"/>
        <v>0</v>
      </c>
      <c r="AO294" s="60" t="b">
        <f t="shared" si="35"/>
        <v>0</v>
      </c>
      <c r="AP294" s="60" t="b">
        <f t="shared" si="36"/>
        <v>0</v>
      </c>
      <c r="AQ294" s="60" t="b">
        <f t="shared" si="37"/>
        <v>0</v>
      </c>
      <c r="AR294" s="60" t="str">
        <f t="shared" si="31"/>
        <v>No</v>
      </c>
      <c r="AS294" s="60" t="str">
        <f t="shared" si="32"/>
        <v>No</v>
      </c>
    </row>
    <row r="295" spans="1:45" ht="15" hidden="1">
      <c r="A295" s="103">
        <v>45243</v>
      </c>
      <c r="B295" s="117" t="s">
        <v>1765</v>
      </c>
      <c r="C295" s="28" t="s">
        <v>548</v>
      </c>
      <c r="D295" s="28" t="s">
        <v>1771</v>
      </c>
      <c r="F295" s="28" t="s">
        <v>1772</v>
      </c>
      <c r="G295" s="28" t="s">
        <v>514</v>
      </c>
      <c r="H295" s="28" t="s">
        <v>1768</v>
      </c>
      <c r="I295" s="28" t="s">
        <v>516</v>
      </c>
      <c r="J295" s="28" t="s">
        <v>517</v>
      </c>
      <c r="K295" s="28" t="s">
        <v>518</v>
      </c>
      <c r="L295" s="28" t="s">
        <v>1769</v>
      </c>
      <c r="M295" s="28" t="s">
        <v>605</v>
      </c>
      <c r="N295" s="28" t="s">
        <v>557</v>
      </c>
      <c r="O295" s="28" t="s">
        <v>544</v>
      </c>
      <c r="P295" s="28" t="s">
        <v>1107</v>
      </c>
      <c r="S295" s="28" t="s">
        <v>775</v>
      </c>
      <c r="T295" s="28" t="s">
        <v>733</v>
      </c>
      <c r="U295" s="28" t="s">
        <v>733</v>
      </c>
      <c r="V295" s="28" t="s">
        <v>517</v>
      </c>
      <c r="W295" s="28" t="s">
        <v>835</v>
      </c>
      <c r="Z295" s="28" t="s">
        <v>563</v>
      </c>
      <c r="AB295" s="28" t="s">
        <v>527</v>
      </c>
      <c r="AD295" s="118" t="s">
        <v>954</v>
      </c>
      <c r="AF295" s="126" t="s">
        <v>1771</v>
      </c>
      <c r="AG295" s="28" t="s">
        <v>563</v>
      </c>
      <c r="AK295" s="60">
        <v>2</v>
      </c>
      <c r="AL295" s="28">
        <f>1/COUNTIF(Tableau6[LAT],B295)</f>
        <v>0.25</v>
      </c>
      <c r="AM295" s="60" t="b">
        <f t="shared" si="33"/>
        <v>0</v>
      </c>
      <c r="AN295" s="60" t="b">
        <f t="shared" si="34"/>
        <v>0</v>
      </c>
      <c r="AO295" s="60" t="b">
        <f t="shared" si="35"/>
        <v>0</v>
      </c>
      <c r="AP295" s="60" t="b">
        <f t="shared" si="36"/>
        <v>0</v>
      </c>
      <c r="AQ295" s="60" t="b">
        <f t="shared" si="37"/>
        <v>0</v>
      </c>
      <c r="AR295" s="60" t="str">
        <f t="shared" si="31"/>
        <v>No</v>
      </c>
      <c r="AS295" s="60" t="str">
        <f t="shared" si="32"/>
        <v>No</v>
      </c>
    </row>
    <row r="296" spans="1:45" ht="15" hidden="1">
      <c r="A296" s="103">
        <v>45243</v>
      </c>
      <c r="B296" s="117" t="s">
        <v>1765</v>
      </c>
      <c r="C296" s="28" t="s">
        <v>612</v>
      </c>
      <c r="D296" s="28" t="s">
        <v>1773</v>
      </c>
      <c r="F296" s="28" t="s">
        <v>1774</v>
      </c>
      <c r="G296" s="28" t="s">
        <v>514</v>
      </c>
      <c r="H296" s="28" t="s">
        <v>1768</v>
      </c>
      <c r="I296" s="28" t="s">
        <v>516</v>
      </c>
      <c r="J296" s="28" t="s">
        <v>517</v>
      </c>
      <c r="K296" s="28" t="s">
        <v>518</v>
      </c>
      <c r="L296" s="28" t="s">
        <v>1769</v>
      </c>
      <c r="M296" s="28" t="s">
        <v>605</v>
      </c>
      <c r="N296" s="28" t="s">
        <v>557</v>
      </c>
      <c r="O296" s="28" t="s">
        <v>544</v>
      </c>
      <c r="P296" s="28" t="s">
        <v>1107</v>
      </c>
      <c r="S296" s="28" t="s">
        <v>775</v>
      </c>
      <c r="T296" s="28" t="s">
        <v>733</v>
      </c>
      <c r="U296" s="28" t="s">
        <v>733</v>
      </c>
      <c r="V296" s="28" t="s">
        <v>517</v>
      </c>
      <c r="W296" s="28" t="s">
        <v>835</v>
      </c>
      <c r="Z296" s="28" t="s">
        <v>563</v>
      </c>
      <c r="AB296" s="28" t="s">
        <v>527</v>
      </c>
      <c r="AD296" s="118" t="s">
        <v>954</v>
      </c>
      <c r="AF296" s="126" t="s">
        <v>1773</v>
      </c>
      <c r="AG296" s="28" t="s">
        <v>563</v>
      </c>
      <c r="AK296" s="60">
        <v>2</v>
      </c>
      <c r="AL296" s="28">
        <f>1/COUNTIF(Tableau6[LAT],B296)</f>
        <v>0.25</v>
      </c>
      <c r="AM296" s="60" t="b">
        <f t="shared" si="33"/>
        <v>0</v>
      </c>
      <c r="AN296" s="60" t="b">
        <f t="shared" si="34"/>
        <v>0</v>
      </c>
      <c r="AO296" s="60" t="b">
        <f t="shared" si="35"/>
        <v>0</v>
      </c>
      <c r="AP296" s="60" t="b">
        <f t="shared" si="36"/>
        <v>0</v>
      </c>
      <c r="AQ296" s="60" t="b">
        <f t="shared" si="37"/>
        <v>0</v>
      </c>
      <c r="AR296" s="60" t="str">
        <f t="shared" si="31"/>
        <v>No</v>
      </c>
      <c r="AS296" s="60" t="str">
        <f t="shared" si="32"/>
        <v>No</v>
      </c>
    </row>
    <row r="297" spans="1:45" ht="15" hidden="1">
      <c r="A297" s="103">
        <v>45243</v>
      </c>
      <c r="B297" s="117" t="s">
        <v>1765</v>
      </c>
      <c r="C297" s="28" t="s">
        <v>691</v>
      </c>
      <c r="D297" s="28" t="s">
        <v>1775</v>
      </c>
      <c r="F297" s="28" t="s">
        <v>1776</v>
      </c>
      <c r="G297" s="28" t="s">
        <v>958</v>
      </c>
      <c r="H297" s="28" t="s">
        <v>1777</v>
      </c>
      <c r="I297" s="28" t="s">
        <v>516</v>
      </c>
      <c r="J297" s="28" t="s">
        <v>517</v>
      </c>
      <c r="K297" s="28" t="s">
        <v>518</v>
      </c>
      <c r="L297" s="28" t="s">
        <v>1769</v>
      </c>
      <c r="M297" s="28" t="s">
        <v>605</v>
      </c>
      <c r="N297" s="28" t="s">
        <v>557</v>
      </c>
      <c r="O297" s="28" t="s">
        <v>544</v>
      </c>
      <c r="P297" s="28" t="s">
        <v>1107</v>
      </c>
      <c r="S297" s="28" t="s">
        <v>775</v>
      </c>
      <c r="T297" s="28" t="s">
        <v>733</v>
      </c>
      <c r="U297" s="28" t="s">
        <v>733</v>
      </c>
      <c r="V297" s="28" t="s">
        <v>517</v>
      </c>
      <c r="W297" s="28" t="s">
        <v>922</v>
      </c>
      <c r="Z297" s="28" t="s">
        <v>563</v>
      </c>
      <c r="AB297" s="28" t="s">
        <v>527</v>
      </c>
      <c r="AD297" s="118" t="s">
        <v>954</v>
      </c>
      <c r="AF297" s="126" t="s">
        <v>1775</v>
      </c>
      <c r="AG297" s="28" t="s">
        <v>563</v>
      </c>
      <c r="AK297" s="60">
        <v>2</v>
      </c>
      <c r="AL297" s="28">
        <f>1/COUNTIF(Tableau6[LAT],B297)</f>
        <v>0.25</v>
      </c>
      <c r="AM297" s="60" t="b">
        <f t="shared" si="33"/>
        <v>0</v>
      </c>
      <c r="AN297" s="60" t="b">
        <f t="shared" si="34"/>
        <v>0</v>
      </c>
      <c r="AO297" s="60" t="b">
        <f t="shared" si="35"/>
        <v>0</v>
      </c>
      <c r="AP297" s="60" t="b">
        <f t="shared" si="36"/>
        <v>0</v>
      </c>
      <c r="AQ297" s="60" t="b">
        <f t="shared" si="37"/>
        <v>0</v>
      </c>
      <c r="AR297" s="60" t="str">
        <f t="shared" si="31"/>
        <v>No</v>
      </c>
      <c r="AS297" s="60" t="str">
        <f t="shared" si="32"/>
        <v>No</v>
      </c>
    </row>
    <row r="298" spans="1:45" ht="15" hidden="1">
      <c r="A298" s="103">
        <v>45243</v>
      </c>
      <c r="B298" s="117" t="s">
        <v>1778</v>
      </c>
      <c r="C298" s="28" t="s">
        <v>511</v>
      </c>
      <c r="D298" s="28" t="s">
        <v>1779</v>
      </c>
      <c r="F298" s="28" t="s">
        <v>1780</v>
      </c>
      <c r="G298" s="28" t="s">
        <v>514</v>
      </c>
      <c r="H298" s="28" t="s">
        <v>1321</v>
      </c>
      <c r="I298" s="28" t="s">
        <v>516</v>
      </c>
      <c r="J298" s="28" t="s">
        <v>517</v>
      </c>
      <c r="K298" s="28" t="s">
        <v>682</v>
      </c>
      <c r="L298" s="28" t="s">
        <v>1262</v>
      </c>
      <c r="M298" s="28" t="s">
        <v>520</v>
      </c>
      <c r="N298" s="28" t="s">
        <v>557</v>
      </c>
      <c r="O298" s="28" t="s">
        <v>544</v>
      </c>
      <c r="P298" s="28" t="s">
        <v>522</v>
      </c>
      <c r="S298" s="28" t="s">
        <v>1318</v>
      </c>
      <c r="T298" s="28" t="s">
        <v>1264</v>
      </c>
      <c r="U298" s="28" t="s">
        <v>1264</v>
      </c>
      <c r="V298" s="28" t="s">
        <v>517</v>
      </c>
      <c r="W298" s="28" t="s">
        <v>1781</v>
      </c>
      <c r="Z298" s="28" t="s">
        <v>563</v>
      </c>
      <c r="AB298" s="28" t="s">
        <v>527</v>
      </c>
      <c r="AD298" s="118" t="s">
        <v>954</v>
      </c>
      <c r="AF298" s="126" t="s">
        <v>1779</v>
      </c>
      <c r="AG298" s="28" t="s">
        <v>563</v>
      </c>
      <c r="AK298" s="60">
        <v>2</v>
      </c>
      <c r="AL298" s="28">
        <f>1/COUNTIF(Tableau6[LAT],B298)</f>
        <v>0.5</v>
      </c>
      <c r="AM298" s="60" t="b">
        <f t="shared" si="33"/>
        <v>0</v>
      </c>
      <c r="AN298" s="60" t="b">
        <f t="shared" si="34"/>
        <v>0</v>
      </c>
      <c r="AO298" s="60" t="b">
        <f t="shared" si="35"/>
        <v>0</v>
      </c>
      <c r="AP298" s="60" t="b">
        <f t="shared" si="36"/>
        <v>0</v>
      </c>
      <c r="AQ298" s="60" t="b">
        <f t="shared" si="37"/>
        <v>0</v>
      </c>
      <c r="AR298" s="60" t="str">
        <f t="shared" si="31"/>
        <v>No</v>
      </c>
      <c r="AS298" s="60" t="str">
        <f t="shared" si="32"/>
        <v>No</v>
      </c>
    </row>
    <row r="299" spans="1:45" ht="15" hidden="1">
      <c r="A299" s="103">
        <v>45243</v>
      </c>
      <c r="B299" s="117" t="s">
        <v>1778</v>
      </c>
      <c r="C299" s="28" t="s">
        <v>548</v>
      </c>
      <c r="D299" s="28" t="s">
        <v>1782</v>
      </c>
      <c r="F299" s="28" t="s">
        <v>1780</v>
      </c>
      <c r="G299" s="28" t="s">
        <v>514</v>
      </c>
      <c r="H299" s="28" t="s">
        <v>1783</v>
      </c>
      <c r="I299" s="28" t="s">
        <v>516</v>
      </c>
      <c r="J299" s="28" t="s">
        <v>517</v>
      </c>
      <c r="K299" s="28" t="s">
        <v>682</v>
      </c>
      <c r="L299" s="28" t="s">
        <v>1262</v>
      </c>
      <c r="M299" s="28" t="s">
        <v>520</v>
      </c>
      <c r="N299" s="28" t="s">
        <v>557</v>
      </c>
      <c r="O299" s="28" t="s">
        <v>544</v>
      </c>
      <c r="P299" s="28" t="s">
        <v>522</v>
      </c>
      <c r="S299" s="28" t="s">
        <v>1318</v>
      </c>
      <c r="T299" s="28" t="s">
        <v>1264</v>
      </c>
      <c r="U299" s="28" t="s">
        <v>1264</v>
      </c>
      <c r="V299" s="28" t="s">
        <v>517</v>
      </c>
      <c r="W299" s="28" t="s">
        <v>1784</v>
      </c>
      <c r="Z299" s="28" t="s">
        <v>563</v>
      </c>
      <c r="AB299" s="28" t="s">
        <v>527</v>
      </c>
      <c r="AD299" s="118" t="s">
        <v>954</v>
      </c>
      <c r="AF299" s="126" t="s">
        <v>1782</v>
      </c>
      <c r="AG299" s="28" t="s">
        <v>563</v>
      </c>
      <c r="AK299" s="60">
        <v>2</v>
      </c>
      <c r="AL299" s="28">
        <f>1/COUNTIF(Tableau6[LAT],B299)</f>
        <v>0.5</v>
      </c>
      <c r="AM299" s="60" t="b">
        <f t="shared" si="33"/>
        <v>0</v>
      </c>
      <c r="AN299" s="60" t="b">
        <f t="shared" si="34"/>
        <v>0</v>
      </c>
      <c r="AO299" s="60" t="b">
        <f t="shared" si="35"/>
        <v>0</v>
      </c>
      <c r="AP299" s="60" t="b">
        <f t="shared" si="36"/>
        <v>0</v>
      </c>
      <c r="AQ299" s="60" t="b">
        <f t="shared" si="37"/>
        <v>0</v>
      </c>
      <c r="AR299" s="60" t="str">
        <f t="shared" si="31"/>
        <v>No</v>
      </c>
      <c r="AS299" s="60" t="str">
        <f t="shared" si="32"/>
        <v>No</v>
      </c>
    </row>
    <row r="300" spans="1:45" ht="15" hidden="1">
      <c r="A300" s="103">
        <v>45243</v>
      </c>
      <c r="B300" s="117" t="s">
        <v>1785</v>
      </c>
      <c r="C300" s="28" t="s">
        <v>511</v>
      </c>
      <c r="D300" s="28" t="s">
        <v>1786</v>
      </c>
      <c r="F300" s="28" t="s">
        <v>1475</v>
      </c>
      <c r="G300" s="28" t="s">
        <v>514</v>
      </c>
      <c r="H300" s="28" t="s">
        <v>1138</v>
      </c>
      <c r="I300" s="28" t="s">
        <v>516</v>
      </c>
      <c r="J300" s="28" t="s">
        <v>517</v>
      </c>
      <c r="K300" s="28" t="s">
        <v>518</v>
      </c>
      <c r="L300" s="28" t="s">
        <v>1787</v>
      </c>
      <c r="M300" s="28" t="s">
        <v>535</v>
      </c>
      <c r="S300" s="28" t="s">
        <v>811</v>
      </c>
      <c r="T300" s="28" t="s">
        <v>581</v>
      </c>
      <c r="U300" s="28" t="s">
        <v>581</v>
      </c>
      <c r="V300" s="28" t="s">
        <v>517</v>
      </c>
      <c r="W300" s="28" t="s">
        <v>1788</v>
      </c>
      <c r="Z300" s="28" t="s">
        <v>563</v>
      </c>
      <c r="AB300" s="28" t="s">
        <v>527</v>
      </c>
      <c r="AD300" s="118" t="s">
        <v>528</v>
      </c>
      <c r="AF300" s="126" t="s">
        <v>1786</v>
      </c>
      <c r="AG300" s="28" t="s">
        <v>563</v>
      </c>
      <c r="AK300" s="60">
        <v>2</v>
      </c>
      <c r="AL300" s="28">
        <f>1/COUNTIF(Tableau6[LAT],B300)</f>
        <v>0.5</v>
      </c>
      <c r="AM300" s="60" t="b">
        <f t="shared" si="33"/>
        <v>0</v>
      </c>
      <c r="AN300" s="60" t="b">
        <f t="shared" si="34"/>
        <v>0</v>
      </c>
      <c r="AO300" s="60" t="b">
        <f t="shared" si="35"/>
        <v>0</v>
      </c>
      <c r="AP300" s="60" t="b">
        <f t="shared" si="36"/>
        <v>0</v>
      </c>
      <c r="AQ300" s="60" t="b">
        <f t="shared" si="37"/>
        <v>0</v>
      </c>
      <c r="AR300" s="60" t="str">
        <f t="shared" si="31"/>
        <v>No</v>
      </c>
      <c r="AS300" s="60" t="str">
        <f t="shared" si="32"/>
        <v>No</v>
      </c>
    </row>
    <row r="301" spans="1:45" ht="15" hidden="1">
      <c r="A301" s="103">
        <v>45243</v>
      </c>
      <c r="B301" s="117" t="s">
        <v>1785</v>
      </c>
      <c r="C301" s="28" t="s">
        <v>548</v>
      </c>
      <c r="D301" s="28" t="s">
        <v>1789</v>
      </c>
      <c r="F301" s="28" t="s">
        <v>1475</v>
      </c>
      <c r="G301" s="28" t="s">
        <v>514</v>
      </c>
      <c r="H301" s="28" t="s">
        <v>1134</v>
      </c>
      <c r="I301" s="28" t="s">
        <v>516</v>
      </c>
      <c r="J301" s="28" t="s">
        <v>517</v>
      </c>
      <c r="K301" s="28" t="s">
        <v>518</v>
      </c>
      <c r="L301" s="28" t="s">
        <v>1787</v>
      </c>
      <c r="M301" s="28" t="s">
        <v>535</v>
      </c>
      <c r="S301" s="28" t="s">
        <v>811</v>
      </c>
      <c r="T301" s="28" t="s">
        <v>581</v>
      </c>
      <c r="U301" s="28" t="s">
        <v>581</v>
      </c>
      <c r="V301" s="28" t="s">
        <v>517</v>
      </c>
      <c r="W301" s="28" t="s">
        <v>1788</v>
      </c>
      <c r="Z301" s="28" t="s">
        <v>563</v>
      </c>
      <c r="AB301" s="28" t="s">
        <v>527</v>
      </c>
      <c r="AD301" s="118" t="s">
        <v>528</v>
      </c>
      <c r="AF301" s="126" t="s">
        <v>1789</v>
      </c>
      <c r="AG301" s="28" t="s">
        <v>563</v>
      </c>
      <c r="AK301" s="60">
        <v>2</v>
      </c>
      <c r="AL301" s="28">
        <f>1/COUNTIF(Tableau6[LAT],B301)</f>
        <v>0.5</v>
      </c>
      <c r="AM301" s="60" t="b">
        <f t="shared" si="33"/>
        <v>0</v>
      </c>
      <c r="AN301" s="60" t="b">
        <f t="shared" si="34"/>
        <v>0</v>
      </c>
      <c r="AO301" s="60" t="b">
        <f t="shared" si="35"/>
        <v>0</v>
      </c>
      <c r="AP301" s="60" t="b">
        <f t="shared" si="36"/>
        <v>0</v>
      </c>
      <c r="AQ301" s="60" t="b">
        <f t="shared" si="37"/>
        <v>0</v>
      </c>
      <c r="AR301" s="60" t="str">
        <f t="shared" si="31"/>
        <v>No</v>
      </c>
      <c r="AS301" s="60" t="str">
        <f t="shared" si="32"/>
        <v>No</v>
      </c>
    </row>
    <row r="302" spans="1:45" ht="15" hidden="1">
      <c r="A302" s="103">
        <v>45243</v>
      </c>
      <c r="B302" s="117" t="s">
        <v>1790</v>
      </c>
      <c r="C302" s="28" t="s">
        <v>511</v>
      </c>
      <c r="D302" s="28" t="s">
        <v>1791</v>
      </c>
      <c r="F302" s="28" t="s">
        <v>1792</v>
      </c>
      <c r="G302" s="28" t="s">
        <v>958</v>
      </c>
      <c r="H302" s="28" t="s">
        <v>1793</v>
      </c>
      <c r="I302" s="28" t="s">
        <v>516</v>
      </c>
      <c r="J302" s="28" t="s">
        <v>517</v>
      </c>
      <c r="K302" s="28" t="s">
        <v>518</v>
      </c>
      <c r="L302" s="28" t="s">
        <v>1794</v>
      </c>
      <c r="M302" s="28" t="s">
        <v>605</v>
      </c>
      <c r="N302" s="28" t="s">
        <v>521</v>
      </c>
      <c r="O302" s="28" t="s">
        <v>934</v>
      </c>
      <c r="P302" s="28" t="s">
        <v>544</v>
      </c>
      <c r="Q302" s="28" t="s">
        <v>522</v>
      </c>
      <c r="S302" s="28" t="s">
        <v>1795</v>
      </c>
      <c r="T302" s="28" t="s">
        <v>1796</v>
      </c>
      <c r="U302" s="28" t="s">
        <v>1796</v>
      </c>
      <c r="V302" s="28" t="s">
        <v>517</v>
      </c>
      <c r="W302" s="28" t="s">
        <v>922</v>
      </c>
      <c r="Z302" s="28" t="s">
        <v>563</v>
      </c>
      <c r="AB302" s="28" t="s">
        <v>527</v>
      </c>
      <c r="AD302" s="118" t="s">
        <v>954</v>
      </c>
      <c r="AF302" s="125" t="s">
        <v>1791</v>
      </c>
      <c r="AG302" s="28" t="s">
        <v>563</v>
      </c>
      <c r="AK302" s="60">
        <v>2</v>
      </c>
      <c r="AL302" s="28">
        <f>1/COUNTIF(Tableau6[LAT],B302)</f>
        <v>1</v>
      </c>
      <c r="AM302" s="60" t="b">
        <f t="shared" si="33"/>
        <v>0</v>
      </c>
      <c r="AN302" s="60" t="b">
        <f t="shared" si="34"/>
        <v>0</v>
      </c>
      <c r="AO302" s="60" t="b">
        <f t="shared" si="35"/>
        <v>0</v>
      </c>
      <c r="AP302" s="60" t="b">
        <f t="shared" si="36"/>
        <v>0</v>
      </c>
      <c r="AQ302" s="60" t="b">
        <f t="shared" si="37"/>
        <v>0</v>
      </c>
      <c r="AR302" s="60" t="str">
        <f t="shared" si="31"/>
        <v>No</v>
      </c>
      <c r="AS302" s="60" t="str">
        <f t="shared" si="32"/>
        <v>No</v>
      </c>
    </row>
    <row r="303" spans="1:45" ht="15" hidden="1">
      <c r="A303" s="103">
        <v>45243</v>
      </c>
      <c r="B303" s="117" t="s">
        <v>1797</v>
      </c>
      <c r="C303" s="28" t="s">
        <v>511</v>
      </c>
      <c r="D303" s="28" t="s">
        <v>1798</v>
      </c>
      <c r="F303" s="28" t="s">
        <v>1380</v>
      </c>
      <c r="G303" s="28" t="s">
        <v>514</v>
      </c>
      <c r="H303" s="28" t="s">
        <v>658</v>
      </c>
      <c r="I303" s="28" t="s">
        <v>516</v>
      </c>
      <c r="J303" s="28" t="s">
        <v>517</v>
      </c>
      <c r="K303" s="28" t="s">
        <v>518</v>
      </c>
      <c r="L303" s="28" t="s">
        <v>697</v>
      </c>
      <c r="M303" s="28" t="s">
        <v>535</v>
      </c>
      <c r="N303" s="28" t="s">
        <v>544</v>
      </c>
      <c r="S303" s="28" t="s">
        <v>752</v>
      </c>
      <c r="T303" s="28" t="s">
        <v>699</v>
      </c>
      <c r="U303" s="28" t="s">
        <v>699</v>
      </c>
      <c r="V303" s="28" t="s">
        <v>517</v>
      </c>
      <c r="W303" s="28" t="s">
        <v>1799</v>
      </c>
      <c r="Z303" s="28" t="s">
        <v>563</v>
      </c>
      <c r="AB303" s="28" t="s">
        <v>527</v>
      </c>
      <c r="AD303" s="118" t="s">
        <v>528</v>
      </c>
      <c r="AF303" s="125" t="s">
        <v>1798</v>
      </c>
      <c r="AG303" s="28" t="s">
        <v>563</v>
      </c>
      <c r="AK303" s="60">
        <v>2</v>
      </c>
      <c r="AL303" s="28">
        <f>1/COUNTIF(Tableau6[LAT],B303)</f>
        <v>1</v>
      </c>
      <c r="AM303" s="60" t="b">
        <f t="shared" si="33"/>
        <v>0</v>
      </c>
      <c r="AN303" s="60" t="b">
        <f t="shared" si="34"/>
        <v>0</v>
      </c>
      <c r="AO303" s="60" t="b">
        <f t="shared" si="35"/>
        <v>0</v>
      </c>
      <c r="AP303" s="60" t="b">
        <f t="shared" si="36"/>
        <v>0</v>
      </c>
      <c r="AQ303" s="60" t="b">
        <f t="shared" si="37"/>
        <v>0</v>
      </c>
      <c r="AR303" s="60" t="str">
        <f t="shared" si="31"/>
        <v>No</v>
      </c>
      <c r="AS303" s="60" t="str">
        <f t="shared" si="32"/>
        <v>No</v>
      </c>
    </row>
    <row r="304" spans="1:45" ht="15" hidden="1">
      <c r="A304" s="103">
        <v>45243</v>
      </c>
      <c r="B304" s="117" t="s">
        <v>1800</v>
      </c>
      <c r="C304" s="28" t="s">
        <v>612</v>
      </c>
      <c r="D304" s="28" t="s">
        <v>1801</v>
      </c>
      <c r="E304" s="28" t="s">
        <v>1802</v>
      </c>
      <c r="F304" s="28" t="s">
        <v>1803</v>
      </c>
      <c r="G304" s="28" t="s">
        <v>514</v>
      </c>
      <c r="H304" s="28" t="s">
        <v>704</v>
      </c>
      <c r="I304" s="28" t="s">
        <v>516</v>
      </c>
      <c r="J304" s="28" t="s">
        <v>517</v>
      </c>
      <c r="K304" s="28" t="s">
        <v>518</v>
      </c>
      <c r="L304" s="28" t="s">
        <v>1097</v>
      </c>
      <c r="M304" s="28" t="s">
        <v>535</v>
      </c>
      <c r="N304" s="28" t="s">
        <v>557</v>
      </c>
      <c r="O304" s="28" t="s">
        <v>544</v>
      </c>
      <c r="S304" s="28" t="s">
        <v>1263</v>
      </c>
      <c r="T304" s="28" t="s">
        <v>1098</v>
      </c>
      <c r="U304" s="28" t="s">
        <v>1098</v>
      </c>
      <c r="V304" s="28" t="s">
        <v>517</v>
      </c>
      <c r="W304" s="28" t="s">
        <v>1804</v>
      </c>
      <c r="X304" s="28" t="s">
        <v>670</v>
      </c>
      <c r="Z304" s="28" t="s">
        <v>563</v>
      </c>
      <c r="AB304" s="28" t="s">
        <v>527</v>
      </c>
      <c r="AD304" s="118" t="s">
        <v>528</v>
      </c>
      <c r="AF304" s="117" t="s">
        <v>1805</v>
      </c>
      <c r="AG304" s="28" t="s">
        <v>563</v>
      </c>
      <c r="AK304" s="60">
        <v>2</v>
      </c>
      <c r="AL304" s="28">
        <f>1/COUNTIF(Tableau6[LAT],B304)</f>
        <v>1</v>
      </c>
      <c r="AM304" s="60" t="b">
        <f t="shared" si="33"/>
        <v>0</v>
      </c>
      <c r="AN304" s="60" t="b">
        <f t="shared" si="34"/>
        <v>0</v>
      </c>
      <c r="AO304" s="60" t="b">
        <f t="shared" si="35"/>
        <v>0</v>
      </c>
      <c r="AP304" s="60" t="b">
        <f t="shared" si="36"/>
        <v>0</v>
      </c>
      <c r="AQ304" s="60" t="b">
        <f t="shared" si="37"/>
        <v>0</v>
      </c>
      <c r="AR304" s="60" t="str">
        <f t="shared" si="31"/>
        <v>No</v>
      </c>
      <c r="AS304" s="60" t="str">
        <f t="shared" si="32"/>
        <v>No</v>
      </c>
    </row>
    <row r="305" spans="1:45" ht="15" hidden="1">
      <c r="A305" s="103">
        <v>45243</v>
      </c>
      <c r="B305" s="117" t="s">
        <v>1806</v>
      </c>
      <c r="C305" s="28" t="s">
        <v>511</v>
      </c>
      <c r="D305" s="28" t="s">
        <v>1807</v>
      </c>
      <c r="F305" s="28" t="s">
        <v>1808</v>
      </c>
      <c r="G305" s="28" t="s">
        <v>514</v>
      </c>
      <c r="H305" s="28" t="s">
        <v>1809</v>
      </c>
      <c r="I305" s="28" t="s">
        <v>516</v>
      </c>
      <c r="J305" s="28" t="s">
        <v>517</v>
      </c>
      <c r="K305" s="28" t="s">
        <v>518</v>
      </c>
      <c r="L305" s="28" t="s">
        <v>1157</v>
      </c>
      <c r="M305" s="28" t="s">
        <v>535</v>
      </c>
      <c r="N305" s="28" t="s">
        <v>1382</v>
      </c>
      <c r="O305" s="28" t="s">
        <v>1383</v>
      </c>
      <c r="P305" s="28" t="s">
        <v>521</v>
      </c>
      <c r="S305" s="28" t="s">
        <v>775</v>
      </c>
      <c r="T305" s="28" t="s">
        <v>1159</v>
      </c>
      <c r="U305" s="28" t="s">
        <v>1159</v>
      </c>
      <c r="V305" s="28" t="s">
        <v>517</v>
      </c>
      <c r="W305" s="28" t="s">
        <v>1810</v>
      </c>
      <c r="Z305" s="28" t="s">
        <v>563</v>
      </c>
      <c r="AB305" s="28" t="s">
        <v>527</v>
      </c>
      <c r="AD305" s="118" t="s">
        <v>528</v>
      </c>
      <c r="AF305" s="117" t="s">
        <v>1807</v>
      </c>
      <c r="AG305" s="28" t="s">
        <v>563</v>
      </c>
      <c r="AK305" s="60">
        <v>2</v>
      </c>
      <c r="AL305" s="28">
        <f>1/COUNTIF(Tableau6[LAT],B305)</f>
        <v>0.25</v>
      </c>
      <c r="AM305" s="60" t="b">
        <f t="shared" si="33"/>
        <v>0</v>
      </c>
      <c r="AN305" s="60" t="b">
        <f t="shared" si="34"/>
        <v>0</v>
      </c>
      <c r="AO305" s="60" t="b">
        <f t="shared" si="35"/>
        <v>0</v>
      </c>
      <c r="AP305" s="60" t="b">
        <f t="shared" si="36"/>
        <v>0</v>
      </c>
      <c r="AQ305" s="60" t="b">
        <f t="shared" si="37"/>
        <v>0</v>
      </c>
      <c r="AR305" s="60" t="str">
        <f t="shared" si="31"/>
        <v>No</v>
      </c>
      <c r="AS305" s="60" t="str">
        <f t="shared" si="32"/>
        <v>No</v>
      </c>
    </row>
    <row r="306" spans="1:45" ht="15" hidden="1">
      <c r="A306" s="103">
        <v>45243</v>
      </c>
      <c r="B306" s="117" t="s">
        <v>1806</v>
      </c>
      <c r="C306" s="28" t="s">
        <v>548</v>
      </c>
      <c r="D306" s="28" t="s">
        <v>1811</v>
      </c>
      <c r="F306" s="28" t="s">
        <v>1812</v>
      </c>
      <c r="G306" s="28" t="s">
        <v>958</v>
      </c>
      <c r="H306" s="28" t="s">
        <v>1813</v>
      </c>
      <c r="I306" s="28" t="s">
        <v>516</v>
      </c>
      <c r="J306" s="28" t="s">
        <v>517</v>
      </c>
      <c r="K306" s="28" t="s">
        <v>518</v>
      </c>
      <c r="L306" s="28" t="s">
        <v>1157</v>
      </c>
      <c r="M306" s="28" t="s">
        <v>535</v>
      </c>
      <c r="N306" s="28" t="s">
        <v>1382</v>
      </c>
      <c r="O306" s="28" t="s">
        <v>1383</v>
      </c>
      <c r="P306" s="28" t="s">
        <v>521</v>
      </c>
      <c r="S306" s="28" t="s">
        <v>775</v>
      </c>
      <c r="T306" s="28" t="s">
        <v>1159</v>
      </c>
      <c r="U306" s="28" t="s">
        <v>1159</v>
      </c>
      <c r="V306" s="28" t="s">
        <v>517</v>
      </c>
      <c r="W306" s="28" t="s">
        <v>1814</v>
      </c>
      <c r="Z306" s="28" t="s">
        <v>563</v>
      </c>
      <c r="AB306" s="28" t="s">
        <v>527</v>
      </c>
      <c r="AD306" s="118" t="s">
        <v>528</v>
      </c>
      <c r="AF306" s="117" t="s">
        <v>1811</v>
      </c>
      <c r="AG306" s="28" t="s">
        <v>563</v>
      </c>
      <c r="AK306" s="60">
        <v>2</v>
      </c>
      <c r="AL306" s="28">
        <f>1/COUNTIF(Tableau6[LAT],B306)</f>
        <v>0.25</v>
      </c>
      <c r="AM306" s="60" t="b">
        <f t="shared" si="33"/>
        <v>0</v>
      </c>
      <c r="AN306" s="60" t="b">
        <f t="shared" si="34"/>
        <v>0</v>
      </c>
      <c r="AO306" s="60" t="b">
        <f t="shared" si="35"/>
        <v>0</v>
      </c>
      <c r="AP306" s="60" t="b">
        <f t="shared" si="36"/>
        <v>0</v>
      </c>
      <c r="AQ306" s="60" t="b">
        <f t="shared" si="37"/>
        <v>0</v>
      </c>
      <c r="AR306" s="60" t="str">
        <f t="shared" si="31"/>
        <v>No</v>
      </c>
      <c r="AS306" s="60" t="str">
        <f t="shared" si="32"/>
        <v>No</v>
      </c>
    </row>
    <row r="307" spans="1:45" ht="15" hidden="1">
      <c r="A307" s="103">
        <v>45243</v>
      </c>
      <c r="B307" s="117" t="s">
        <v>1806</v>
      </c>
      <c r="C307" s="28" t="s">
        <v>612</v>
      </c>
      <c r="D307" s="28" t="s">
        <v>1815</v>
      </c>
      <c r="F307" s="28" t="s">
        <v>1808</v>
      </c>
      <c r="G307" s="28" t="s">
        <v>514</v>
      </c>
      <c r="H307" s="28" t="s">
        <v>1809</v>
      </c>
      <c r="I307" s="28" t="s">
        <v>516</v>
      </c>
      <c r="J307" s="28" t="s">
        <v>517</v>
      </c>
      <c r="K307" s="28" t="s">
        <v>518</v>
      </c>
      <c r="L307" s="28" t="s">
        <v>1157</v>
      </c>
      <c r="M307" s="28" t="s">
        <v>535</v>
      </c>
      <c r="N307" s="28" t="s">
        <v>1382</v>
      </c>
      <c r="O307" s="28" t="s">
        <v>1383</v>
      </c>
      <c r="P307" s="28" t="s">
        <v>521</v>
      </c>
      <c r="S307" s="28" t="s">
        <v>775</v>
      </c>
      <c r="T307" s="28" t="s">
        <v>1159</v>
      </c>
      <c r="U307" s="28" t="s">
        <v>1159</v>
      </c>
      <c r="V307" s="28" t="s">
        <v>517</v>
      </c>
      <c r="W307" s="28" t="s">
        <v>1816</v>
      </c>
      <c r="Z307" s="28" t="s">
        <v>563</v>
      </c>
      <c r="AB307" s="28" t="s">
        <v>527</v>
      </c>
      <c r="AD307" s="118" t="s">
        <v>528</v>
      </c>
      <c r="AF307" s="117" t="s">
        <v>1815</v>
      </c>
      <c r="AG307" s="28" t="s">
        <v>563</v>
      </c>
      <c r="AK307" s="60">
        <v>2</v>
      </c>
      <c r="AL307" s="28">
        <f>1/COUNTIF(Tableau6[LAT],B307)</f>
        <v>0.25</v>
      </c>
      <c r="AM307" s="60" t="b">
        <f t="shared" si="33"/>
        <v>0</v>
      </c>
      <c r="AN307" s="60" t="b">
        <f t="shared" si="34"/>
        <v>0</v>
      </c>
      <c r="AO307" s="60" t="b">
        <f t="shared" si="35"/>
        <v>0</v>
      </c>
      <c r="AP307" s="60" t="b">
        <f t="shared" si="36"/>
        <v>0</v>
      </c>
      <c r="AQ307" s="60" t="b">
        <f t="shared" si="37"/>
        <v>0</v>
      </c>
      <c r="AR307" s="60" t="str">
        <f t="shared" si="31"/>
        <v>No</v>
      </c>
      <c r="AS307" s="60" t="str">
        <f t="shared" si="32"/>
        <v>No</v>
      </c>
    </row>
    <row r="308" spans="1:45" ht="15" hidden="1">
      <c r="A308" s="103">
        <v>45243</v>
      </c>
      <c r="B308" s="117" t="s">
        <v>1806</v>
      </c>
      <c r="C308" s="28" t="s">
        <v>691</v>
      </c>
      <c r="D308" s="28" t="s">
        <v>1817</v>
      </c>
      <c r="F308" s="28" t="s">
        <v>1808</v>
      </c>
      <c r="G308" s="28" t="s">
        <v>514</v>
      </c>
      <c r="H308" s="28" t="s">
        <v>1809</v>
      </c>
      <c r="I308" s="28" t="s">
        <v>516</v>
      </c>
      <c r="J308" s="28" t="s">
        <v>517</v>
      </c>
      <c r="K308" s="28" t="s">
        <v>518</v>
      </c>
      <c r="L308" s="28" t="s">
        <v>1157</v>
      </c>
      <c r="M308" s="28" t="s">
        <v>535</v>
      </c>
      <c r="N308" s="28" t="s">
        <v>1382</v>
      </c>
      <c r="O308" s="28" t="s">
        <v>1383</v>
      </c>
      <c r="P308" s="28" t="s">
        <v>521</v>
      </c>
      <c r="S308" s="28" t="s">
        <v>775</v>
      </c>
      <c r="T308" s="28" t="s">
        <v>1159</v>
      </c>
      <c r="U308" s="28" t="s">
        <v>1159</v>
      </c>
      <c r="V308" s="28" t="s">
        <v>517</v>
      </c>
      <c r="W308" s="28" t="s">
        <v>1818</v>
      </c>
      <c r="Z308" s="28" t="s">
        <v>563</v>
      </c>
      <c r="AB308" s="28" t="s">
        <v>527</v>
      </c>
      <c r="AD308" s="118" t="s">
        <v>528</v>
      </c>
      <c r="AF308" s="117" t="s">
        <v>1817</v>
      </c>
      <c r="AG308" s="28" t="s">
        <v>563</v>
      </c>
      <c r="AK308" s="60">
        <v>2</v>
      </c>
      <c r="AL308" s="28">
        <f>1/COUNTIF(Tableau6[LAT],B308)</f>
        <v>0.25</v>
      </c>
      <c r="AM308" s="60" t="b">
        <f t="shared" si="33"/>
        <v>0</v>
      </c>
      <c r="AN308" s="60" t="b">
        <f t="shared" si="34"/>
        <v>0</v>
      </c>
      <c r="AO308" s="60" t="b">
        <f t="shared" si="35"/>
        <v>0</v>
      </c>
      <c r="AP308" s="60" t="b">
        <f t="shared" si="36"/>
        <v>0</v>
      </c>
      <c r="AQ308" s="60" t="b">
        <f t="shared" si="37"/>
        <v>0</v>
      </c>
      <c r="AR308" s="60" t="str">
        <f t="shared" si="31"/>
        <v>No</v>
      </c>
      <c r="AS308" s="60" t="str">
        <f t="shared" si="32"/>
        <v>No</v>
      </c>
    </row>
    <row r="309" spans="1:45" ht="15" hidden="1">
      <c r="A309" s="103">
        <v>45243</v>
      </c>
      <c r="B309" s="117" t="s">
        <v>1819</v>
      </c>
      <c r="C309" s="28" t="s">
        <v>511</v>
      </c>
      <c r="D309" s="28" t="s">
        <v>1820</v>
      </c>
      <c r="F309" s="28" t="s">
        <v>1821</v>
      </c>
      <c r="G309" s="28" t="s">
        <v>958</v>
      </c>
      <c r="H309" s="28" t="s">
        <v>1822</v>
      </c>
      <c r="I309" s="28" t="s">
        <v>516</v>
      </c>
      <c r="J309" s="28" t="s">
        <v>517</v>
      </c>
      <c r="K309" s="28" t="s">
        <v>518</v>
      </c>
      <c r="L309" s="28" t="s">
        <v>1787</v>
      </c>
      <c r="M309" s="28" t="s">
        <v>535</v>
      </c>
      <c r="N309" s="28" t="s">
        <v>557</v>
      </c>
      <c r="O309" s="28" t="s">
        <v>522</v>
      </c>
      <c r="P309" s="28" t="s">
        <v>627</v>
      </c>
      <c r="S309" s="28" t="s">
        <v>1823</v>
      </c>
      <c r="T309" s="28" t="s">
        <v>581</v>
      </c>
      <c r="U309" s="28" t="s">
        <v>581</v>
      </c>
      <c r="V309" s="28" t="s">
        <v>517</v>
      </c>
      <c r="W309" s="28" t="s">
        <v>1788</v>
      </c>
      <c r="Z309" s="28" t="s">
        <v>563</v>
      </c>
      <c r="AB309" s="28" t="s">
        <v>527</v>
      </c>
      <c r="AD309" s="118" t="s">
        <v>954</v>
      </c>
      <c r="AF309" s="117" t="s">
        <v>1820</v>
      </c>
      <c r="AG309" s="28" t="s">
        <v>563</v>
      </c>
      <c r="AK309" s="60">
        <v>2</v>
      </c>
      <c r="AL309" s="28">
        <f>1/COUNTIF(Tableau6[LAT],B309)</f>
        <v>1</v>
      </c>
      <c r="AM309" s="60" t="b">
        <f t="shared" si="33"/>
        <v>0</v>
      </c>
      <c r="AN309" s="60" t="b">
        <f t="shared" si="34"/>
        <v>0</v>
      </c>
      <c r="AO309" s="60" t="b">
        <f t="shared" si="35"/>
        <v>0</v>
      </c>
      <c r="AP309" s="60" t="b">
        <f t="shared" si="36"/>
        <v>0</v>
      </c>
      <c r="AQ309" s="60" t="b">
        <f t="shared" si="37"/>
        <v>0</v>
      </c>
      <c r="AR309" s="60" t="str">
        <f t="shared" si="31"/>
        <v>No</v>
      </c>
      <c r="AS309" s="60" t="str">
        <f t="shared" si="32"/>
        <v>Yes</v>
      </c>
    </row>
    <row r="310" spans="1:45" ht="15" hidden="1">
      <c r="A310" s="103">
        <v>45243</v>
      </c>
      <c r="B310" s="117" t="s">
        <v>1824</v>
      </c>
      <c r="C310" s="28" t="s">
        <v>511</v>
      </c>
      <c r="D310" s="28" t="s">
        <v>1825</v>
      </c>
      <c r="E310" s="28" t="s">
        <v>1826</v>
      </c>
      <c r="F310" s="28" t="s">
        <v>1827</v>
      </c>
      <c r="G310" s="28" t="s">
        <v>1828</v>
      </c>
      <c r="H310" s="28" t="s">
        <v>1829</v>
      </c>
      <c r="I310" s="28" t="s">
        <v>516</v>
      </c>
      <c r="J310" s="28" t="s">
        <v>517</v>
      </c>
      <c r="K310" s="28" t="s">
        <v>518</v>
      </c>
      <c r="L310" s="28" t="s">
        <v>534</v>
      </c>
      <c r="M310" s="28" t="s">
        <v>535</v>
      </c>
      <c r="N310" s="28" t="s">
        <v>1637</v>
      </c>
      <c r="O310" s="28" t="s">
        <v>1383</v>
      </c>
      <c r="P310" s="28" t="s">
        <v>522</v>
      </c>
      <c r="S310" s="28" t="s">
        <v>740</v>
      </c>
      <c r="T310" s="28" t="s">
        <v>537</v>
      </c>
      <c r="U310" s="28" t="s">
        <v>537</v>
      </c>
      <c r="V310" s="28" t="s">
        <v>517</v>
      </c>
      <c r="W310" s="28" t="s">
        <v>1830</v>
      </c>
      <c r="X310" s="28" t="s">
        <v>670</v>
      </c>
      <c r="Z310" s="28" t="s">
        <v>526</v>
      </c>
      <c r="AD310" s="118" t="s">
        <v>954</v>
      </c>
      <c r="AF310" s="117" t="s">
        <v>1825</v>
      </c>
      <c r="AG310" s="28" t="s">
        <v>563</v>
      </c>
      <c r="AK310" s="60">
        <v>2</v>
      </c>
      <c r="AL310" s="28">
        <f>1/COUNTIF(Tableau6[LAT],B310)</f>
        <v>1</v>
      </c>
      <c r="AM310" s="60" t="b">
        <f t="shared" si="33"/>
        <v>0</v>
      </c>
      <c r="AN310" s="60" t="b">
        <f t="shared" si="34"/>
        <v>0</v>
      </c>
      <c r="AO310" s="60" t="b">
        <f t="shared" si="35"/>
        <v>0</v>
      </c>
      <c r="AP310" s="60" t="b">
        <f t="shared" si="36"/>
        <v>0</v>
      </c>
      <c r="AQ310" s="60" t="b">
        <f t="shared" si="37"/>
        <v>0</v>
      </c>
      <c r="AR310" s="60" t="str">
        <f t="shared" si="31"/>
        <v>No</v>
      </c>
      <c r="AS310" s="60" t="str">
        <f t="shared" si="32"/>
        <v>No</v>
      </c>
    </row>
    <row r="311" spans="1:45" ht="15" hidden="1">
      <c r="A311" s="103">
        <v>45243</v>
      </c>
      <c r="B311" s="117" t="s">
        <v>1831</v>
      </c>
      <c r="C311" s="28" t="s">
        <v>511</v>
      </c>
      <c r="D311" s="28" t="s">
        <v>1832</v>
      </c>
      <c r="F311" s="28" t="s">
        <v>1833</v>
      </c>
      <c r="G311" s="28" t="s">
        <v>665</v>
      </c>
      <c r="H311" s="28" t="s">
        <v>1834</v>
      </c>
      <c r="I311" s="28" t="s">
        <v>517</v>
      </c>
      <c r="J311" s="28" t="s">
        <v>517</v>
      </c>
      <c r="K311" s="28" t="s">
        <v>518</v>
      </c>
      <c r="L311" s="28" t="s">
        <v>675</v>
      </c>
      <c r="M311" s="28" t="s">
        <v>535</v>
      </c>
      <c r="N311" s="28" t="s">
        <v>1835</v>
      </c>
      <c r="O311" s="28" t="s">
        <v>521</v>
      </c>
      <c r="P311" s="28" t="s">
        <v>544</v>
      </c>
      <c r="Q311" s="28" t="s">
        <v>522</v>
      </c>
      <c r="S311" s="28" t="s">
        <v>573</v>
      </c>
      <c r="T311" s="28" t="s">
        <v>676</v>
      </c>
      <c r="U311" s="28" t="s">
        <v>676</v>
      </c>
      <c r="V311" s="28" t="s">
        <v>517</v>
      </c>
      <c r="W311" s="28" t="s">
        <v>1836</v>
      </c>
      <c r="Z311" s="28" t="s">
        <v>526</v>
      </c>
      <c r="AB311" s="73" t="s">
        <v>630</v>
      </c>
      <c r="AC311" s="73" t="s">
        <v>35</v>
      </c>
      <c r="AD311" s="118" t="s">
        <v>528</v>
      </c>
      <c r="AF311" s="117" t="s">
        <v>1832</v>
      </c>
      <c r="AG311" s="28" t="s">
        <v>529</v>
      </c>
      <c r="AK311" s="60">
        <v>2</v>
      </c>
      <c r="AL311" s="28">
        <f>1/COUNTIF(Tableau6[LAT],B311)</f>
        <v>0.5</v>
      </c>
      <c r="AM311" s="60" t="b">
        <f t="shared" si="33"/>
        <v>0</v>
      </c>
      <c r="AN311" s="60" t="b">
        <f t="shared" si="34"/>
        <v>0</v>
      </c>
      <c r="AO311" s="60" t="b">
        <f t="shared" si="35"/>
        <v>0</v>
      </c>
      <c r="AP311" s="60" t="b">
        <f t="shared" si="36"/>
        <v>0</v>
      </c>
      <c r="AQ311" s="60" t="b">
        <f t="shared" si="37"/>
        <v>0</v>
      </c>
      <c r="AR311" s="60" t="str">
        <f t="shared" si="31"/>
        <v>No</v>
      </c>
      <c r="AS311" s="60" t="str">
        <f t="shared" si="32"/>
        <v>No</v>
      </c>
    </row>
    <row r="312" spans="1:45" ht="15" hidden="1">
      <c r="A312" s="103">
        <v>45243</v>
      </c>
      <c r="B312" s="117" t="s">
        <v>1831</v>
      </c>
      <c r="C312" s="28" t="s">
        <v>548</v>
      </c>
      <c r="D312" s="28" t="s">
        <v>1837</v>
      </c>
      <c r="F312" s="28" t="s">
        <v>1838</v>
      </c>
      <c r="G312" s="28" t="s">
        <v>958</v>
      </c>
      <c r="H312" s="28" t="s">
        <v>1387</v>
      </c>
      <c r="I312" s="28" t="s">
        <v>517</v>
      </c>
      <c r="J312" s="28" t="s">
        <v>517</v>
      </c>
      <c r="K312" s="28" t="s">
        <v>518</v>
      </c>
      <c r="L312" s="28" t="s">
        <v>675</v>
      </c>
      <c r="M312" s="28" t="s">
        <v>535</v>
      </c>
      <c r="N312" s="28" t="s">
        <v>619</v>
      </c>
      <c r="O312" s="28" t="s">
        <v>1835</v>
      </c>
      <c r="P312" s="28" t="s">
        <v>521</v>
      </c>
      <c r="Q312" s="28" t="s">
        <v>544</v>
      </c>
      <c r="R312" s="28" t="s">
        <v>522</v>
      </c>
      <c r="S312" s="28" t="s">
        <v>573</v>
      </c>
      <c r="T312" s="28" t="s">
        <v>676</v>
      </c>
      <c r="U312" s="28" t="s">
        <v>676</v>
      </c>
      <c r="V312" s="28" t="s">
        <v>517</v>
      </c>
      <c r="W312" s="28" t="s">
        <v>1836</v>
      </c>
      <c r="Z312" s="28" t="s">
        <v>526</v>
      </c>
      <c r="AB312" s="73" t="s">
        <v>630</v>
      </c>
      <c r="AC312" s="73" t="s">
        <v>35</v>
      </c>
      <c r="AD312" s="118" t="s">
        <v>528</v>
      </c>
      <c r="AF312" s="117" t="s">
        <v>1837</v>
      </c>
      <c r="AG312" s="28" t="s">
        <v>529</v>
      </c>
      <c r="AK312" s="60">
        <v>2</v>
      </c>
      <c r="AL312" s="28">
        <f>1/COUNTIF(Tableau6[LAT],B312)</f>
        <v>0.5</v>
      </c>
      <c r="AM312" s="60" t="b">
        <f t="shared" si="33"/>
        <v>0</v>
      </c>
      <c r="AN312" s="60" t="b">
        <f t="shared" si="34"/>
        <v>0</v>
      </c>
      <c r="AO312" s="60" t="b">
        <f t="shared" si="35"/>
        <v>0</v>
      </c>
      <c r="AP312" s="60" t="b">
        <f t="shared" si="36"/>
        <v>0</v>
      </c>
      <c r="AQ312" s="60" t="b">
        <f t="shared" si="37"/>
        <v>0</v>
      </c>
      <c r="AR312" s="60" t="str">
        <f t="shared" si="31"/>
        <v>No</v>
      </c>
      <c r="AS312" s="60" t="str">
        <f t="shared" si="32"/>
        <v>No</v>
      </c>
    </row>
    <row r="313" spans="1:45" ht="15" hidden="1">
      <c r="A313" s="103">
        <v>45243</v>
      </c>
      <c r="B313" s="117" t="s">
        <v>1839</v>
      </c>
      <c r="C313" s="28" t="s">
        <v>511</v>
      </c>
      <c r="D313" s="28" t="s">
        <v>1840</v>
      </c>
      <c r="E313" s="28" t="s">
        <v>1075</v>
      </c>
      <c r="F313" s="28" t="s">
        <v>1841</v>
      </c>
      <c r="G313" s="28" t="s">
        <v>958</v>
      </c>
      <c r="H313" s="28" t="s">
        <v>794</v>
      </c>
      <c r="I313" s="28" t="s">
        <v>516</v>
      </c>
      <c r="J313" s="28" t="s">
        <v>517</v>
      </c>
      <c r="K313" s="28" t="s">
        <v>518</v>
      </c>
      <c r="L313" s="28" t="s">
        <v>1079</v>
      </c>
      <c r="M313" s="28" t="s">
        <v>535</v>
      </c>
      <c r="N313" s="28" t="s">
        <v>522</v>
      </c>
      <c r="S313" s="28" t="s">
        <v>740</v>
      </c>
      <c r="T313" s="28" t="s">
        <v>668</v>
      </c>
      <c r="U313" s="28" t="s">
        <v>668</v>
      </c>
      <c r="V313" s="28" t="s">
        <v>517</v>
      </c>
      <c r="W313" s="28" t="s">
        <v>1081</v>
      </c>
      <c r="X313" s="28" t="s">
        <v>670</v>
      </c>
      <c r="Z313" s="28" t="s">
        <v>563</v>
      </c>
      <c r="AB313" s="28" t="s">
        <v>527</v>
      </c>
      <c r="AD313" s="118" t="s">
        <v>954</v>
      </c>
      <c r="AF313" s="117" t="s">
        <v>1840</v>
      </c>
      <c r="AG313" s="28" t="s">
        <v>563</v>
      </c>
      <c r="AK313" s="60">
        <v>2</v>
      </c>
      <c r="AL313" s="28">
        <f>1/COUNTIF(Tableau6[LAT],B313)</f>
        <v>1</v>
      </c>
      <c r="AM313" s="60" t="b">
        <f t="shared" si="33"/>
        <v>0</v>
      </c>
      <c r="AN313" s="60" t="b">
        <f t="shared" si="34"/>
        <v>0</v>
      </c>
      <c r="AO313" s="60" t="b">
        <f t="shared" si="35"/>
        <v>0</v>
      </c>
      <c r="AP313" s="60" t="b">
        <f t="shared" si="36"/>
        <v>0</v>
      </c>
      <c r="AQ313" s="60" t="b">
        <f t="shared" si="37"/>
        <v>0</v>
      </c>
      <c r="AR313" s="60" t="str">
        <f t="shared" si="31"/>
        <v>No</v>
      </c>
      <c r="AS313" s="60" t="str">
        <f t="shared" si="32"/>
        <v>No</v>
      </c>
    </row>
    <row r="314" spans="1:45" ht="15" hidden="1">
      <c r="A314" s="103">
        <v>45243</v>
      </c>
      <c r="B314" s="117" t="s">
        <v>1842</v>
      </c>
      <c r="C314" s="28" t="s">
        <v>511</v>
      </c>
      <c r="D314" s="28" t="s">
        <v>1843</v>
      </c>
      <c r="F314" s="28" t="s">
        <v>1844</v>
      </c>
      <c r="G314" s="28" t="s">
        <v>514</v>
      </c>
      <c r="H314" s="28" t="s">
        <v>1845</v>
      </c>
      <c r="I314" s="28" t="s">
        <v>516</v>
      </c>
      <c r="J314" s="28" t="s">
        <v>517</v>
      </c>
      <c r="K314" s="28" t="s">
        <v>518</v>
      </c>
      <c r="L314" s="28" t="s">
        <v>596</v>
      </c>
      <c r="M314" s="28" t="s">
        <v>535</v>
      </c>
      <c r="N314" s="28" t="s">
        <v>544</v>
      </c>
      <c r="O314" s="28" t="s">
        <v>522</v>
      </c>
      <c r="S314" s="28" t="s">
        <v>1366</v>
      </c>
      <c r="T314" s="28" t="s">
        <v>597</v>
      </c>
      <c r="U314" s="28" t="s">
        <v>597</v>
      </c>
      <c r="V314" s="28" t="s">
        <v>517</v>
      </c>
      <c r="W314" s="28" t="s">
        <v>1846</v>
      </c>
      <c r="Z314" s="28" t="s">
        <v>563</v>
      </c>
      <c r="AB314" s="28" t="s">
        <v>527</v>
      </c>
      <c r="AD314" s="118" t="s">
        <v>954</v>
      </c>
      <c r="AF314" s="117" t="s">
        <v>1843</v>
      </c>
      <c r="AG314" s="28" t="s">
        <v>563</v>
      </c>
      <c r="AK314" s="60">
        <v>2</v>
      </c>
      <c r="AL314" s="28">
        <f>1/COUNTIF(Tableau6[LAT],B314)</f>
        <v>0.5</v>
      </c>
      <c r="AM314" s="60" t="b">
        <f t="shared" si="33"/>
        <v>0</v>
      </c>
      <c r="AN314" s="60" t="b">
        <f t="shared" si="34"/>
        <v>0</v>
      </c>
      <c r="AO314" s="60" t="b">
        <f t="shared" si="35"/>
        <v>0</v>
      </c>
      <c r="AP314" s="60" t="b">
        <f t="shared" si="36"/>
        <v>0</v>
      </c>
      <c r="AQ314" s="60" t="b">
        <f t="shared" si="37"/>
        <v>0</v>
      </c>
      <c r="AR314" s="60" t="str">
        <f t="shared" si="31"/>
        <v>No</v>
      </c>
      <c r="AS314" s="60" t="str">
        <f t="shared" si="32"/>
        <v>No</v>
      </c>
    </row>
    <row r="315" spans="1:45" ht="15" hidden="1">
      <c r="A315" s="103">
        <v>45243</v>
      </c>
      <c r="B315" s="117" t="s">
        <v>1842</v>
      </c>
      <c r="C315" s="28" t="s">
        <v>548</v>
      </c>
      <c r="D315" s="28" t="s">
        <v>1847</v>
      </c>
      <c r="F315" s="28" t="s">
        <v>1848</v>
      </c>
      <c r="G315" s="28" t="s">
        <v>958</v>
      </c>
      <c r="H315" s="28" t="s">
        <v>1849</v>
      </c>
      <c r="I315" s="28" t="s">
        <v>516</v>
      </c>
      <c r="J315" s="28" t="s">
        <v>517</v>
      </c>
      <c r="K315" s="28" t="s">
        <v>518</v>
      </c>
      <c r="L315" s="28" t="s">
        <v>596</v>
      </c>
      <c r="M315" s="28" t="s">
        <v>535</v>
      </c>
      <c r="N315" s="28" t="s">
        <v>544</v>
      </c>
      <c r="O315" s="28" t="s">
        <v>522</v>
      </c>
      <c r="S315" s="28" t="s">
        <v>1366</v>
      </c>
      <c r="T315" s="28" t="s">
        <v>597</v>
      </c>
      <c r="U315" s="28" t="s">
        <v>597</v>
      </c>
      <c r="V315" s="28" t="s">
        <v>517</v>
      </c>
      <c r="W315" s="28" t="s">
        <v>1850</v>
      </c>
      <c r="Z315" s="28" t="s">
        <v>563</v>
      </c>
      <c r="AB315" s="28" t="s">
        <v>527</v>
      </c>
      <c r="AD315" s="118" t="s">
        <v>954</v>
      </c>
      <c r="AF315" s="117"/>
      <c r="AG315" s="28" t="s">
        <v>563</v>
      </c>
      <c r="AK315" s="60">
        <v>2</v>
      </c>
      <c r="AL315" s="28">
        <f>1/COUNTIF(Tableau6[LAT],B315)</f>
        <v>0.5</v>
      </c>
      <c r="AM315" s="60" t="b">
        <f t="shared" si="33"/>
        <v>0</v>
      </c>
      <c r="AN315" s="60" t="b">
        <f t="shared" si="34"/>
        <v>0</v>
      </c>
      <c r="AO315" s="60" t="b">
        <f t="shared" si="35"/>
        <v>0</v>
      </c>
      <c r="AP315" s="60" t="b">
        <f t="shared" si="36"/>
        <v>0</v>
      </c>
      <c r="AQ315" s="60" t="b">
        <f t="shared" si="37"/>
        <v>0</v>
      </c>
      <c r="AR315" s="60" t="str">
        <f t="shared" si="31"/>
        <v>No</v>
      </c>
      <c r="AS315" s="60" t="str">
        <f t="shared" si="32"/>
        <v>No</v>
      </c>
    </row>
    <row r="316" spans="1:45" ht="15" hidden="1">
      <c r="A316" s="103">
        <v>45243</v>
      </c>
      <c r="B316" s="117" t="s">
        <v>1851</v>
      </c>
      <c r="C316" s="28" t="s">
        <v>511</v>
      </c>
      <c r="D316" s="28" t="s">
        <v>1852</v>
      </c>
      <c r="E316" s="28" t="s">
        <v>1853</v>
      </c>
      <c r="F316" s="28" t="s">
        <v>1854</v>
      </c>
      <c r="G316" s="28" t="s">
        <v>958</v>
      </c>
      <c r="H316" s="28" t="s">
        <v>1855</v>
      </c>
      <c r="I316" s="28" t="s">
        <v>516</v>
      </c>
      <c r="J316" s="28" t="s">
        <v>517</v>
      </c>
      <c r="K316" s="28" t="s">
        <v>518</v>
      </c>
      <c r="L316" s="28" t="s">
        <v>1856</v>
      </c>
      <c r="M316" s="28" t="s">
        <v>535</v>
      </c>
      <c r="N316" s="28" t="s">
        <v>557</v>
      </c>
      <c r="O316" s="28" t="s">
        <v>544</v>
      </c>
      <c r="P316" s="28" t="s">
        <v>522</v>
      </c>
      <c r="S316" s="28" t="s">
        <v>740</v>
      </c>
      <c r="T316" s="28" t="s">
        <v>1857</v>
      </c>
      <c r="U316" s="28" t="s">
        <v>1857</v>
      </c>
      <c r="V316" s="28" t="s">
        <v>517</v>
      </c>
      <c r="W316" s="28" t="s">
        <v>1858</v>
      </c>
      <c r="X316" s="28" t="s">
        <v>670</v>
      </c>
      <c r="Z316" s="28" t="s">
        <v>563</v>
      </c>
      <c r="AB316" s="28" t="s">
        <v>527</v>
      </c>
      <c r="AD316" s="118" t="s">
        <v>954</v>
      </c>
      <c r="AF316" s="117" t="s">
        <v>1852</v>
      </c>
      <c r="AG316" s="28" t="s">
        <v>563</v>
      </c>
      <c r="AK316" s="60">
        <v>2</v>
      </c>
      <c r="AL316" s="28">
        <f>1/COUNTIF(Tableau6[LAT],B316)</f>
        <v>0.33333333333333331</v>
      </c>
      <c r="AM316" s="60" t="b">
        <f t="shared" si="33"/>
        <v>0</v>
      </c>
      <c r="AN316" s="60" t="b">
        <f t="shared" si="34"/>
        <v>0</v>
      </c>
      <c r="AO316" s="60" t="b">
        <f t="shared" si="35"/>
        <v>0</v>
      </c>
      <c r="AP316" s="60" t="b">
        <f t="shared" si="36"/>
        <v>0</v>
      </c>
      <c r="AQ316" s="60" t="b">
        <f t="shared" si="37"/>
        <v>0</v>
      </c>
      <c r="AR316" s="60" t="str">
        <f t="shared" si="31"/>
        <v>No</v>
      </c>
      <c r="AS316" s="60" t="str">
        <f t="shared" si="32"/>
        <v>No</v>
      </c>
    </row>
    <row r="317" spans="1:45" ht="15" hidden="1">
      <c r="A317" s="103">
        <v>45243</v>
      </c>
      <c r="B317" s="117" t="s">
        <v>1851</v>
      </c>
      <c r="C317" s="28" t="s">
        <v>548</v>
      </c>
      <c r="D317" s="28" t="s">
        <v>1859</v>
      </c>
      <c r="E317" s="28" t="s">
        <v>1860</v>
      </c>
      <c r="F317" s="28" t="s">
        <v>1861</v>
      </c>
      <c r="G317" s="28" t="s">
        <v>514</v>
      </c>
      <c r="H317" s="28" t="s">
        <v>1862</v>
      </c>
      <c r="I317" s="28" t="s">
        <v>516</v>
      </c>
      <c r="J317" s="28" t="s">
        <v>517</v>
      </c>
      <c r="K317" s="28" t="s">
        <v>518</v>
      </c>
      <c r="L317" s="28" t="s">
        <v>1856</v>
      </c>
      <c r="M317" s="28" t="s">
        <v>535</v>
      </c>
      <c r="N317" s="28" t="s">
        <v>557</v>
      </c>
      <c r="O317" s="28" t="s">
        <v>544</v>
      </c>
      <c r="P317" s="28" t="s">
        <v>522</v>
      </c>
      <c r="S317" s="28" t="s">
        <v>740</v>
      </c>
      <c r="T317" s="28" t="s">
        <v>1857</v>
      </c>
      <c r="U317" s="28" t="s">
        <v>1857</v>
      </c>
      <c r="V317" s="28" t="s">
        <v>517</v>
      </c>
      <c r="W317" s="28" t="s">
        <v>1863</v>
      </c>
      <c r="X317" s="28" t="s">
        <v>670</v>
      </c>
      <c r="Z317" s="28" t="s">
        <v>563</v>
      </c>
      <c r="AB317" s="28" t="s">
        <v>527</v>
      </c>
      <c r="AD317" s="118" t="s">
        <v>954</v>
      </c>
      <c r="AF317" s="117" t="s">
        <v>1859</v>
      </c>
      <c r="AG317" s="28" t="s">
        <v>563</v>
      </c>
      <c r="AK317" s="60">
        <v>2</v>
      </c>
      <c r="AL317" s="28">
        <f>1/COUNTIF(Tableau6[LAT],B317)</f>
        <v>0.33333333333333331</v>
      </c>
      <c r="AM317" s="60" t="b">
        <f t="shared" si="33"/>
        <v>0</v>
      </c>
      <c r="AN317" s="60" t="b">
        <f t="shared" si="34"/>
        <v>0</v>
      </c>
      <c r="AO317" s="60" t="b">
        <f t="shared" si="35"/>
        <v>0</v>
      </c>
      <c r="AP317" s="60" t="b">
        <f t="shared" si="36"/>
        <v>0</v>
      </c>
      <c r="AQ317" s="60" t="b">
        <f t="shared" si="37"/>
        <v>0</v>
      </c>
      <c r="AR317" s="60" t="str">
        <f t="shared" si="31"/>
        <v>No</v>
      </c>
      <c r="AS317" s="60" t="str">
        <f t="shared" si="32"/>
        <v>No</v>
      </c>
    </row>
    <row r="318" spans="1:45" ht="15" hidden="1">
      <c r="A318" s="103">
        <v>45243</v>
      </c>
      <c r="B318" s="117" t="s">
        <v>1851</v>
      </c>
      <c r="C318" s="28" t="s">
        <v>612</v>
      </c>
      <c r="D318" s="28" t="s">
        <v>1864</v>
      </c>
      <c r="E318" s="28" t="s">
        <v>1865</v>
      </c>
      <c r="F318" s="28" t="s">
        <v>1854</v>
      </c>
      <c r="G318" s="28" t="s">
        <v>958</v>
      </c>
      <c r="H318" s="28" t="s">
        <v>1855</v>
      </c>
      <c r="I318" s="28" t="s">
        <v>516</v>
      </c>
      <c r="J318" s="28" t="s">
        <v>517</v>
      </c>
      <c r="K318" s="28" t="s">
        <v>518</v>
      </c>
      <c r="L318" s="28" t="s">
        <v>1856</v>
      </c>
      <c r="M318" s="28" t="s">
        <v>535</v>
      </c>
      <c r="N318" s="28" t="s">
        <v>557</v>
      </c>
      <c r="O318" s="28" t="s">
        <v>544</v>
      </c>
      <c r="P318" s="28" t="s">
        <v>522</v>
      </c>
      <c r="S318" s="28" t="s">
        <v>740</v>
      </c>
      <c r="T318" s="28" t="s">
        <v>1857</v>
      </c>
      <c r="U318" s="28" t="s">
        <v>1857</v>
      </c>
      <c r="V318" s="28" t="s">
        <v>517</v>
      </c>
      <c r="W318" s="28" t="s">
        <v>1866</v>
      </c>
      <c r="X318" s="28" t="s">
        <v>670</v>
      </c>
      <c r="Z318" s="28" t="s">
        <v>563</v>
      </c>
      <c r="AB318" s="28" t="s">
        <v>527</v>
      </c>
      <c r="AD318" s="118"/>
      <c r="AF318" s="117" t="s">
        <v>1864</v>
      </c>
      <c r="AK318" s="60">
        <v>2</v>
      </c>
      <c r="AL318" s="28">
        <f>1/COUNTIF(Tableau6[LAT],B318)</f>
        <v>0.33333333333333331</v>
      </c>
      <c r="AM318" s="60" t="b">
        <f t="shared" si="33"/>
        <v>0</v>
      </c>
      <c r="AN318" s="60" t="b">
        <f t="shared" si="34"/>
        <v>0</v>
      </c>
      <c r="AO318" s="60" t="b">
        <f t="shared" si="35"/>
        <v>0</v>
      </c>
      <c r="AP318" s="60" t="b">
        <f t="shared" si="36"/>
        <v>0</v>
      </c>
      <c r="AQ318" s="60" t="b">
        <f t="shared" si="37"/>
        <v>0</v>
      </c>
      <c r="AR318" s="60" t="str">
        <f t="shared" si="31"/>
        <v>No</v>
      </c>
      <c r="AS318" s="60" t="str">
        <f t="shared" si="32"/>
        <v>No</v>
      </c>
    </row>
    <row r="319" spans="1:45" ht="15" hidden="1">
      <c r="A319" s="103">
        <v>45243</v>
      </c>
      <c r="B319" s="117">
        <v>5747964895</v>
      </c>
      <c r="C319" s="28" t="s">
        <v>511</v>
      </c>
      <c r="D319" s="28" t="s">
        <v>1867</v>
      </c>
      <c r="F319" s="28" t="s">
        <v>1868</v>
      </c>
      <c r="G319" s="28" t="s">
        <v>724</v>
      </c>
      <c r="H319" s="28" t="s">
        <v>1869</v>
      </c>
      <c r="I319" s="28" t="s">
        <v>517</v>
      </c>
      <c r="J319" s="28" t="s">
        <v>517</v>
      </c>
      <c r="K319" s="28" t="s">
        <v>518</v>
      </c>
      <c r="L319" s="28" t="s">
        <v>596</v>
      </c>
      <c r="M319" s="28" t="s">
        <v>520</v>
      </c>
      <c r="N319" s="28" t="s">
        <v>544</v>
      </c>
      <c r="S319" s="28" t="s">
        <v>573</v>
      </c>
      <c r="T319" s="28" t="s">
        <v>597</v>
      </c>
      <c r="U319" s="28" t="s">
        <v>597</v>
      </c>
      <c r="V319" s="28" t="s">
        <v>517</v>
      </c>
      <c r="W319" s="28" t="s">
        <v>835</v>
      </c>
      <c r="Z319" s="28" t="s">
        <v>526</v>
      </c>
      <c r="AB319" s="73" t="s">
        <v>609</v>
      </c>
      <c r="AC319" s="73" t="s">
        <v>35</v>
      </c>
      <c r="AD319" s="118" t="s">
        <v>954</v>
      </c>
      <c r="AF319" s="117" t="s">
        <v>1504</v>
      </c>
      <c r="AG319" s="28" t="s">
        <v>563</v>
      </c>
      <c r="AK319" s="60">
        <v>2</v>
      </c>
      <c r="AL319" s="28">
        <f>1/COUNTIF(Tableau6[LAT],B319)</f>
        <v>0.5</v>
      </c>
      <c r="AM319" s="60" t="b">
        <f t="shared" si="33"/>
        <v>0</v>
      </c>
      <c r="AN319" s="60" t="b">
        <f t="shared" si="34"/>
        <v>0</v>
      </c>
      <c r="AO319" s="60" t="b">
        <f t="shared" si="35"/>
        <v>0</v>
      </c>
      <c r="AP319" s="60" t="b">
        <f t="shared" si="36"/>
        <v>0</v>
      </c>
      <c r="AQ319" s="60" t="b">
        <f t="shared" si="37"/>
        <v>0</v>
      </c>
      <c r="AR319" s="60" t="str">
        <f t="shared" si="31"/>
        <v>No</v>
      </c>
      <c r="AS319" s="60" t="str">
        <f t="shared" si="32"/>
        <v>No</v>
      </c>
    </row>
    <row r="320" spans="1:45" ht="15" hidden="1">
      <c r="A320" s="103">
        <v>45243</v>
      </c>
      <c r="B320" s="117" t="s">
        <v>1870</v>
      </c>
      <c r="C320" s="28" t="s">
        <v>548</v>
      </c>
      <c r="D320" s="28" t="s">
        <v>1871</v>
      </c>
      <c r="F320" s="28" t="s">
        <v>1872</v>
      </c>
      <c r="G320" s="28" t="s">
        <v>514</v>
      </c>
      <c r="H320" s="28" t="s">
        <v>1873</v>
      </c>
      <c r="I320" s="28" t="s">
        <v>517</v>
      </c>
      <c r="J320" s="28" t="s">
        <v>517</v>
      </c>
      <c r="K320" s="28" t="s">
        <v>518</v>
      </c>
      <c r="L320" s="28" t="s">
        <v>596</v>
      </c>
      <c r="M320" s="28" t="s">
        <v>520</v>
      </c>
      <c r="S320" s="28" t="s">
        <v>573</v>
      </c>
      <c r="T320" s="28" t="s">
        <v>597</v>
      </c>
      <c r="U320" s="28" t="s">
        <v>597</v>
      </c>
      <c r="V320" s="28" t="s">
        <v>517</v>
      </c>
      <c r="W320" s="28" t="s">
        <v>835</v>
      </c>
      <c r="Z320" s="28" t="s">
        <v>526</v>
      </c>
      <c r="AB320" s="73" t="s">
        <v>609</v>
      </c>
      <c r="AC320" s="73" t="s">
        <v>35</v>
      </c>
      <c r="AD320" s="118" t="s">
        <v>954</v>
      </c>
      <c r="AF320" s="117" t="s">
        <v>1083</v>
      </c>
      <c r="AG320" s="28" t="s">
        <v>563</v>
      </c>
      <c r="AK320" s="60">
        <v>2</v>
      </c>
      <c r="AL320" s="28">
        <f>1/COUNTIF(Tableau6[LAT],B320)</f>
        <v>0.5</v>
      </c>
      <c r="AM320" s="60" t="b">
        <f t="shared" si="33"/>
        <v>0</v>
      </c>
      <c r="AN320" s="60" t="b">
        <f t="shared" si="34"/>
        <v>0</v>
      </c>
      <c r="AO320" s="60" t="b">
        <f t="shared" si="35"/>
        <v>0</v>
      </c>
      <c r="AP320" s="60" t="b">
        <f t="shared" si="36"/>
        <v>0</v>
      </c>
      <c r="AQ320" s="60" t="b">
        <f t="shared" si="37"/>
        <v>0</v>
      </c>
      <c r="AR320" s="60" t="str">
        <f t="shared" si="31"/>
        <v>No</v>
      </c>
      <c r="AS320" s="60" t="str">
        <f t="shared" si="32"/>
        <v>No</v>
      </c>
    </row>
    <row r="321" spans="1:45" ht="15" hidden="1">
      <c r="A321" s="103">
        <v>45243</v>
      </c>
      <c r="B321" s="117" t="s">
        <v>1874</v>
      </c>
      <c r="C321" s="28" t="s">
        <v>511</v>
      </c>
      <c r="D321" s="28" t="s">
        <v>1875</v>
      </c>
      <c r="E321" s="28" t="s">
        <v>1876</v>
      </c>
      <c r="F321" s="28" t="s">
        <v>1877</v>
      </c>
      <c r="G321" s="28" t="s">
        <v>1456</v>
      </c>
      <c r="H321" s="28" t="s">
        <v>1878</v>
      </c>
      <c r="I321" s="28" t="s">
        <v>516</v>
      </c>
      <c r="J321" s="28" t="s">
        <v>517</v>
      </c>
      <c r="K321" s="28" t="s">
        <v>518</v>
      </c>
      <c r="L321" s="28" t="s">
        <v>1879</v>
      </c>
      <c r="M321" s="28" t="s">
        <v>535</v>
      </c>
      <c r="N321" s="28" t="s">
        <v>427</v>
      </c>
      <c r="S321" s="28" t="s">
        <v>740</v>
      </c>
      <c r="T321" s="28" t="s">
        <v>1712</v>
      </c>
      <c r="U321" s="28" t="s">
        <v>1712</v>
      </c>
      <c r="V321" s="28" t="s">
        <v>517</v>
      </c>
      <c r="W321" s="28" t="s">
        <v>1880</v>
      </c>
      <c r="X321" s="28" t="s">
        <v>670</v>
      </c>
      <c r="Z321" s="28" t="s">
        <v>563</v>
      </c>
      <c r="AB321" s="28" t="s">
        <v>527</v>
      </c>
      <c r="AD321" s="118" t="s">
        <v>954</v>
      </c>
      <c r="AF321" s="117" t="s">
        <v>1875</v>
      </c>
      <c r="AG321" s="28" t="s">
        <v>563</v>
      </c>
      <c r="AK321" s="60">
        <v>2</v>
      </c>
      <c r="AL321" s="28">
        <f>1/COUNTIF(Tableau6[LAT],B321)</f>
        <v>0.33333333333333331</v>
      </c>
      <c r="AM321" s="60" t="b">
        <f t="shared" si="33"/>
        <v>0</v>
      </c>
      <c r="AN321" s="60" t="b">
        <f t="shared" si="34"/>
        <v>0</v>
      </c>
      <c r="AO321" s="60" t="b">
        <f t="shared" si="35"/>
        <v>0</v>
      </c>
      <c r="AP321" s="60" t="b">
        <f t="shared" si="36"/>
        <v>0</v>
      </c>
      <c r="AQ321" s="60" t="b">
        <f t="shared" si="37"/>
        <v>0</v>
      </c>
      <c r="AR321" s="60" t="str">
        <f t="shared" si="31"/>
        <v>No</v>
      </c>
      <c r="AS321" s="60" t="str">
        <f t="shared" si="32"/>
        <v>No</v>
      </c>
    </row>
    <row r="322" spans="1:45" ht="15" hidden="1">
      <c r="A322" s="103">
        <v>45243</v>
      </c>
      <c r="B322" s="117" t="s">
        <v>1874</v>
      </c>
      <c r="C322" s="28" t="s">
        <v>548</v>
      </c>
      <c r="D322" s="28" t="s">
        <v>1881</v>
      </c>
      <c r="E322" s="28" t="s">
        <v>1882</v>
      </c>
      <c r="F322" s="28" t="s">
        <v>1877</v>
      </c>
      <c r="G322" s="28" t="s">
        <v>1456</v>
      </c>
      <c r="H322" s="28" t="s">
        <v>1878</v>
      </c>
      <c r="I322" s="28" t="s">
        <v>516</v>
      </c>
      <c r="J322" s="28" t="s">
        <v>517</v>
      </c>
      <c r="K322" s="28" t="s">
        <v>518</v>
      </c>
      <c r="L322" s="28" t="s">
        <v>1879</v>
      </c>
      <c r="M322" s="28" t="s">
        <v>535</v>
      </c>
      <c r="N322" s="28" t="s">
        <v>427</v>
      </c>
      <c r="S322" s="28" t="s">
        <v>740</v>
      </c>
      <c r="T322" s="28" t="s">
        <v>1712</v>
      </c>
      <c r="U322" s="28" t="s">
        <v>1712</v>
      </c>
      <c r="V322" s="28" t="s">
        <v>517</v>
      </c>
      <c r="W322" s="28" t="s">
        <v>1883</v>
      </c>
      <c r="X322" s="28" t="s">
        <v>670</v>
      </c>
      <c r="Z322" s="28" t="s">
        <v>563</v>
      </c>
      <c r="AB322" s="28" t="s">
        <v>527</v>
      </c>
      <c r="AD322" s="118" t="s">
        <v>954</v>
      </c>
      <c r="AF322" s="117" t="s">
        <v>1881</v>
      </c>
      <c r="AG322" s="28" t="s">
        <v>563</v>
      </c>
      <c r="AK322" s="60">
        <v>2</v>
      </c>
      <c r="AL322" s="28">
        <f>1/COUNTIF(Tableau6[LAT],B322)</f>
        <v>0.33333333333333331</v>
      </c>
      <c r="AM322" s="60" t="b">
        <f t="shared" si="33"/>
        <v>0</v>
      </c>
      <c r="AN322" s="60" t="b">
        <f t="shared" si="34"/>
        <v>0</v>
      </c>
      <c r="AO322" s="60" t="b">
        <f t="shared" si="35"/>
        <v>0</v>
      </c>
      <c r="AP322" s="60" t="b">
        <f t="shared" si="36"/>
        <v>0</v>
      </c>
      <c r="AQ322" s="60" t="b">
        <f t="shared" si="37"/>
        <v>0</v>
      </c>
      <c r="AR322" s="60" t="str">
        <f t="shared" si="31"/>
        <v>No</v>
      </c>
      <c r="AS322" s="60" t="str">
        <f t="shared" si="32"/>
        <v>No</v>
      </c>
    </row>
    <row r="323" spans="1:45" ht="15" hidden="1">
      <c r="A323" s="103">
        <v>45243</v>
      </c>
      <c r="B323" s="117" t="s">
        <v>1874</v>
      </c>
      <c r="C323" s="28" t="s">
        <v>612</v>
      </c>
      <c r="D323" s="28" t="s">
        <v>1884</v>
      </c>
      <c r="E323" s="28" t="s">
        <v>1876</v>
      </c>
      <c r="F323" s="28" t="s">
        <v>1885</v>
      </c>
      <c r="G323" s="28" t="s">
        <v>1886</v>
      </c>
      <c r="H323" s="28" t="s">
        <v>1887</v>
      </c>
      <c r="I323" s="28" t="s">
        <v>516</v>
      </c>
      <c r="J323" s="28" t="s">
        <v>517</v>
      </c>
      <c r="K323" s="28" t="s">
        <v>518</v>
      </c>
      <c r="L323" s="28" t="s">
        <v>1879</v>
      </c>
      <c r="M323" s="28" t="s">
        <v>535</v>
      </c>
      <c r="N323" s="28" t="s">
        <v>427</v>
      </c>
      <c r="S323" s="28" t="s">
        <v>740</v>
      </c>
      <c r="T323" s="28" t="s">
        <v>1712</v>
      </c>
      <c r="U323" s="28" t="s">
        <v>1712</v>
      </c>
      <c r="V323" s="28" t="s">
        <v>517</v>
      </c>
      <c r="W323" s="28" t="s">
        <v>1880</v>
      </c>
      <c r="X323" s="28" t="s">
        <v>670</v>
      </c>
      <c r="Z323" s="28" t="s">
        <v>563</v>
      </c>
      <c r="AB323" s="28" t="s">
        <v>527</v>
      </c>
      <c r="AD323" s="118" t="s">
        <v>954</v>
      </c>
      <c r="AF323" s="117" t="s">
        <v>1884</v>
      </c>
      <c r="AG323" s="28" t="s">
        <v>563</v>
      </c>
      <c r="AK323" s="60">
        <v>2</v>
      </c>
      <c r="AL323" s="28">
        <f>1/COUNTIF(Tableau6[LAT],B323)</f>
        <v>0.33333333333333331</v>
      </c>
      <c r="AM323" s="60" t="b">
        <f t="shared" si="33"/>
        <v>0</v>
      </c>
      <c r="AN323" s="60" t="b">
        <f t="shared" si="34"/>
        <v>0</v>
      </c>
      <c r="AO323" s="60" t="b">
        <f t="shared" si="35"/>
        <v>0</v>
      </c>
      <c r="AP323" s="60" t="b">
        <f t="shared" si="36"/>
        <v>0</v>
      </c>
      <c r="AQ323" s="60" t="b">
        <f t="shared" si="37"/>
        <v>0</v>
      </c>
      <c r="AR323" s="60" t="str">
        <f t="shared" si="31"/>
        <v>No</v>
      </c>
      <c r="AS323" s="60" t="str">
        <f t="shared" si="32"/>
        <v>No</v>
      </c>
    </row>
    <row r="324" spans="1:45" ht="15" hidden="1">
      <c r="A324" s="103">
        <v>45243</v>
      </c>
      <c r="B324" s="117" t="s">
        <v>1888</v>
      </c>
      <c r="C324" s="28" t="s">
        <v>548</v>
      </c>
      <c r="D324" s="28" t="s">
        <v>1889</v>
      </c>
      <c r="E324" s="28" t="s">
        <v>1890</v>
      </c>
      <c r="F324" s="28" t="s">
        <v>1891</v>
      </c>
      <c r="G324" s="28" t="s">
        <v>514</v>
      </c>
      <c r="H324" s="28" t="s">
        <v>555</v>
      </c>
      <c r="I324" s="28" t="s">
        <v>517</v>
      </c>
      <c r="J324" s="28" t="s">
        <v>517</v>
      </c>
      <c r="K324" s="28" t="s">
        <v>518</v>
      </c>
      <c r="L324" s="28" t="s">
        <v>697</v>
      </c>
      <c r="M324" s="28" t="s">
        <v>535</v>
      </c>
      <c r="N324" s="28" t="s">
        <v>1124</v>
      </c>
      <c r="O324" s="28" t="s">
        <v>544</v>
      </c>
      <c r="P324" s="28" t="s">
        <v>522</v>
      </c>
      <c r="S324" s="28" t="s">
        <v>573</v>
      </c>
      <c r="T324" s="28" t="s">
        <v>699</v>
      </c>
      <c r="U324" s="28" t="s">
        <v>699</v>
      </c>
      <c r="V324" s="28" t="s">
        <v>517</v>
      </c>
      <c r="W324" s="28" t="s">
        <v>1892</v>
      </c>
      <c r="X324" s="28" t="s">
        <v>670</v>
      </c>
      <c r="Z324" s="28" t="s">
        <v>526</v>
      </c>
      <c r="AC324" s="73" t="s">
        <v>35</v>
      </c>
      <c r="AD324" s="118"/>
      <c r="AF324" s="117" t="s">
        <v>1083</v>
      </c>
      <c r="AK324" s="60">
        <v>2</v>
      </c>
      <c r="AL324" s="28">
        <f>1/COUNTIF(Tableau6[LAT],B324)</f>
        <v>1</v>
      </c>
      <c r="AM324" s="60" t="b">
        <f t="shared" si="33"/>
        <v>0</v>
      </c>
      <c r="AN324" s="60" t="b">
        <f t="shared" si="34"/>
        <v>0</v>
      </c>
      <c r="AO324" s="60" t="b">
        <f t="shared" si="35"/>
        <v>0</v>
      </c>
      <c r="AP324" s="60" t="b">
        <f t="shared" si="36"/>
        <v>0</v>
      </c>
      <c r="AQ324" s="60" t="b">
        <f t="shared" si="37"/>
        <v>0</v>
      </c>
      <c r="AR324" s="60" t="str">
        <f t="shared" ref="AR324:AR387" si="38">IF(AM324="Yes","Yes",IF(AN324="Yes","Yes",IF(AO324="yes","Yes",IF(AP324="Yes","Yes","No"))))</f>
        <v>No</v>
      </c>
      <c r="AS324" s="60" t="str">
        <f t="shared" ref="AS324:AS387" si="39">IF(S324="QFA","Yes",IF(S324="LCJ","Yes",IF(S324="CAJ","Yes",IF(S324="WRO","Yes",IF(S324="BEY","Yes",IF(S324="TUN","Yes",IF(S324="LFW","Yes",IF(S324="DLA","Yes",IF(S324="NSI","Yes",IF(S324="OUA","Yes",IF(S324="IAH","Yes",IF(S324="LYS","Yes",IF(S324="DSS","Yes",IF(S324="BKO","Yes",IF(S324="BZV","Yes",IF(S324="COO","Yes",IF(S324="EZE","Yes",IF(S324="CKY","Yes",IF(S324="PTP","Yes",IF(S324="ORD","Yes",IF(S324="CFE","Yes",IF(S324="NKC","Yes",IF(S324="FDF","Yes",IF(S324="SDQ","Yes",IF(S324="PNR","Yes",IF(S324="ICAY","Yes",IF(S324="DTW","Yes",IF(S324="TNR","Yes",IF(S324="RUN","Yes",IF(S324="NIM","Yes","No"))))))))))))))))))))))))))))))</f>
        <v>No</v>
      </c>
    </row>
    <row r="325" spans="1:45" ht="15" hidden="1">
      <c r="A325" s="103">
        <v>45243</v>
      </c>
      <c r="B325" s="117" t="s">
        <v>1893</v>
      </c>
      <c r="C325" s="28" t="s">
        <v>511</v>
      </c>
      <c r="D325" s="28" t="s">
        <v>1894</v>
      </c>
      <c r="E325" s="28" t="s">
        <v>926</v>
      </c>
      <c r="F325" s="28" t="s">
        <v>1895</v>
      </c>
      <c r="G325" s="28" t="s">
        <v>514</v>
      </c>
      <c r="H325" s="28" t="s">
        <v>1896</v>
      </c>
      <c r="I325" s="28" t="s">
        <v>516</v>
      </c>
      <c r="J325" s="28" t="s">
        <v>517</v>
      </c>
      <c r="K325" s="28" t="s">
        <v>518</v>
      </c>
      <c r="L325" s="28" t="s">
        <v>809</v>
      </c>
      <c r="M325" s="28" t="s">
        <v>535</v>
      </c>
      <c r="N325" s="28" t="s">
        <v>557</v>
      </c>
      <c r="O325" s="28" t="s">
        <v>934</v>
      </c>
      <c r="P325" s="28" t="s">
        <v>559</v>
      </c>
      <c r="S325" s="28" t="s">
        <v>606</v>
      </c>
      <c r="T325" s="28" t="s">
        <v>1897</v>
      </c>
      <c r="U325" s="28" t="s">
        <v>811</v>
      </c>
      <c r="V325" s="28" t="s">
        <v>517</v>
      </c>
      <c r="W325" s="28" t="s">
        <v>929</v>
      </c>
      <c r="X325" s="28" t="s">
        <v>670</v>
      </c>
      <c r="Z325" s="28" t="s">
        <v>526</v>
      </c>
      <c r="AD325" s="118" t="s">
        <v>954</v>
      </c>
      <c r="AF325" s="117" t="s">
        <v>1894</v>
      </c>
      <c r="AG325" s="28" t="s">
        <v>563</v>
      </c>
      <c r="AK325" s="60">
        <v>2</v>
      </c>
      <c r="AL325" s="28">
        <f>1/COUNTIF(Tableau6[LAT],B325)</f>
        <v>1</v>
      </c>
      <c r="AM325" s="60" t="b">
        <f t="shared" si="33"/>
        <v>0</v>
      </c>
      <c r="AN325" s="60" t="b">
        <f t="shared" si="34"/>
        <v>0</v>
      </c>
      <c r="AO325" s="60" t="b">
        <f t="shared" si="35"/>
        <v>0</v>
      </c>
      <c r="AP325" s="60" t="b">
        <f t="shared" si="36"/>
        <v>0</v>
      </c>
      <c r="AQ325" s="60" t="b">
        <f t="shared" si="37"/>
        <v>0</v>
      </c>
      <c r="AR325" s="60" t="str">
        <f t="shared" si="38"/>
        <v>No</v>
      </c>
      <c r="AS325" s="60" t="str">
        <f t="shared" si="39"/>
        <v>No</v>
      </c>
    </row>
    <row r="326" spans="1:45" ht="15" hidden="1">
      <c r="A326" s="103">
        <v>45243</v>
      </c>
      <c r="B326" s="117" t="s">
        <v>1898</v>
      </c>
      <c r="C326" s="28" t="s">
        <v>511</v>
      </c>
      <c r="D326" s="28" t="s">
        <v>1899</v>
      </c>
      <c r="F326" s="28" t="s">
        <v>1900</v>
      </c>
      <c r="G326" s="28" t="s">
        <v>665</v>
      </c>
      <c r="H326" s="28" t="s">
        <v>1813</v>
      </c>
      <c r="I326" s="28" t="s">
        <v>516</v>
      </c>
      <c r="J326" s="28" t="s">
        <v>517</v>
      </c>
      <c r="K326" s="28" t="s">
        <v>518</v>
      </c>
      <c r="L326" s="28" t="s">
        <v>801</v>
      </c>
      <c r="M326" s="28" t="s">
        <v>535</v>
      </c>
      <c r="S326" s="28" t="s">
        <v>1901</v>
      </c>
      <c r="T326" s="28" t="s">
        <v>803</v>
      </c>
      <c r="U326" s="28" t="s">
        <v>803</v>
      </c>
      <c r="V326" s="28" t="s">
        <v>517</v>
      </c>
      <c r="W326" s="28" t="s">
        <v>1902</v>
      </c>
      <c r="Z326" s="28" t="s">
        <v>526</v>
      </c>
      <c r="AD326" s="118" t="s">
        <v>528</v>
      </c>
      <c r="AF326" s="117" t="s">
        <v>1899</v>
      </c>
      <c r="AG326" s="28" t="s">
        <v>529</v>
      </c>
      <c r="AK326" s="60">
        <v>2</v>
      </c>
      <c r="AL326" s="28">
        <f>1/COUNTIF(Tableau6[LAT],B326)</f>
        <v>0.33333333333333331</v>
      </c>
      <c r="AM326" s="60" t="b">
        <f t="shared" si="33"/>
        <v>0</v>
      </c>
      <c r="AN326" s="60" t="b">
        <f t="shared" si="34"/>
        <v>0</v>
      </c>
      <c r="AO326" s="60" t="b">
        <f t="shared" si="35"/>
        <v>0</v>
      </c>
      <c r="AP326" s="60" t="b">
        <f t="shared" si="36"/>
        <v>0</v>
      </c>
      <c r="AQ326" s="60" t="b">
        <f t="shared" si="37"/>
        <v>0</v>
      </c>
      <c r="AR326" s="60" t="str">
        <f t="shared" si="38"/>
        <v>No</v>
      </c>
      <c r="AS326" s="60" t="str">
        <f t="shared" si="39"/>
        <v>No</v>
      </c>
    </row>
    <row r="327" spans="1:45" ht="15" hidden="1">
      <c r="A327" s="103">
        <v>45243</v>
      </c>
      <c r="B327" s="117" t="s">
        <v>1898</v>
      </c>
      <c r="C327" s="28" t="s">
        <v>548</v>
      </c>
      <c r="D327" s="28" t="s">
        <v>1903</v>
      </c>
      <c r="F327" s="28" t="s">
        <v>1904</v>
      </c>
      <c r="G327" s="28" t="s">
        <v>514</v>
      </c>
      <c r="H327" s="28" t="s">
        <v>1134</v>
      </c>
      <c r="I327" s="28" t="s">
        <v>516</v>
      </c>
      <c r="J327" s="28" t="s">
        <v>517</v>
      </c>
      <c r="K327" s="28" t="s">
        <v>518</v>
      </c>
      <c r="L327" s="28" t="s">
        <v>801</v>
      </c>
      <c r="M327" s="28" t="s">
        <v>535</v>
      </c>
      <c r="S327" s="28" t="s">
        <v>1901</v>
      </c>
      <c r="T327" s="28" t="s">
        <v>803</v>
      </c>
      <c r="U327" s="28" t="s">
        <v>803</v>
      </c>
      <c r="V327" s="28" t="s">
        <v>517</v>
      </c>
      <c r="W327" s="28" t="s">
        <v>889</v>
      </c>
      <c r="Z327" s="28" t="s">
        <v>526</v>
      </c>
      <c r="AD327" s="118" t="s">
        <v>528</v>
      </c>
      <c r="AF327" s="117" t="s">
        <v>1903</v>
      </c>
      <c r="AG327" s="28" t="s">
        <v>529</v>
      </c>
      <c r="AK327" s="60">
        <v>2</v>
      </c>
      <c r="AL327" s="28">
        <f>1/COUNTIF(Tableau6[LAT],B327)</f>
        <v>0.33333333333333331</v>
      </c>
      <c r="AM327" s="60" t="b">
        <f t="shared" si="33"/>
        <v>0</v>
      </c>
      <c r="AN327" s="60" t="b">
        <f t="shared" si="34"/>
        <v>0</v>
      </c>
      <c r="AO327" s="60" t="b">
        <f t="shared" si="35"/>
        <v>0</v>
      </c>
      <c r="AP327" s="60" t="b">
        <f t="shared" si="36"/>
        <v>0</v>
      </c>
      <c r="AQ327" s="60" t="b">
        <f t="shared" si="37"/>
        <v>0</v>
      </c>
      <c r="AR327" s="60" t="str">
        <f t="shared" si="38"/>
        <v>No</v>
      </c>
      <c r="AS327" s="60" t="str">
        <f t="shared" si="39"/>
        <v>No</v>
      </c>
    </row>
    <row r="328" spans="1:45" ht="15" hidden="1">
      <c r="A328" s="103">
        <v>45243</v>
      </c>
      <c r="B328" s="117" t="s">
        <v>1898</v>
      </c>
      <c r="C328" s="28" t="s">
        <v>612</v>
      </c>
      <c r="D328" s="28" t="s">
        <v>1905</v>
      </c>
      <c r="F328" s="28" t="s">
        <v>1904</v>
      </c>
      <c r="G328" s="28" t="s">
        <v>514</v>
      </c>
      <c r="H328" s="28" t="s">
        <v>1134</v>
      </c>
      <c r="I328" s="28" t="s">
        <v>516</v>
      </c>
      <c r="J328" s="28" t="s">
        <v>517</v>
      </c>
      <c r="K328" s="28" t="s">
        <v>518</v>
      </c>
      <c r="L328" s="28" t="s">
        <v>801</v>
      </c>
      <c r="M328" s="28" t="s">
        <v>535</v>
      </c>
      <c r="S328" s="28" t="s">
        <v>1901</v>
      </c>
      <c r="T328" s="28" t="s">
        <v>803</v>
      </c>
      <c r="U328" s="28" t="s">
        <v>803</v>
      </c>
      <c r="V328" s="28" t="s">
        <v>517</v>
      </c>
      <c r="W328" s="28" t="s">
        <v>889</v>
      </c>
      <c r="Z328" s="28" t="s">
        <v>526</v>
      </c>
      <c r="AD328" s="118" t="s">
        <v>528</v>
      </c>
      <c r="AF328" s="117" t="s">
        <v>1905</v>
      </c>
      <c r="AG328" s="28" t="s">
        <v>529</v>
      </c>
      <c r="AK328" s="60">
        <v>2</v>
      </c>
      <c r="AL328" s="28">
        <f>1/COUNTIF(Tableau6[LAT],B328)</f>
        <v>0.33333333333333331</v>
      </c>
      <c r="AM328" s="60" t="b">
        <f t="shared" si="33"/>
        <v>0</v>
      </c>
      <c r="AN328" s="60" t="b">
        <f t="shared" si="34"/>
        <v>0</v>
      </c>
      <c r="AO328" s="60" t="b">
        <f t="shared" si="35"/>
        <v>0</v>
      </c>
      <c r="AP328" s="60" t="b">
        <f t="shared" si="36"/>
        <v>0</v>
      </c>
      <c r="AQ328" s="60" t="b">
        <f t="shared" si="37"/>
        <v>0</v>
      </c>
      <c r="AR328" s="60" t="str">
        <f t="shared" si="38"/>
        <v>No</v>
      </c>
      <c r="AS328" s="60" t="str">
        <f t="shared" si="39"/>
        <v>No</v>
      </c>
    </row>
    <row r="329" spans="1:45" ht="15" hidden="1">
      <c r="A329" s="103">
        <v>45243</v>
      </c>
      <c r="B329" s="117" t="s">
        <v>1906</v>
      </c>
      <c r="C329" s="28" t="s">
        <v>548</v>
      </c>
      <c r="D329" s="28" t="s">
        <v>1907</v>
      </c>
      <c r="E329" s="28" t="s">
        <v>1908</v>
      </c>
      <c r="F329" s="28" t="s">
        <v>1909</v>
      </c>
      <c r="G329" s="28" t="s">
        <v>1910</v>
      </c>
      <c r="H329" s="28" t="s">
        <v>1911</v>
      </c>
      <c r="I329" s="28" t="s">
        <v>516</v>
      </c>
      <c r="J329" s="28" t="s">
        <v>517</v>
      </c>
      <c r="K329" s="28" t="s">
        <v>518</v>
      </c>
      <c r="L329" s="28" t="s">
        <v>1429</v>
      </c>
      <c r="M329" s="28" t="s">
        <v>535</v>
      </c>
      <c r="N329" s="28" t="s">
        <v>619</v>
      </c>
      <c r="O329" s="28" t="s">
        <v>557</v>
      </c>
      <c r="P329" s="28" t="s">
        <v>522</v>
      </c>
      <c r="S329" s="28" t="s">
        <v>560</v>
      </c>
      <c r="T329" s="28" t="s">
        <v>1431</v>
      </c>
      <c r="U329" s="28" t="s">
        <v>1431</v>
      </c>
      <c r="V329" s="28" t="s">
        <v>517</v>
      </c>
      <c r="W329" s="28" t="s">
        <v>1912</v>
      </c>
      <c r="X329" s="28" t="s">
        <v>1913</v>
      </c>
      <c r="Z329" s="28" t="s">
        <v>563</v>
      </c>
      <c r="AB329" s="28" t="s">
        <v>527</v>
      </c>
      <c r="AD329" s="118" t="s">
        <v>528</v>
      </c>
      <c r="AF329" s="117" t="s">
        <v>1914</v>
      </c>
      <c r="AG329" s="28" t="s">
        <v>563</v>
      </c>
      <c r="AK329" s="60">
        <v>2</v>
      </c>
      <c r="AL329" s="28">
        <f>1/COUNTIF(Tableau6[LAT],B329)</f>
        <v>1</v>
      </c>
      <c r="AM329" s="60" t="b">
        <f t="shared" si="33"/>
        <v>0</v>
      </c>
      <c r="AN329" s="60" t="b">
        <f t="shared" si="34"/>
        <v>0</v>
      </c>
      <c r="AO329" s="60" t="b">
        <f t="shared" si="35"/>
        <v>0</v>
      </c>
      <c r="AP329" s="60" t="b">
        <f t="shared" si="36"/>
        <v>0</v>
      </c>
      <c r="AQ329" s="60" t="b">
        <f t="shared" si="37"/>
        <v>0</v>
      </c>
      <c r="AR329" s="60" t="str">
        <f t="shared" si="38"/>
        <v>No</v>
      </c>
      <c r="AS329" s="60" t="str">
        <f t="shared" si="39"/>
        <v>No</v>
      </c>
    </row>
    <row r="330" spans="1:45" ht="15" hidden="1">
      <c r="A330" s="103">
        <v>45243</v>
      </c>
      <c r="B330" s="117" t="s">
        <v>1915</v>
      </c>
      <c r="C330" s="28" t="s">
        <v>511</v>
      </c>
      <c r="D330" s="28" t="s">
        <v>1916</v>
      </c>
      <c r="F330" s="28" t="s">
        <v>1672</v>
      </c>
      <c r="G330" s="28" t="s">
        <v>514</v>
      </c>
      <c r="H330" s="28" t="s">
        <v>1148</v>
      </c>
      <c r="I330" s="28" t="s">
        <v>516</v>
      </c>
      <c r="J330" s="28" t="s">
        <v>517</v>
      </c>
      <c r="K330" s="28" t="s">
        <v>518</v>
      </c>
      <c r="L330" s="28" t="s">
        <v>1917</v>
      </c>
      <c r="M330" s="28" t="s">
        <v>535</v>
      </c>
      <c r="N330" s="28" t="s">
        <v>557</v>
      </c>
      <c r="O330" s="28" t="s">
        <v>544</v>
      </c>
      <c r="S330" s="28" t="s">
        <v>698</v>
      </c>
      <c r="T330" s="28" t="s">
        <v>1918</v>
      </c>
      <c r="U330" s="28" t="s">
        <v>1918</v>
      </c>
      <c r="V330" s="28" t="s">
        <v>517</v>
      </c>
      <c r="W330" s="28" t="s">
        <v>1919</v>
      </c>
      <c r="Z330" s="28" t="s">
        <v>563</v>
      </c>
      <c r="AB330" s="28" t="s">
        <v>527</v>
      </c>
      <c r="AD330" s="118" t="s">
        <v>954</v>
      </c>
      <c r="AF330" s="117" t="s">
        <v>1916</v>
      </c>
      <c r="AG330" s="28" t="s">
        <v>563</v>
      </c>
      <c r="AK330" s="60">
        <v>2</v>
      </c>
      <c r="AL330" s="28">
        <f>1/COUNTIF(Tableau6[LAT],B330)</f>
        <v>1</v>
      </c>
      <c r="AM330" s="60" t="b">
        <f t="shared" si="33"/>
        <v>0</v>
      </c>
      <c r="AN330" s="60" t="b">
        <f t="shared" si="34"/>
        <v>0</v>
      </c>
      <c r="AO330" s="60" t="b">
        <f t="shared" si="35"/>
        <v>0</v>
      </c>
      <c r="AP330" s="60" t="b">
        <f t="shared" si="36"/>
        <v>0</v>
      </c>
      <c r="AQ330" s="60" t="b">
        <f t="shared" si="37"/>
        <v>0</v>
      </c>
      <c r="AR330" s="60" t="str">
        <f t="shared" si="38"/>
        <v>No</v>
      </c>
      <c r="AS330" s="60" t="str">
        <f t="shared" si="39"/>
        <v>No</v>
      </c>
    </row>
    <row r="331" spans="1:45" ht="15" hidden="1">
      <c r="A331" s="103">
        <v>45243</v>
      </c>
      <c r="B331" s="117" t="s">
        <v>1920</v>
      </c>
      <c r="C331" s="28" t="s">
        <v>511</v>
      </c>
      <c r="D331" s="28" t="s">
        <v>1921</v>
      </c>
      <c r="F331" s="28" t="s">
        <v>1922</v>
      </c>
      <c r="G331" s="28" t="s">
        <v>514</v>
      </c>
      <c r="H331" s="28" t="s">
        <v>1501</v>
      </c>
      <c r="I331" s="28" t="s">
        <v>516</v>
      </c>
      <c r="J331" s="28" t="s">
        <v>517</v>
      </c>
      <c r="K331" s="28" t="s">
        <v>518</v>
      </c>
      <c r="L331" s="28" t="s">
        <v>1032</v>
      </c>
      <c r="M331" s="28" t="s">
        <v>520</v>
      </c>
      <c r="N331" s="28" t="s">
        <v>557</v>
      </c>
      <c r="O331" s="28" t="s">
        <v>544</v>
      </c>
      <c r="P331" s="28" t="s">
        <v>559</v>
      </c>
      <c r="S331" s="28" t="s">
        <v>668</v>
      </c>
      <c r="T331" s="28" t="s">
        <v>545</v>
      </c>
      <c r="U331" s="28" t="s">
        <v>545</v>
      </c>
      <c r="V331" s="28" t="s">
        <v>517</v>
      </c>
      <c r="W331" s="28" t="s">
        <v>1923</v>
      </c>
      <c r="Z331" s="28" t="s">
        <v>563</v>
      </c>
      <c r="AB331" s="28" t="s">
        <v>527</v>
      </c>
      <c r="AD331" s="118" t="s">
        <v>528</v>
      </c>
      <c r="AF331" s="117" t="s">
        <v>1921</v>
      </c>
      <c r="AG331" s="28" t="s">
        <v>563</v>
      </c>
      <c r="AK331" s="60">
        <v>2</v>
      </c>
      <c r="AL331" s="28">
        <f>1/COUNTIF(Tableau6[LAT],B331)</f>
        <v>0.33333333333333331</v>
      </c>
      <c r="AM331" s="60" t="b">
        <f t="shared" si="33"/>
        <v>0</v>
      </c>
      <c r="AN331" s="60" t="b">
        <f t="shared" si="34"/>
        <v>0</v>
      </c>
      <c r="AO331" s="60" t="b">
        <f t="shared" si="35"/>
        <v>0</v>
      </c>
      <c r="AP331" s="60" t="b">
        <f t="shared" si="36"/>
        <v>0</v>
      </c>
      <c r="AQ331" s="60" t="b">
        <f t="shared" si="37"/>
        <v>0</v>
      </c>
      <c r="AR331" s="60" t="str">
        <f t="shared" si="38"/>
        <v>No</v>
      </c>
      <c r="AS331" s="60" t="str">
        <f t="shared" si="39"/>
        <v>No</v>
      </c>
    </row>
    <row r="332" spans="1:45" ht="15" hidden="1">
      <c r="A332" s="103">
        <v>45243</v>
      </c>
      <c r="B332" s="117" t="s">
        <v>1920</v>
      </c>
      <c r="C332" s="28" t="s">
        <v>548</v>
      </c>
      <c r="D332" s="28" t="s">
        <v>1924</v>
      </c>
      <c r="F332" s="28" t="s">
        <v>1925</v>
      </c>
      <c r="G332" s="28" t="s">
        <v>958</v>
      </c>
      <c r="H332" s="28" t="s">
        <v>1926</v>
      </c>
      <c r="I332" s="28" t="s">
        <v>516</v>
      </c>
      <c r="J332" s="28" t="s">
        <v>517</v>
      </c>
      <c r="K332" s="28" t="s">
        <v>518</v>
      </c>
      <c r="L332" s="28" t="s">
        <v>1032</v>
      </c>
      <c r="M332" s="28" t="s">
        <v>520</v>
      </c>
      <c r="N332" s="28" t="s">
        <v>557</v>
      </c>
      <c r="O332" s="28" t="s">
        <v>544</v>
      </c>
      <c r="P332" s="28" t="s">
        <v>559</v>
      </c>
      <c r="S332" s="28" t="s">
        <v>668</v>
      </c>
      <c r="T332" s="28" t="s">
        <v>545</v>
      </c>
      <c r="U332" s="28" t="s">
        <v>545</v>
      </c>
      <c r="V332" s="28" t="s">
        <v>517</v>
      </c>
      <c r="W332" s="28" t="s">
        <v>1923</v>
      </c>
      <c r="Z332" s="28" t="s">
        <v>563</v>
      </c>
      <c r="AB332" s="28" t="s">
        <v>527</v>
      </c>
      <c r="AD332" s="118" t="s">
        <v>528</v>
      </c>
      <c r="AF332" s="117" t="s">
        <v>1924</v>
      </c>
      <c r="AG332" s="28" t="s">
        <v>563</v>
      </c>
      <c r="AK332" s="60">
        <v>2</v>
      </c>
      <c r="AL332" s="28">
        <f>1/COUNTIF(Tableau6[LAT],B332)</f>
        <v>0.33333333333333331</v>
      </c>
      <c r="AM332" s="60" t="b">
        <f t="shared" si="33"/>
        <v>0</v>
      </c>
      <c r="AN332" s="60" t="b">
        <f t="shared" si="34"/>
        <v>0</v>
      </c>
      <c r="AO332" s="60" t="b">
        <f t="shared" si="35"/>
        <v>0</v>
      </c>
      <c r="AP332" s="60" t="b">
        <f t="shared" si="36"/>
        <v>0</v>
      </c>
      <c r="AQ332" s="60" t="b">
        <f t="shared" si="37"/>
        <v>0</v>
      </c>
      <c r="AR332" s="60" t="str">
        <f t="shared" si="38"/>
        <v>No</v>
      </c>
      <c r="AS332" s="60" t="str">
        <f t="shared" si="39"/>
        <v>No</v>
      </c>
    </row>
    <row r="333" spans="1:45" ht="15" hidden="1">
      <c r="A333" s="103">
        <v>45243</v>
      </c>
      <c r="B333" s="117" t="s">
        <v>1920</v>
      </c>
      <c r="C333" s="28" t="s">
        <v>612</v>
      </c>
      <c r="D333" s="28" t="s">
        <v>1927</v>
      </c>
      <c r="F333" s="28" t="s">
        <v>1925</v>
      </c>
      <c r="G333" s="28" t="s">
        <v>958</v>
      </c>
      <c r="H333" s="28" t="s">
        <v>1926</v>
      </c>
      <c r="I333" s="28" t="s">
        <v>516</v>
      </c>
      <c r="J333" s="28" t="s">
        <v>517</v>
      </c>
      <c r="K333" s="28" t="s">
        <v>518</v>
      </c>
      <c r="L333" s="28" t="s">
        <v>1032</v>
      </c>
      <c r="M333" s="28" t="s">
        <v>520</v>
      </c>
      <c r="N333" s="28" t="s">
        <v>557</v>
      </c>
      <c r="O333" s="28" t="s">
        <v>544</v>
      </c>
      <c r="P333" s="28" t="s">
        <v>559</v>
      </c>
      <c r="S333" s="28" t="s">
        <v>668</v>
      </c>
      <c r="T333" s="28" t="s">
        <v>545</v>
      </c>
      <c r="U333" s="28" t="s">
        <v>545</v>
      </c>
      <c r="V333" s="28" t="s">
        <v>517</v>
      </c>
      <c r="W333" s="28" t="s">
        <v>1923</v>
      </c>
      <c r="Z333" s="28" t="s">
        <v>563</v>
      </c>
      <c r="AB333" s="28" t="s">
        <v>527</v>
      </c>
      <c r="AD333" s="118" t="s">
        <v>528</v>
      </c>
      <c r="AF333" s="117" t="s">
        <v>1927</v>
      </c>
      <c r="AG333" s="28" t="s">
        <v>563</v>
      </c>
      <c r="AK333" s="60">
        <v>2</v>
      </c>
      <c r="AL333" s="28">
        <f>1/COUNTIF(Tableau6[LAT],B333)</f>
        <v>0.33333333333333331</v>
      </c>
      <c r="AM333" s="60" t="b">
        <f t="shared" si="33"/>
        <v>0</v>
      </c>
      <c r="AN333" s="60" t="b">
        <f t="shared" si="34"/>
        <v>0</v>
      </c>
      <c r="AO333" s="60" t="b">
        <f t="shared" si="35"/>
        <v>0</v>
      </c>
      <c r="AP333" s="60" t="b">
        <f t="shared" si="36"/>
        <v>0</v>
      </c>
      <c r="AQ333" s="60" t="b">
        <f t="shared" si="37"/>
        <v>0</v>
      </c>
      <c r="AR333" s="60" t="str">
        <f t="shared" si="38"/>
        <v>No</v>
      </c>
      <c r="AS333" s="60" t="str">
        <f t="shared" si="39"/>
        <v>No</v>
      </c>
    </row>
    <row r="334" spans="1:45" ht="15" hidden="1">
      <c r="A334" s="103">
        <v>45243</v>
      </c>
      <c r="B334" s="117" t="s">
        <v>1928</v>
      </c>
      <c r="C334" s="28" t="s">
        <v>511</v>
      </c>
      <c r="D334" s="28" t="s">
        <v>1929</v>
      </c>
      <c r="E334" s="28" t="s">
        <v>945</v>
      </c>
      <c r="F334" s="28" t="s">
        <v>1930</v>
      </c>
      <c r="G334" s="28" t="s">
        <v>1077</v>
      </c>
      <c r="H334" s="28" t="s">
        <v>704</v>
      </c>
      <c r="I334" s="28" t="s">
        <v>516</v>
      </c>
      <c r="J334" s="28" t="s">
        <v>517</v>
      </c>
      <c r="K334" s="28" t="s">
        <v>518</v>
      </c>
      <c r="L334" s="28" t="s">
        <v>809</v>
      </c>
      <c r="M334" s="28" t="s">
        <v>535</v>
      </c>
      <c r="N334" s="28" t="s">
        <v>557</v>
      </c>
      <c r="O334" s="28" t="s">
        <v>522</v>
      </c>
      <c r="S334" s="28" t="s">
        <v>740</v>
      </c>
      <c r="T334" s="28" t="s">
        <v>811</v>
      </c>
      <c r="U334" s="28" t="s">
        <v>811</v>
      </c>
      <c r="V334" s="28" t="s">
        <v>517</v>
      </c>
      <c r="W334" s="28" t="s">
        <v>948</v>
      </c>
      <c r="X334" s="28" t="s">
        <v>670</v>
      </c>
      <c r="Z334" s="28" t="s">
        <v>563</v>
      </c>
      <c r="AB334" s="28" t="s">
        <v>527</v>
      </c>
      <c r="AD334" s="118"/>
      <c r="AF334" s="117" t="s">
        <v>1083</v>
      </c>
      <c r="AK334" s="60">
        <v>2</v>
      </c>
      <c r="AL334" s="28">
        <f>1/COUNTIF(Tableau6[LAT],B334)</f>
        <v>1</v>
      </c>
      <c r="AM334" s="60" t="b">
        <f t="shared" si="33"/>
        <v>0</v>
      </c>
      <c r="AN334" s="60" t="b">
        <f t="shared" si="34"/>
        <v>0</v>
      </c>
      <c r="AO334" s="60" t="b">
        <f t="shared" si="35"/>
        <v>0</v>
      </c>
      <c r="AP334" s="60" t="b">
        <f t="shared" si="36"/>
        <v>0</v>
      </c>
      <c r="AQ334" s="60" t="b">
        <f t="shared" si="37"/>
        <v>0</v>
      </c>
      <c r="AR334" s="60" t="str">
        <f t="shared" si="38"/>
        <v>No</v>
      </c>
      <c r="AS334" s="60" t="str">
        <f t="shared" si="39"/>
        <v>No</v>
      </c>
    </row>
    <row r="335" spans="1:45" ht="15" hidden="1">
      <c r="A335" s="103">
        <v>45243</v>
      </c>
      <c r="B335" s="117" t="s">
        <v>1931</v>
      </c>
      <c r="C335" s="28" t="s">
        <v>511</v>
      </c>
      <c r="D335" s="28" t="s">
        <v>1932</v>
      </c>
      <c r="F335" s="28" t="s">
        <v>1933</v>
      </c>
      <c r="G335" s="28" t="s">
        <v>657</v>
      </c>
      <c r="H335" s="28" t="s">
        <v>894</v>
      </c>
      <c r="I335" s="28" t="s">
        <v>516</v>
      </c>
      <c r="J335" s="28" t="s">
        <v>517</v>
      </c>
      <c r="K335" s="28" t="s">
        <v>518</v>
      </c>
      <c r="L335" s="28" t="s">
        <v>916</v>
      </c>
      <c r="M335" s="28" t="s">
        <v>520</v>
      </c>
      <c r="N335" s="28" t="s">
        <v>557</v>
      </c>
      <c r="O335" s="28" t="s">
        <v>559</v>
      </c>
      <c r="S335" s="28" t="s">
        <v>1934</v>
      </c>
      <c r="T335" s="28" t="s">
        <v>917</v>
      </c>
      <c r="U335" s="28" t="s">
        <v>917</v>
      </c>
      <c r="V335" s="28" t="s">
        <v>517</v>
      </c>
      <c r="W335" s="28" t="s">
        <v>1935</v>
      </c>
      <c r="Z335" s="28" t="s">
        <v>563</v>
      </c>
      <c r="AB335" s="28" t="s">
        <v>527</v>
      </c>
      <c r="AD335" s="118" t="s">
        <v>954</v>
      </c>
      <c r="AF335" s="117" t="s">
        <v>1932</v>
      </c>
      <c r="AG335" s="28" t="s">
        <v>563</v>
      </c>
      <c r="AK335" s="60">
        <v>2</v>
      </c>
      <c r="AL335" s="28">
        <f>1/COUNTIF(Tableau6[LAT],B335)</f>
        <v>1</v>
      </c>
      <c r="AM335" s="60" t="b">
        <f t="shared" si="33"/>
        <v>0</v>
      </c>
      <c r="AN335" s="60" t="b">
        <f t="shared" si="34"/>
        <v>0</v>
      </c>
      <c r="AO335" s="60" t="b">
        <f t="shared" si="35"/>
        <v>0</v>
      </c>
      <c r="AP335" s="60" t="b">
        <f t="shared" si="36"/>
        <v>0</v>
      </c>
      <c r="AQ335" s="60" t="b">
        <f t="shared" si="37"/>
        <v>0</v>
      </c>
      <c r="AR335" s="60" t="str">
        <f t="shared" si="38"/>
        <v>No</v>
      </c>
      <c r="AS335" s="60" t="str">
        <f t="shared" si="39"/>
        <v>No</v>
      </c>
    </row>
    <row r="336" spans="1:45" ht="15" hidden="1">
      <c r="A336" s="103">
        <v>45243</v>
      </c>
      <c r="B336" s="117" t="s">
        <v>1936</v>
      </c>
      <c r="C336" s="28" t="s">
        <v>511</v>
      </c>
      <c r="D336" s="28" t="s">
        <v>1937</v>
      </c>
      <c r="F336" s="28" t="s">
        <v>1137</v>
      </c>
      <c r="G336" s="28" t="s">
        <v>514</v>
      </c>
      <c r="H336" s="28" t="s">
        <v>980</v>
      </c>
      <c r="I336" s="28" t="s">
        <v>516</v>
      </c>
      <c r="J336" s="28" t="s">
        <v>517</v>
      </c>
      <c r="K336" s="28" t="s">
        <v>518</v>
      </c>
      <c r="L336" s="28" t="s">
        <v>1199</v>
      </c>
      <c r="M336" s="28" t="s">
        <v>520</v>
      </c>
      <c r="S336" s="28" t="s">
        <v>786</v>
      </c>
      <c r="T336" s="28" t="s">
        <v>651</v>
      </c>
      <c r="U336" s="28" t="s">
        <v>651</v>
      </c>
      <c r="V336" s="28" t="s">
        <v>517</v>
      </c>
      <c r="W336" s="28" t="s">
        <v>1938</v>
      </c>
      <c r="Z336" s="28" t="s">
        <v>526</v>
      </c>
      <c r="AD336" s="118"/>
      <c r="AF336" s="117" t="s">
        <v>1083</v>
      </c>
      <c r="AK336" s="60">
        <v>2</v>
      </c>
      <c r="AL336" s="28">
        <f>1/COUNTIF(Tableau6[LAT],B336)</f>
        <v>1</v>
      </c>
      <c r="AM336" s="60" t="b">
        <f t="shared" si="33"/>
        <v>0</v>
      </c>
      <c r="AN336" s="60" t="b">
        <f t="shared" si="34"/>
        <v>0</v>
      </c>
      <c r="AO336" s="60" t="b">
        <f t="shared" si="35"/>
        <v>0</v>
      </c>
      <c r="AP336" s="60" t="b">
        <f t="shared" si="36"/>
        <v>0</v>
      </c>
      <c r="AQ336" s="60" t="b">
        <f t="shared" si="37"/>
        <v>0</v>
      </c>
      <c r="AR336" s="60" t="str">
        <f t="shared" si="38"/>
        <v>No</v>
      </c>
      <c r="AS336" s="60" t="str">
        <f t="shared" si="39"/>
        <v>No</v>
      </c>
    </row>
    <row r="337" spans="1:45" ht="15" hidden="1">
      <c r="A337" s="103">
        <v>45243</v>
      </c>
      <c r="B337" s="117" t="s">
        <v>1939</v>
      </c>
      <c r="C337" s="28" t="s">
        <v>511</v>
      </c>
      <c r="D337" s="28" t="s">
        <v>1940</v>
      </c>
      <c r="E337" s="28" t="s">
        <v>1941</v>
      </c>
      <c r="F337" s="28" t="s">
        <v>1942</v>
      </c>
      <c r="G337" s="28" t="s">
        <v>514</v>
      </c>
      <c r="H337" s="28" t="s">
        <v>1834</v>
      </c>
      <c r="I337" s="28" t="s">
        <v>516</v>
      </c>
      <c r="J337" s="28" t="s">
        <v>517</v>
      </c>
      <c r="K337" s="28" t="s">
        <v>518</v>
      </c>
      <c r="L337" s="28" t="s">
        <v>731</v>
      </c>
      <c r="M337" s="28" t="s">
        <v>535</v>
      </c>
      <c r="N337" s="28" t="s">
        <v>557</v>
      </c>
      <c r="O337" s="28" t="s">
        <v>544</v>
      </c>
      <c r="P337" s="28" t="s">
        <v>1107</v>
      </c>
      <c r="Q337" s="28" t="s">
        <v>559</v>
      </c>
      <c r="S337" s="28" t="s">
        <v>1416</v>
      </c>
      <c r="T337" s="28" t="s">
        <v>733</v>
      </c>
      <c r="U337" s="28" t="s">
        <v>733</v>
      </c>
      <c r="V337" s="28" t="s">
        <v>517</v>
      </c>
      <c r="Z337" s="28" t="s">
        <v>563</v>
      </c>
      <c r="AB337" s="28" t="s">
        <v>923</v>
      </c>
      <c r="AD337" s="118" t="s">
        <v>528</v>
      </c>
      <c r="AF337" s="117"/>
      <c r="AG337" s="28" t="s">
        <v>563</v>
      </c>
      <c r="AK337" s="60">
        <v>2</v>
      </c>
      <c r="AL337" s="28">
        <f>1/COUNTIF(Tableau6[LAT],B337)</f>
        <v>0.5</v>
      </c>
      <c r="AM337" s="60" t="b">
        <f t="shared" si="33"/>
        <v>0</v>
      </c>
      <c r="AN337" s="60" t="b">
        <f t="shared" si="34"/>
        <v>0</v>
      </c>
      <c r="AO337" s="60" t="b">
        <f t="shared" si="35"/>
        <v>0</v>
      </c>
      <c r="AP337" s="60" t="b">
        <f t="shared" si="36"/>
        <v>0</v>
      </c>
      <c r="AQ337" s="60" t="b">
        <f t="shared" si="37"/>
        <v>0</v>
      </c>
      <c r="AR337" s="60" t="str">
        <f t="shared" si="38"/>
        <v>No</v>
      </c>
      <c r="AS337" s="60" t="str">
        <f t="shared" si="39"/>
        <v>No</v>
      </c>
    </row>
    <row r="338" spans="1:45" ht="15" hidden="1">
      <c r="A338" s="103">
        <v>45243</v>
      </c>
      <c r="B338" s="117" t="s">
        <v>1939</v>
      </c>
      <c r="C338" s="28" t="s">
        <v>548</v>
      </c>
      <c r="D338" s="28" t="s">
        <v>1943</v>
      </c>
      <c r="F338" s="28" t="s">
        <v>1942</v>
      </c>
      <c r="G338" s="28" t="s">
        <v>514</v>
      </c>
      <c r="H338" s="28" t="s">
        <v>1944</v>
      </c>
      <c r="I338" s="28" t="s">
        <v>516</v>
      </c>
      <c r="J338" s="28" t="s">
        <v>517</v>
      </c>
      <c r="K338" s="28" t="s">
        <v>518</v>
      </c>
      <c r="L338" s="28" t="s">
        <v>731</v>
      </c>
      <c r="M338" s="28" t="s">
        <v>535</v>
      </c>
      <c r="N338" s="28" t="s">
        <v>557</v>
      </c>
      <c r="O338" s="28" t="s">
        <v>544</v>
      </c>
      <c r="P338" s="28" t="s">
        <v>1107</v>
      </c>
      <c r="Q338" s="28" t="s">
        <v>559</v>
      </c>
      <c r="S338" s="28" t="s">
        <v>1416</v>
      </c>
      <c r="T338" s="28" t="s">
        <v>733</v>
      </c>
      <c r="U338" s="28" t="s">
        <v>733</v>
      </c>
      <c r="V338" s="28" t="s">
        <v>517</v>
      </c>
      <c r="W338" s="28" t="s">
        <v>1945</v>
      </c>
      <c r="Z338" s="28" t="s">
        <v>563</v>
      </c>
      <c r="AB338" s="28" t="s">
        <v>923</v>
      </c>
      <c r="AD338" s="118"/>
      <c r="AF338" s="117" t="s">
        <v>1943</v>
      </c>
      <c r="AK338" s="60">
        <v>2</v>
      </c>
      <c r="AL338" s="28">
        <f>1/COUNTIF(Tableau6[LAT],B338)</f>
        <v>0.5</v>
      </c>
      <c r="AM338" s="60" t="b">
        <f t="shared" si="33"/>
        <v>0</v>
      </c>
      <c r="AN338" s="60" t="b">
        <f t="shared" si="34"/>
        <v>0</v>
      </c>
      <c r="AO338" s="60" t="b">
        <f t="shared" si="35"/>
        <v>0</v>
      </c>
      <c r="AP338" s="60" t="b">
        <f t="shared" si="36"/>
        <v>0</v>
      </c>
      <c r="AQ338" s="60" t="b">
        <f t="shared" si="37"/>
        <v>0</v>
      </c>
      <c r="AR338" s="60" t="str">
        <f t="shared" si="38"/>
        <v>No</v>
      </c>
      <c r="AS338" s="60" t="str">
        <f t="shared" si="39"/>
        <v>No</v>
      </c>
    </row>
    <row r="339" spans="1:45" ht="15" hidden="1">
      <c r="A339" s="103">
        <v>45243</v>
      </c>
      <c r="B339" s="117" t="s">
        <v>1946</v>
      </c>
      <c r="C339" s="28" t="s">
        <v>511</v>
      </c>
      <c r="D339" s="28" t="s">
        <v>1947</v>
      </c>
      <c r="F339" s="28" t="s">
        <v>1642</v>
      </c>
      <c r="G339" s="28" t="s">
        <v>665</v>
      </c>
      <c r="H339" s="28" t="s">
        <v>1948</v>
      </c>
      <c r="I339" s="28" t="s">
        <v>516</v>
      </c>
      <c r="J339" s="28" t="s">
        <v>517</v>
      </c>
      <c r="K339" s="28" t="s">
        <v>518</v>
      </c>
      <c r="L339" s="28" t="s">
        <v>731</v>
      </c>
      <c r="M339" s="28" t="s">
        <v>535</v>
      </c>
      <c r="N339" s="28" t="s">
        <v>557</v>
      </c>
      <c r="O339" s="28" t="s">
        <v>544</v>
      </c>
      <c r="S339" s="28" t="s">
        <v>820</v>
      </c>
      <c r="T339" s="28" t="s">
        <v>733</v>
      </c>
      <c r="U339" s="28" t="s">
        <v>733</v>
      </c>
      <c r="V339" s="28" t="s">
        <v>517</v>
      </c>
      <c r="W339" s="28" t="s">
        <v>889</v>
      </c>
      <c r="Z339" s="28" t="s">
        <v>563</v>
      </c>
      <c r="AB339" s="28" t="s">
        <v>527</v>
      </c>
      <c r="AD339" s="118" t="s">
        <v>954</v>
      </c>
      <c r="AF339" s="117" t="s">
        <v>1947</v>
      </c>
      <c r="AG339" s="28" t="s">
        <v>563</v>
      </c>
      <c r="AK339" s="60">
        <v>2</v>
      </c>
      <c r="AL339" s="28">
        <f>1/COUNTIF(Tableau6[LAT],B339)</f>
        <v>0.33333333333333331</v>
      </c>
      <c r="AM339" s="60" t="b">
        <f t="shared" si="33"/>
        <v>0</v>
      </c>
      <c r="AN339" s="60" t="b">
        <f t="shared" si="34"/>
        <v>0</v>
      </c>
      <c r="AO339" s="60" t="b">
        <f t="shared" si="35"/>
        <v>0</v>
      </c>
      <c r="AP339" s="60" t="b">
        <f t="shared" si="36"/>
        <v>0</v>
      </c>
      <c r="AQ339" s="60" t="b">
        <f t="shared" si="37"/>
        <v>0</v>
      </c>
      <c r="AR339" s="60" t="str">
        <f t="shared" si="38"/>
        <v>No</v>
      </c>
      <c r="AS339" s="60" t="str">
        <f t="shared" si="39"/>
        <v>No</v>
      </c>
    </row>
    <row r="340" spans="1:45" ht="15" hidden="1">
      <c r="A340" s="103">
        <v>45243</v>
      </c>
      <c r="B340" s="117" t="s">
        <v>1946</v>
      </c>
      <c r="C340" s="28" t="s">
        <v>548</v>
      </c>
      <c r="D340" s="28" t="s">
        <v>1949</v>
      </c>
      <c r="F340" s="28" t="s">
        <v>1950</v>
      </c>
      <c r="G340" s="28" t="s">
        <v>514</v>
      </c>
      <c r="H340" s="28" t="s">
        <v>542</v>
      </c>
      <c r="I340" s="28" t="s">
        <v>516</v>
      </c>
      <c r="J340" s="28" t="s">
        <v>517</v>
      </c>
      <c r="K340" s="28" t="s">
        <v>518</v>
      </c>
      <c r="L340" s="28" t="s">
        <v>731</v>
      </c>
      <c r="M340" s="28" t="s">
        <v>535</v>
      </c>
      <c r="N340" s="28" t="s">
        <v>557</v>
      </c>
      <c r="O340" s="28" t="s">
        <v>544</v>
      </c>
      <c r="S340" s="28" t="s">
        <v>820</v>
      </c>
      <c r="T340" s="28" t="s">
        <v>733</v>
      </c>
      <c r="U340" s="28" t="s">
        <v>733</v>
      </c>
      <c r="V340" s="28" t="s">
        <v>517</v>
      </c>
      <c r="W340" s="28" t="s">
        <v>1951</v>
      </c>
      <c r="Z340" s="28" t="s">
        <v>563</v>
      </c>
      <c r="AB340" s="28" t="s">
        <v>527</v>
      </c>
      <c r="AD340" s="118" t="s">
        <v>954</v>
      </c>
      <c r="AF340" s="117" t="s">
        <v>1949</v>
      </c>
      <c r="AG340" s="28" t="s">
        <v>563</v>
      </c>
      <c r="AK340" s="60">
        <v>2</v>
      </c>
      <c r="AL340" s="28">
        <f>1/COUNTIF(Tableau6[LAT],B340)</f>
        <v>0.33333333333333331</v>
      </c>
      <c r="AM340" s="60" t="b">
        <f t="shared" si="33"/>
        <v>0</v>
      </c>
      <c r="AN340" s="60" t="b">
        <f t="shared" si="34"/>
        <v>0</v>
      </c>
      <c r="AO340" s="60" t="b">
        <f t="shared" si="35"/>
        <v>0</v>
      </c>
      <c r="AP340" s="60" t="b">
        <f t="shared" si="36"/>
        <v>0</v>
      </c>
      <c r="AQ340" s="60" t="b">
        <f t="shared" si="37"/>
        <v>0</v>
      </c>
      <c r="AR340" s="60" t="str">
        <f t="shared" si="38"/>
        <v>No</v>
      </c>
      <c r="AS340" s="60" t="str">
        <f t="shared" si="39"/>
        <v>No</v>
      </c>
    </row>
    <row r="341" spans="1:45" ht="15" hidden="1">
      <c r="A341" s="103">
        <v>45243</v>
      </c>
      <c r="B341" s="117" t="s">
        <v>1946</v>
      </c>
      <c r="C341" s="28" t="s">
        <v>612</v>
      </c>
      <c r="D341" s="28" t="s">
        <v>1952</v>
      </c>
      <c r="F341" s="28" t="s">
        <v>1672</v>
      </c>
      <c r="G341" s="28" t="s">
        <v>514</v>
      </c>
      <c r="H341" s="28" t="s">
        <v>1953</v>
      </c>
      <c r="I341" s="28" t="s">
        <v>516</v>
      </c>
      <c r="J341" s="28" t="s">
        <v>517</v>
      </c>
      <c r="K341" s="28" t="s">
        <v>518</v>
      </c>
      <c r="L341" s="28" t="s">
        <v>731</v>
      </c>
      <c r="M341" s="28" t="s">
        <v>535</v>
      </c>
      <c r="N341" s="28" t="s">
        <v>557</v>
      </c>
      <c r="O341" s="28" t="s">
        <v>544</v>
      </c>
      <c r="S341" s="28" t="s">
        <v>820</v>
      </c>
      <c r="T341" s="28" t="s">
        <v>733</v>
      </c>
      <c r="U341" s="28" t="s">
        <v>733</v>
      </c>
      <c r="V341" s="28" t="s">
        <v>517</v>
      </c>
      <c r="W341" s="28" t="s">
        <v>1954</v>
      </c>
      <c r="Z341" s="28" t="s">
        <v>563</v>
      </c>
      <c r="AB341" s="28" t="s">
        <v>527</v>
      </c>
      <c r="AD341" s="118" t="s">
        <v>954</v>
      </c>
      <c r="AF341" s="117" t="s">
        <v>1952</v>
      </c>
      <c r="AG341" s="28" t="s">
        <v>563</v>
      </c>
      <c r="AK341" s="60">
        <v>2</v>
      </c>
      <c r="AL341" s="28">
        <f>1/COUNTIF(Tableau6[LAT],B341)</f>
        <v>0.33333333333333331</v>
      </c>
      <c r="AM341" s="60" t="b">
        <f t="shared" si="33"/>
        <v>0</v>
      </c>
      <c r="AN341" s="60" t="b">
        <f t="shared" si="34"/>
        <v>0</v>
      </c>
      <c r="AO341" s="60" t="b">
        <f t="shared" si="35"/>
        <v>0</v>
      </c>
      <c r="AP341" s="60" t="b">
        <f t="shared" si="36"/>
        <v>0</v>
      </c>
      <c r="AQ341" s="60" t="b">
        <f t="shared" si="37"/>
        <v>0</v>
      </c>
      <c r="AR341" s="60" t="str">
        <f t="shared" si="38"/>
        <v>No</v>
      </c>
      <c r="AS341" s="60" t="str">
        <f t="shared" si="39"/>
        <v>No</v>
      </c>
    </row>
    <row r="342" spans="1:45" ht="15" hidden="1">
      <c r="A342" s="103">
        <v>45243</v>
      </c>
      <c r="B342" s="117" t="s">
        <v>1955</v>
      </c>
      <c r="C342" s="28" t="s">
        <v>511</v>
      </c>
      <c r="D342" s="28" t="s">
        <v>1956</v>
      </c>
      <c r="F342" s="28" t="s">
        <v>696</v>
      </c>
      <c r="G342" s="28" t="s">
        <v>958</v>
      </c>
      <c r="H342" s="28" t="s">
        <v>1957</v>
      </c>
      <c r="I342" s="28" t="s">
        <v>516</v>
      </c>
      <c r="J342" s="28" t="s">
        <v>517</v>
      </c>
      <c r="K342" s="28" t="s">
        <v>518</v>
      </c>
      <c r="L342" s="28" t="s">
        <v>809</v>
      </c>
      <c r="M342" s="28" t="s">
        <v>535</v>
      </c>
      <c r="N342" s="28" t="s">
        <v>557</v>
      </c>
      <c r="S342" s="28" t="s">
        <v>1958</v>
      </c>
      <c r="T342" s="28" t="s">
        <v>811</v>
      </c>
      <c r="U342" s="28" t="s">
        <v>811</v>
      </c>
      <c r="V342" s="28" t="s">
        <v>517</v>
      </c>
      <c r="W342" s="28" t="s">
        <v>1959</v>
      </c>
      <c r="Z342" s="28" t="s">
        <v>526</v>
      </c>
      <c r="AD342" s="118" t="s">
        <v>528</v>
      </c>
      <c r="AF342" s="117" t="s">
        <v>1956</v>
      </c>
      <c r="AG342" s="28" t="s">
        <v>529</v>
      </c>
      <c r="AK342" s="60">
        <v>2</v>
      </c>
      <c r="AL342" s="28">
        <f>1/COUNTIF(Tableau6[LAT],B342)</f>
        <v>1</v>
      </c>
      <c r="AM342" s="60" t="b">
        <f t="shared" si="33"/>
        <v>0</v>
      </c>
      <c r="AN342" s="60" t="b">
        <f t="shared" si="34"/>
        <v>0</v>
      </c>
      <c r="AO342" s="60" t="b">
        <f t="shared" si="35"/>
        <v>0</v>
      </c>
      <c r="AP342" s="60" t="b">
        <f t="shared" si="36"/>
        <v>0</v>
      </c>
      <c r="AQ342" s="60" t="b">
        <f t="shared" si="37"/>
        <v>0</v>
      </c>
      <c r="AR342" s="60" t="str">
        <f t="shared" si="38"/>
        <v>No</v>
      </c>
      <c r="AS342" s="60" t="str">
        <f t="shared" si="39"/>
        <v>No</v>
      </c>
    </row>
    <row r="343" spans="1:45" ht="15" hidden="1">
      <c r="A343" s="103">
        <v>45243</v>
      </c>
      <c r="B343" s="117" t="s">
        <v>1960</v>
      </c>
      <c r="C343" s="28" t="s">
        <v>548</v>
      </c>
      <c r="D343" s="28" t="s">
        <v>1961</v>
      </c>
      <c r="F343" s="28" t="s">
        <v>1962</v>
      </c>
      <c r="G343" s="28" t="s">
        <v>514</v>
      </c>
      <c r="H343" s="28" t="s">
        <v>1275</v>
      </c>
      <c r="I343" s="28" t="s">
        <v>516</v>
      </c>
      <c r="J343" s="28" t="s">
        <v>517</v>
      </c>
      <c r="K343" s="28" t="s">
        <v>518</v>
      </c>
      <c r="L343" s="28" t="s">
        <v>1787</v>
      </c>
      <c r="M343" s="28" t="s">
        <v>535</v>
      </c>
      <c r="N343" s="28" t="s">
        <v>544</v>
      </c>
      <c r="S343" s="28" t="s">
        <v>897</v>
      </c>
      <c r="T343" s="28" t="s">
        <v>581</v>
      </c>
      <c r="U343" s="28" t="s">
        <v>581</v>
      </c>
      <c r="V343" s="28" t="s">
        <v>517</v>
      </c>
      <c r="W343" s="28" t="s">
        <v>1788</v>
      </c>
      <c r="Z343" s="28" t="s">
        <v>563</v>
      </c>
      <c r="AB343" s="28" t="s">
        <v>527</v>
      </c>
      <c r="AD343" s="118" t="s">
        <v>528</v>
      </c>
      <c r="AF343" s="117" t="s">
        <v>1963</v>
      </c>
      <c r="AG343" s="28" t="s">
        <v>563</v>
      </c>
      <c r="AK343" s="60">
        <v>2</v>
      </c>
      <c r="AL343" s="28">
        <f>1/COUNTIF(Tableau6[LAT],B343)</f>
        <v>1</v>
      </c>
      <c r="AM343" s="60" t="b">
        <f t="shared" si="33"/>
        <v>0</v>
      </c>
      <c r="AN343" s="60" t="b">
        <f t="shared" si="34"/>
        <v>0</v>
      </c>
      <c r="AO343" s="60" t="b">
        <f t="shared" si="35"/>
        <v>0</v>
      </c>
      <c r="AP343" s="60" t="b">
        <f t="shared" si="36"/>
        <v>0</v>
      </c>
      <c r="AQ343" s="60" t="b">
        <f t="shared" si="37"/>
        <v>0</v>
      </c>
      <c r="AR343" s="60" t="str">
        <f t="shared" si="38"/>
        <v>No</v>
      </c>
      <c r="AS343" s="60" t="str">
        <f t="shared" si="39"/>
        <v>No</v>
      </c>
    </row>
    <row r="344" spans="1:45" ht="15" hidden="1">
      <c r="A344" s="103">
        <v>45243</v>
      </c>
      <c r="B344" s="117" t="s">
        <v>1964</v>
      </c>
      <c r="C344" s="28" t="s">
        <v>511</v>
      </c>
      <c r="D344" s="28" t="s">
        <v>1965</v>
      </c>
      <c r="F344" s="28" t="s">
        <v>1872</v>
      </c>
      <c r="G344" s="28" t="s">
        <v>514</v>
      </c>
      <c r="H344" s="28" t="s">
        <v>1966</v>
      </c>
      <c r="I344" s="28" t="s">
        <v>516</v>
      </c>
      <c r="J344" s="28" t="s">
        <v>517</v>
      </c>
      <c r="K344" s="28" t="s">
        <v>518</v>
      </c>
      <c r="L344" s="28" t="s">
        <v>1917</v>
      </c>
      <c r="M344" s="28" t="s">
        <v>535</v>
      </c>
      <c r="N344" s="28" t="s">
        <v>557</v>
      </c>
      <c r="S344" s="28" t="s">
        <v>752</v>
      </c>
      <c r="T344" s="28" t="s">
        <v>1918</v>
      </c>
      <c r="U344" s="28" t="s">
        <v>1918</v>
      </c>
      <c r="V344" s="28" t="s">
        <v>517</v>
      </c>
      <c r="W344" s="28" t="s">
        <v>1967</v>
      </c>
      <c r="Z344" s="28" t="s">
        <v>526</v>
      </c>
      <c r="AD344" s="118" t="s">
        <v>528</v>
      </c>
      <c r="AF344" s="117" t="s">
        <v>1965</v>
      </c>
      <c r="AG344" s="28" t="s">
        <v>529</v>
      </c>
      <c r="AK344" s="60">
        <v>2</v>
      </c>
      <c r="AL344" s="28">
        <f>1/COUNTIF(Tableau6[LAT],B344)</f>
        <v>0.5</v>
      </c>
      <c r="AM344" s="60" t="b">
        <f t="shared" ref="AM344:AM407" si="40">IF(N344="ALM","Yes",IF(N344="ALI","Yes",IF(N344="CAO","Yes",IF(N344="ICE","Yes",IF(N344="MAG","Yes",IF(N344="MAG","Yes",IF(N344="RBI","Yes",IF(N344="RBM","Yes",IF(N344="RCL","Yes",IF(N344="RCM","Yes",IF(N344="RCX","Yes",IF(N344="RDS","Yes",IF(N344="REQ","Yes",IF(N344="REX","Yes",IF(N344="RFG","Yes",IF(N344="RFL","Yes",IF(N344="RFS","Yes",IF(N344="RFW","Yes",IF(N344="RGX","Yes",IF(N344="RIS",IF(N344="RLI","Yes",IF(N344="RLM","Yes",IF(N344="RMD","Yes",IF(N344="RNG","Yes",IF(N344="ROP","Yes",IF(N344="ROX","Yes",IF(N344="RPB","Yes",IF(N344="RPG","Yes",IF(N344="RRE","Yes",IF(N344="RRW","Yes",IF(N344="RRY","Yes",IF(N344="RSB","Yes",IF(N344="RSC","Yes",IF(N344="RXB","Yes",IF(N344="RXC","Yes",IF(N344="RXD","Yes",IF(N344="RXE","Yes",IF(N344="RXG","Yes",IF(N344="RXS","Yes",)))))))))))))))))))))))))))))))))))))))</f>
        <v>0</v>
      </c>
      <c r="AN344" s="60" t="b">
        <f t="shared" ref="AN344:AN407" si="41">IF(O344="ALM","Yes",IF(O344="ALI","Yes",IF(O344="CAO","Yes",IF(O344="ICE","Yes",IF(O344="MAG","Yes",IF(O344="MAG","Yes",IF(O344="RBI","Yes",IF(O344="RBM","Yes",IF(O344="RCL","Yes",IF(O344="RCM","Yes",IF(O344="RCX","Yes",IF(O344="RDS","Yes",IF(O344="REQ","Yes",IF(O344="REX","Yes",IF(O344="RFG","Yes",IF(O344="RFL","Yes",IF(O344="RFS","Yes",IF(O344="RFW","Yes",IF(O344="RGX","Yes",IF(O344="RIS",IF(O344="RLI","Yes",IF(O344="RLM","Yes",IF(O344="RMD","Yes",IF(O344="RNG","Yes",IF(O344="ROP","Yes",IF(O344="ROX","Yes",IF(O344="RPB","Yes",IF(O344="RPG","Yes",IF(O344="RRE","Yes",IF(O344="RRW","Yes",IF(O344="RRY","Yes",IF(O344="RSB","Yes",IF(O344="RSC","Yes",IF(O344="RXB","Yes",IF(O344="RXC","Yes",IF(O344="RXD","Yes",IF(O344="RXE","Yes",IF(O344="RXG","Yes",IF(O344="RXS","Yes",)))))))))))))))))))))))))))))))))))))))</f>
        <v>0</v>
      </c>
      <c r="AO344" s="60" t="b">
        <f t="shared" ref="AO344:AO407" si="42">IF(P344="ALM","Yes",IF(P344="ALI","Yes",IF(P344="CAO","Yes",IF(P344="ICE","Yes",IF(P344="MAG","Yes",IF(P344="MAG","Yes",IF(P344="RBI","Yes",IF(P344="RBM","Yes",IF(P344="RCL","Yes",IF(P344="RCM","Yes",IF(P344="RCX","Yes",IF(P344="RDS","Yes",IF(P344="REQ","Yes",IF(P344="REX","Yes",IF(P344="RFG","Yes",IF(P344="RFL","Yes",IF(P344="RFS","Yes",IF(P344="RFW","Yes",IF(P344="RGX","Yes",IF(P344="RIS",IF(P344="RLI","Yes",IF(P344="RLM","Yes",IF(P344="RMD","Yes",IF(P344="RNG","Yes",IF(P344="ROP","Yes",IF(P344="ROX","Yes",IF(P344="RPB","Yes",IF(P344="RPG","Yes",IF(P344="RRE","Yes",IF(P344="RRW","Yes",IF(P344="RRY","Yes",IF(P344="RSB","Yes",IF(P344="RSC","Yes",IF(P344="RXB","Yes",IF(P344="RXC","Yes",IF(P344="RXD","Yes",IF(P344="RXE","Yes",IF(P344="RXG","Yes",IF(P344="RXS","Yes",)))))))))))))))))))))))))))))))))))))))</f>
        <v>0</v>
      </c>
      <c r="AP344" s="60" t="b">
        <f t="shared" ref="AP344:AP407" si="43">IF(Q344="ALM","Yes",IF(Q344="ALI","Yes",IF(Q344="CAO","Yes",IF(Q344="ICE","Yes",IF(Q344="MAG","Yes",IF(Q344="MAG","Yes",IF(Q344="RBI","Yes",IF(Q344="RBM","Yes",IF(Q344="RCL","Yes",IF(Q344="RCM","Yes",IF(Q344="RCX","Yes",IF(Q344="RDS","Yes",IF(Q344="REQ","Yes",IF(Q344="REX","Yes",IF(Q344="RFG","Yes",IF(Q344="RFL","Yes",IF(Q344="RFS","Yes",IF(Q344="RFW","Yes",IF(Q344="RGX","Yes",IF(Q344="RIS",IF(Q344="RLI","Yes",IF(Q344="RLM","Yes",IF(Q344="RMD","Yes",IF(Q344="RNG","Yes",IF(Q344="ROP","Yes",IF(Q344="ROX","Yes",IF(Q344="RPB","Yes",IF(Q344="RPG","Yes",IF(Q344="RRE","Yes",IF(Q344="RRW","Yes",IF(Q344="RRY","Yes",IF(Q344="RSB","Yes",IF(Q344="RSC","Yes",IF(Q344="RXB","Yes",IF(Q344="RXC","Yes",IF(Q344="RXD","Yes",IF(Q344="RXE","Yes",IF(Q344="RXG","Yes",IF(Q344="RXS","Yes",)))))))))))))))))))))))))))))))))))))))</f>
        <v>0</v>
      </c>
      <c r="AQ344" s="60" t="b">
        <f t="shared" ref="AQ344:AQ407" si="44">IF(R344="ALM","Yes",IF(R344="ALI","Yes",IF(R344="CAO","Yes",IF(R344="ICE","Yes",IF(R344="MAG","Yes",IF(R344="MAG","Yes",IF(R344="RBI","Yes",IF(R344="RBM","Yes",IF(R344="RCL","Yes",IF(R344="RCM","Yes",IF(R344="RCX","Yes",IF(R344="RDS","Yes",IF(R344="REQ","Yes",IF(R344="REX","Yes",IF(R344="RFG","Yes",IF(R344="RFL","Yes",IF(R344="RFS","Yes",IF(R344="RFW","Yes",IF(R344="RGX","Yes",IF(R344="RIS",IF(R344="RLI","Yes",IF(R344="RLM","Yes",IF(R344="RMD","Yes",IF(R344="RNG","Yes",IF(R344="ROP","Yes",IF(R344="ROX","Yes",IF(R344="RPB","Yes",IF(R344="RPG","Yes",IF(R344="RRE","Yes",IF(R344="RRW","Yes",IF(R344="RRY","Yes",IF(R344="RSB","Yes",IF(R344="RSC","Yes",IF(R344="RXB","Yes",IF(R344="RXC","Yes",IF(R344="RXD","Yes",IF(R344="RXE","Yes",IF(R344="RXG","Yes",IF(R344="RXS","Yes",)))))))))))))))))))))))))))))))))))))))</f>
        <v>0</v>
      </c>
      <c r="AR344" s="60" t="str">
        <f t="shared" si="38"/>
        <v>No</v>
      </c>
      <c r="AS344" s="60" t="str">
        <f t="shared" si="39"/>
        <v>No</v>
      </c>
    </row>
    <row r="345" spans="1:45" ht="15" hidden="1">
      <c r="A345" s="103">
        <v>45243</v>
      </c>
      <c r="B345" s="117" t="s">
        <v>1964</v>
      </c>
      <c r="C345" s="28" t="s">
        <v>548</v>
      </c>
      <c r="D345" s="28" t="s">
        <v>1968</v>
      </c>
      <c r="F345" s="28" t="s">
        <v>1969</v>
      </c>
      <c r="G345" s="28" t="s">
        <v>665</v>
      </c>
      <c r="H345" s="28" t="s">
        <v>1372</v>
      </c>
      <c r="I345" s="28" t="s">
        <v>516</v>
      </c>
      <c r="J345" s="28" t="s">
        <v>517</v>
      </c>
      <c r="K345" s="28" t="s">
        <v>518</v>
      </c>
      <c r="L345" s="28" t="s">
        <v>1917</v>
      </c>
      <c r="M345" s="28" t="s">
        <v>535</v>
      </c>
      <c r="N345" s="28" t="s">
        <v>557</v>
      </c>
      <c r="S345" s="28" t="s">
        <v>752</v>
      </c>
      <c r="T345" s="28" t="s">
        <v>1918</v>
      </c>
      <c r="U345" s="28" t="s">
        <v>1918</v>
      </c>
      <c r="V345" s="28" t="s">
        <v>517</v>
      </c>
      <c r="W345" s="28" t="s">
        <v>1970</v>
      </c>
      <c r="Z345" s="28" t="s">
        <v>526</v>
      </c>
      <c r="AD345" s="118" t="s">
        <v>528</v>
      </c>
      <c r="AF345" s="117" t="s">
        <v>1968</v>
      </c>
      <c r="AG345" s="28" t="s">
        <v>529</v>
      </c>
      <c r="AK345" s="60">
        <v>2</v>
      </c>
      <c r="AL345" s="28">
        <f>1/COUNTIF(Tableau6[LAT],B345)</f>
        <v>0.5</v>
      </c>
      <c r="AM345" s="60" t="b">
        <f t="shared" si="40"/>
        <v>0</v>
      </c>
      <c r="AN345" s="60" t="b">
        <f t="shared" si="41"/>
        <v>0</v>
      </c>
      <c r="AO345" s="60" t="b">
        <f t="shared" si="42"/>
        <v>0</v>
      </c>
      <c r="AP345" s="60" t="b">
        <f t="shared" si="43"/>
        <v>0</v>
      </c>
      <c r="AQ345" s="60" t="b">
        <f t="shared" si="44"/>
        <v>0</v>
      </c>
      <c r="AR345" s="60" t="str">
        <f t="shared" si="38"/>
        <v>No</v>
      </c>
      <c r="AS345" s="60" t="str">
        <f t="shared" si="39"/>
        <v>No</v>
      </c>
    </row>
    <row r="346" spans="1:45" ht="15" hidden="1">
      <c r="A346" s="103">
        <v>45243</v>
      </c>
      <c r="B346" s="117" t="s">
        <v>1971</v>
      </c>
      <c r="C346" s="28" t="s">
        <v>511</v>
      </c>
      <c r="D346" s="28" t="s">
        <v>1972</v>
      </c>
      <c r="F346" s="28" t="s">
        <v>1267</v>
      </c>
      <c r="G346" s="28" t="s">
        <v>514</v>
      </c>
      <c r="H346" s="28" t="s">
        <v>1966</v>
      </c>
      <c r="I346" s="28" t="s">
        <v>516</v>
      </c>
      <c r="J346" s="28" t="s">
        <v>517</v>
      </c>
      <c r="K346" s="28" t="s">
        <v>518</v>
      </c>
      <c r="L346" s="28" t="s">
        <v>519</v>
      </c>
      <c r="M346" s="28" t="s">
        <v>535</v>
      </c>
      <c r="N346" s="28" t="s">
        <v>521</v>
      </c>
      <c r="S346" s="28" t="s">
        <v>775</v>
      </c>
      <c r="T346" s="28" t="s">
        <v>524</v>
      </c>
      <c r="U346" s="28" t="s">
        <v>524</v>
      </c>
      <c r="V346" s="28" t="s">
        <v>517</v>
      </c>
      <c r="W346" s="28" t="s">
        <v>1973</v>
      </c>
      <c r="Z346" s="28" t="s">
        <v>526</v>
      </c>
      <c r="AD346" s="118" t="s">
        <v>954</v>
      </c>
      <c r="AF346" s="117" t="s">
        <v>1972</v>
      </c>
      <c r="AG346" s="28" t="s">
        <v>563</v>
      </c>
      <c r="AK346" s="60">
        <v>2</v>
      </c>
      <c r="AL346" s="28">
        <f>1/COUNTIF(Tableau6[LAT],B346)</f>
        <v>1</v>
      </c>
      <c r="AM346" s="60" t="b">
        <f t="shared" si="40"/>
        <v>0</v>
      </c>
      <c r="AN346" s="60" t="b">
        <f t="shared" si="41"/>
        <v>0</v>
      </c>
      <c r="AO346" s="60" t="b">
        <f t="shared" si="42"/>
        <v>0</v>
      </c>
      <c r="AP346" s="60" t="b">
        <f t="shared" si="43"/>
        <v>0</v>
      </c>
      <c r="AQ346" s="60" t="b">
        <f t="shared" si="44"/>
        <v>0</v>
      </c>
      <c r="AR346" s="60" t="str">
        <f t="shared" si="38"/>
        <v>No</v>
      </c>
      <c r="AS346" s="60" t="str">
        <f t="shared" si="39"/>
        <v>No</v>
      </c>
    </row>
    <row r="347" spans="1:45" ht="15" hidden="1">
      <c r="A347" s="103">
        <v>45243</v>
      </c>
      <c r="B347" s="117" t="s">
        <v>1974</v>
      </c>
      <c r="C347" s="28" t="s">
        <v>511</v>
      </c>
      <c r="D347" s="28" t="s">
        <v>1975</v>
      </c>
      <c r="F347" s="28" t="s">
        <v>1976</v>
      </c>
      <c r="G347" s="28" t="s">
        <v>514</v>
      </c>
      <c r="H347" s="28" t="s">
        <v>639</v>
      </c>
      <c r="I347" s="28" t="s">
        <v>516</v>
      </c>
      <c r="J347" s="28" t="s">
        <v>517</v>
      </c>
      <c r="K347" s="28" t="s">
        <v>518</v>
      </c>
      <c r="L347" s="28" t="s">
        <v>801</v>
      </c>
      <c r="M347" s="28" t="s">
        <v>535</v>
      </c>
      <c r="N347" s="28" t="s">
        <v>521</v>
      </c>
      <c r="O347" s="28" t="s">
        <v>544</v>
      </c>
      <c r="S347" s="28" t="s">
        <v>940</v>
      </c>
      <c r="T347" s="28" t="s">
        <v>803</v>
      </c>
      <c r="U347" s="28" t="s">
        <v>803</v>
      </c>
      <c r="V347" s="28" t="s">
        <v>517</v>
      </c>
      <c r="W347" s="28" t="s">
        <v>1977</v>
      </c>
      <c r="Z347" s="28" t="s">
        <v>563</v>
      </c>
      <c r="AB347" s="28" t="s">
        <v>527</v>
      </c>
      <c r="AD347" s="118" t="s">
        <v>954</v>
      </c>
      <c r="AF347" s="117" t="s">
        <v>1975</v>
      </c>
      <c r="AG347" s="28" t="s">
        <v>563</v>
      </c>
      <c r="AK347" s="60">
        <v>2</v>
      </c>
      <c r="AL347" s="28">
        <f>1/COUNTIF(Tableau6[LAT],B347)</f>
        <v>0.5</v>
      </c>
      <c r="AM347" s="60" t="b">
        <f t="shared" si="40"/>
        <v>0</v>
      </c>
      <c r="AN347" s="60" t="b">
        <f t="shared" si="41"/>
        <v>0</v>
      </c>
      <c r="AO347" s="60" t="b">
        <f t="shared" si="42"/>
        <v>0</v>
      </c>
      <c r="AP347" s="60" t="b">
        <f t="shared" si="43"/>
        <v>0</v>
      </c>
      <c r="AQ347" s="60" t="b">
        <f t="shared" si="44"/>
        <v>0</v>
      </c>
      <c r="AR347" s="60" t="str">
        <f t="shared" si="38"/>
        <v>No</v>
      </c>
      <c r="AS347" s="60" t="str">
        <f t="shared" si="39"/>
        <v>No</v>
      </c>
    </row>
    <row r="348" spans="1:45" ht="15" hidden="1">
      <c r="A348" s="103">
        <v>45243</v>
      </c>
      <c r="B348" s="117" t="s">
        <v>1974</v>
      </c>
      <c r="C348" s="28" t="s">
        <v>548</v>
      </c>
      <c r="D348" s="28" t="s">
        <v>1978</v>
      </c>
      <c r="F348" s="28" t="s">
        <v>1976</v>
      </c>
      <c r="G348" s="28" t="s">
        <v>514</v>
      </c>
      <c r="H348" s="28" t="s">
        <v>1284</v>
      </c>
      <c r="I348" s="28" t="s">
        <v>516</v>
      </c>
      <c r="J348" s="28" t="s">
        <v>517</v>
      </c>
      <c r="K348" s="28" t="s">
        <v>518</v>
      </c>
      <c r="L348" s="28" t="s">
        <v>801</v>
      </c>
      <c r="M348" s="28" t="s">
        <v>535</v>
      </c>
      <c r="N348" s="28" t="s">
        <v>521</v>
      </c>
      <c r="O348" s="28" t="s">
        <v>544</v>
      </c>
      <c r="S348" s="28" t="s">
        <v>940</v>
      </c>
      <c r="T348" s="28" t="s">
        <v>803</v>
      </c>
      <c r="U348" s="28" t="s">
        <v>803</v>
      </c>
      <c r="V348" s="28" t="s">
        <v>517</v>
      </c>
      <c r="W348" s="28" t="s">
        <v>1979</v>
      </c>
      <c r="Z348" s="28" t="s">
        <v>563</v>
      </c>
      <c r="AB348" s="28" t="s">
        <v>527</v>
      </c>
      <c r="AD348" s="118" t="s">
        <v>954</v>
      </c>
      <c r="AF348" s="117" t="s">
        <v>1978</v>
      </c>
      <c r="AG348" s="28" t="s">
        <v>563</v>
      </c>
      <c r="AK348" s="60">
        <v>2</v>
      </c>
      <c r="AL348" s="28">
        <f>1/COUNTIF(Tableau6[LAT],B348)</f>
        <v>0.5</v>
      </c>
      <c r="AM348" s="60" t="b">
        <f t="shared" si="40"/>
        <v>0</v>
      </c>
      <c r="AN348" s="60" t="b">
        <f t="shared" si="41"/>
        <v>0</v>
      </c>
      <c r="AO348" s="60" t="b">
        <f t="shared" si="42"/>
        <v>0</v>
      </c>
      <c r="AP348" s="60" t="b">
        <f t="shared" si="43"/>
        <v>0</v>
      </c>
      <c r="AQ348" s="60" t="b">
        <f t="shared" si="44"/>
        <v>0</v>
      </c>
      <c r="AR348" s="60" t="str">
        <f t="shared" si="38"/>
        <v>No</v>
      </c>
      <c r="AS348" s="60" t="str">
        <f t="shared" si="39"/>
        <v>No</v>
      </c>
    </row>
    <row r="349" spans="1:45" ht="15" hidden="1">
      <c r="A349" s="103">
        <v>45243</v>
      </c>
      <c r="B349" s="117" t="s">
        <v>1980</v>
      </c>
      <c r="C349" s="28" t="s">
        <v>511</v>
      </c>
      <c r="D349" s="28" t="s">
        <v>1981</v>
      </c>
      <c r="F349" s="28" t="s">
        <v>1982</v>
      </c>
      <c r="G349" s="28" t="s">
        <v>514</v>
      </c>
      <c r="H349" s="28" t="s">
        <v>794</v>
      </c>
      <c r="I349" s="28" t="s">
        <v>516</v>
      </c>
      <c r="J349" s="28" t="s">
        <v>517</v>
      </c>
      <c r="K349" s="28" t="s">
        <v>518</v>
      </c>
      <c r="L349" s="28" t="s">
        <v>1040</v>
      </c>
      <c r="M349" s="28" t="s">
        <v>535</v>
      </c>
      <c r="N349" s="28" t="s">
        <v>521</v>
      </c>
      <c r="O349" s="28" t="s">
        <v>544</v>
      </c>
      <c r="S349" s="28" t="s">
        <v>940</v>
      </c>
      <c r="T349" s="28" t="s">
        <v>1042</v>
      </c>
      <c r="U349" s="28" t="s">
        <v>1042</v>
      </c>
      <c r="V349" s="28" t="s">
        <v>517</v>
      </c>
      <c r="W349" s="28" t="s">
        <v>1983</v>
      </c>
      <c r="Z349" s="28" t="s">
        <v>563</v>
      </c>
      <c r="AB349" s="28" t="s">
        <v>527</v>
      </c>
      <c r="AD349" s="118" t="s">
        <v>954</v>
      </c>
      <c r="AF349" s="117" t="s">
        <v>1981</v>
      </c>
      <c r="AG349" s="28" t="s">
        <v>563</v>
      </c>
      <c r="AK349" s="60">
        <v>2</v>
      </c>
      <c r="AL349" s="28">
        <f>1/COUNTIF(Tableau6[LAT],B349)</f>
        <v>1</v>
      </c>
      <c r="AM349" s="60" t="b">
        <f t="shared" si="40"/>
        <v>0</v>
      </c>
      <c r="AN349" s="60" t="b">
        <f t="shared" si="41"/>
        <v>0</v>
      </c>
      <c r="AO349" s="60" t="b">
        <f t="shared" si="42"/>
        <v>0</v>
      </c>
      <c r="AP349" s="60" t="b">
        <f t="shared" si="43"/>
        <v>0</v>
      </c>
      <c r="AQ349" s="60" t="b">
        <f t="shared" si="44"/>
        <v>0</v>
      </c>
      <c r="AR349" s="60" t="str">
        <f t="shared" si="38"/>
        <v>No</v>
      </c>
      <c r="AS349" s="60" t="str">
        <f t="shared" si="39"/>
        <v>No</v>
      </c>
    </row>
    <row r="350" spans="1:45" ht="15" hidden="1">
      <c r="A350" s="103">
        <v>45243</v>
      </c>
      <c r="B350" s="117" t="s">
        <v>1984</v>
      </c>
      <c r="C350" s="28" t="s">
        <v>511</v>
      </c>
      <c r="D350" s="28" t="s">
        <v>1985</v>
      </c>
      <c r="F350" s="28" t="s">
        <v>1986</v>
      </c>
      <c r="G350" s="28" t="s">
        <v>514</v>
      </c>
      <c r="H350" s="28" t="s">
        <v>587</v>
      </c>
      <c r="I350" s="28" t="s">
        <v>516</v>
      </c>
      <c r="J350" s="28" t="s">
        <v>517</v>
      </c>
      <c r="K350" s="28" t="s">
        <v>518</v>
      </c>
      <c r="L350" s="28" t="s">
        <v>649</v>
      </c>
      <c r="M350" s="28" t="s">
        <v>520</v>
      </c>
      <c r="N350" s="28" t="s">
        <v>557</v>
      </c>
      <c r="O350" s="28" t="s">
        <v>544</v>
      </c>
      <c r="P350" s="28" t="s">
        <v>522</v>
      </c>
      <c r="S350" s="28" t="s">
        <v>786</v>
      </c>
      <c r="T350" s="28" t="s">
        <v>651</v>
      </c>
      <c r="U350" s="28" t="s">
        <v>651</v>
      </c>
      <c r="V350" s="28" t="s">
        <v>517</v>
      </c>
      <c r="W350" s="28" t="s">
        <v>835</v>
      </c>
      <c r="Z350" s="28" t="s">
        <v>563</v>
      </c>
      <c r="AB350" s="73" t="s">
        <v>609</v>
      </c>
      <c r="AD350" s="118" t="s">
        <v>528</v>
      </c>
      <c r="AF350" s="117" t="s">
        <v>1985</v>
      </c>
      <c r="AG350" s="28" t="s">
        <v>563</v>
      </c>
      <c r="AK350" s="60">
        <v>2</v>
      </c>
      <c r="AL350" s="28">
        <f>1/COUNTIF(Tableau6[LAT],B350)</f>
        <v>1</v>
      </c>
      <c r="AM350" s="60" t="b">
        <f t="shared" si="40"/>
        <v>0</v>
      </c>
      <c r="AN350" s="60" t="b">
        <f t="shared" si="41"/>
        <v>0</v>
      </c>
      <c r="AO350" s="60" t="b">
        <f t="shared" si="42"/>
        <v>0</v>
      </c>
      <c r="AP350" s="60" t="b">
        <f t="shared" si="43"/>
        <v>0</v>
      </c>
      <c r="AQ350" s="60" t="b">
        <f t="shared" si="44"/>
        <v>0</v>
      </c>
      <c r="AR350" s="60" t="str">
        <f t="shared" si="38"/>
        <v>No</v>
      </c>
      <c r="AS350" s="60" t="str">
        <f t="shared" si="39"/>
        <v>No</v>
      </c>
    </row>
    <row r="351" spans="1:45" ht="15" hidden="1">
      <c r="A351" s="103">
        <v>45243</v>
      </c>
      <c r="B351" s="117" t="s">
        <v>1987</v>
      </c>
      <c r="C351" s="28" t="s">
        <v>511</v>
      </c>
      <c r="D351" s="28" t="s">
        <v>1988</v>
      </c>
      <c r="E351" s="28" t="s">
        <v>1802</v>
      </c>
      <c r="F351" s="28" t="s">
        <v>1989</v>
      </c>
      <c r="G351" s="28" t="s">
        <v>1456</v>
      </c>
      <c r="H351" s="28" t="s">
        <v>1171</v>
      </c>
      <c r="I351" s="28" t="s">
        <v>516</v>
      </c>
      <c r="J351" s="28" t="s">
        <v>517</v>
      </c>
      <c r="K351" s="28" t="s">
        <v>518</v>
      </c>
      <c r="L351" s="28" t="s">
        <v>1097</v>
      </c>
      <c r="M351" s="28" t="s">
        <v>535</v>
      </c>
      <c r="N351" s="28" t="s">
        <v>522</v>
      </c>
      <c r="S351" s="28" t="s">
        <v>606</v>
      </c>
      <c r="T351" s="28" t="s">
        <v>1098</v>
      </c>
      <c r="U351" s="28" t="s">
        <v>1098</v>
      </c>
      <c r="V351" s="28" t="s">
        <v>517</v>
      </c>
      <c r="W351" s="28" t="s">
        <v>1804</v>
      </c>
      <c r="X351" s="28" t="s">
        <v>670</v>
      </c>
      <c r="Z351" s="28" t="s">
        <v>563</v>
      </c>
      <c r="AB351" s="73" t="s">
        <v>609</v>
      </c>
      <c r="AD351" s="118" t="s">
        <v>528</v>
      </c>
      <c r="AF351" s="117" t="s">
        <v>1988</v>
      </c>
      <c r="AG351" s="28" t="s">
        <v>563</v>
      </c>
      <c r="AK351" s="60">
        <v>2</v>
      </c>
      <c r="AL351" s="28">
        <f>1/COUNTIF(Tableau6[LAT],B351)</f>
        <v>0.5</v>
      </c>
      <c r="AM351" s="60" t="b">
        <f t="shared" si="40"/>
        <v>0</v>
      </c>
      <c r="AN351" s="60" t="b">
        <f t="shared" si="41"/>
        <v>0</v>
      </c>
      <c r="AO351" s="60" t="b">
        <f t="shared" si="42"/>
        <v>0</v>
      </c>
      <c r="AP351" s="60" t="b">
        <f t="shared" si="43"/>
        <v>0</v>
      </c>
      <c r="AQ351" s="60" t="b">
        <f t="shared" si="44"/>
        <v>0</v>
      </c>
      <c r="AR351" s="60" t="str">
        <f t="shared" si="38"/>
        <v>No</v>
      </c>
      <c r="AS351" s="60" t="str">
        <f t="shared" si="39"/>
        <v>No</v>
      </c>
    </row>
    <row r="352" spans="1:45" ht="15" hidden="1">
      <c r="A352" s="103">
        <v>45243</v>
      </c>
      <c r="B352" s="117" t="s">
        <v>1987</v>
      </c>
      <c r="C352" s="28" t="s">
        <v>548</v>
      </c>
      <c r="D352" s="28" t="s">
        <v>1990</v>
      </c>
      <c r="E352" s="28" t="s">
        <v>1802</v>
      </c>
      <c r="F352" s="28" t="s">
        <v>1991</v>
      </c>
      <c r="G352" s="28" t="s">
        <v>724</v>
      </c>
      <c r="H352" s="28" t="s">
        <v>1992</v>
      </c>
      <c r="I352" s="28" t="s">
        <v>516</v>
      </c>
      <c r="J352" s="28" t="s">
        <v>517</v>
      </c>
      <c r="K352" s="28" t="s">
        <v>518</v>
      </c>
      <c r="L352" s="28" t="s">
        <v>1097</v>
      </c>
      <c r="M352" s="28" t="s">
        <v>535</v>
      </c>
      <c r="N352" s="28" t="s">
        <v>522</v>
      </c>
      <c r="S352" s="28" t="s">
        <v>606</v>
      </c>
      <c r="T352" s="28" t="s">
        <v>1098</v>
      </c>
      <c r="U352" s="28" t="s">
        <v>1098</v>
      </c>
      <c r="V352" s="28" t="s">
        <v>517</v>
      </c>
      <c r="W352" s="28" t="s">
        <v>1804</v>
      </c>
      <c r="X352" s="28" t="s">
        <v>670</v>
      </c>
      <c r="Z352" s="28" t="s">
        <v>563</v>
      </c>
      <c r="AB352" s="73" t="s">
        <v>609</v>
      </c>
      <c r="AD352" s="118" t="s">
        <v>528</v>
      </c>
      <c r="AF352" s="117" t="s">
        <v>1990</v>
      </c>
      <c r="AG352" s="28" t="s">
        <v>563</v>
      </c>
      <c r="AK352" s="60">
        <v>2</v>
      </c>
      <c r="AL352" s="28">
        <f>1/COUNTIF(Tableau6[LAT],B352)</f>
        <v>0.5</v>
      </c>
      <c r="AM352" s="60" t="b">
        <f t="shared" si="40"/>
        <v>0</v>
      </c>
      <c r="AN352" s="60" t="b">
        <f t="shared" si="41"/>
        <v>0</v>
      </c>
      <c r="AO352" s="60" t="b">
        <f t="shared" si="42"/>
        <v>0</v>
      </c>
      <c r="AP352" s="60" t="b">
        <f t="shared" si="43"/>
        <v>0</v>
      </c>
      <c r="AQ352" s="60" t="b">
        <f t="shared" si="44"/>
        <v>0</v>
      </c>
      <c r="AR352" s="60" t="str">
        <f t="shared" si="38"/>
        <v>No</v>
      </c>
      <c r="AS352" s="60" t="str">
        <f t="shared" si="39"/>
        <v>No</v>
      </c>
    </row>
    <row r="353" spans="1:45" ht="15" hidden="1">
      <c r="A353" s="103">
        <v>45243</v>
      </c>
      <c r="B353" s="117" t="s">
        <v>1993</v>
      </c>
      <c r="C353" s="28" t="s">
        <v>511</v>
      </c>
      <c r="D353" s="28" t="s">
        <v>1994</v>
      </c>
      <c r="F353" s="28" t="s">
        <v>1995</v>
      </c>
      <c r="G353" s="28" t="s">
        <v>514</v>
      </c>
      <c r="H353" s="28" t="s">
        <v>1996</v>
      </c>
      <c r="I353" s="28" t="s">
        <v>516</v>
      </c>
      <c r="J353" s="28" t="s">
        <v>517</v>
      </c>
      <c r="K353" s="28" t="s">
        <v>518</v>
      </c>
      <c r="L353" s="28" t="s">
        <v>839</v>
      </c>
      <c r="M353" s="28" t="s">
        <v>520</v>
      </c>
      <c r="N353" s="28" t="s">
        <v>557</v>
      </c>
      <c r="O353" s="28" t="s">
        <v>522</v>
      </c>
      <c r="S353" s="28" t="s">
        <v>820</v>
      </c>
      <c r="T353" s="28" t="s">
        <v>840</v>
      </c>
      <c r="U353" s="28" t="s">
        <v>840</v>
      </c>
      <c r="V353" s="28" t="s">
        <v>517</v>
      </c>
      <c r="W353" s="28" t="s">
        <v>1997</v>
      </c>
      <c r="Z353" s="28" t="s">
        <v>563</v>
      </c>
      <c r="AB353" s="28" t="s">
        <v>527</v>
      </c>
      <c r="AD353" s="118" t="s">
        <v>954</v>
      </c>
      <c r="AF353" s="117" t="s">
        <v>1994</v>
      </c>
      <c r="AG353" s="28" t="s">
        <v>563</v>
      </c>
      <c r="AK353" s="60">
        <v>2</v>
      </c>
      <c r="AL353" s="28">
        <f>1/COUNTIF(Tableau6[LAT],B353)</f>
        <v>0.5</v>
      </c>
      <c r="AM353" s="60" t="b">
        <f t="shared" si="40"/>
        <v>0</v>
      </c>
      <c r="AN353" s="60" t="b">
        <f t="shared" si="41"/>
        <v>0</v>
      </c>
      <c r="AO353" s="60" t="b">
        <f t="shared" si="42"/>
        <v>0</v>
      </c>
      <c r="AP353" s="60" t="b">
        <f t="shared" si="43"/>
        <v>0</v>
      </c>
      <c r="AQ353" s="60" t="b">
        <f t="shared" si="44"/>
        <v>0</v>
      </c>
      <c r="AR353" s="60" t="str">
        <f t="shared" si="38"/>
        <v>No</v>
      </c>
      <c r="AS353" s="60" t="str">
        <f t="shared" si="39"/>
        <v>No</v>
      </c>
    </row>
    <row r="354" spans="1:45" ht="15" hidden="1">
      <c r="A354" s="103">
        <v>45243</v>
      </c>
      <c r="B354" s="117" t="s">
        <v>1993</v>
      </c>
      <c r="C354" s="28" t="s">
        <v>548</v>
      </c>
      <c r="D354" s="28" t="s">
        <v>1998</v>
      </c>
      <c r="F354" s="28" t="s">
        <v>1999</v>
      </c>
      <c r="G354" s="28" t="s">
        <v>665</v>
      </c>
      <c r="H354" s="28" t="s">
        <v>1335</v>
      </c>
      <c r="I354" s="28" t="s">
        <v>516</v>
      </c>
      <c r="J354" s="28" t="s">
        <v>517</v>
      </c>
      <c r="K354" s="28" t="s">
        <v>518</v>
      </c>
      <c r="L354" s="28" t="s">
        <v>839</v>
      </c>
      <c r="M354" s="28" t="s">
        <v>520</v>
      </c>
      <c r="N354" s="28" t="s">
        <v>557</v>
      </c>
      <c r="O354" s="28" t="s">
        <v>522</v>
      </c>
      <c r="S354" s="28" t="s">
        <v>820</v>
      </c>
      <c r="T354" s="28" t="s">
        <v>840</v>
      </c>
      <c r="U354" s="28" t="s">
        <v>840</v>
      </c>
      <c r="V354" s="28" t="s">
        <v>517</v>
      </c>
      <c r="W354" s="28" t="s">
        <v>2000</v>
      </c>
      <c r="Z354" s="28" t="s">
        <v>563</v>
      </c>
      <c r="AB354" s="28" t="s">
        <v>527</v>
      </c>
      <c r="AD354" s="118" t="s">
        <v>954</v>
      </c>
      <c r="AF354" s="117" t="s">
        <v>1998</v>
      </c>
      <c r="AG354" s="28" t="s">
        <v>563</v>
      </c>
      <c r="AK354" s="60">
        <v>2</v>
      </c>
      <c r="AL354" s="28">
        <f>1/COUNTIF(Tableau6[LAT],B354)</f>
        <v>0.5</v>
      </c>
      <c r="AM354" s="60" t="b">
        <f t="shared" si="40"/>
        <v>0</v>
      </c>
      <c r="AN354" s="60" t="b">
        <f t="shared" si="41"/>
        <v>0</v>
      </c>
      <c r="AO354" s="60" t="b">
        <f t="shared" si="42"/>
        <v>0</v>
      </c>
      <c r="AP354" s="60" t="b">
        <f t="shared" si="43"/>
        <v>0</v>
      </c>
      <c r="AQ354" s="60" t="b">
        <f t="shared" si="44"/>
        <v>0</v>
      </c>
      <c r="AR354" s="60" t="str">
        <f t="shared" si="38"/>
        <v>No</v>
      </c>
      <c r="AS354" s="60" t="str">
        <f t="shared" si="39"/>
        <v>No</v>
      </c>
    </row>
    <row r="355" spans="1:45" ht="15" hidden="1">
      <c r="A355" s="103">
        <v>45243</v>
      </c>
      <c r="B355" s="117" t="s">
        <v>2001</v>
      </c>
      <c r="C355" s="28" t="s">
        <v>548</v>
      </c>
      <c r="D355" s="28" t="s">
        <v>2002</v>
      </c>
      <c r="F355" s="28" t="s">
        <v>2003</v>
      </c>
      <c r="G355" s="28" t="s">
        <v>514</v>
      </c>
      <c r="H355" s="28" t="s">
        <v>1301</v>
      </c>
      <c r="I355" s="28" t="s">
        <v>516</v>
      </c>
      <c r="J355" s="28" t="s">
        <v>517</v>
      </c>
      <c r="K355" s="28" t="s">
        <v>518</v>
      </c>
      <c r="L355" s="28" t="s">
        <v>1040</v>
      </c>
      <c r="M355" s="28" t="s">
        <v>535</v>
      </c>
      <c r="N355" s="28" t="s">
        <v>544</v>
      </c>
      <c r="O355" s="28" t="s">
        <v>1107</v>
      </c>
      <c r="S355" s="28" t="s">
        <v>536</v>
      </c>
      <c r="T355" s="28" t="s">
        <v>1042</v>
      </c>
      <c r="U355" s="28" t="s">
        <v>1042</v>
      </c>
      <c r="V355" s="28" t="s">
        <v>517</v>
      </c>
      <c r="W355" s="28" t="s">
        <v>2004</v>
      </c>
      <c r="Z355" s="28" t="s">
        <v>526</v>
      </c>
      <c r="AD355" s="118" t="s">
        <v>954</v>
      </c>
      <c r="AF355" s="117" t="s">
        <v>2005</v>
      </c>
      <c r="AG355" s="28" t="s">
        <v>563</v>
      </c>
      <c r="AK355" s="60">
        <v>2</v>
      </c>
      <c r="AL355" s="28">
        <f>1/COUNTIF(Tableau6[LAT],B355)</f>
        <v>0.16666666666666666</v>
      </c>
      <c r="AM355" s="60" t="b">
        <f t="shared" si="40"/>
        <v>0</v>
      </c>
      <c r="AN355" s="60" t="b">
        <f t="shared" si="41"/>
        <v>0</v>
      </c>
      <c r="AO355" s="60" t="b">
        <f t="shared" si="42"/>
        <v>0</v>
      </c>
      <c r="AP355" s="60" t="b">
        <f t="shared" si="43"/>
        <v>0</v>
      </c>
      <c r="AQ355" s="60" t="b">
        <f t="shared" si="44"/>
        <v>0</v>
      </c>
      <c r="AR355" s="60" t="str">
        <f t="shared" si="38"/>
        <v>No</v>
      </c>
      <c r="AS355" s="60" t="str">
        <f t="shared" si="39"/>
        <v>Yes</v>
      </c>
    </row>
    <row r="356" spans="1:45" ht="15" hidden="1">
      <c r="A356" s="103">
        <v>45243</v>
      </c>
      <c r="B356" s="117" t="s">
        <v>2001</v>
      </c>
      <c r="C356" s="28" t="s">
        <v>612</v>
      </c>
      <c r="D356" s="28" t="s">
        <v>2006</v>
      </c>
      <c r="F356" s="28" t="s">
        <v>2007</v>
      </c>
      <c r="G356" s="28" t="s">
        <v>665</v>
      </c>
      <c r="H356" s="28" t="s">
        <v>1148</v>
      </c>
      <c r="I356" s="28" t="s">
        <v>516</v>
      </c>
      <c r="J356" s="28" t="s">
        <v>517</v>
      </c>
      <c r="K356" s="28" t="s">
        <v>518</v>
      </c>
      <c r="L356" s="28" t="s">
        <v>1040</v>
      </c>
      <c r="M356" s="28" t="s">
        <v>535</v>
      </c>
      <c r="N356" s="28" t="s">
        <v>1107</v>
      </c>
      <c r="S356" s="28" t="s">
        <v>536</v>
      </c>
      <c r="T356" s="28" t="s">
        <v>1042</v>
      </c>
      <c r="U356" s="28" t="s">
        <v>1042</v>
      </c>
      <c r="V356" s="28" t="s">
        <v>517</v>
      </c>
      <c r="W356" s="28" t="s">
        <v>821</v>
      </c>
      <c r="Z356" s="28" t="s">
        <v>526</v>
      </c>
      <c r="AD356" s="118" t="s">
        <v>954</v>
      </c>
      <c r="AF356" s="117" t="s">
        <v>2002</v>
      </c>
      <c r="AG356" s="28" t="s">
        <v>563</v>
      </c>
      <c r="AK356" s="60">
        <v>2</v>
      </c>
      <c r="AL356" s="28">
        <f>1/COUNTIF(Tableau6[LAT],B356)</f>
        <v>0.16666666666666666</v>
      </c>
      <c r="AM356" s="60" t="b">
        <f t="shared" si="40"/>
        <v>0</v>
      </c>
      <c r="AN356" s="60" t="b">
        <f t="shared" si="41"/>
        <v>0</v>
      </c>
      <c r="AO356" s="60" t="b">
        <f t="shared" si="42"/>
        <v>0</v>
      </c>
      <c r="AP356" s="60" t="b">
        <f t="shared" si="43"/>
        <v>0</v>
      </c>
      <c r="AQ356" s="60" t="b">
        <f t="shared" si="44"/>
        <v>0</v>
      </c>
      <c r="AR356" s="60" t="str">
        <f t="shared" si="38"/>
        <v>No</v>
      </c>
      <c r="AS356" s="60" t="str">
        <f t="shared" si="39"/>
        <v>Yes</v>
      </c>
    </row>
    <row r="357" spans="1:45" ht="15" hidden="1">
      <c r="A357" s="103">
        <v>45243</v>
      </c>
      <c r="B357" s="117" t="s">
        <v>2001</v>
      </c>
      <c r="C357" s="28" t="s">
        <v>691</v>
      </c>
      <c r="D357" s="28" t="s">
        <v>2008</v>
      </c>
      <c r="F357" s="28" t="s">
        <v>2009</v>
      </c>
      <c r="G357" s="28" t="s">
        <v>958</v>
      </c>
      <c r="H357" s="28" t="s">
        <v>1187</v>
      </c>
      <c r="I357" s="28" t="s">
        <v>516</v>
      </c>
      <c r="J357" s="28" t="s">
        <v>517</v>
      </c>
      <c r="K357" s="28" t="s">
        <v>518</v>
      </c>
      <c r="L357" s="28" t="s">
        <v>1040</v>
      </c>
      <c r="M357" s="28" t="s">
        <v>535</v>
      </c>
      <c r="N357" s="28" t="s">
        <v>1107</v>
      </c>
      <c r="S357" s="28" t="s">
        <v>536</v>
      </c>
      <c r="T357" s="28" t="s">
        <v>1042</v>
      </c>
      <c r="U357" s="28" t="s">
        <v>1042</v>
      </c>
      <c r="V357" s="28" t="s">
        <v>517</v>
      </c>
      <c r="W357" s="28" t="s">
        <v>821</v>
      </c>
      <c r="Z357" s="28" t="s">
        <v>526</v>
      </c>
      <c r="AD357" s="118" t="s">
        <v>954</v>
      </c>
      <c r="AF357" s="117" t="s">
        <v>2006</v>
      </c>
      <c r="AG357" s="28" t="s">
        <v>563</v>
      </c>
      <c r="AK357" s="60">
        <v>2</v>
      </c>
      <c r="AL357" s="28">
        <f>1/COUNTIF(Tableau6[LAT],B357)</f>
        <v>0.16666666666666666</v>
      </c>
      <c r="AM357" s="60" t="b">
        <f t="shared" si="40"/>
        <v>0</v>
      </c>
      <c r="AN357" s="60" t="b">
        <f t="shared" si="41"/>
        <v>0</v>
      </c>
      <c r="AO357" s="60" t="b">
        <f t="shared" si="42"/>
        <v>0</v>
      </c>
      <c r="AP357" s="60" t="b">
        <f t="shared" si="43"/>
        <v>0</v>
      </c>
      <c r="AQ357" s="60" t="b">
        <f t="shared" si="44"/>
        <v>0</v>
      </c>
      <c r="AR357" s="60" t="str">
        <f t="shared" si="38"/>
        <v>No</v>
      </c>
      <c r="AS357" s="60" t="str">
        <f t="shared" si="39"/>
        <v>Yes</v>
      </c>
    </row>
    <row r="358" spans="1:45" ht="15" hidden="1">
      <c r="A358" s="103">
        <v>45243</v>
      </c>
      <c r="B358" s="117" t="s">
        <v>2001</v>
      </c>
      <c r="C358" s="28" t="s">
        <v>859</v>
      </c>
      <c r="D358" s="28" t="s">
        <v>2010</v>
      </c>
      <c r="F358" s="28" t="s">
        <v>2009</v>
      </c>
      <c r="G358" s="28" t="s">
        <v>958</v>
      </c>
      <c r="H358" s="28" t="s">
        <v>1187</v>
      </c>
      <c r="I358" s="28" t="s">
        <v>516</v>
      </c>
      <c r="J358" s="28" t="s">
        <v>517</v>
      </c>
      <c r="K358" s="28" t="s">
        <v>518</v>
      </c>
      <c r="L358" s="28" t="s">
        <v>1040</v>
      </c>
      <c r="M358" s="28" t="s">
        <v>535</v>
      </c>
      <c r="N358" s="28" t="s">
        <v>1107</v>
      </c>
      <c r="S358" s="28" t="s">
        <v>536</v>
      </c>
      <c r="T358" s="28" t="s">
        <v>1042</v>
      </c>
      <c r="U358" s="28" t="s">
        <v>1042</v>
      </c>
      <c r="V358" s="28" t="s">
        <v>517</v>
      </c>
      <c r="W358" s="28" t="s">
        <v>821</v>
      </c>
      <c r="Z358" s="28" t="s">
        <v>526</v>
      </c>
      <c r="AD358" s="118" t="s">
        <v>954</v>
      </c>
      <c r="AF358" s="117" t="s">
        <v>2008</v>
      </c>
      <c r="AG358" s="28" t="s">
        <v>563</v>
      </c>
      <c r="AK358" s="60">
        <v>2</v>
      </c>
      <c r="AL358" s="28">
        <f>1/COUNTIF(Tableau6[LAT],B358)</f>
        <v>0.16666666666666666</v>
      </c>
      <c r="AM358" s="60" t="b">
        <f t="shared" si="40"/>
        <v>0</v>
      </c>
      <c r="AN358" s="60" t="b">
        <f t="shared" si="41"/>
        <v>0</v>
      </c>
      <c r="AO358" s="60" t="b">
        <f t="shared" si="42"/>
        <v>0</v>
      </c>
      <c r="AP358" s="60" t="b">
        <f t="shared" si="43"/>
        <v>0</v>
      </c>
      <c r="AQ358" s="60" t="b">
        <f t="shared" si="44"/>
        <v>0</v>
      </c>
      <c r="AR358" s="60" t="str">
        <f t="shared" si="38"/>
        <v>No</v>
      </c>
      <c r="AS358" s="60" t="str">
        <f t="shared" si="39"/>
        <v>Yes</v>
      </c>
    </row>
    <row r="359" spans="1:45" ht="15" hidden="1">
      <c r="A359" s="103">
        <v>45243</v>
      </c>
      <c r="B359" s="117" t="s">
        <v>2001</v>
      </c>
      <c r="C359" s="28" t="s">
        <v>861</v>
      </c>
      <c r="D359" s="28" t="s">
        <v>2011</v>
      </c>
      <c r="F359" s="28" t="s">
        <v>2012</v>
      </c>
      <c r="G359" s="28" t="s">
        <v>514</v>
      </c>
      <c r="H359" s="28" t="s">
        <v>1580</v>
      </c>
      <c r="I359" s="28" t="s">
        <v>516</v>
      </c>
      <c r="J359" s="28" t="s">
        <v>517</v>
      </c>
      <c r="K359" s="28" t="s">
        <v>518</v>
      </c>
      <c r="L359" s="28" t="s">
        <v>1040</v>
      </c>
      <c r="M359" s="28" t="s">
        <v>535</v>
      </c>
      <c r="N359" s="28" t="s">
        <v>1107</v>
      </c>
      <c r="S359" s="28" t="s">
        <v>536</v>
      </c>
      <c r="T359" s="28" t="s">
        <v>1042</v>
      </c>
      <c r="U359" s="28" t="s">
        <v>1042</v>
      </c>
      <c r="V359" s="28" t="s">
        <v>517</v>
      </c>
      <c r="W359" s="28" t="s">
        <v>821</v>
      </c>
      <c r="Z359" s="28" t="s">
        <v>526</v>
      </c>
      <c r="AD359" s="118" t="s">
        <v>954</v>
      </c>
      <c r="AF359" s="117" t="s">
        <v>2010</v>
      </c>
      <c r="AG359" s="28" t="s">
        <v>563</v>
      </c>
      <c r="AK359" s="60">
        <v>2</v>
      </c>
      <c r="AL359" s="28">
        <f>1/COUNTIF(Tableau6[LAT],B359)</f>
        <v>0.16666666666666666</v>
      </c>
      <c r="AM359" s="60" t="b">
        <f t="shared" si="40"/>
        <v>0</v>
      </c>
      <c r="AN359" s="60" t="b">
        <f t="shared" si="41"/>
        <v>0</v>
      </c>
      <c r="AO359" s="60" t="b">
        <f t="shared" si="42"/>
        <v>0</v>
      </c>
      <c r="AP359" s="60" t="b">
        <f t="shared" si="43"/>
        <v>0</v>
      </c>
      <c r="AQ359" s="60" t="b">
        <f t="shared" si="44"/>
        <v>0</v>
      </c>
      <c r="AR359" s="60" t="str">
        <f t="shared" si="38"/>
        <v>No</v>
      </c>
      <c r="AS359" s="60" t="str">
        <f t="shared" si="39"/>
        <v>Yes</v>
      </c>
    </row>
    <row r="360" spans="1:45" ht="15" hidden="1">
      <c r="A360" s="103">
        <v>45243</v>
      </c>
      <c r="B360" s="117" t="s">
        <v>2001</v>
      </c>
      <c r="D360" s="28" t="s">
        <v>2013</v>
      </c>
      <c r="F360" s="28" t="s">
        <v>2012</v>
      </c>
      <c r="G360" s="28" t="s">
        <v>514</v>
      </c>
      <c r="H360" s="28" t="s">
        <v>1580</v>
      </c>
      <c r="I360" s="28" t="s">
        <v>516</v>
      </c>
      <c r="J360" s="28" t="s">
        <v>517</v>
      </c>
      <c r="K360" s="28" t="s">
        <v>518</v>
      </c>
      <c r="L360" s="28" t="s">
        <v>1040</v>
      </c>
      <c r="M360" s="28" t="s">
        <v>535</v>
      </c>
      <c r="N360" s="28" t="s">
        <v>1107</v>
      </c>
      <c r="S360" s="28" t="s">
        <v>536</v>
      </c>
      <c r="T360" s="28" t="s">
        <v>1042</v>
      </c>
      <c r="U360" s="28" t="s">
        <v>1042</v>
      </c>
      <c r="V360" s="28" t="s">
        <v>517</v>
      </c>
      <c r="W360" s="28" t="s">
        <v>2014</v>
      </c>
      <c r="Z360" s="28" t="s">
        <v>526</v>
      </c>
      <c r="AD360" s="118"/>
      <c r="AF360" s="117"/>
      <c r="AK360" s="60">
        <v>2</v>
      </c>
      <c r="AL360" s="28">
        <f>1/COUNTIF(Tableau6[LAT],B360)</f>
        <v>0.16666666666666666</v>
      </c>
      <c r="AM360" s="60" t="b">
        <f t="shared" si="40"/>
        <v>0</v>
      </c>
      <c r="AN360" s="60" t="b">
        <f t="shared" si="41"/>
        <v>0</v>
      </c>
      <c r="AO360" s="60" t="b">
        <f t="shared" si="42"/>
        <v>0</v>
      </c>
      <c r="AP360" s="60" t="b">
        <f t="shared" si="43"/>
        <v>0</v>
      </c>
      <c r="AQ360" s="60" t="b">
        <f t="shared" si="44"/>
        <v>0</v>
      </c>
      <c r="AR360" s="60" t="str">
        <f t="shared" si="38"/>
        <v>No</v>
      </c>
      <c r="AS360" s="60" t="str">
        <f t="shared" si="39"/>
        <v>Yes</v>
      </c>
    </row>
    <row r="361" spans="1:45" ht="15" hidden="1">
      <c r="A361" s="103">
        <v>45243</v>
      </c>
      <c r="B361" s="117" t="s">
        <v>2015</v>
      </c>
      <c r="C361" s="28" t="s">
        <v>511</v>
      </c>
      <c r="D361" s="28" t="s">
        <v>2016</v>
      </c>
      <c r="F361" s="28" t="s">
        <v>1622</v>
      </c>
      <c r="G361" s="28" t="s">
        <v>514</v>
      </c>
      <c r="H361" s="28" t="s">
        <v>2017</v>
      </c>
      <c r="I361" s="28" t="s">
        <v>516</v>
      </c>
      <c r="J361" s="28" t="s">
        <v>517</v>
      </c>
      <c r="K361" s="28" t="s">
        <v>518</v>
      </c>
      <c r="L361" s="28" t="s">
        <v>667</v>
      </c>
      <c r="M361" s="28" t="s">
        <v>520</v>
      </c>
      <c r="N361" s="28" t="s">
        <v>557</v>
      </c>
      <c r="O361" s="28" t="s">
        <v>522</v>
      </c>
      <c r="S361" s="28" t="s">
        <v>668</v>
      </c>
      <c r="T361" s="28" t="s">
        <v>597</v>
      </c>
      <c r="U361" s="28" t="s">
        <v>597</v>
      </c>
      <c r="V361" s="28" t="s">
        <v>517</v>
      </c>
      <c r="W361" s="28" t="s">
        <v>1517</v>
      </c>
      <c r="Z361" s="28" t="s">
        <v>563</v>
      </c>
      <c r="AB361" s="28" t="s">
        <v>527</v>
      </c>
      <c r="AD361" s="118" t="s">
        <v>954</v>
      </c>
      <c r="AF361" s="117" t="s">
        <v>2016</v>
      </c>
      <c r="AG361" s="28" t="s">
        <v>563</v>
      </c>
      <c r="AK361" s="60">
        <v>2</v>
      </c>
      <c r="AL361" s="28">
        <f>1/COUNTIF(Tableau6[LAT],B361)</f>
        <v>0.5</v>
      </c>
      <c r="AM361" s="60" t="b">
        <f t="shared" si="40"/>
        <v>0</v>
      </c>
      <c r="AN361" s="60" t="b">
        <f t="shared" si="41"/>
        <v>0</v>
      </c>
      <c r="AO361" s="60" t="b">
        <f t="shared" si="42"/>
        <v>0</v>
      </c>
      <c r="AP361" s="60" t="b">
        <f t="shared" si="43"/>
        <v>0</v>
      </c>
      <c r="AQ361" s="60" t="b">
        <f t="shared" si="44"/>
        <v>0</v>
      </c>
      <c r="AR361" s="60" t="str">
        <f t="shared" si="38"/>
        <v>No</v>
      </c>
      <c r="AS361" s="60" t="str">
        <f t="shared" si="39"/>
        <v>No</v>
      </c>
    </row>
    <row r="362" spans="1:45" ht="15" hidden="1">
      <c r="A362" s="103">
        <v>45243</v>
      </c>
      <c r="B362" s="117" t="s">
        <v>2015</v>
      </c>
      <c r="C362" s="28" t="s">
        <v>548</v>
      </c>
      <c r="D362" s="28" t="s">
        <v>2018</v>
      </c>
      <c r="F362" s="28" t="s">
        <v>2019</v>
      </c>
      <c r="G362" s="28" t="s">
        <v>648</v>
      </c>
      <c r="H362" s="28" t="s">
        <v>2020</v>
      </c>
      <c r="I362" s="28" t="s">
        <v>516</v>
      </c>
      <c r="J362" s="28" t="s">
        <v>517</v>
      </c>
      <c r="K362" s="28" t="s">
        <v>518</v>
      </c>
      <c r="L362" s="28" t="s">
        <v>667</v>
      </c>
      <c r="M362" s="28" t="s">
        <v>520</v>
      </c>
      <c r="N362" s="28" t="s">
        <v>557</v>
      </c>
      <c r="O362" s="28" t="s">
        <v>522</v>
      </c>
      <c r="S362" s="28" t="s">
        <v>668</v>
      </c>
      <c r="T362" s="28" t="s">
        <v>597</v>
      </c>
      <c r="U362" s="28" t="s">
        <v>597</v>
      </c>
      <c r="V362" s="28" t="s">
        <v>517</v>
      </c>
      <c r="W362" s="28" t="s">
        <v>2021</v>
      </c>
      <c r="Z362" s="28" t="s">
        <v>563</v>
      </c>
      <c r="AB362" s="28" t="s">
        <v>527</v>
      </c>
      <c r="AD362" s="118" t="s">
        <v>954</v>
      </c>
      <c r="AF362" s="117" t="s">
        <v>2018</v>
      </c>
      <c r="AG362" s="28" t="s">
        <v>563</v>
      </c>
      <c r="AK362" s="60">
        <v>2</v>
      </c>
      <c r="AL362" s="28">
        <f>1/COUNTIF(Tableau6[LAT],B362)</f>
        <v>0.5</v>
      </c>
      <c r="AM362" s="60" t="b">
        <f t="shared" si="40"/>
        <v>0</v>
      </c>
      <c r="AN362" s="60" t="b">
        <f t="shared" si="41"/>
        <v>0</v>
      </c>
      <c r="AO362" s="60" t="b">
        <f t="shared" si="42"/>
        <v>0</v>
      </c>
      <c r="AP362" s="60" t="b">
        <f t="shared" si="43"/>
        <v>0</v>
      </c>
      <c r="AQ362" s="60" t="b">
        <f t="shared" si="44"/>
        <v>0</v>
      </c>
      <c r="AR362" s="60" t="str">
        <f t="shared" si="38"/>
        <v>No</v>
      </c>
      <c r="AS362" s="60" t="str">
        <f t="shared" si="39"/>
        <v>No</v>
      </c>
    </row>
    <row r="363" spans="1:45" ht="15" hidden="1">
      <c r="A363" s="103">
        <v>45243</v>
      </c>
      <c r="B363" s="117" t="s">
        <v>2022</v>
      </c>
      <c r="C363" s="28" t="s">
        <v>511</v>
      </c>
      <c r="D363" s="28" t="s">
        <v>2023</v>
      </c>
      <c r="F363" s="28" t="s">
        <v>2024</v>
      </c>
      <c r="G363" s="28" t="s">
        <v>514</v>
      </c>
      <c r="H363" s="28" t="s">
        <v>1295</v>
      </c>
      <c r="I363" s="28" t="s">
        <v>516</v>
      </c>
      <c r="J363" s="28" t="s">
        <v>517</v>
      </c>
      <c r="K363" s="28" t="s">
        <v>518</v>
      </c>
      <c r="L363" s="28" t="s">
        <v>731</v>
      </c>
      <c r="M363" s="28" t="s">
        <v>535</v>
      </c>
      <c r="N363" s="28" t="s">
        <v>557</v>
      </c>
      <c r="O363" s="28" t="s">
        <v>544</v>
      </c>
      <c r="S363" s="28" t="s">
        <v>589</v>
      </c>
      <c r="T363" s="28" t="s">
        <v>733</v>
      </c>
      <c r="U363" s="28" t="s">
        <v>733</v>
      </c>
      <c r="V363" s="28" t="s">
        <v>517</v>
      </c>
      <c r="W363" s="28" t="s">
        <v>2025</v>
      </c>
      <c r="Z363" s="28" t="s">
        <v>563</v>
      </c>
      <c r="AB363" s="28" t="s">
        <v>527</v>
      </c>
      <c r="AD363" s="118" t="s">
        <v>528</v>
      </c>
      <c r="AF363" s="117" t="s">
        <v>2023</v>
      </c>
      <c r="AG363" s="28" t="s">
        <v>563</v>
      </c>
      <c r="AK363" s="60">
        <v>2</v>
      </c>
      <c r="AL363" s="28">
        <f>1/COUNTIF(Tableau6[LAT],B363)</f>
        <v>1</v>
      </c>
      <c r="AM363" s="60" t="b">
        <f t="shared" si="40"/>
        <v>0</v>
      </c>
      <c r="AN363" s="60" t="b">
        <f t="shared" si="41"/>
        <v>0</v>
      </c>
      <c r="AO363" s="60" t="b">
        <f t="shared" si="42"/>
        <v>0</v>
      </c>
      <c r="AP363" s="60" t="b">
        <f t="shared" si="43"/>
        <v>0</v>
      </c>
      <c r="AQ363" s="60" t="b">
        <f t="shared" si="44"/>
        <v>0</v>
      </c>
      <c r="AR363" s="60" t="str">
        <f t="shared" si="38"/>
        <v>No</v>
      </c>
      <c r="AS363" s="60" t="str">
        <f t="shared" si="39"/>
        <v>No</v>
      </c>
    </row>
    <row r="364" spans="1:45" ht="15" hidden="1">
      <c r="A364" s="103">
        <v>45243</v>
      </c>
      <c r="B364" s="117" t="s">
        <v>2026</v>
      </c>
      <c r="C364" s="28" t="s">
        <v>511</v>
      </c>
      <c r="D364" s="28" t="s">
        <v>2027</v>
      </c>
      <c r="E364" s="28" t="s">
        <v>2028</v>
      </c>
      <c r="F364" s="28" t="s">
        <v>2029</v>
      </c>
      <c r="G364" s="28" t="s">
        <v>2030</v>
      </c>
      <c r="H364" s="28" t="s">
        <v>2031</v>
      </c>
      <c r="I364" s="28" t="s">
        <v>516</v>
      </c>
      <c r="J364" s="28" t="s">
        <v>517</v>
      </c>
      <c r="K364" s="28" t="s">
        <v>518</v>
      </c>
      <c r="L364" s="28" t="s">
        <v>1491</v>
      </c>
      <c r="M364" s="28" t="s">
        <v>520</v>
      </c>
      <c r="N364" s="28" t="s">
        <v>1524</v>
      </c>
      <c r="S364" s="28" t="s">
        <v>740</v>
      </c>
      <c r="T364" s="28" t="s">
        <v>1494</v>
      </c>
      <c r="U364" s="28" t="s">
        <v>1494</v>
      </c>
      <c r="V364" s="28" t="s">
        <v>517</v>
      </c>
      <c r="W364" s="28" t="s">
        <v>2032</v>
      </c>
      <c r="X364" s="28" t="s">
        <v>670</v>
      </c>
      <c r="Z364" s="28" t="s">
        <v>563</v>
      </c>
      <c r="AB364" s="28" t="s">
        <v>527</v>
      </c>
      <c r="AD364" s="118" t="s">
        <v>954</v>
      </c>
      <c r="AF364" s="117" t="s">
        <v>2027</v>
      </c>
      <c r="AG364" s="28" t="s">
        <v>563</v>
      </c>
      <c r="AK364" s="60">
        <v>2</v>
      </c>
      <c r="AL364" s="28">
        <f>1/COUNTIF(Tableau6[LAT],B364)</f>
        <v>1</v>
      </c>
      <c r="AM364" s="60" t="b">
        <f t="shared" si="40"/>
        <v>0</v>
      </c>
      <c r="AN364" s="60" t="b">
        <f t="shared" si="41"/>
        <v>0</v>
      </c>
      <c r="AO364" s="60" t="b">
        <f t="shared" si="42"/>
        <v>0</v>
      </c>
      <c r="AP364" s="60" t="b">
        <f t="shared" si="43"/>
        <v>0</v>
      </c>
      <c r="AQ364" s="60" t="b">
        <f t="shared" si="44"/>
        <v>0</v>
      </c>
      <c r="AR364" s="60" t="str">
        <f t="shared" si="38"/>
        <v>No</v>
      </c>
      <c r="AS364" s="60" t="str">
        <f t="shared" si="39"/>
        <v>No</v>
      </c>
    </row>
    <row r="365" spans="1:45" ht="15" hidden="1">
      <c r="A365" s="103">
        <v>45243</v>
      </c>
      <c r="B365" s="117" t="s">
        <v>2033</v>
      </c>
      <c r="C365" s="28" t="s">
        <v>511</v>
      </c>
      <c r="D365" s="28" t="s">
        <v>2034</v>
      </c>
      <c r="F365" s="28" t="s">
        <v>2035</v>
      </c>
      <c r="G365" s="28" t="s">
        <v>514</v>
      </c>
      <c r="H365" s="28" t="s">
        <v>1123</v>
      </c>
      <c r="I365" s="28" t="s">
        <v>516</v>
      </c>
      <c r="J365" s="28" t="s">
        <v>517</v>
      </c>
      <c r="K365" s="28" t="s">
        <v>518</v>
      </c>
      <c r="L365" s="28" t="s">
        <v>649</v>
      </c>
      <c r="M365" s="28" t="s">
        <v>535</v>
      </c>
      <c r="N365" s="28" t="s">
        <v>557</v>
      </c>
      <c r="O365" s="28" t="s">
        <v>559</v>
      </c>
      <c r="S365" s="28" t="s">
        <v>820</v>
      </c>
      <c r="T365" s="28" t="s">
        <v>651</v>
      </c>
      <c r="U365" s="28" t="s">
        <v>651</v>
      </c>
      <c r="V365" s="28" t="s">
        <v>517</v>
      </c>
      <c r="W365" s="28" t="s">
        <v>2036</v>
      </c>
      <c r="Z365" s="28" t="s">
        <v>526</v>
      </c>
      <c r="AD365" s="118" t="s">
        <v>954</v>
      </c>
      <c r="AF365" s="117" t="s">
        <v>2034</v>
      </c>
      <c r="AG365" s="28" t="s">
        <v>563</v>
      </c>
      <c r="AK365" s="60">
        <v>2</v>
      </c>
      <c r="AL365" s="28">
        <f>1/COUNTIF(Tableau6[LAT],B365)</f>
        <v>1</v>
      </c>
      <c r="AM365" s="60" t="b">
        <f t="shared" si="40"/>
        <v>0</v>
      </c>
      <c r="AN365" s="60" t="b">
        <f t="shared" si="41"/>
        <v>0</v>
      </c>
      <c r="AO365" s="60" t="b">
        <f t="shared" si="42"/>
        <v>0</v>
      </c>
      <c r="AP365" s="60" t="b">
        <f t="shared" si="43"/>
        <v>0</v>
      </c>
      <c r="AQ365" s="60" t="b">
        <f t="shared" si="44"/>
        <v>0</v>
      </c>
      <c r="AR365" s="60" t="str">
        <f t="shared" si="38"/>
        <v>No</v>
      </c>
      <c r="AS365" s="60" t="str">
        <f t="shared" si="39"/>
        <v>No</v>
      </c>
    </row>
    <row r="366" spans="1:45" hidden="1">
      <c r="A366" s="103">
        <v>45243</v>
      </c>
      <c r="B366" s="117" t="s">
        <v>2037</v>
      </c>
      <c r="C366" s="28" t="s">
        <v>511</v>
      </c>
      <c r="D366" s="28" t="s">
        <v>2038</v>
      </c>
      <c r="F366" s="28" t="s">
        <v>2039</v>
      </c>
      <c r="G366" s="28" t="s">
        <v>648</v>
      </c>
      <c r="H366" s="28" t="s">
        <v>1134</v>
      </c>
      <c r="I366" s="28" t="s">
        <v>516</v>
      </c>
      <c r="J366" s="28" t="s">
        <v>517</v>
      </c>
      <c r="K366" s="28" t="s">
        <v>518</v>
      </c>
      <c r="L366" s="28" t="s">
        <v>751</v>
      </c>
      <c r="M366" s="28" t="s">
        <v>535</v>
      </c>
      <c r="N366" s="28" t="s">
        <v>557</v>
      </c>
      <c r="O366" s="28" t="s">
        <v>559</v>
      </c>
      <c r="S366" s="28" t="s">
        <v>1226</v>
      </c>
      <c r="T366" s="28" t="s">
        <v>753</v>
      </c>
      <c r="U366" s="28" t="s">
        <v>753</v>
      </c>
      <c r="V366" s="28" t="s">
        <v>517</v>
      </c>
      <c r="W366" s="28" t="s">
        <v>2040</v>
      </c>
      <c r="Z366" s="28" t="s">
        <v>563</v>
      </c>
      <c r="AB366" s="28" t="s">
        <v>527</v>
      </c>
      <c r="AD366" s="28" t="s">
        <v>954</v>
      </c>
      <c r="AF366" s="117" t="s">
        <v>2038</v>
      </c>
      <c r="AG366" s="28" t="s">
        <v>563</v>
      </c>
      <c r="AK366" s="60">
        <v>2</v>
      </c>
      <c r="AL366" s="28">
        <f>1/COUNTIF(Tableau6[LAT],B366)</f>
        <v>1</v>
      </c>
      <c r="AM366" s="60" t="b">
        <f t="shared" si="40"/>
        <v>0</v>
      </c>
      <c r="AN366" s="60" t="b">
        <f t="shared" si="41"/>
        <v>0</v>
      </c>
      <c r="AO366" s="60" t="b">
        <f t="shared" si="42"/>
        <v>0</v>
      </c>
      <c r="AP366" s="60" t="b">
        <f t="shared" si="43"/>
        <v>0</v>
      </c>
      <c r="AQ366" s="60" t="b">
        <f t="shared" si="44"/>
        <v>0</v>
      </c>
      <c r="AR366" s="60" t="str">
        <f t="shared" si="38"/>
        <v>No</v>
      </c>
      <c r="AS366" s="60" t="str">
        <f t="shared" si="39"/>
        <v>No</v>
      </c>
    </row>
    <row r="367" spans="1:45" hidden="1">
      <c r="A367" s="103">
        <v>45243</v>
      </c>
      <c r="B367" s="117" t="s">
        <v>2041</v>
      </c>
      <c r="C367" s="28" t="s">
        <v>511</v>
      </c>
      <c r="D367" s="28" t="s">
        <v>2042</v>
      </c>
      <c r="E367" s="28" t="s">
        <v>2043</v>
      </c>
      <c r="F367" s="28" t="s">
        <v>2044</v>
      </c>
      <c r="G367" s="28" t="s">
        <v>1077</v>
      </c>
      <c r="H367" s="28" t="s">
        <v>2045</v>
      </c>
      <c r="I367" s="28" t="s">
        <v>516</v>
      </c>
      <c r="J367" s="28" t="s">
        <v>517</v>
      </c>
      <c r="K367" s="28" t="s">
        <v>518</v>
      </c>
      <c r="L367" s="28" t="s">
        <v>1097</v>
      </c>
      <c r="M367" s="28" t="s">
        <v>535</v>
      </c>
      <c r="N367" s="28" t="s">
        <v>557</v>
      </c>
      <c r="O367" s="28" t="s">
        <v>559</v>
      </c>
      <c r="S367" s="28" t="s">
        <v>718</v>
      </c>
      <c r="T367" s="28" t="s">
        <v>1098</v>
      </c>
      <c r="U367" s="28" t="s">
        <v>1098</v>
      </c>
      <c r="V367" s="28" t="s">
        <v>517</v>
      </c>
      <c r="W367" s="28" t="s">
        <v>2046</v>
      </c>
      <c r="X367" s="28" t="s">
        <v>670</v>
      </c>
      <c r="Z367" s="28" t="s">
        <v>563</v>
      </c>
      <c r="AB367" s="28" t="s">
        <v>527</v>
      </c>
      <c r="AD367" s="28" t="s">
        <v>528</v>
      </c>
      <c r="AF367" s="117" t="s">
        <v>2042</v>
      </c>
      <c r="AG367" s="28" t="s">
        <v>563</v>
      </c>
      <c r="AK367" s="60">
        <v>2</v>
      </c>
      <c r="AL367" s="28">
        <f>1/COUNTIF(Tableau6[LAT],B367)</f>
        <v>0.5</v>
      </c>
      <c r="AM367" s="60" t="b">
        <f t="shared" si="40"/>
        <v>0</v>
      </c>
      <c r="AN367" s="60" t="b">
        <f t="shared" si="41"/>
        <v>0</v>
      </c>
      <c r="AO367" s="60" t="b">
        <f t="shared" si="42"/>
        <v>0</v>
      </c>
      <c r="AP367" s="60" t="b">
        <f t="shared" si="43"/>
        <v>0</v>
      </c>
      <c r="AQ367" s="60" t="b">
        <f t="shared" si="44"/>
        <v>0</v>
      </c>
      <c r="AR367" s="60" t="str">
        <f t="shared" si="38"/>
        <v>No</v>
      </c>
      <c r="AS367" s="60" t="str">
        <f t="shared" si="39"/>
        <v>No</v>
      </c>
    </row>
    <row r="368" spans="1:45" hidden="1">
      <c r="A368" s="103">
        <v>45243</v>
      </c>
      <c r="B368" s="117" t="s">
        <v>2041</v>
      </c>
      <c r="C368" s="28" t="s">
        <v>548</v>
      </c>
      <c r="D368" s="28" t="s">
        <v>2047</v>
      </c>
      <c r="E368" s="28" t="s">
        <v>2048</v>
      </c>
      <c r="F368" s="28" t="s">
        <v>2049</v>
      </c>
      <c r="G368" s="28" t="s">
        <v>657</v>
      </c>
      <c r="H368" s="28" t="s">
        <v>2050</v>
      </c>
      <c r="I368" s="28" t="s">
        <v>516</v>
      </c>
      <c r="J368" s="28" t="s">
        <v>517</v>
      </c>
      <c r="K368" s="28" t="s">
        <v>518</v>
      </c>
      <c r="L368" s="28" t="s">
        <v>1097</v>
      </c>
      <c r="M368" s="28" t="s">
        <v>535</v>
      </c>
      <c r="N368" s="28" t="s">
        <v>557</v>
      </c>
      <c r="O368" s="28" t="s">
        <v>559</v>
      </c>
      <c r="S368" s="28" t="s">
        <v>718</v>
      </c>
      <c r="T368" s="28" t="s">
        <v>1098</v>
      </c>
      <c r="U368" s="28" t="s">
        <v>1098</v>
      </c>
      <c r="V368" s="28" t="s">
        <v>517</v>
      </c>
      <c r="W368" s="28" t="s">
        <v>2051</v>
      </c>
      <c r="X368" s="28" t="s">
        <v>670</v>
      </c>
      <c r="Z368" s="28" t="s">
        <v>563</v>
      </c>
      <c r="AB368" s="28" t="s">
        <v>527</v>
      </c>
      <c r="AD368" s="28" t="s">
        <v>528</v>
      </c>
      <c r="AF368" s="117" t="s">
        <v>2047</v>
      </c>
      <c r="AG368" s="28" t="s">
        <v>563</v>
      </c>
      <c r="AK368" s="60">
        <v>2</v>
      </c>
      <c r="AL368" s="28">
        <f>1/COUNTIF(Tableau6[LAT],B368)</f>
        <v>0.5</v>
      </c>
      <c r="AM368" s="60" t="b">
        <f t="shared" si="40"/>
        <v>0</v>
      </c>
      <c r="AN368" s="60" t="b">
        <f t="shared" si="41"/>
        <v>0</v>
      </c>
      <c r="AO368" s="60" t="b">
        <f t="shared" si="42"/>
        <v>0</v>
      </c>
      <c r="AP368" s="60" t="b">
        <f t="shared" si="43"/>
        <v>0</v>
      </c>
      <c r="AQ368" s="60" t="b">
        <f t="shared" si="44"/>
        <v>0</v>
      </c>
      <c r="AR368" s="60" t="str">
        <f t="shared" si="38"/>
        <v>No</v>
      </c>
      <c r="AS368" s="60" t="str">
        <f t="shared" si="39"/>
        <v>No</v>
      </c>
    </row>
    <row r="369" spans="1:45" hidden="1">
      <c r="A369" s="103">
        <v>45243</v>
      </c>
      <c r="B369" s="117" t="s">
        <v>2052</v>
      </c>
      <c r="C369" s="28" t="s">
        <v>511</v>
      </c>
      <c r="D369" s="28" t="s">
        <v>2053</v>
      </c>
      <c r="E369" s="28" t="s">
        <v>2054</v>
      </c>
      <c r="F369" s="28" t="s">
        <v>2055</v>
      </c>
      <c r="G369" s="28" t="s">
        <v>665</v>
      </c>
      <c r="H369" s="28" t="s">
        <v>2056</v>
      </c>
      <c r="I369" s="28" t="s">
        <v>516</v>
      </c>
      <c r="J369" s="28" t="s">
        <v>517</v>
      </c>
      <c r="K369" s="28" t="s">
        <v>518</v>
      </c>
      <c r="L369" s="28" t="s">
        <v>649</v>
      </c>
      <c r="M369" s="28" t="s">
        <v>520</v>
      </c>
      <c r="N369" s="28" t="s">
        <v>1124</v>
      </c>
      <c r="O369" s="28" t="s">
        <v>557</v>
      </c>
      <c r="P369" s="28" t="s">
        <v>544</v>
      </c>
      <c r="Q369" s="28" t="s">
        <v>522</v>
      </c>
      <c r="S369" s="28" t="s">
        <v>740</v>
      </c>
      <c r="T369" s="28" t="s">
        <v>651</v>
      </c>
      <c r="U369" s="28" t="s">
        <v>651</v>
      </c>
      <c r="V369" s="28" t="s">
        <v>517</v>
      </c>
      <c r="W369" s="28" t="s">
        <v>2057</v>
      </c>
      <c r="X369" s="28" t="s">
        <v>670</v>
      </c>
      <c r="Z369" s="28" t="s">
        <v>526</v>
      </c>
      <c r="AF369" s="117" t="s">
        <v>1083</v>
      </c>
      <c r="AK369" s="60">
        <v>2</v>
      </c>
      <c r="AL369" s="28">
        <f>1/COUNTIF(Tableau6[LAT],B369)</f>
        <v>1</v>
      </c>
      <c r="AM369" s="60" t="b">
        <f t="shared" si="40"/>
        <v>0</v>
      </c>
      <c r="AN369" s="60" t="b">
        <f t="shared" si="41"/>
        <v>0</v>
      </c>
      <c r="AO369" s="60" t="b">
        <f t="shared" si="42"/>
        <v>0</v>
      </c>
      <c r="AP369" s="60" t="b">
        <f t="shared" si="43"/>
        <v>0</v>
      </c>
      <c r="AQ369" s="60" t="b">
        <f t="shared" si="44"/>
        <v>0</v>
      </c>
      <c r="AR369" s="60" t="str">
        <f t="shared" si="38"/>
        <v>No</v>
      </c>
      <c r="AS369" s="60" t="str">
        <f t="shared" si="39"/>
        <v>No</v>
      </c>
    </row>
    <row r="370" spans="1:45" hidden="1">
      <c r="A370" s="103">
        <v>45243</v>
      </c>
      <c r="B370" s="117" t="s">
        <v>2058</v>
      </c>
      <c r="C370" s="28" t="s">
        <v>511</v>
      </c>
      <c r="D370" s="28" t="s">
        <v>2059</v>
      </c>
      <c r="F370" s="28" t="s">
        <v>2060</v>
      </c>
      <c r="G370" s="28" t="s">
        <v>2061</v>
      </c>
      <c r="H370" s="28" t="s">
        <v>2062</v>
      </c>
      <c r="I370" s="28" t="s">
        <v>516</v>
      </c>
      <c r="J370" s="28" t="s">
        <v>517</v>
      </c>
      <c r="K370" s="28" t="s">
        <v>518</v>
      </c>
      <c r="L370" s="28" t="s">
        <v>751</v>
      </c>
      <c r="M370" s="28" t="s">
        <v>520</v>
      </c>
      <c r="N370" s="28" t="s">
        <v>557</v>
      </c>
      <c r="O370" s="28" t="s">
        <v>522</v>
      </c>
      <c r="S370" s="28" t="s">
        <v>820</v>
      </c>
      <c r="T370" s="28" t="s">
        <v>753</v>
      </c>
      <c r="U370" s="28" t="s">
        <v>753</v>
      </c>
      <c r="V370" s="28" t="s">
        <v>517</v>
      </c>
      <c r="W370" s="28" t="s">
        <v>2063</v>
      </c>
      <c r="Z370" s="28" t="s">
        <v>563</v>
      </c>
      <c r="AB370" s="28" t="s">
        <v>527</v>
      </c>
      <c r="AD370" s="28" t="s">
        <v>954</v>
      </c>
      <c r="AF370" s="117" t="s">
        <v>2059</v>
      </c>
      <c r="AG370" s="28" t="s">
        <v>563</v>
      </c>
      <c r="AK370" s="60">
        <v>2</v>
      </c>
      <c r="AL370" s="28">
        <f>1/COUNTIF(Tableau6[LAT],B370)</f>
        <v>1</v>
      </c>
      <c r="AM370" s="60" t="b">
        <f t="shared" si="40"/>
        <v>0</v>
      </c>
      <c r="AN370" s="60" t="b">
        <f t="shared" si="41"/>
        <v>0</v>
      </c>
      <c r="AO370" s="60" t="b">
        <f t="shared" si="42"/>
        <v>0</v>
      </c>
      <c r="AP370" s="60" t="b">
        <f t="shared" si="43"/>
        <v>0</v>
      </c>
      <c r="AQ370" s="60" t="b">
        <f t="shared" si="44"/>
        <v>0</v>
      </c>
      <c r="AR370" s="60" t="str">
        <f t="shared" si="38"/>
        <v>No</v>
      </c>
      <c r="AS370" s="60" t="str">
        <f t="shared" si="39"/>
        <v>No</v>
      </c>
    </row>
    <row r="371" spans="1:45" hidden="1">
      <c r="A371" s="103">
        <v>45243</v>
      </c>
      <c r="B371" s="117" t="s">
        <v>2064</v>
      </c>
      <c r="C371" s="28" t="s">
        <v>511</v>
      </c>
      <c r="D371" s="28" t="s">
        <v>2065</v>
      </c>
      <c r="F371" s="28" t="s">
        <v>2066</v>
      </c>
      <c r="G371" s="28" t="s">
        <v>514</v>
      </c>
      <c r="H371" s="28" t="s">
        <v>2067</v>
      </c>
      <c r="I371" s="28" t="s">
        <v>516</v>
      </c>
      <c r="J371" s="28" t="s">
        <v>517</v>
      </c>
      <c r="K371" s="28" t="s">
        <v>518</v>
      </c>
      <c r="L371" s="28" t="s">
        <v>1157</v>
      </c>
      <c r="M371" s="28" t="s">
        <v>535</v>
      </c>
      <c r="N371" s="28" t="s">
        <v>521</v>
      </c>
      <c r="O371" s="28" t="s">
        <v>544</v>
      </c>
      <c r="S371" s="28" t="s">
        <v>820</v>
      </c>
      <c r="T371" s="28" t="s">
        <v>1159</v>
      </c>
      <c r="U371" s="28" t="s">
        <v>1159</v>
      </c>
      <c r="V371" s="28" t="s">
        <v>517</v>
      </c>
      <c r="W371" s="28" t="s">
        <v>2068</v>
      </c>
      <c r="Z371" s="28" t="s">
        <v>526</v>
      </c>
      <c r="AD371" s="28" t="s">
        <v>954</v>
      </c>
      <c r="AF371" s="117" t="s">
        <v>2065</v>
      </c>
      <c r="AG371" s="28" t="s">
        <v>563</v>
      </c>
      <c r="AK371" s="60">
        <v>2</v>
      </c>
      <c r="AL371" s="28">
        <f>1/COUNTIF(Tableau6[LAT],B371)</f>
        <v>1</v>
      </c>
      <c r="AM371" s="60" t="b">
        <f t="shared" si="40"/>
        <v>0</v>
      </c>
      <c r="AN371" s="60" t="b">
        <f t="shared" si="41"/>
        <v>0</v>
      </c>
      <c r="AO371" s="60" t="b">
        <f t="shared" si="42"/>
        <v>0</v>
      </c>
      <c r="AP371" s="60" t="b">
        <f t="shared" si="43"/>
        <v>0</v>
      </c>
      <c r="AQ371" s="60" t="b">
        <f t="shared" si="44"/>
        <v>0</v>
      </c>
      <c r="AR371" s="60" t="str">
        <f t="shared" si="38"/>
        <v>No</v>
      </c>
      <c r="AS371" s="60" t="str">
        <f t="shared" si="39"/>
        <v>No</v>
      </c>
    </row>
    <row r="372" spans="1:45" hidden="1">
      <c r="A372" s="103">
        <v>45243</v>
      </c>
      <c r="B372" s="117" t="s">
        <v>2069</v>
      </c>
      <c r="C372" s="28" t="s">
        <v>511</v>
      </c>
      <c r="D372" s="28" t="s">
        <v>2070</v>
      </c>
      <c r="F372" s="28" t="s">
        <v>2071</v>
      </c>
      <c r="G372" s="28" t="s">
        <v>514</v>
      </c>
      <c r="H372" s="28" t="s">
        <v>2072</v>
      </c>
      <c r="I372" s="28" t="s">
        <v>516</v>
      </c>
      <c r="J372" s="28" t="s">
        <v>517</v>
      </c>
      <c r="K372" s="28" t="s">
        <v>518</v>
      </c>
      <c r="L372" s="28" t="s">
        <v>1429</v>
      </c>
      <c r="M372" s="28" t="s">
        <v>535</v>
      </c>
      <c r="N372" s="28" t="s">
        <v>934</v>
      </c>
      <c r="O372" s="28" t="s">
        <v>522</v>
      </c>
      <c r="S372" s="28" t="s">
        <v>740</v>
      </c>
      <c r="T372" s="28" t="s">
        <v>1431</v>
      </c>
      <c r="U372" s="28" t="s">
        <v>1431</v>
      </c>
      <c r="V372" s="28" t="s">
        <v>517</v>
      </c>
      <c r="W372" s="28" t="s">
        <v>2073</v>
      </c>
      <c r="Z372" s="28" t="s">
        <v>563</v>
      </c>
      <c r="AB372" s="28" t="s">
        <v>527</v>
      </c>
      <c r="AD372" s="28" t="s">
        <v>528</v>
      </c>
      <c r="AF372" s="117" t="s">
        <v>2070</v>
      </c>
      <c r="AG372" s="28" t="s">
        <v>563</v>
      </c>
      <c r="AK372" s="60">
        <v>2</v>
      </c>
      <c r="AL372" s="28">
        <f>1/COUNTIF(Tableau6[LAT],B372)</f>
        <v>1</v>
      </c>
      <c r="AM372" s="60" t="b">
        <f t="shared" si="40"/>
        <v>0</v>
      </c>
      <c r="AN372" s="60" t="b">
        <f t="shared" si="41"/>
        <v>0</v>
      </c>
      <c r="AO372" s="60" t="b">
        <f t="shared" si="42"/>
        <v>0</v>
      </c>
      <c r="AP372" s="60" t="b">
        <f t="shared" si="43"/>
        <v>0</v>
      </c>
      <c r="AQ372" s="60" t="b">
        <f t="shared" si="44"/>
        <v>0</v>
      </c>
      <c r="AR372" s="60" t="str">
        <f t="shared" si="38"/>
        <v>No</v>
      </c>
      <c r="AS372" s="60" t="str">
        <f t="shared" si="39"/>
        <v>No</v>
      </c>
    </row>
    <row r="373" spans="1:45" hidden="1">
      <c r="A373" s="103">
        <v>45243</v>
      </c>
      <c r="B373" s="117" t="s">
        <v>2074</v>
      </c>
      <c r="C373" s="28" t="s">
        <v>511</v>
      </c>
      <c r="D373" s="28" t="s">
        <v>2075</v>
      </c>
      <c r="F373" s="28" t="s">
        <v>2076</v>
      </c>
      <c r="G373" s="28" t="s">
        <v>1456</v>
      </c>
      <c r="H373" s="28" t="s">
        <v>990</v>
      </c>
      <c r="I373" s="28" t="s">
        <v>516</v>
      </c>
      <c r="J373" s="28" t="s">
        <v>517</v>
      </c>
      <c r="K373" s="28" t="s">
        <v>518</v>
      </c>
      <c r="L373" s="28" t="s">
        <v>2077</v>
      </c>
      <c r="M373" s="28" t="s">
        <v>605</v>
      </c>
      <c r="N373" s="28" t="s">
        <v>572</v>
      </c>
      <c r="O373" s="28" t="s">
        <v>557</v>
      </c>
      <c r="P373" s="28" t="s">
        <v>522</v>
      </c>
      <c r="S373" s="28" t="s">
        <v>1934</v>
      </c>
      <c r="T373" s="28" t="s">
        <v>2078</v>
      </c>
      <c r="U373" s="28" t="s">
        <v>2078</v>
      </c>
      <c r="V373" s="28" t="s">
        <v>517</v>
      </c>
      <c r="W373" s="28" t="s">
        <v>2079</v>
      </c>
      <c r="Z373" s="28" t="s">
        <v>526</v>
      </c>
      <c r="AD373" s="28" t="s">
        <v>954</v>
      </c>
      <c r="AF373" s="117" t="s">
        <v>2075</v>
      </c>
      <c r="AG373" s="28" t="s">
        <v>563</v>
      </c>
      <c r="AK373" s="60">
        <v>2</v>
      </c>
      <c r="AL373" s="28">
        <f>1/COUNTIF(Tableau6[LAT],B373)</f>
        <v>1</v>
      </c>
      <c r="AM373" s="60" t="b">
        <f t="shared" si="40"/>
        <v>0</v>
      </c>
      <c r="AN373" s="60" t="b">
        <f t="shared" si="41"/>
        <v>0</v>
      </c>
      <c r="AO373" s="60" t="b">
        <f t="shared" si="42"/>
        <v>0</v>
      </c>
      <c r="AP373" s="60" t="b">
        <f t="shared" si="43"/>
        <v>0</v>
      </c>
      <c r="AQ373" s="60" t="b">
        <f t="shared" si="44"/>
        <v>0</v>
      </c>
      <c r="AR373" s="60" t="str">
        <f t="shared" si="38"/>
        <v>No</v>
      </c>
      <c r="AS373" s="60" t="str">
        <f t="shared" si="39"/>
        <v>No</v>
      </c>
    </row>
    <row r="374" spans="1:45" hidden="1">
      <c r="A374" s="103">
        <v>45243</v>
      </c>
      <c r="B374" s="117" t="s">
        <v>2080</v>
      </c>
      <c r="C374" s="28" t="s">
        <v>511</v>
      </c>
      <c r="D374" s="28" t="s">
        <v>2081</v>
      </c>
      <c r="F374" s="28" t="s">
        <v>2082</v>
      </c>
      <c r="G374" s="28" t="s">
        <v>648</v>
      </c>
      <c r="H374" s="28" t="s">
        <v>1896</v>
      </c>
      <c r="I374" s="28" t="s">
        <v>516</v>
      </c>
      <c r="J374" s="28" t="s">
        <v>517</v>
      </c>
      <c r="K374" s="28" t="s">
        <v>518</v>
      </c>
      <c r="L374" s="28" t="s">
        <v>596</v>
      </c>
      <c r="M374" s="28" t="s">
        <v>535</v>
      </c>
      <c r="N374" s="28" t="s">
        <v>557</v>
      </c>
      <c r="O374" s="28" t="s">
        <v>522</v>
      </c>
      <c r="S374" s="28" t="s">
        <v>1934</v>
      </c>
      <c r="T374" s="28" t="s">
        <v>597</v>
      </c>
      <c r="U374" s="28" t="s">
        <v>597</v>
      </c>
      <c r="V374" s="28" t="s">
        <v>517</v>
      </c>
      <c r="W374" s="28" t="s">
        <v>2083</v>
      </c>
      <c r="Z374" s="28" t="s">
        <v>526</v>
      </c>
      <c r="AD374" s="28" t="s">
        <v>954</v>
      </c>
      <c r="AF374" s="117" t="s">
        <v>2081</v>
      </c>
      <c r="AG374" s="28" t="s">
        <v>563</v>
      </c>
      <c r="AK374" s="60">
        <v>2</v>
      </c>
      <c r="AL374" s="28">
        <f>1/COUNTIF(Tableau6[LAT],B374)</f>
        <v>1</v>
      </c>
      <c r="AM374" s="60" t="b">
        <f t="shared" si="40"/>
        <v>0</v>
      </c>
      <c r="AN374" s="60" t="b">
        <f t="shared" si="41"/>
        <v>0</v>
      </c>
      <c r="AO374" s="60" t="b">
        <f t="shared" si="42"/>
        <v>0</v>
      </c>
      <c r="AP374" s="60" t="b">
        <f t="shared" si="43"/>
        <v>0</v>
      </c>
      <c r="AQ374" s="60" t="b">
        <f t="shared" si="44"/>
        <v>0</v>
      </c>
      <c r="AR374" s="60" t="str">
        <f t="shared" si="38"/>
        <v>No</v>
      </c>
      <c r="AS374" s="60" t="str">
        <f t="shared" si="39"/>
        <v>No</v>
      </c>
    </row>
    <row r="375" spans="1:45" hidden="1">
      <c r="A375" s="103">
        <v>45243</v>
      </c>
      <c r="B375" s="117" t="s">
        <v>2084</v>
      </c>
      <c r="C375" s="28" t="s">
        <v>511</v>
      </c>
      <c r="D375" s="28" t="s">
        <v>2085</v>
      </c>
      <c r="F375" s="28" t="s">
        <v>2086</v>
      </c>
      <c r="G375" s="28" t="s">
        <v>514</v>
      </c>
      <c r="H375" s="28" t="s">
        <v>2087</v>
      </c>
      <c r="I375" s="28" t="s">
        <v>516</v>
      </c>
      <c r="J375" s="28" t="s">
        <v>517</v>
      </c>
      <c r="K375" s="28" t="s">
        <v>518</v>
      </c>
      <c r="L375" s="28" t="s">
        <v>731</v>
      </c>
      <c r="M375" s="28" t="s">
        <v>535</v>
      </c>
      <c r="N375" s="28" t="s">
        <v>557</v>
      </c>
      <c r="O375" s="28" t="s">
        <v>544</v>
      </c>
      <c r="S375" s="28" t="s">
        <v>820</v>
      </c>
      <c r="T375" s="28" t="s">
        <v>733</v>
      </c>
      <c r="U375" s="28" t="s">
        <v>733</v>
      </c>
      <c r="V375" s="28" t="s">
        <v>517</v>
      </c>
      <c r="W375" s="28" t="s">
        <v>835</v>
      </c>
      <c r="Z375" s="28" t="s">
        <v>526</v>
      </c>
      <c r="AD375" s="28" t="s">
        <v>954</v>
      </c>
      <c r="AF375" s="117" t="s">
        <v>2085</v>
      </c>
      <c r="AG375" s="28" t="s">
        <v>563</v>
      </c>
      <c r="AK375" s="60">
        <v>2</v>
      </c>
      <c r="AL375" s="28">
        <f>1/COUNTIF(Tableau6[LAT],B375)</f>
        <v>1</v>
      </c>
      <c r="AM375" s="60" t="b">
        <f t="shared" si="40"/>
        <v>0</v>
      </c>
      <c r="AN375" s="60" t="b">
        <f t="shared" si="41"/>
        <v>0</v>
      </c>
      <c r="AO375" s="60" t="b">
        <f t="shared" si="42"/>
        <v>0</v>
      </c>
      <c r="AP375" s="60" t="b">
        <f t="shared" si="43"/>
        <v>0</v>
      </c>
      <c r="AQ375" s="60" t="b">
        <f t="shared" si="44"/>
        <v>0</v>
      </c>
      <c r="AR375" s="60" t="str">
        <f t="shared" si="38"/>
        <v>No</v>
      </c>
      <c r="AS375" s="60" t="str">
        <f t="shared" si="39"/>
        <v>No</v>
      </c>
    </row>
    <row r="376" spans="1:45" hidden="1">
      <c r="A376" s="103">
        <v>45243</v>
      </c>
      <c r="B376" s="117" t="s">
        <v>2088</v>
      </c>
      <c r="C376" s="28" t="s">
        <v>511</v>
      </c>
      <c r="D376" s="28" t="s">
        <v>2089</v>
      </c>
      <c r="F376" s="28" t="s">
        <v>2090</v>
      </c>
      <c r="G376" s="28" t="s">
        <v>514</v>
      </c>
      <c r="H376" s="28" t="s">
        <v>515</v>
      </c>
      <c r="I376" s="28" t="s">
        <v>516</v>
      </c>
      <c r="J376" s="28" t="s">
        <v>517</v>
      </c>
      <c r="K376" s="28" t="s">
        <v>518</v>
      </c>
      <c r="L376" s="28" t="s">
        <v>809</v>
      </c>
      <c r="M376" s="28" t="s">
        <v>535</v>
      </c>
      <c r="N376" s="28" t="s">
        <v>557</v>
      </c>
      <c r="O376" s="28" t="s">
        <v>522</v>
      </c>
      <c r="S376" s="28" t="s">
        <v>705</v>
      </c>
      <c r="T376" s="28" t="s">
        <v>811</v>
      </c>
      <c r="U376" s="28" t="s">
        <v>811</v>
      </c>
      <c r="V376" s="28" t="s">
        <v>517</v>
      </c>
      <c r="W376" s="28" t="s">
        <v>2091</v>
      </c>
      <c r="Z376" s="28" t="s">
        <v>563</v>
      </c>
      <c r="AB376" s="28" t="s">
        <v>527</v>
      </c>
      <c r="AD376" s="28" t="s">
        <v>954</v>
      </c>
      <c r="AF376" s="117"/>
      <c r="AG376" s="28" t="s">
        <v>563</v>
      </c>
      <c r="AK376" s="60">
        <v>2</v>
      </c>
      <c r="AL376" s="28">
        <f>1/COUNTIF(Tableau6[LAT],B376)</f>
        <v>0.5</v>
      </c>
      <c r="AM376" s="60" t="b">
        <f t="shared" si="40"/>
        <v>0</v>
      </c>
      <c r="AN376" s="60" t="b">
        <f t="shared" si="41"/>
        <v>0</v>
      </c>
      <c r="AO376" s="60" t="b">
        <f t="shared" si="42"/>
        <v>0</v>
      </c>
      <c r="AP376" s="60" t="b">
        <f t="shared" si="43"/>
        <v>0</v>
      </c>
      <c r="AQ376" s="60" t="b">
        <f t="shared" si="44"/>
        <v>0</v>
      </c>
      <c r="AR376" s="60" t="str">
        <f t="shared" si="38"/>
        <v>No</v>
      </c>
      <c r="AS376" s="60" t="str">
        <f t="shared" si="39"/>
        <v>No</v>
      </c>
    </row>
    <row r="377" spans="1:45" hidden="1">
      <c r="A377" s="103">
        <v>45243</v>
      </c>
      <c r="B377" s="117" t="s">
        <v>2088</v>
      </c>
      <c r="C377" s="28" t="s">
        <v>548</v>
      </c>
      <c r="D377" s="28" t="s">
        <v>2092</v>
      </c>
      <c r="F377" s="28" t="s">
        <v>2093</v>
      </c>
      <c r="G377" s="28" t="s">
        <v>958</v>
      </c>
      <c r="H377" s="28" t="s">
        <v>2094</v>
      </c>
      <c r="I377" s="28" t="s">
        <v>516</v>
      </c>
      <c r="J377" s="28" t="s">
        <v>517</v>
      </c>
      <c r="K377" s="28" t="s">
        <v>518</v>
      </c>
      <c r="L377" s="28" t="s">
        <v>809</v>
      </c>
      <c r="M377" s="28" t="s">
        <v>535</v>
      </c>
      <c r="N377" s="28" t="s">
        <v>557</v>
      </c>
      <c r="O377" s="28" t="s">
        <v>522</v>
      </c>
      <c r="S377" s="28" t="s">
        <v>705</v>
      </c>
      <c r="T377" s="28" t="s">
        <v>811</v>
      </c>
      <c r="U377" s="28" t="s">
        <v>811</v>
      </c>
      <c r="V377" s="28" t="s">
        <v>517</v>
      </c>
      <c r="W377" s="28" t="s">
        <v>2095</v>
      </c>
      <c r="Z377" s="28" t="s">
        <v>563</v>
      </c>
      <c r="AB377" s="28" t="s">
        <v>527</v>
      </c>
      <c r="AD377" s="28" t="s">
        <v>528</v>
      </c>
      <c r="AF377" s="117"/>
      <c r="AG377" s="28" t="s">
        <v>563</v>
      </c>
      <c r="AK377" s="60">
        <v>2</v>
      </c>
      <c r="AL377" s="28">
        <f>1/COUNTIF(Tableau6[LAT],B377)</f>
        <v>0.5</v>
      </c>
      <c r="AM377" s="60" t="b">
        <f t="shared" si="40"/>
        <v>0</v>
      </c>
      <c r="AN377" s="60" t="b">
        <f t="shared" si="41"/>
        <v>0</v>
      </c>
      <c r="AO377" s="60" t="b">
        <f t="shared" si="42"/>
        <v>0</v>
      </c>
      <c r="AP377" s="60" t="b">
        <f t="shared" si="43"/>
        <v>0</v>
      </c>
      <c r="AQ377" s="60" t="b">
        <f t="shared" si="44"/>
        <v>0</v>
      </c>
      <c r="AR377" s="60" t="str">
        <f t="shared" si="38"/>
        <v>No</v>
      </c>
      <c r="AS377" s="60" t="str">
        <f t="shared" si="39"/>
        <v>No</v>
      </c>
    </row>
    <row r="378" spans="1:45" hidden="1">
      <c r="A378" s="103">
        <v>45243</v>
      </c>
      <c r="B378" s="117" t="s">
        <v>2096</v>
      </c>
      <c r="C378" s="28" t="s">
        <v>511</v>
      </c>
      <c r="D378" s="28" t="s">
        <v>2097</v>
      </c>
      <c r="F378" s="28" t="s">
        <v>2098</v>
      </c>
      <c r="G378" s="28" t="s">
        <v>514</v>
      </c>
      <c r="H378" s="28" t="s">
        <v>2099</v>
      </c>
      <c r="I378" s="28" t="s">
        <v>516</v>
      </c>
      <c r="J378" s="28" t="s">
        <v>517</v>
      </c>
      <c r="K378" s="28" t="s">
        <v>518</v>
      </c>
      <c r="L378" s="28" t="s">
        <v>2100</v>
      </c>
      <c r="M378" s="28" t="s">
        <v>535</v>
      </c>
      <c r="N378" s="28" t="s">
        <v>557</v>
      </c>
      <c r="O378" s="28" t="s">
        <v>544</v>
      </c>
      <c r="P378" s="28" t="s">
        <v>522</v>
      </c>
      <c r="S378" s="28" t="s">
        <v>705</v>
      </c>
      <c r="T378" s="28" t="s">
        <v>1918</v>
      </c>
      <c r="U378" s="28" t="s">
        <v>1918</v>
      </c>
      <c r="V378" s="28" t="s">
        <v>517</v>
      </c>
      <c r="W378" s="28" t="s">
        <v>821</v>
      </c>
      <c r="Z378" s="28" t="s">
        <v>563</v>
      </c>
      <c r="AB378" s="28" t="s">
        <v>527</v>
      </c>
      <c r="AD378" s="28" t="s">
        <v>528</v>
      </c>
      <c r="AF378" s="117" t="s">
        <v>2097</v>
      </c>
      <c r="AG378" s="28" t="s">
        <v>563</v>
      </c>
      <c r="AK378" s="60">
        <v>2</v>
      </c>
      <c r="AL378" s="28">
        <f>1/COUNTIF(Tableau6[LAT],B378)</f>
        <v>0.1</v>
      </c>
      <c r="AM378" s="60" t="b">
        <f t="shared" si="40"/>
        <v>0</v>
      </c>
      <c r="AN378" s="60" t="b">
        <f t="shared" si="41"/>
        <v>0</v>
      </c>
      <c r="AO378" s="60" t="b">
        <f t="shared" si="42"/>
        <v>0</v>
      </c>
      <c r="AP378" s="60" t="b">
        <f t="shared" si="43"/>
        <v>0</v>
      </c>
      <c r="AQ378" s="60" t="b">
        <f t="shared" si="44"/>
        <v>0</v>
      </c>
      <c r="AR378" s="60" t="str">
        <f t="shared" si="38"/>
        <v>No</v>
      </c>
      <c r="AS378" s="60" t="str">
        <f t="shared" si="39"/>
        <v>No</v>
      </c>
    </row>
    <row r="379" spans="1:45" hidden="1">
      <c r="A379" s="103">
        <v>45243</v>
      </c>
      <c r="B379" s="117" t="s">
        <v>2096</v>
      </c>
      <c r="C379" s="28" t="s">
        <v>548</v>
      </c>
      <c r="D379" s="28" t="s">
        <v>2101</v>
      </c>
      <c r="F379" s="28" t="s">
        <v>2098</v>
      </c>
      <c r="G379" s="28" t="s">
        <v>514</v>
      </c>
      <c r="H379" s="28" t="s">
        <v>2067</v>
      </c>
      <c r="I379" s="28" t="s">
        <v>516</v>
      </c>
      <c r="J379" s="28" t="s">
        <v>517</v>
      </c>
      <c r="K379" s="28" t="s">
        <v>518</v>
      </c>
      <c r="L379" s="28" t="s">
        <v>2100</v>
      </c>
      <c r="M379" s="28" t="s">
        <v>535</v>
      </c>
      <c r="N379" s="28" t="s">
        <v>557</v>
      </c>
      <c r="O379" s="28" t="s">
        <v>544</v>
      </c>
      <c r="P379" s="28" t="s">
        <v>522</v>
      </c>
      <c r="S379" s="28" t="s">
        <v>705</v>
      </c>
      <c r="T379" s="28" t="s">
        <v>1918</v>
      </c>
      <c r="U379" s="28" t="s">
        <v>1918</v>
      </c>
      <c r="V379" s="28" t="s">
        <v>517</v>
      </c>
      <c r="W379" s="28" t="s">
        <v>2102</v>
      </c>
      <c r="Z379" s="28" t="s">
        <v>563</v>
      </c>
      <c r="AB379" s="28" t="s">
        <v>527</v>
      </c>
      <c r="AD379" s="28" t="s">
        <v>528</v>
      </c>
      <c r="AF379" s="117" t="s">
        <v>2101</v>
      </c>
      <c r="AG379" s="28" t="s">
        <v>563</v>
      </c>
      <c r="AK379" s="60">
        <v>2</v>
      </c>
      <c r="AL379" s="28">
        <f>1/COUNTIF(Tableau6[LAT],B379)</f>
        <v>0.1</v>
      </c>
      <c r="AM379" s="60" t="b">
        <f t="shared" si="40"/>
        <v>0</v>
      </c>
      <c r="AN379" s="60" t="b">
        <f t="shared" si="41"/>
        <v>0</v>
      </c>
      <c r="AO379" s="60" t="b">
        <f t="shared" si="42"/>
        <v>0</v>
      </c>
      <c r="AP379" s="60" t="b">
        <f t="shared" si="43"/>
        <v>0</v>
      </c>
      <c r="AQ379" s="60" t="b">
        <f t="shared" si="44"/>
        <v>0</v>
      </c>
      <c r="AR379" s="60" t="str">
        <f t="shared" si="38"/>
        <v>No</v>
      </c>
      <c r="AS379" s="60" t="str">
        <f t="shared" si="39"/>
        <v>No</v>
      </c>
    </row>
    <row r="380" spans="1:45" hidden="1">
      <c r="A380" s="103">
        <v>45243</v>
      </c>
      <c r="B380" s="117" t="s">
        <v>2096</v>
      </c>
      <c r="C380" s="28" t="s">
        <v>612</v>
      </c>
      <c r="D380" s="28" t="s">
        <v>2103</v>
      </c>
      <c r="F380" s="28" t="s">
        <v>2098</v>
      </c>
      <c r="G380" s="28" t="s">
        <v>514</v>
      </c>
      <c r="H380" s="28" t="s">
        <v>2099</v>
      </c>
      <c r="I380" s="28" t="s">
        <v>516</v>
      </c>
      <c r="J380" s="28" t="s">
        <v>517</v>
      </c>
      <c r="K380" s="28" t="s">
        <v>518</v>
      </c>
      <c r="L380" s="28" t="s">
        <v>2100</v>
      </c>
      <c r="M380" s="28" t="s">
        <v>535</v>
      </c>
      <c r="N380" s="28" t="s">
        <v>557</v>
      </c>
      <c r="O380" s="28" t="s">
        <v>544</v>
      </c>
      <c r="P380" s="28" t="s">
        <v>522</v>
      </c>
      <c r="S380" s="28" t="s">
        <v>705</v>
      </c>
      <c r="T380" s="28" t="s">
        <v>1918</v>
      </c>
      <c r="U380" s="28" t="s">
        <v>1918</v>
      </c>
      <c r="V380" s="28" t="s">
        <v>517</v>
      </c>
      <c r="W380" s="28" t="s">
        <v>821</v>
      </c>
      <c r="Z380" s="28" t="s">
        <v>563</v>
      </c>
      <c r="AB380" s="28" t="s">
        <v>527</v>
      </c>
      <c r="AD380" s="28" t="s">
        <v>528</v>
      </c>
      <c r="AF380" s="117" t="s">
        <v>2103</v>
      </c>
      <c r="AG380" s="28" t="s">
        <v>563</v>
      </c>
      <c r="AK380" s="60">
        <v>2</v>
      </c>
      <c r="AL380" s="28">
        <f>1/COUNTIF(Tableau6[LAT],B380)</f>
        <v>0.1</v>
      </c>
      <c r="AM380" s="60" t="b">
        <f t="shared" si="40"/>
        <v>0</v>
      </c>
      <c r="AN380" s="60" t="b">
        <f t="shared" si="41"/>
        <v>0</v>
      </c>
      <c r="AO380" s="60" t="b">
        <f t="shared" si="42"/>
        <v>0</v>
      </c>
      <c r="AP380" s="60" t="b">
        <f t="shared" si="43"/>
        <v>0</v>
      </c>
      <c r="AQ380" s="60" t="b">
        <f t="shared" si="44"/>
        <v>0</v>
      </c>
      <c r="AR380" s="60" t="str">
        <f t="shared" si="38"/>
        <v>No</v>
      </c>
      <c r="AS380" s="60" t="str">
        <f t="shared" si="39"/>
        <v>No</v>
      </c>
    </row>
    <row r="381" spans="1:45" hidden="1">
      <c r="A381" s="103">
        <v>45243</v>
      </c>
      <c r="B381" s="117" t="s">
        <v>2096</v>
      </c>
      <c r="C381" s="28" t="s">
        <v>691</v>
      </c>
      <c r="D381" s="28" t="s">
        <v>2104</v>
      </c>
      <c r="F381" s="28" t="s">
        <v>2098</v>
      </c>
      <c r="G381" s="28" t="s">
        <v>514</v>
      </c>
      <c r="H381" s="28" t="s">
        <v>2099</v>
      </c>
      <c r="I381" s="28" t="s">
        <v>516</v>
      </c>
      <c r="J381" s="28" t="s">
        <v>517</v>
      </c>
      <c r="K381" s="28" t="s">
        <v>518</v>
      </c>
      <c r="L381" s="28" t="s">
        <v>2100</v>
      </c>
      <c r="M381" s="28" t="s">
        <v>535</v>
      </c>
      <c r="N381" s="28" t="s">
        <v>557</v>
      </c>
      <c r="O381" s="28" t="s">
        <v>544</v>
      </c>
      <c r="P381" s="28" t="s">
        <v>522</v>
      </c>
      <c r="S381" s="28" t="s">
        <v>705</v>
      </c>
      <c r="T381" s="28" t="s">
        <v>1918</v>
      </c>
      <c r="U381" s="28" t="s">
        <v>1918</v>
      </c>
      <c r="V381" s="28" t="s">
        <v>517</v>
      </c>
      <c r="W381" s="28" t="s">
        <v>821</v>
      </c>
      <c r="Z381" s="28" t="s">
        <v>563</v>
      </c>
      <c r="AB381" s="28" t="s">
        <v>527</v>
      </c>
      <c r="AD381" s="28" t="s">
        <v>528</v>
      </c>
      <c r="AF381" s="117" t="s">
        <v>2104</v>
      </c>
      <c r="AG381" s="28" t="s">
        <v>563</v>
      </c>
      <c r="AK381" s="60">
        <v>2</v>
      </c>
      <c r="AL381" s="28">
        <f>1/COUNTIF(Tableau6[LAT],B381)</f>
        <v>0.1</v>
      </c>
      <c r="AM381" s="60" t="b">
        <f t="shared" si="40"/>
        <v>0</v>
      </c>
      <c r="AN381" s="60" t="b">
        <f t="shared" si="41"/>
        <v>0</v>
      </c>
      <c r="AO381" s="60" t="b">
        <f t="shared" si="42"/>
        <v>0</v>
      </c>
      <c r="AP381" s="60" t="b">
        <f t="shared" si="43"/>
        <v>0</v>
      </c>
      <c r="AQ381" s="60" t="b">
        <f t="shared" si="44"/>
        <v>0</v>
      </c>
      <c r="AR381" s="60" t="str">
        <f t="shared" si="38"/>
        <v>No</v>
      </c>
      <c r="AS381" s="60" t="str">
        <f t="shared" si="39"/>
        <v>No</v>
      </c>
    </row>
    <row r="382" spans="1:45" hidden="1">
      <c r="A382" s="103">
        <v>45243</v>
      </c>
      <c r="B382" s="117" t="s">
        <v>2096</v>
      </c>
      <c r="C382" s="28" t="s">
        <v>859</v>
      </c>
      <c r="D382" s="28" t="s">
        <v>2105</v>
      </c>
      <c r="F382" s="28" t="s">
        <v>2098</v>
      </c>
      <c r="G382" s="28" t="s">
        <v>514</v>
      </c>
      <c r="H382" s="28" t="s">
        <v>2099</v>
      </c>
      <c r="I382" s="28" t="s">
        <v>516</v>
      </c>
      <c r="J382" s="28" t="s">
        <v>517</v>
      </c>
      <c r="K382" s="28" t="s">
        <v>518</v>
      </c>
      <c r="L382" s="28" t="s">
        <v>2100</v>
      </c>
      <c r="M382" s="28" t="s">
        <v>535</v>
      </c>
      <c r="N382" s="28" t="s">
        <v>557</v>
      </c>
      <c r="O382" s="28" t="s">
        <v>544</v>
      </c>
      <c r="P382" s="28" t="s">
        <v>522</v>
      </c>
      <c r="S382" s="28" t="s">
        <v>705</v>
      </c>
      <c r="T382" s="28" t="s">
        <v>1918</v>
      </c>
      <c r="U382" s="28" t="s">
        <v>1918</v>
      </c>
      <c r="V382" s="28" t="s">
        <v>517</v>
      </c>
      <c r="W382" s="28" t="s">
        <v>821</v>
      </c>
      <c r="Z382" s="28" t="s">
        <v>563</v>
      </c>
      <c r="AB382" s="28" t="s">
        <v>527</v>
      </c>
      <c r="AD382" s="28" t="s">
        <v>528</v>
      </c>
      <c r="AF382" s="117" t="s">
        <v>2105</v>
      </c>
      <c r="AG382" s="28" t="s">
        <v>563</v>
      </c>
      <c r="AK382" s="60">
        <v>2</v>
      </c>
      <c r="AL382" s="28">
        <f>1/COUNTIF(Tableau6[LAT],B382)</f>
        <v>0.1</v>
      </c>
      <c r="AM382" s="60" t="b">
        <f t="shared" si="40"/>
        <v>0</v>
      </c>
      <c r="AN382" s="60" t="b">
        <f t="shared" si="41"/>
        <v>0</v>
      </c>
      <c r="AO382" s="60" t="b">
        <f t="shared" si="42"/>
        <v>0</v>
      </c>
      <c r="AP382" s="60" t="b">
        <f t="shared" si="43"/>
        <v>0</v>
      </c>
      <c r="AQ382" s="60" t="b">
        <f t="shared" si="44"/>
        <v>0</v>
      </c>
      <c r="AR382" s="60" t="str">
        <f t="shared" si="38"/>
        <v>No</v>
      </c>
      <c r="AS382" s="60" t="str">
        <f t="shared" si="39"/>
        <v>No</v>
      </c>
    </row>
    <row r="383" spans="1:45" hidden="1">
      <c r="A383" s="103">
        <v>45243</v>
      </c>
      <c r="B383" s="117" t="s">
        <v>2096</v>
      </c>
      <c r="C383" s="28" t="s">
        <v>861</v>
      </c>
      <c r="D383" s="28" t="s">
        <v>2106</v>
      </c>
      <c r="F383" s="28" t="s">
        <v>2098</v>
      </c>
      <c r="G383" s="28" t="s">
        <v>514</v>
      </c>
      <c r="H383" s="28" t="s">
        <v>2107</v>
      </c>
      <c r="I383" s="28" t="s">
        <v>516</v>
      </c>
      <c r="J383" s="28" t="s">
        <v>517</v>
      </c>
      <c r="K383" s="28" t="s">
        <v>518</v>
      </c>
      <c r="L383" s="28" t="s">
        <v>2100</v>
      </c>
      <c r="M383" s="28" t="s">
        <v>535</v>
      </c>
      <c r="N383" s="28" t="s">
        <v>557</v>
      </c>
      <c r="O383" s="28" t="s">
        <v>544</v>
      </c>
      <c r="P383" s="28" t="s">
        <v>522</v>
      </c>
      <c r="S383" s="28" t="s">
        <v>705</v>
      </c>
      <c r="T383" s="28" t="s">
        <v>1918</v>
      </c>
      <c r="U383" s="28" t="s">
        <v>1918</v>
      </c>
      <c r="V383" s="28" t="s">
        <v>517</v>
      </c>
      <c r="W383" s="28" t="s">
        <v>2102</v>
      </c>
      <c r="Z383" s="28" t="s">
        <v>563</v>
      </c>
      <c r="AB383" s="28" t="s">
        <v>527</v>
      </c>
      <c r="AD383" s="28" t="s">
        <v>528</v>
      </c>
      <c r="AF383" s="117" t="s">
        <v>2106</v>
      </c>
      <c r="AG383" s="28" t="s">
        <v>563</v>
      </c>
      <c r="AK383" s="60">
        <v>2</v>
      </c>
      <c r="AL383" s="28">
        <f>1/COUNTIF(Tableau6[LAT],B383)</f>
        <v>0.1</v>
      </c>
      <c r="AM383" s="60" t="b">
        <f t="shared" si="40"/>
        <v>0</v>
      </c>
      <c r="AN383" s="60" t="b">
        <f t="shared" si="41"/>
        <v>0</v>
      </c>
      <c r="AO383" s="60" t="b">
        <f t="shared" si="42"/>
        <v>0</v>
      </c>
      <c r="AP383" s="60" t="b">
        <f t="shared" si="43"/>
        <v>0</v>
      </c>
      <c r="AQ383" s="60" t="b">
        <f t="shared" si="44"/>
        <v>0</v>
      </c>
      <c r="AR383" s="60" t="str">
        <f t="shared" si="38"/>
        <v>No</v>
      </c>
      <c r="AS383" s="60" t="str">
        <f t="shared" si="39"/>
        <v>No</v>
      </c>
    </row>
    <row r="384" spans="1:45" hidden="1">
      <c r="A384" s="103">
        <v>45243</v>
      </c>
      <c r="B384" s="117" t="s">
        <v>2096</v>
      </c>
      <c r="D384" s="28" t="s">
        <v>2108</v>
      </c>
      <c r="F384" s="28" t="s">
        <v>2098</v>
      </c>
      <c r="G384" s="28" t="s">
        <v>514</v>
      </c>
      <c r="H384" s="28" t="s">
        <v>2067</v>
      </c>
      <c r="I384" s="28" t="s">
        <v>516</v>
      </c>
      <c r="J384" s="28" t="s">
        <v>517</v>
      </c>
      <c r="K384" s="28" t="s">
        <v>518</v>
      </c>
      <c r="L384" s="28" t="s">
        <v>2100</v>
      </c>
      <c r="M384" s="28" t="s">
        <v>535</v>
      </c>
      <c r="N384" s="28" t="s">
        <v>557</v>
      </c>
      <c r="O384" s="28" t="s">
        <v>544</v>
      </c>
      <c r="P384" s="28" t="s">
        <v>522</v>
      </c>
      <c r="S384" s="28" t="s">
        <v>705</v>
      </c>
      <c r="T384" s="28" t="s">
        <v>1918</v>
      </c>
      <c r="U384" s="28" t="s">
        <v>1918</v>
      </c>
      <c r="V384" s="28" t="s">
        <v>517</v>
      </c>
      <c r="W384" s="28" t="s">
        <v>2102</v>
      </c>
      <c r="Z384" s="28" t="s">
        <v>563</v>
      </c>
      <c r="AB384" s="28" t="s">
        <v>527</v>
      </c>
      <c r="AD384" s="28" t="s">
        <v>528</v>
      </c>
      <c r="AF384" s="117" t="s">
        <v>2108</v>
      </c>
      <c r="AG384" s="28" t="s">
        <v>563</v>
      </c>
      <c r="AK384" s="60">
        <v>2</v>
      </c>
      <c r="AL384" s="28">
        <f>1/COUNTIF(Tableau6[LAT],B384)</f>
        <v>0.1</v>
      </c>
      <c r="AM384" s="60" t="b">
        <f t="shared" si="40"/>
        <v>0</v>
      </c>
      <c r="AN384" s="60" t="b">
        <f t="shared" si="41"/>
        <v>0</v>
      </c>
      <c r="AO384" s="60" t="b">
        <f t="shared" si="42"/>
        <v>0</v>
      </c>
      <c r="AP384" s="60" t="b">
        <f t="shared" si="43"/>
        <v>0</v>
      </c>
      <c r="AQ384" s="60" t="b">
        <f t="shared" si="44"/>
        <v>0</v>
      </c>
      <c r="AR384" s="60" t="str">
        <f t="shared" si="38"/>
        <v>No</v>
      </c>
      <c r="AS384" s="60" t="str">
        <f t="shared" si="39"/>
        <v>No</v>
      </c>
    </row>
    <row r="385" spans="1:45" hidden="1">
      <c r="A385" s="103">
        <v>45243</v>
      </c>
      <c r="B385" s="117" t="s">
        <v>2096</v>
      </c>
      <c r="C385" s="28" t="s">
        <v>864</v>
      </c>
      <c r="D385" s="28" t="s">
        <v>2109</v>
      </c>
      <c r="F385" s="28" t="s">
        <v>2098</v>
      </c>
      <c r="G385" s="28" t="s">
        <v>514</v>
      </c>
      <c r="H385" s="28" t="s">
        <v>2067</v>
      </c>
      <c r="I385" s="28" t="s">
        <v>516</v>
      </c>
      <c r="J385" s="28" t="s">
        <v>517</v>
      </c>
      <c r="K385" s="28" t="s">
        <v>518</v>
      </c>
      <c r="L385" s="28" t="s">
        <v>2100</v>
      </c>
      <c r="M385" s="28" t="s">
        <v>535</v>
      </c>
      <c r="N385" s="28" t="s">
        <v>557</v>
      </c>
      <c r="O385" s="28" t="s">
        <v>544</v>
      </c>
      <c r="P385" s="28" t="s">
        <v>522</v>
      </c>
      <c r="S385" s="28" t="s">
        <v>705</v>
      </c>
      <c r="T385" s="28" t="s">
        <v>1918</v>
      </c>
      <c r="U385" s="28" t="s">
        <v>1918</v>
      </c>
      <c r="V385" s="28" t="s">
        <v>517</v>
      </c>
      <c r="W385" s="28" t="s">
        <v>2102</v>
      </c>
      <c r="Z385" s="28" t="s">
        <v>563</v>
      </c>
      <c r="AB385" s="28" t="s">
        <v>527</v>
      </c>
      <c r="AD385" s="28" t="s">
        <v>528</v>
      </c>
      <c r="AF385" s="117" t="s">
        <v>2109</v>
      </c>
      <c r="AG385" s="28" t="s">
        <v>563</v>
      </c>
      <c r="AK385" s="60">
        <v>2</v>
      </c>
      <c r="AL385" s="28">
        <f>1/COUNTIF(Tableau6[LAT],B385)</f>
        <v>0.1</v>
      </c>
      <c r="AM385" s="60" t="b">
        <f t="shared" si="40"/>
        <v>0</v>
      </c>
      <c r="AN385" s="60" t="b">
        <f t="shared" si="41"/>
        <v>0</v>
      </c>
      <c r="AO385" s="60" t="b">
        <f t="shared" si="42"/>
        <v>0</v>
      </c>
      <c r="AP385" s="60" t="b">
        <f t="shared" si="43"/>
        <v>0</v>
      </c>
      <c r="AQ385" s="60" t="b">
        <f t="shared" si="44"/>
        <v>0</v>
      </c>
      <c r="AR385" s="60" t="str">
        <f t="shared" si="38"/>
        <v>No</v>
      </c>
      <c r="AS385" s="60" t="str">
        <f t="shared" si="39"/>
        <v>No</v>
      </c>
    </row>
    <row r="386" spans="1:45" hidden="1">
      <c r="A386" s="103">
        <v>45243</v>
      </c>
      <c r="B386" s="117" t="s">
        <v>2096</v>
      </c>
      <c r="C386" s="28" t="s">
        <v>866</v>
      </c>
      <c r="D386" s="28" t="s">
        <v>2110</v>
      </c>
      <c r="F386" s="28" t="s">
        <v>2098</v>
      </c>
      <c r="G386" s="28" t="s">
        <v>514</v>
      </c>
      <c r="H386" s="28" t="s">
        <v>2067</v>
      </c>
      <c r="I386" s="28" t="s">
        <v>516</v>
      </c>
      <c r="J386" s="28" t="s">
        <v>517</v>
      </c>
      <c r="K386" s="28" t="s">
        <v>518</v>
      </c>
      <c r="L386" s="28" t="s">
        <v>2100</v>
      </c>
      <c r="M386" s="28" t="s">
        <v>535</v>
      </c>
      <c r="N386" s="28" t="s">
        <v>557</v>
      </c>
      <c r="O386" s="28" t="s">
        <v>544</v>
      </c>
      <c r="P386" s="28" t="s">
        <v>522</v>
      </c>
      <c r="S386" s="28" t="s">
        <v>705</v>
      </c>
      <c r="T386" s="28" t="s">
        <v>1918</v>
      </c>
      <c r="U386" s="28" t="s">
        <v>1918</v>
      </c>
      <c r="V386" s="28" t="s">
        <v>517</v>
      </c>
      <c r="W386" s="28" t="s">
        <v>2102</v>
      </c>
      <c r="Z386" s="28" t="s">
        <v>563</v>
      </c>
      <c r="AB386" s="28" t="s">
        <v>527</v>
      </c>
      <c r="AD386" s="28" t="s">
        <v>528</v>
      </c>
      <c r="AF386" s="117" t="s">
        <v>2110</v>
      </c>
      <c r="AG386" s="28" t="s">
        <v>563</v>
      </c>
      <c r="AK386" s="60">
        <v>2</v>
      </c>
      <c r="AL386" s="28">
        <f>1/COUNTIF(Tableau6[LAT],B386)</f>
        <v>0.1</v>
      </c>
      <c r="AM386" s="60" t="b">
        <f t="shared" si="40"/>
        <v>0</v>
      </c>
      <c r="AN386" s="60" t="b">
        <f t="shared" si="41"/>
        <v>0</v>
      </c>
      <c r="AO386" s="60" t="b">
        <f t="shared" si="42"/>
        <v>0</v>
      </c>
      <c r="AP386" s="60" t="b">
        <f t="shared" si="43"/>
        <v>0</v>
      </c>
      <c r="AQ386" s="60" t="b">
        <f t="shared" si="44"/>
        <v>0</v>
      </c>
      <c r="AR386" s="60" t="str">
        <f t="shared" si="38"/>
        <v>No</v>
      </c>
      <c r="AS386" s="60" t="str">
        <f t="shared" si="39"/>
        <v>No</v>
      </c>
    </row>
    <row r="387" spans="1:45" hidden="1">
      <c r="A387" s="103">
        <v>45243</v>
      </c>
      <c r="B387" s="117" t="s">
        <v>2096</v>
      </c>
      <c r="C387" s="28" t="s">
        <v>868</v>
      </c>
      <c r="D387" s="28" t="s">
        <v>2111</v>
      </c>
      <c r="F387" s="28" t="s">
        <v>2098</v>
      </c>
      <c r="G387" s="28" t="s">
        <v>514</v>
      </c>
      <c r="H387" s="28" t="s">
        <v>2067</v>
      </c>
      <c r="I387" s="28" t="s">
        <v>516</v>
      </c>
      <c r="J387" s="28" t="s">
        <v>517</v>
      </c>
      <c r="K387" s="28" t="s">
        <v>518</v>
      </c>
      <c r="L387" s="28" t="s">
        <v>2100</v>
      </c>
      <c r="M387" s="28" t="s">
        <v>535</v>
      </c>
      <c r="N387" s="28" t="s">
        <v>557</v>
      </c>
      <c r="O387" s="28" t="s">
        <v>544</v>
      </c>
      <c r="P387" s="28" t="s">
        <v>522</v>
      </c>
      <c r="S387" s="28" t="s">
        <v>705</v>
      </c>
      <c r="T387" s="28" t="s">
        <v>1918</v>
      </c>
      <c r="U387" s="28" t="s">
        <v>1918</v>
      </c>
      <c r="V387" s="28" t="s">
        <v>517</v>
      </c>
      <c r="W387" s="28" t="s">
        <v>2102</v>
      </c>
      <c r="Z387" s="28" t="s">
        <v>563</v>
      </c>
      <c r="AB387" s="28" t="s">
        <v>527</v>
      </c>
      <c r="AF387" s="117" t="s">
        <v>2111</v>
      </c>
      <c r="AK387" s="60">
        <v>2</v>
      </c>
      <c r="AL387" s="28">
        <f>1/COUNTIF(Tableau6[LAT],B387)</f>
        <v>0.1</v>
      </c>
      <c r="AM387" s="60" t="b">
        <f t="shared" si="40"/>
        <v>0</v>
      </c>
      <c r="AN387" s="60" t="b">
        <f t="shared" si="41"/>
        <v>0</v>
      </c>
      <c r="AO387" s="60" t="b">
        <f t="shared" si="42"/>
        <v>0</v>
      </c>
      <c r="AP387" s="60" t="b">
        <f t="shared" si="43"/>
        <v>0</v>
      </c>
      <c r="AQ387" s="60" t="b">
        <f t="shared" si="44"/>
        <v>0</v>
      </c>
      <c r="AR387" s="60" t="str">
        <f t="shared" si="38"/>
        <v>No</v>
      </c>
      <c r="AS387" s="60" t="str">
        <f t="shared" si="39"/>
        <v>No</v>
      </c>
    </row>
    <row r="388" spans="1:45" hidden="1">
      <c r="A388" s="103">
        <v>45243</v>
      </c>
      <c r="B388" s="117" t="s">
        <v>2112</v>
      </c>
      <c r="C388" s="28" t="s">
        <v>511</v>
      </c>
      <c r="D388" s="28" t="s">
        <v>2113</v>
      </c>
      <c r="F388" s="28" t="s">
        <v>2114</v>
      </c>
      <c r="G388" s="28" t="s">
        <v>514</v>
      </c>
      <c r="H388" s="28" t="s">
        <v>794</v>
      </c>
      <c r="I388" s="28" t="s">
        <v>516</v>
      </c>
      <c r="J388" s="28" t="s">
        <v>517</v>
      </c>
      <c r="K388" s="28" t="s">
        <v>518</v>
      </c>
      <c r="L388" s="28" t="s">
        <v>895</v>
      </c>
      <c r="M388" s="28" t="s">
        <v>535</v>
      </c>
      <c r="N388" s="28" t="s">
        <v>557</v>
      </c>
      <c r="O388" s="28" t="s">
        <v>544</v>
      </c>
      <c r="P388" s="28" t="s">
        <v>522</v>
      </c>
      <c r="S388" s="28" t="s">
        <v>705</v>
      </c>
      <c r="T388" s="28" t="s">
        <v>897</v>
      </c>
      <c r="U388" s="28" t="s">
        <v>897</v>
      </c>
      <c r="V388" s="28" t="s">
        <v>517</v>
      </c>
      <c r="W388" s="28" t="s">
        <v>2115</v>
      </c>
      <c r="Z388" s="28" t="s">
        <v>563</v>
      </c>
      <c r="AB388" s="28" t="s">
        <v>527</v>
      </c>
      <c r="AF388" s="117" t="s">
        <v>1083</v>
      </c>
      <c r="AK388" s="60">
        <v>2</v>
      </c>
      <c r="AL388" s="28">
        <f>1/COUNTIF(Tableau6[LAT],B388)</f>
        <v>1</v>
      </c>
      <c r="AM388" s="60" t="b">
        <f t="shared" si="40"/>
        <v>0</v>
      </c>
      <c r="AN388" s="60" t="b">
        <f t="shared" si="41"/>
        <v>0</v>
      </c>
      <c r="AO388" s="60" t="b">
        <f t="shared" si="42"/>
        <v>0</v>
      </c>
      <c r="AP388" s="60" t="b">
        <f t="shared" si="43"/>
        <v>0</v>
      </c>
      <c r="AQ388" s="60" t="b">
        <f t="shared" si="44"/>
        <v>0</v>
      </c>
      <c r="AR388" s="60" t="str">
        <f t="shared" ref="AR388:AR451" si="45">IF(AM388="Yes","Yes",IF(AN388="Yes","Yes",IF(AO388="yes","Yes",IF(AP388="Yes","Yes","No"))))</f>
        <v>No</v>
      </c>
      <c r="AS388" s="60" t="str">
        <f t="shared" ref="AS388:AS451" si="46">IF(S388="QFA","Yes",IF(S388="LCJ","Yes",IF(S388="CAJ","Yes",IF(S388="WRO","Yes",IF(S388="BEY","Yes",IF(S388="TUN","Yes",IF(S388="LFW","Yes",IF(S388="DLA","Yes",IF(S388="NSI","Yes",IF(S388="OUA","Yes",IF(S388="IAH","Yes",IF(S388="LYS","Yes",IF(S388="DSS","Yes",IF(S388="BKO","Yes",IF(S388="BZV","Yes",IF(S388="COO","Yes",IF(S388="EZE","Yes",IF(S388="CKY","Yes",IF(S388="PTP","Yes",IF(S388="ORD","Yes",IF(S388="CFE","Yes",IF(S388="NKC","Yes",IF(S388="FDF","Yes",IF(S388="SDQ","Yes",IF(S388="PNR","Yes",IF(S388="ICAY","Yes",IF(S388="DTW","Yes",IF(S388="TNR","Yes",IF(S388="RUN","Yes",IF(S388="NIM","Yes","No"))))))))))))))))))))))))))))))</f>
        <v>No</v>
      </c>
    </row>
    <row r="389" spans="1:45" hidden="1">
      <c r="A389" s="103">
        <v>45243</v>
      </c>
      <c r="B389" s="117" t="s">
        <v>2116</v>
      </c>
      <c r="C389" s="28" t="s">
        <v>511</v>
      </c>
      <c r="D389" s="28" t="s">
        <v>2117</v>
      </c>
      <c r="F389" s="28" t="s">
        <v>2118</v>
      </c>
      <c r="G389" s="28" t="s">
        <v>514</v>
      </c>
      <c r="H389" s="28" t="s">
        <v>2119</v>
      </c>
      <c r="I389" s="28" t="s">
        <v>516</v>
      </c>
      <c r="J389" s="28" t="s">
        <v>517</v>
      </c>
      <c r="K389" s="28" t="s">
        <v>518</v>
      </c>
      <c r="L389" s="28" t="s">
        <v>1097</v>
      </c>
      <c r="M389" s="28" t="s">
        <v>520</v>
      </c>
      <c r="N389" s="28" t="s">
        <v>557</v>
      </c>
      <c r="S389" s="28" t="s">
        <v>820</v>
      </c>
      <c r="T389" s="28" t="s">
        <v>1098</v>
      </c>
      <c r="U389" s="28" t="s">
        <v>1098</v>
      </c>
      <c r="V389" s="28" t="s">
        <v>517</v>
      </c>
      <c r="W389" s="28" t="s">
        <v>2120</v>
      </c>
      <c r="Z389" s="28" t="s">
        <v>563</v>
      </c>
      <c r="AB389" s="28" t="s">
        <v>527</v>
      </c>
      <c r="AD389" s="28" t="s">
        <v>954</v>
      </c>
      <c r="AF389" s="117" t="s">
        <v>2117</v>
      </c>
      <c r="AG389" s="28" t="s">
        <v>563</v>
      </c>
      <c r="AK389" s="60">
        <v>2</v>
      </c>
      <c r="AL389" s="28">
        <f>1/COUNTIF(Tableau6[LAT],B389)</f>
        <v>0.5</v>
      </c>
      <c r="AM389" s="60" t="b">
        <f t="shared" si="40"/>
        <v>0</v>
      </c>
      <c r="AN389" s="60" t="b">
        <f t="shared" si="41"/>
        <v>0</v>
      </c>
      <c r="AO389" s="60" t="b">
        <f t="shared" si="42"/>
        <v>0</v>
      </c>
      <c r="AP389" s="60" t="b">
        <f t="shared" si="43"/>
        <v>0</v>
      </c>
      <c r="AQ389" s="60" t="b">
        <f t="shared" si="44"/>
        <v>0</v>
      </c>
      <c r="AR389" s="60" t="str">
        <f t="shared" si="45"/>
        <v>No</v>
      </c>
      <c r="AS389" s="60" t="str">
        <f t="shared" si="46"/>
        <v>No</v>
      </c>
    </row>
    <row r="390" spans="1:45" hidden="1">
      <c r="A390" s="103">
        <v>45243</v>
      </c>
      <c r="B390" s="117" t="s">
        <v>2116</v>
      </c>
      <c r="C390" s="28" t="s">
        <v>548</v>
      </c>
      <c r="D390" s="28" t="s">
        <v>2121</v>
      </c>
      <c r="F390" s="28" t="s">
        <v>2118</v>
      </c>
      <c r="G390" s="28" t="s">
        <v>514</v>
      </c>
      <c r="H390" s="28" t="s">
        <v>2119</v>
      </c>
      <c r="I390" s="28" t="s">
        <v>516</v>
      </c>
      <c r="J390" s="28" t="s">
        <v>517</v>
      </c>
      <c r="K390" s="28" t="s">
        <v>518</v>
      </c>
      <c r="L390" s="28" t="s">
        <v>1097</v>
      </c>
      <c r="M390" s="28" t="s">
        <v>520</v>
      </c>
      <c r="N390" s="28" t="s">
        <v>557</v>
      </c>
      <c r="S390" s="28" t="s">
        <v>820</v>
      </c>
      <c r="T390" s="28" t="s">
        <v>1098</v>
      </c>
      <c r="U390" s="28" t="s">
        <v>1098</v>
      </c>
      <c r="V390" s="28" t="s">
        <v>517</v>
      </c>
      <c r="W390" s="28" t="s">
        <v>889</v>
      </c>
      <c r="Z390" s="28" t="s">
        <v>563</v>
      </c>
      <c r="AB390" s="28" t="s">
        <v>527</v>
      </c>
      <c r="AD390" s="28" t="s">
        <v>954</v>
      </c>
      <c r="AF390" s="117" t="s">
        <v>2121</v>
      </c>
      <c r="AG390" s="28" t="s">
        <v>563</v>
      </c>
      <c r="AK390" s="60">
        <v>2</v>
      </c>
      <c r="AL390" s="28">
        <f>1/COUNTIF(Tableau6[LAT],B390)</f>
        <v>0.5</v>
      </c>
      <c r="AM390" s="60" t="b">
        <f t="shared" si="40"/>
        <v>0</v>
      </c>
      <c r="AN390" s="60" t="b">
        <f t="shared" si="41"/>
        <v>0</v>
      </c>
      <c r="AO390" s="60" t="b">
        <f t="shared" si="42"/>
        <v>0</v>
      </c>
      <c r="AP390" s="60" t="b">
        <f t="shared" si="43"/>
        <v>0</v>
      </c>
      <c r="AQ390" s="60" t="b">
        <f t="shared" si="44"/>
        <v>0</v>
      </c>
      <c r="AR390" s="60" t="str">
        <f t="shared" si="45"/>
        <v>No</v>
      </c>
      <c r="AS390" s="60" t="str">
        <f t="shared" si="46"/>
        <v>No</v>
      </c>
    </row>
    <row r="391" spans="1:45" hidden="1">
      <c r="A391" s="103">
        <v>45243</v>
      </c>
      <c r="B391" s="117" t="s">
        <v>2122</v>
      </c>
      <c r="C391" s="28" t="s">
        <v>511</v>
      </c>
      <c r="D391" s="28" t="s">
        <v>2123</v>
      </c>
      <c r="F391" s="28" t="s">
        <v>2124</v>
      </c>
      <c r="G391" s="28" t="s">
        <v>514</v>
      </c>
      <c r="H391" s="28" t="s">
        <v>2099</v>
      </c>
      <c r="I391" s="28" t="s">
        <v>516</v>
      </c>
      <c r="J391" s="28" t="s">
        <v>517</v>
      </c>
      <c r="K391" s="28" t="s">
        <v>518</v>
      </c>
      <c r="L391" s="28" t="s">
        <v>895</v>
      </c>
      <c r="M391" s="28" t="s">
        <v>535</v>
      </c>
      <c r="N391" s="28" t="s">
        <v>557</v>
      </c>
      <c r="O391" s="28" t="s">
        <v>544</v>
      </c>
      <c r="P391" s="28" t="s">
        <v>522</v>
      </c>
      <c r="S391" s="28" t="s">
        <v>786</v>
      </c>
      <c r="T391" s="28" t="s">
        <v>699</v>
      </c>
      <c r="U391" s="28" t="s">
        <v>897</v>
      </c>
      <c r="V391" s="28" t="s">
        <v>517</v>
      </c>
      <c r="W391" s="28" t="s">
        <v>2125</v>
      </c>
      <c r="Z391" s="28" t="s">
        <v>563</v>
      </c>
      <c r="AB391" s="28" t="s">
        <v>527</v>
      </c>
      <c r="AD391" s="28" t="s">
        <v>954</v>
      </c>
      <c r="AF391" s="117" t="s">
        <v>2123</v>
      </c>
      <c r="AG391" s="28" t="s">
        <v>563</v>
      </c>
      <c r="AK391" s="60">
        <v>2</v>
      </c>
      <c r="AL391" s="28">
        <f>1/COUNTIF(Tableau6[LAT],B391)</f>
        <v>1</v>
      </c>
      <c r="AM391" s="60" t="b">
        <f t="shared" si="40"/>
        <v>0</v>
      </c>
      <c r="AN391" s="60" t="b">
        <f t="shared" si="41"/>
        <v>0</v>
      </c>
      <c r="AO391" s="60" t="b">
        <f t="shared" si="42"/>
        <v>0</v>
      </c>
      <c r="AP391" s="60" t="b">
        <f t="shared" si="43"/>
        <v>0</v>
      </c>
      <c r="AQ391" s="60" t="b">
        <f t="shared" si="44"/>
        <v>0</v>
      </c>
      <c r="AR391" s="60" t="str">
        <f t="shared" si="45"/>
        <v>No</v>
      </c>
      <c r="AS391" s="60" t="str">
        <f t="shared" si="46"/>
        <v>No</v>
      </c>
    </row>
    <row r="392" spans="1:45" hidden="1">
      <c r="A392" s="103">
        <v>45243</v>
      </c>
      <c r="B392" s="117" t="s">
        <v>2126</v>
      </c>
      <c r="C392" s="28" t="s">
        <v>511</v>
      </c>
      <c r="D392" s="28" t="s">
        <v>2127</v>
      </c>
      <c r="E392" s="28" t="s">
        <v>2128</v>
      </c>
      <c r="F392" s="28" t="s">
        <v>2129</v>
      </c>
      <c r="G392" s="28" t="s">
        <v>1163</v>
      </c>
      <c r="H392" s="28" t="s">
        <v>2130</v>
      </c>
      <c r="I392" s="28" t="s">
        <v>516</v>
      </c>
      <c r="J392" s="28" t="s">
        <v>517</v>
      </c>
      <c r="K392" s="28" t="s">
        <v>682</v>
      </c>
      <c r="L392" s="28" t="s">
        <v>2131</v>
      </c>
      <c r="M392" s="28" t="s">
        <v>535</v>
      </c>
      <c r="N392" s="28" t="s">
        <v>557</v>
      </c>
      <c r="O392" s="28" t="s">
        <v>522</v>
      </c>
      <c r="P392" s="28" t="s">
        <v>559</v>
      </c>
      <c r="S392" s="28" t="s">
        <v>1318</v>
      </c>
      <c r="T392" s="28" t="s">
        <v>545</v>
      </c>
      <c r="U392" s="28" t="s">
        <v>545</v>
      </c>
      <c r="V392" s="28" t="s">
        <v>517</v>
      </c>
      <c r="W392" s="28" t="s">
        <v>2132</v>
      </c>
      <c r="X392" s="28" t="s">
        <v>670</v>
      </c>
      <c r="Z392" s="28" t="s">
        <v>563</v>
      </c>
      <c r="AB392" s="28" t="s">
        <v>527</v>
      </c>
      <c r="AD392" s="28" t="s">
        <v>954</v>
      </c>
      <c r="AF392" s="117" t="s">
        <v>2127</v>
      </c>
      <c r="AG392" s="28" t="s">
        <v>563</v>
      </c>
      <c r="AK392" s="60">
        <v>2</v>
      </c>
      <c r="AL392" s="28">
        <f>1/COUNTIF(Tableau6[LAT],B392)</f>
        <v>0.2</v>
      </c>
      <c r="AM392" s="60" t="b">
        <f t="shared" si="40"/>
        <v>0</v>
      </c>
      <c r="AN392" s="60" t="b">
        <f t="shared" si="41"/>
        <v>0</v>
      </c>
      <c r="AO392" s="60" t="b">
        <f t="shared" si="42"/>
        <v>0</v>
      </c>
      <c r="AP392" s="60" t="b">
        <f t="shared" si="43"/>
        <v>0</v>
      </c>
      <c r="AQ392" s="60" t="b">
        <f t="shared" si="44"/>
        <v>0</v>
      </c>
      <c r="AR392" s="60" t="str">
        <f t="shared" si="45"/>
        <v>No</v>
      </c>
      <c r="AS392" s="60" t="str">
        <f t="shared" si="46"/>
        <v>No</v>
      </c>
    </row>
    <row r="393" spans="1:45" hidden="1">
      <c r="A393" s="103">
        <v>45243</v>
      </c>
      <c r="B393" s="117" t="s">
        <v>2126</v>
      </c>
      <c r="C393" s="28" t="s">
        <v>861</v>
      </c>
      <c r="D393" s="28" t="s">
        <v>2133</v>
      </c>
      <c r="E393" s="28" t="s">
        <v>2128</v>
      </c>
      <c r="F393" s="28" t="s">
        <v>2134</v>
      </c>
      <c r="G393" s="28" t="s">
        <v>514</v>
      </c>
      <c r="H393" s="28" t="s">
        <v>2135</v>
      </c>
      <c r="I393" s="28" t="s">
        <v>516</v>
      </c>
      <c r="J393" s="28" t="s">
        <v>517</v>
      </c>
      <c r="K393" s="28" t="s">
        <v>682</v>
      </c>
      <c r="L393" s="28" t="s">
        <v>2131</v>
      </c>
      <c r="M393" s="28" t="s">
        <v>535</v>
      </c>
      <c r="N393" s="28" t="s">
        <v>557</v>
      </c>
      <c r="O393" s="28" t="s">
        <v>522</v>
      </c>
      <c r="P393" s="28" t="s">
        <v>559</v>
      </c>
      <c r="S393" s="28" t="s">
        <v>1318</v>
      </c>
      <c r="T393" s="28" t="s">
        <v>545</v>
      </c>
      <c r="U393" s="28" t="s">
        <v>545</v>
      </c>
      <c r="V393" s="28" t="s">
        <v>517</v>
      </c>
      <c r="W393" s="28" t="s">
        <v>2132</v>
      </c>
      <c r="X393" s="28" t="s">
        <v>670</v>
      </c>
      <c r="Z393" s="28" t="s">
        <v>563</v>
      </c>
      <c r="AB393" s="28" t="s">
        <v>527</v>
      </c>
      <c r="AD393" s="28" t="s">
        <v>954</v>
      </c>
      <c r="AF393" s="117" t="s">
        <v>2136</v>
      </c>
      <c r="AG393" s="28" t="s">
        <v>563</v>
      </c>
      <c r="AK393" s="60">
        <v>2</v>
      </c>
      <c r="AL393" s="28">
        <f>1/COUNTIF(Tableau6[LAT],B393)</f>
        <v>0.2</v>
      </c>
      <c r="AM393" s="60" t="b">
        <f t="shared" si="40"/>
        <v>0</v>
      </c>
      <c r="AN393" s="60" t="b">
        <f t="shared" si="41"/>
        <v>0</v>
      </c>
      <c r="AO393" s="60" t="b">
        <f t="shared" si="42"/>
        <v>0</v>
      </c>
      <c r="AP393" s="60" t="b">
        <f t="shared" si="43"/>
        <v>0</v>
      </c>
      <c r="AQ393" s="60" t="b">
        <f t="shared" si="44"/>
        <v>0</v>
      </c>
      <c r="AR393" s="60" t="str">
        <f t="shared" si="45"/>
        <v>No</v>
      </c>
      <c r="AS393" s="60" t="str">
        <f t="shared" si="46"/>
        <v>No</v>
      </c>
    </row>
    <row r="394" spans="1:45" hidden="1">
      <c r="A394" s="103">
        <v>45243</v>
      </c>
      <c r="B394" s="117" t="s">
        <v>2126</v>
      </c>
      <c r="D394" s="28" t="s">
        <v>2137</v>
      </c>
      <c r="E394" s="28" t="s">
        <v>2128</v>
      </c>
      <c r="F394" s="28" t="s">
        <v>2134</v>
      </c>
      <c r="G394" s="28" t="s">
        <v>514</v>
      </c>
      <c r="H394" s="28" t="s">
        <v>2135</v>
      </c>
      <c r="I394" s="28" t="s">
        <v>516</v>
      </c>
      <c r="J394" s="28" t="s">
        <v>517</v>
      </c>
      <c r="K394" s="28" t="s">
        <v>682</v>
      </c>
      <c r="L394" s="28" t="s">
        <v>2131</v>
      </c>
      <c r="M394" s="28" t="s">
        <v>535</v>
      </c>
      <c r="N394" s="28" t="s">
        <v>557</v>
      </c>
      <c r="O394" s="28" t="s">
        <v>522</v>
      </c>
      <c r="P394" s="28" t="s">
        <v>559</v>
      </c>
      <c r="S394" s="28" t="s">
        <v>1318</v>
      </c>
      <c r="T394" s="28" t="s">
        <v>545</v>
      </c>
      <c r="U394" s="28" t="s">
        <v>545</v>
      </c>
      <c r="V394" s="28" t="s">
        <v>517</v>
      </c>
      <c r="W394" s="28" t="s">
        <v>2132</v>
      </c>
      <c r="X394" s="28" t="s">
        <v>670</v>
      </c>
      <c r="Z394" s="28" t="s">
        <v>563</v>
      </c>
      <c r="AB394" s="28" t="s">
        <v>527</v>
      </c>
      <c r="AD394" s="28" t="s">
        <v>954</v>
      </c>
      <c r="AF394" s="117" t="s">
        <v>2138</v>
      </c>
      <c r="AG394" s="28" t="s">
        <v>563</v>
      </c>
      <c r="AK394" s="60">
        <v>2</v>
      </c>
      <c r="AL394" s="28">
        <f>1/COUNTIF(Tableau6[LAT],B394)</f>
        <v>0.2</v>
      </c>
      <c r="AM394" s="60" t="b">
        <f t="shared" si="40"/>
        <v>0</v>
      </c>
      <c r="AN394" s="60" t="b">
        <f t="shared" si="41"/>
        <v>0</v>
      </c>
      <c r="AO394" s="60" t="b">
        <f t="shared" si="42"/>
        <v>0</v>
      </c>
      <c r="AP394" s="60" t="b">
        <f t="shared" si="43"/>
        <v>0</v>
      </c>
      <c r="AQ394" s="60" t="b">
        <f t="shared" si="44"/>
        <v>0</v>
      </c>
      <c r="AR394" s="60" t="str">
        <f t="shared" si="45"/>
        <v>No</v>
      </c>
      <c r="AS394" s="60" t="str">
        <f t="shared" si="46"/>
        <v>No</v>
      </c>
    </row>
    <row r="395" spans="1:45" hidden="1">
      <c r="A395" s="103">
        <v>45243</v>
      </c>
      <c r="B395" s="117" t="s">
        <v>2126</v>
      </c>
      <c r="C395" s="28" t="s">
        <v>864</v>
      </c>
      <c r="D395" s="28" t="s">
        <v>2139</v>
      </c>
      <c r="E395" s="28" t="s">
        <v>2128</v>
      </c>
      <c r="F395" s="28" t="s">
        <v>2134</v>
      </c>
      <c r="G395" s="28" t="s">
        <v>514</v>
      </c>
      <c r="H395" s="28" t="s">
        <v>2135</v>
      </c>
      <c r="I395" s="28" t="s">
        <v>516</v>
      </c>
      <c r="J395" s="28" t="s">
        <v>517</v>
      </c>
      <c r="K395" s="28" t="s">
        <v>682</v>
      </c>
      <c r="L395" s="28" t="s">
        <v>2131</v>
      </c>
      <c r="M395" s="28" t="s">
        <v>535</v>
      </c>
      <c r="N395" s="28" t="s">
        <v>557</v>
      </c>
      <c r="O395" s="28" t="s">
        <v>522</v>
      </c>
      <c r="P395" s="28" t="s">
        <v>559</v>
      </c>
      <c r="S395" s="28" t="s">
        <v>1318</v>
      </c>
      <c r="T395" s="28" t="s">
        <v>545</v>
      </c>
      <c r="U395" s="28" t="s">
        <v>545</v>
      </c>
      <c r="V395" s="28" t="s">
        <v>517</v>
      </c>
      <c r="W395" s="28" t="s">
        <v>2132</v>
      </c>
      <c r="X395" s="28" t="s">
        <v>670</v>
      </c>
      <c r="Z395" s="28" t="s">
        <v>563</v>
      </c>
      <c r="AB395" s="28" t="s">
        <v>527</v>
      </c>
      <c r="AD395" s="28" t="s">
        <v>954</v>
      </c>
      <c r="AF395" s="117" t="s">
        <v>2140</v>
      </c>
      <c r="AG395" s="28" t="s">
        <v>563</v>
      </c>
      <c r="AK395" s="60">
        <v>2</v>
      </c>
      <c r="AL395" s="28">
        <f>1/COUNTIF(Tableau6[LAT],B395)</f>
        <v>0.2</v>
      </c>
      <c r="AM395" s="60" t="b">
        <f t="shared" si="40"/>
        <v>0</v>
      </c>
      <c r="AN395" s="60" t="b">
        <f t="shared" si="41"/>
        <v>0</v>
      </c>
      <c r="AO395" s="60" t="b">
        <f t="shared" si="42"/>
        <v>0</v>
      </c>
      <c r="AP395" s="60" t="b">
        <f t="shared" si="43"/>
        <v>0</v>
      </c>
      <c r="AQ395" s="60" t="b">
        <f t="shared" si="44"/>
        <v>0</v>
      </c>
      <c r="AR395" s="60" t="str">
        <f t="shared" si="45"/>
        <v>No</v>
      </c>
      <c r="AS395" s="60" t="str">
        <f t="shared" si="46"/>
        <v>No</v>
      </c>
    </row>
    <row r="396" spans="1:45" hidden="1">
      <c r="A396" s="103">
        <v>45243</v>
      </c>
      <c r="B396" s="117" t="s">
        <v>2126</v>
      </c>
      <c r="C396" s="28" t="s">
        <v>866</v>
      </c>
      <c r="D396" s="28" t="s">
        <v>2141</v>
      </c>
      <c r="E396" s="28" t="s">
        <v>2128</v>
      </c>
      <c r="F396" s="28" t="s">
        <v>2134</v>
      </c>
      <c r="G396" s="28" t="s">
        <v>514</v>
      </c>
      <c r="H396" s="28" t="s">
        <v>2135</v>
      </c>
      <c r="I396" s="28" t="s">
        <v>516</v>
      </c>
      <c r="J396" s="28" t="s">
        <v>517</v>
      </c>
      <c r="K396" s="28" t="s">
        <v>682</v>
      </c>
      <c r="L396" s="28" t="s">
        <v>2131</v>
      </c>
      <c r="M396" s="28" t="s">
        <v>535</v>
      </c>
      <c r="N396" s="28" t="s">
        <v>557</v>
      </c>
      <c r="O396" s="28" t="s">
        <v>522</v>
      </c>
      <c r="P396" s="28" t="s">
        <v>559</v>
      </c>
      <c r="S396" s="28" t="s">
        <v>1318</v>
      </c>
      <c r="T396" s="28" t="s">
        <v>545</v>
      </c>
      <c r="U396" s="28" t="s">
        <v>545</v>
      </c>
      <c r="V396" s="28" t="s">
        <v>517</v>
      </c>
      <c r="W396" s="28" t="s">
        <v>2132</v>
      </c>
      <c r="X396" s="28" t="s">
        <v>670</v>
      </c>
      <c r="Z396" s="28" t="s">
        <v>563</v>
      </c>
      <c r="AB396" s="28" t="s">
        <v>527</v>
      </c>
      <c r="AD396" s="28" t="s">
        <v>954</v>
      </c>
      <c r="AF396" s="117" t="s">
        <v>2142</v>
      </c>
      <c r="AG396" s="28" t="s">
        <v>563</v>
      </c>
      <c r="AK396" s="60">
        <v>2</v>
      </c>
      <c r="AL396" s="28">
        <f>1/COUNTIF(Tableau6[LAT],B396)</f>
        <v>0.2</v>
      </c>
      <c r="AM396" s="60" t="b">
        <f t="shared" si="40"/>
        <v>0</v>
      </c>
      <c r="AN396" s="60" t="b">
        <f t="shared" si="41"/>
        <v>0</v>
      </c>
      <c r="AO396" s="60" t="b">
        <f t="shared" si="42"/>
        <v>0</v>
      </c>
      <c r="AP396" s="60" t="b">
        <f t="shared" si="43"/>
        <v>0</v>
      </c>
      <c r="AQ396" s="60" t="b">
        <f t="shared" si="44"/>
        <v>0</v>
      </c>
      <c r="AR396" s="60" t="str">
        <f t="shared" si="45"/>
        <v>No</v>
      </c>
      <c r="AS396" s="60" t="str">
        <f t="shared" si="46"/>
        <v>No</v>
      </c>
    </row>
    <row r="397" spans="1:45" hidden="1">
      <c r="A397" s="103">
        <v>45243</v>
      </c>
      <c r="B397" s="117" t="s">
        <v>2143</v>
      </c>
      <c r="C397" s="28" t="s">
        <v>548</v>
      </c>
      <c r="D397" s="28" t="s">
        <v>2144</v>
      </c>
      <c r="F397" s="28" t="s">
        <v>2145</v>
      </c>
      <c r="G397" s="28" t="s">
        <v>514</v>
      </c>
      <c r="H397" s="28" t="s">
        <v>2146</v>
      </c>
      <c r="I397" s="28" t="s">
        <v>516</v>
      </c>
      <c r="J397" s="28" t="s">
        <v>517</v>
      </c>
      <c r="K397" s="28" t="s">
        <v>518</v>
      </c>
      <c r="L397" s="28" t="s">
        <v>2147</v>
      </c>
      <c r="M397" s="28" t="s">
        <v>520</v>
      </c>
      <c r="N397" s="28" t="s">
        <v>619</v>
      </c>
      <c r="O397" s="28" t="s">
        <v>557</v>
      </c>
      <c r="P397" s="28" t="s">
        <v>544</v>
      </c>
      <c r="Q397" s="28" t="s">
        <v>522</v>
      </c>
      <c r="S397" s="28" t="s">
        <v>1318</v>
      </c>
      <c r="T397" s="28" t="s">
        <v>733</v>
      </c>
      <c r="U397" s="28" t="s">
        <v>733</v>
      </c>
      <c r="V397" s="28" t="s">
        <v>517</v>
      </c>
      <c r="W397" s="28" t="s">
        <v>2148</v>
      </c>
      <c r="Z397" s="28" t="s">
        <v>563</v>
      </c>
      <c r="AB397" s="28" t="s">
        <v>527</v>
      </c>
      <c r="AD397" s="28" t="s">
        <v>954</v>
      </c>
      <c r="AF397" s="117" t="s">
        <v>2149</v>
      </c>
      <c r="AG397" s="28" t="s">
        <v>563</v>
      </c>
      <c r="AK397" s="60">
        <v>2</v>
      </c>
      <c r="AL397" s="28">
        <f>1/COUNTIF(Tableau6[LAT],B397)</f>
        <v>0.25</v>
      </c>
      <c r="AM397" s="60" t="b">
        <f t="shared" si="40"/>
        <v>0</v>
      </c>
      <c r="AN397" s="60" t="b">
        <f t="shared" si="41"/>
        <v>0</v>
      </c>
      <c r="AO397" s="60" t="b">
        <f t="shared" si="42"/>
        <v>0</v>
      </c>
      <c r="AP397" s="60" t="b">
        <f t="shared" si="43"/>
        <v>0</v>
      </c>
      <c r="AQ397" s="60" t="b">
        <f t="shared" si="44"/>
        <v>0</v>
      </c>
      <c r="AR397" s="60" t="str">
        <f t="shared" si="45"/>
        <v>No</v>
      </c>
      <c r="AS397" s="60" t="str">
        <f t="shared" si="46"/>
        <v>No</v>
      </c>
    </row>
    <row r="398" spans="1:45" hidden="1">
      <c r="A398" s="103">
        <v>45243</v>
      </c>
      <c r="B398" s="117" t="s">
        <v>2143</v>
      </c>
      <c r="C398" s="28" t="s">
        <v>691</v>
      </c>
      <c r="D398" s="28" t="s">
        <v>2150</v>
      </c>
      <c r="F398" s="28" t="s">
        <v>2151</v>
      </c>
      <c r="G398" s="28" t="s">
        <v>514</v>
      </c>
      <c r="H398" s="28" t="s">
        <v>1335</v>
      </c>
      <c r="I398" s="28" t="s">
        <v>516</v>
      </c>
      <c r="J398" s="28" t="s">
        <v>517</v>
      </c>
      <c r="K398" s="28" t="s">
        <v>518</v>
      </c>
      <c r="L398" s="28" t="s">
        <v>2147</v>
      </c>
      <c r="M398" s="28" t="s">
        <v>520</v>
      </c>
      <c r="N398" s="28" t="s">
        <v>619</v>
      </c>
      <c r="O398" s="28" t="s">
        <v>557</v>
      </c>
      <c r="P398" s="28" t="s">
        <v>544</v>
      </c>
      <c r="Q398" s="28" t="s">
        <v>522</v>
      </c>
      <c r="S398" s="28" t="s">
        <v>1318</v>
      </c>
      <c r="T398" s="28" t="s">
        <v>733</v>
      </c>
      <c r="U398" s="28" t="s">
        <v>733</v>
      </c>
      <c r="V398" s="28" t="s">
        <v>517</v>
      </c>
      <c r="W398" s="28" t="s">
        <v>2152</v>
      </c>
      <c r="Z398" s="28" t="s">
        <v>563</v>
      </c>
      <c r="AB398" s="28" t="s">
        <v>527</v>
      </c>
      <c r="AD398" s="28" t="s">
        <v>954</v>
      </c>
      <c r="AF398" s="117" t="s">
        <v>2144</v>
      </c>
      <c r="AG398" s="28" t="s">
        <v>563</v>
      </c>
      <c r="AK398" s="60">
        <v>2</v>
      </c>
      <c r="AL398" s="28">
        <f>1/COUNTIF(Tableau6[LAT],B398)</f>
        <v>0.25</v>
      </c>
      <c r="AM398" s="60" t="b">
        <f t="shared" si="40"/>
        <v>0</v>
      </c>
      <c r="AN398" s="60" t="b">
        <f t="shared" si="41"/>
        <v>0</v>
      </c>
      <c r="AO398" s="60" t="b">
        <f t="shared" si="42"/>
        <v>0</v>
      </c>
      <c r="AP398" s="60" t="b">
        <f t="shared" si="43"/>
        <v>0</v>
      </c>
      <c r="AQ398" s="60" t="b">
        <f t="shared" si="44"/>
        <v>0</v>
      </c>
      <c r="AR398" s="60" t="str">
        <f t="shared" si="45"/>
        <v>No</v>
      </c>
      <c r="AS398" s="60" t="str">
        <f t="shared" si="46"/>
        <v>No</v>
      </c>
    </row>
    <row r="399" spans="1:45" hidden="1">
      <c r="A399" s="103">
        <v>45243</v>
      </c>
      <c r="B399" s="117" t="s">
        <v>2143</v>
      </c>
      <c r="C399" s="28" t="s">
        <v>859</v>
      </c>
      <c r="D399" s="28" t="s">
        <v>2153</v>
      </c>
      <c r="F399" s="28" t="s">
        <v>2151</v>
      </c>
      <c r="G399" s="28" t="s">
        <v>514</v>
      </c>
      <c r="H399" s="28" t="s">
        <v>1335</v>
      </c>
      <c r="I399" s="28" t="s">
        <v>516</v>
      </c>
      <c r="J399" s="28" t="s">
        <v>517</v>
      </c>
      <c r="K399" s="28" t="s">
        <v>518</v>
      </c>
      <c r="L399" s="28" t="s">
        <v>2147</v>
      </c>
      <c r="M399" s="28" t="s">
        <v>520</v>
      </c>
      <c r="N399" s="28" t="s">
        <v>619</v>
      </c>
      <c r="O399" s="28" t="s">
        <v>557</v>
      </c>
      <c r="P399" s="28" t="s">
        <v>544</v>
      </c>
      <c r="Q399" s="28" t="s">
        <v>522</v>
      </c>
      <c r="S399" s="28" t="s">
        <v>1318</v>
      </c>
      <c r="T399" s="28" t="s">
        <v>733</v>
      </c>
      <c r="U399" s="28" t="s">
        <v>733</v>
      </c>
      <c r="V399" s="28" t="s">
        <v>517</v>
      </c>
      <c r="W399" s="28" t="s">
        <v>2154</v>
      </c>
      <c r="Z399" s="28" t="s">
        <v>563</v>
      </c>
      <c r="AB399" s="28" t="s">
        <v>527</v>
      </c>
      <c r="AD399" s="28" t="s">
        <v>954</v>
      </c>
      <c r="AF399" s="117" t="s">
        <v>2155</v>
      </c>
      <c r="AG399" s="28" t="s">
        <v>563</v>
      </c>
      <c r="AK399" s="60">
        <v>2</v>
      </c>
      <c r="AL399" s="28">
        <f>1/COUNTIF(Tableau6[LAT],B399)</f>
        <v>0.25</v>
      </c>
      <c r="AM399" s="60" t="b">
        <f t="shared" si="40"/>
        <v>0</v>
      </c>
      <c r="AN399" s="60" t="b">
        <f t="shared" si="41"/>
        <v>0</v>
      </c>
      <c r="AO399" s="60" t="b">
        <f t="shared" si="42"/>
        <v>0</v>
      </c>
      <c r="AP399" s="60" t="b">
        <f t="shared" si="43"/>
        <v>0</v>
      </c>
      <c r="AQ399" s="60" t="b">
        <f t="shared" si="44"/>
        <v>0</v>
      </c>
      <c r="AR399" s="60" t="str">
        <f t="shared" si="45"/>
        <v>No</v>
      </c>
      <c r="AS399" s="60" t="str">
        <f t="shared" si="46"/>
        <v>No</v>
      </c>
    </row>
    <row r="400" spans="1:45" hidden="1">
      <c r="A400" s="103">
        <v>45243</v>
      </c>
      <c r="B400" s="117" t="s">
        <v>2143</v>
      </c>
      <c r="C400" s="28" t="s">
        <v>861</v>
      </c>
      <c r="D400" s="28" t="s">
        <v>2156</v>
      </c>
      <c r="F400" s="28" t="s">
        <v>2151</v>
      </c>
      <c r="G400" s="28" t="s">
        <v>514</v>
      </c>
      <c r="H400" s="28" t="s">
        <v>1335</v>
      </c>
      <c r="I400" s="28" t="s">
        <v>516</v>
      </c>
      <c r="J400" s="28" t="s">
        <v>517</v>
      </c>
      <c r="K400" s="28" t="s">
        <v>518</v>
      </c>
      <c r="L400" s="28" t="s">
        <v>2147</v>
      </c>
      <c r="M400" s="28" t="s">
        <v>520</v>
      </c>
      <c r="N400" s="28" t="s">
        <v>619</v>
      </c>
      <c r="O400" s="28" t="s">
        <v>557</v>
      </c>
      <c r="P400" s="28" t="s">
        <v>544</v>
      </c>
      <c r="Q400" s="28" t="s">
        <v>522</v>
      </c>
      <c r="S400" s="28" t="s">
        <v>1318</v>
      </c>
      <c r="T400" s="28" t="s">
        <v>733</v>
      </c>
      <c r="U400" s="28" t="s">
        <v>733</v>
      </c>
      <c r="V400" s="28" t="s">
        <v>517</v>
      </c>
      <c r="W400" s="28" t="s">
        <v>2157</v>
      </c>
      <c r="Z400" s="28" t="s">
        <v>563</v>
      </c>
      <c r="AB400" s="28" t="s">
        <v>527</v>
      </c>
      <c r="AD400" s="28" t="s">
        <v>954</v>
      </c>
      <c r="AF400" s="117" t="s">
        <v>2150</v>
      </c>
      <c r="AG400" s="28" t="s">
        <v>563</v>
      </c>
      <c r="AK400" s="60">
        <v>2</v>
      </c>
      <c r="AL400" s="28">
        <f>1/COUNTIF(Tableau6[LAT],B400)</f>
        <v>0.25</v>
      </c>
      <c r="AM400" s="60" t="b">
        <f t="shared" si="40"/>
        <v>0</v>
      </c>
      <c r="AN400" s="60" t="b">
        <f t="shared" si="41"/>
        <v>0</v>
      </c>
      <c r="AO400" s="60" t="b">
        <f t="shared" si="42"/>
        <v>0</v>
      </c>
      <c r="AP400" s="60" t="b">
        <f t="shared" si="43"/>
        <v>0</v>
      </c>
      <c r="AQ400" s="60" t="b">
        <f t="shared" si="44"/>
        <v>0</v>
      </c>
      <c r="AR400" s="60" t="str">
        <f t="shared" si="45"/>
        <v>No</v>
      </c>
      <c r="AS400" s="60" t="str">
        <f t="shared" si="46"/>
        <v>No</v>
      </c>
    </row>
    <row r="401" spans="1:45" hidden="1">
      <c r="A401" s="103">
        <v>45243</v>
      </c>
      <c r="B401" s="117" t="s">
        <v>2158</v>
      </c>
      <c r="C401" s="28" t="s">
        <v>511</v>
      </c>
      <c r="D401" s="28" t="s">
        <v>2159</v>
      </c>
      <c r="F401" s="28" t="s">
        <v>1306</v>
      </c>
      <c r="G401" s="28" t="s">
        <v>514</v>
      </c>
      <c r="H401" s="28" t="s">
        <v>883</v>
      </c>
      <c r="I401" s="28" t="s">
        <v>516</v>
      </c>
      <c r="J401" s="28" t="s">
        <v>517</v>
      </c>
      <c r="K401" s="28" t="s">
        <v>518</v>
      </c>
      <c r="L401" s="28" t="s">
        <v>1032</v>
      </c>
      <c r="M401" s="28" t="s">
        <v>520</v>
      </c>
      <c r="N401" s="28" t="s">
        <v>557</v>
      </c>
      <c r="O401" s="28" t="s">
        <v>522</v>
      </c>
      <c r="S401" s="28" t="s">
        <v>1318</v>
      </c>
      <c r="T401" s="28" t="s">
        <v>545</v>
      </c>
      <c r="U401" s="28" t="s">
        <v>545</v>
      </c>
      <c r="V401" s="28" t="s">
        <v>517</v>
      </c>
      <c r="W401" s="28" t="s">
        <v>2160</v>
      </c>
      <c r="Z401" s="28" t="s">
        <v>563</v>
      </c>
      <c r="AB401" s="28" t="s">
        <v>527</v>
      </c>
      <c r="AD401" s="28" t="s">
        <v>954</v>
      </c>
      <c r="AF401" s="117" t="s">
        <v>2159</v>
      </c>
      <c r="AG401" s="28" t="s">
        <v>563</v>
      </c>
      <c r="AK401" s="60">
        <v>2</v>
      </c>
      <c r="AL401" s="28">
        <f>1/COUNTIF(Tableau6[LAT],B401)</f>
        <v>1</v>
      </c>
      <c r="AM401" s="60" t="b">
        <f t="shared" si="40"/>
        <v>0</v>
      </c>
      <c r="AN401" s="60" t="b">
        <f t="shared" si="41"/>
        <v>0</v>
      </c>
      <c r="AO401" s="60" t="b">
        <f t="shared" si="42"/>
        <v>0</v>
      </c>
      <c r="AP401" s="60" t="b">
        <f t="shared" si="43"/>
        <v>0</v>
      </c>
      <c r="AQ401" s="60" t="b">
        <f t="shared" si="44"/>
        <v>0</v>
      </c>
      <c r="AR401" s="60" t="str">
        <f t="shared" si="45"/>
        <v>No</v>
      </c>
      <c r="AS401" s="60" t="str">
        <f t="shared" si="46"/>
        <v>No</v>
      </c>
    </row>
    <row r="402" spans="1:45" hidden="1">
      <c r="A402" s="103">
        <v>45243</v>
      </c>
      <c r="B402" s="117" t="s">
        <v>2161</v>
      </c>
      <c r="C402" s="28" t="s">
        <v>511</v>
      </c>
      <c r="D402" s="28" t="s">
        <v>2162</v>
      </c>
      <c r="F402" s="28" t="s">
        <v>989</v>
      </c>
      <c r="G402" s="28" t="s">
        <v>514</v>
      </c>
      <c r="H402" s="28" t="s">
        <v>2163</v>
      </c>
      <c r="I402" s="28" t="s">
        <v>516</v>
      </c>
      <c r="J402" s="28" t="s">
        <v>517</v>
      </c>
      <c r="K402" s="28" t="s">
        <v>518</v>
      </c>
      <c r="L402" s="28" t="s">
        <v>839</v>
      </c>
      <c r="M402" s="28" t="s">
        <v>605</v>
      </c>
      <c r="N402" s="28" t="s">
        <v>544</v>
      </c>
      <c r="S402" s="28" t="s">
        <v>752</v>
      </c>
      <c r="T402" s="28" t="s">
        <v>840</v>
      </c>
      <c r="U402" s="28" t="s">
        <v>840</v>
      </c>
      <c r="V402" s="28" t="s">
        <v>517</v>
      </c>
      <c r="W402" s="28" t="s">
        <v>2164</v>
      </c>
      <c r="Z402" s="28" t="s">
        <v>563</v>
      </c>
      <c r="AB402" s="28" t="s">
        <v>527</v>
      </c>
      <c r="AD402" s="28" t="s">
        <v>954</v>
      </c>
      <c r="AF402" s="117"/>
      <c r="AG402" s="28" t="s">
        <v>563</v>
      </c>
      <c r="AK402" s="60">
        <v>2</v>
      </c>
      <c r="AL402" s="28">
        <f>1/COUNTIF(Tableau6[LAT],B402)</f>
        <v>1</v>
      </c>
      <c r="AM402" s="60" t="b">
        <f t="shared" si="40"/>
        <v>0</v>
      </c>
      <c r="AN402" s="60" t="b">
        <f t="shared" si="41"/>
        <v>0</v>
      </c>
      <c r="AO402" s="60" t="b">
        <f t="shared" si="42"/>
        <v>0</v>
      </c>
      <c r="AP402" s="60" t="b">
        <f t="shared" si="43"/>
        <v>0</v>
      </c>
      <c r="AQ402" s="60" t="b">
        <f t="shared" si="44"/>
        <v>0</v>
      </c>
      <c r="AR402" s="60" t="str">
        <f t="shared" si="45"/>
        <v>No</v>
      </c>
      <c r="AS402" s="60" t="str">
        <f t="shared" si="46"/>
        <v>No</v>
      </c>
    </row>
    <row r="403" spans="1:45" hidden="1">
      <c r="A403" s="103">
        <v>45243</v>
      </c>
      <c r="B403" s="117" t="s">
        <v>2165</v>
      </c>
      <c r="C403" s="28" t="s">
        <v>511</v>
      </c>
      <c r="D403" s="28" t="s">
        <v>2166</v>
      </c>
      <c r="F403" s="28" t="s">
        <v>2167</v>
      </c>
      <c r="G403" s="28" t="s">
        <v>514</v>
      </c>
      <c r="H403" s="28" t="s">
        <v>2168</v>
      </c>
      <c r="I403" s="28" t="s">
        <v>516</v>
      </c>
      <c r="J403" s="28" t="s">
        <v>517</v>
      </c>
      <c r="K403" s="28" t="s">
        <v>518</v>
      </c>
      <c r="L403" s="28" t="s">
        <v>1040</v>
      </c>
      <c r="M403" s="28" t="s">
        <v>535</v>
      </c>
      <c r="N403" s="28" t="s">
        <v>557</v>
      </c>
      <c r="O403" s="28" t="s">
        <v>544</v>
      </c>
      <c r="S403" s="28" t="s">
        <v>2169</v>
      </c>
      <c r="T403" s="28" t="s">
        <v>2170</v>
      </c>
      <c r="U403" s="28" t="s">
        <v>1042</v>
      </c>
      <c r="V403" s="28" t="s">
        <v>517</v>
      </c>
      <c r="W403" s="28" t="s">
        <v>2171</v>
      </c>
      <c r="Z403" s="28" t="s">
        <v>526</v>
      </c>
      <c r="AD403" s="28" t="s">
        <v>528</v>
      </c>
      <c r="AF403" s="117" t="s">
        <v>2166</v>
      </c>
      <c r="AG403" s="28" t="s">
        <v>529</v>
      </c>
      <c r="AK403" s="60">
        <v>2</v>
      </c>
      <c r="AL403" s="28">
        <f>1/COUNTIF(Tableau6[LAT],B403)</f>
        <v>1</v>
      </c>
      <c r="AM403" s="60" t="b">
        <f t="shared" si="40"/>
        <v>0</v>
      </c>
      <c r="AN403" s="60" t="b">
        <f t="shared" si="41"/>
        <v>0</v>
      </c>
      <c r="AO403" s="60" t="b">
        <f t="shared" si="42"/>
        <v>0</v>
      </c>
      <c r="AP403" s="60" t="b">
        <f t="shared" si="43"/>
        <v>0</v>
      </c>
      <c r="AQ403" s="60" t="b">
        <f t="shared" si="44"/>
        <v>0</v>
      </c>
      <c r="AR403" s="60" t="str">
        <f t="shared" si="45"/>
        <v>No</v>
      </c>
      <c r="AS403" s="60" t="str">
        <f t="shared" si="46"/>
        <v>No</v>
      </c>
    </row>
    <row r="404" spans="1:45" hidden="1">
      <c r="A404" s="103">
        <v>45243</v>
      </c>
      <c r="B404" s="117" t="s">
        <v>2172</v>
      </c>
      <c r="C404" s="28" t="s">
        <v>511</v>
      </c>
      <c r="D404" s="28" t="s">
        <v>2173</v>
      </c>
      <c r="F404" s="28" t="s">
        <v>2174</v>
      </c>
      <c r="G404" s="28" t="s">
        <v>514</v>
      </c>
      <c r="H404" s="28" t="s">
        <v>2175</v>
      </c>
      <c r="I404" s="28" t="s">
        <v>516</v>
      </c>
      <c r="J404" s="28" t="s">
        <v>517</v>
      </c>
      <c r="K404" s="28" t="s">
        <v>518</v>
      </c>
      <c r="L404" s="28" t="s">
        <v>1245</v>
      </c>
      <c r="M404" s="28" t="s">
        <v>535</v>
      </c>
      <c r="N404" s="28" t="s">
        <v>544</v>
      </c>
      <c r="S404" s="28" t="s">
        <v>960</v>
      </c>
      <c r="T404" s="28" t="s">
        <v>733</v>
      </c>
      <c r="U404" s="28" t="s">
        <v>1150</v>
      </c>
      <c r="V404" s="28" t="s">
        <v>517</v>
      </c>
      <c r="W404" s="28" t="s">
        <v>2176</v>
      </c>
      <c r="Z404" s="28" t="s">
        <v>563</v>
      </c>
      <c r="AB404" s="28" t="s">
        <v>527</v>
      </c>
      <c r="AD404" s="28" t="s">
        <v>954</v>
      </c>
      <c r="AF404" s="117" t="s">
        <v>2173</v>
      </c>
      <c r="AG404" s="28" t="s">
        <v>563</v>
      </c>
      <c r="AK404" s="60">
        <v>2</v>
      </c>
      <c r="AL404" s="28">
        <f>1/COUNTIF(Tableau6[LAT],B404)</f>
        <v>8.3333333333333329E-2</v>
      </c>
      <c r="AM404" s="60" t="b">
        <f t="shared" si="40"/>
        <v>0</v>
      </c>
      <c r="AN404" s="60" t="b">
        <f t="shared" si="41"/>
        <v>0</v>
      </c>
      <c r="AO404" s="60" t="b">
        <f t="shared" si="42"/>
        <v>0</v>
      </c>
      <c r="AP404" s="60" t="b">
        <f t="shared" si="43"/>
        <v>0</v>
      </c>
      <c r="AQ404" s="60" t="b">
        <f t="shared" si="44"/>
        <v>0</v>
      </c>
      <c r="AR404" s="60" t="str">
        <f t="shared" si="45"/>
        <v>No</v>
      </c>
      <c r="AS404" s="60" t="str">
        <f t="shared" si="46"/>
        <v>No</v>
      </c>
    </row>
    <row r="405" spans="1:45" hidden="1">
      <c r="A405" s="103">
        <v>45243</v>
      </c>
      <c r="B405" s="117" t="s">
        <v>2172</v>
      </c>
      <c r="C405" s="28" t="s">
        <v>548</v>
      </c>
      <c r="D405" s="28" t="s">
        <v>2177</v>
      </c>
      <c r="F405" s="28" t="s">
        <v>1547</v>
      </c>
      <c r="G405" s="28" t="s">
        <v>514</v>
      </c>
      <c r="H405" s="28" t="s">
        <v>2175</v>
      </c>
      <c r="I405" s="28" t="s">
        <v>516</v>
      </c>
      <c r="J405" s="28" t="s">
        <v>517</v>
      </c>
      <c r="K405" s="28" t="s">
        <v>518</v>
      </c>
      <c r="L405" s="28" t="s">
        <v>1245</v>
      </c>
      <c r="M405" s="28" t="s">
        <v>535</v>
      </c>
      <c r="N405" s="28" t="s">
        <v>544</v>
      </c>
      <c r="S405" s="28" t="s">
        <v>960</v>
      </c>
      <c r="T405" s="28" t="s">
        <v>733</v>
      </c>
      <c r="U405" s="28" t="s">
        <v>1150</v>
      </c>
      <c r="V405" s="28" t="s">
        <v>517</v>
      </c>
      <c r="W405" s="28" t="s">
        <v>2178</v>
      </c>
      <c r="Z405" s="28" t="s">
        <v>563</v>
      </c>
      <c r="AB405" s="28" t="s">
        <v>527</v>
      </c>
      <c r="AD405" s="28" t="s">
        <v>954</v>
      </c>
      <c r="AF405" s="117" t="s">
        <v>2177</v>
      </c>
      <c r="AG405" s="28" t="s">
        <v>563</v>
      </c>
      <c r="AK405" s="60">
        <v>2</v>
      </c>
      <c r="AL405" s="28">
        <f>1/COUNTIF(Tableau6[LAT],B405)</f>
        <v>8.3333333333333329E-2</v>
      </c>
      <c r="AM405" s="60" t="b">
        <f t="shared" si="40"/>
        <v>0</v>
      </c>
      <c r="AN405" s="60" t="b">
        <f t="shared" si="41"/>
        <v>0</v>
      </c>
      <c r="AO405" s="60" t="b">
        <f t="shared" si="42"/>
        <v>0</v>
      </c>
      <c r="AP405" s="60" t="b">
        <f t="shared" si="43"/>
        <v>0</v>
      </c>
      <c r="AQ405" s="60" t="b">
        <f t="shared" si="44"/>
        <v>0</v>
      </c>
      <c r="AR405" s="60" t="str">
        <f t="shared" si="45"/>
        <v>No</v>
      </c>
      <c r="AS405" s="60" t="str">
        <f t="shared" si="46"/>
        <v>No</v>
      </c>
    </row>
    <row r="406" spans="1:45" hidden="1">
      <c r="A406" s="103">
        <v>45243</v>
      </c>
      <c r="B406" s="117" t="s">
        <v>2172</v>
      </c>
      <c r="C406" s="28" t="s">
        <v>612</v>
      </c>
      <c r="D406" s="28" t="s">
        <v>2179</v>
      </c>
      <c r="F406" s="28" t="s">
        <v>1018</v>
      </c>
      <c r="G406" s="28" t="s">
        <v>514</v>
      </c>
      <c r="H406" s="28" t="s">
        <v>2175</v>
      </c>
      <c r="I406" s="28" t="s">
        <v>516</v>
      </c>
      <c r="J406" s="28" t="s">
        <v>517</v>
      </c>
      <c r="K406" s="28" t="s">
        <v>518</v>
      </c>
      <c r="L406" s="28" t="s">
        <v>1245</v>
      </c>
      <c r="M406" s="28" t="s">
        <v>535</v>
      </c>
      <c r="N406" s="28" t="s">
        <v>544</v>
      </c>
      <c r="S406" s="28" t="s">
        <v>960</v>
      </c>
      <c r="T406" s="28" t="s">
        <v>733</v>
      </c>
      <c r="U406" s="28" t="s">
        <v>1150</v>
      </c>
      <c r="V406" s="28" t="s">
        <v>517</v>
      </c>
      <c r="W406" s="28" t="s">
        <v>2180</v>
      </c>
      <c r="Z406" s="28" t="s">
        <v>563</v>
      </c>
      <c r="AB406" s="28" t="s">
        <v>527</v>
      </c>
      <c r="AD406" s="28" t="s">
        <v>954</v>
      </c>
      <c r="AF406" s="117" t="s">
        <v>2179</v>
      </c>
      <c r="AG406" s="28" t="s">
        <v>563</v>
      </c>
      <c r="AK406" s="60">
        <v>2</v>
      </c>
      <c r="AL406" s="28">
        <f>1/COUNTIF(Tableau6[LAT],B406)</f>
        <v>8.3333333333333329E-2</v>
      </c>
      <c r="AM406" s="60" t="b">
        <f t="shared" si="40"/>
        <v>0</v>
      </c>
      <c r="AN406" s="60" t="b">
        <f t="shared" si="41"/>
        <v>0</v>
      </c>
      <c r="AO406" s="60" t="b">
        <f t="shared" si="42"/>
        <v>0</v>
      </c>
      <c r="AP406" s="60" t="b">
        <f t="shared" si="43"/>
        <v>0</v>
      </c>
      <c r="AQ406" s="60" t="b">
        <f t="shared" si="44"/>
        <v>0</v>
      </c>
      <c r="AR406" s="60" t="str">
        <f t="shared" si="45"/>
        <v>No</v>
      </c>
      <c r="AS406" s="60" t="str">
        <f t="shared" si="46"/>
        <v>No</v>
      </c>
    </row>
    <row r="407" spans="1:45" hidden="1">
      <c r="A407" s="103">
        <v>45243</v>
      </c>
      <c r="B407" s="117" t="s">
        <v>2172</v>
      </c>
      <c r="C407" s="28" t="s">
        <v>691</v>
      </c>
      <c r="D407" s="28" t="s">
        <v>2181</v>
      </c>
      <c r="F407" s="28" t="s">
        <v>2167</v>
      </c>
      <c r="G407" s="28" t="s">
        <v>514</v>
      </c>
      <c r="H407" s="28" t="s">
        <v>2175</v>
      </c>
      <c r="I407" s="28" t="s">
        <v>516</v>
      </c>
      <c r="J407" s="28" t="s">
        <v>517</v>
      </c>
      <c r="K407" s="28" t="s">
        <v>518</v>
      </c>
      <c r="L407" s="28" t="s">
        <v>1245</v>
      </c>
      <c r="M407" s="28" t="s">
        <v>535</v>
      </c>
      <c r="N407" s="28" t="s">
        <v>544</v>
      </c>
      <c r="S407" s="28" t="s">
        <v>960</v>
      </c>
      <c r="T407" s="28" t="s">
        <v>733</v>
      </c>
      <c r="U407" s="28" t="s">
        <v>1150</v>
      </c>
      <c r="V407" s="28" t="s">
        <v>517</v>
      </c>
      <c r="W407" s="28" t="s">
        <v>2182</v>
      </c>
      <c r="Z407" s="28" t="s">
        <v>563</v>
      </c>
      <c r="AB407" s="28" t="s">
        <v>527</v>
      </c>
      <c r="AD407" s="28" t="s">
        <v>954</v>
      </c>
      <c r="AF407" s="117" t="s">
        <v>2181</v>
      </c>
      <c r="AG407" s="28" t="s">
        <v>563</v>
      </c>
      <c r="AK407" s="60">
        <v>2</v>
      </c>
      <c r="AL407" s="28">
        <f>1/COUNTIF(Tableau6[LAT],B407)</f>
        <v>8.3333333333333329E-2</v>
      </c>
      <c r="AM407" s="60" t="b">
        <f t="shared" si="40"/>
        <v>0</v>
      </c>
      <c r="AN407" s="60" t="b">
        <f t="shared" si="41"/>
        <v>0</v>
      </c>
      <c r="AO407" s="60" t="b">
        <f t="shared" si="42"/>
        <v>0</v>
      </c>
      <c r="AP407" s="60" t="b">
        <f t="shared" si="43"/>
        <v>0</v>
      </c>
      <c r="AQ407" s="60" t="b">
        <f t="shared" si="44"/>
        <v>0</v>
      </c>
      <c r="AR407" s="60" t="str">
        <f t="shared" si="45"/>
        <v>No</v>
      </c>
      <c r="AS407" s="60" t="str">
        <f t="shared" si="46"/>
        <v>No</v>
      </c>
    </row>
    <row r="408" spans="1:45" hidden="1">
      <c r="A408" s="103">
        <v>45243</v>
      </c>
      <c r="B408" s="117" t="s">
        <v>2172</v>
      </c>
      <c r="C408" s="28" t="s">
        <v>859</v>
      </c>
      <c r="D408" s="28" t="s">
        <v>2183</v>
      </c>
      <c r="F408" s="28" t="s">
        <v>2167</v>
      </c>
      <c r="G408" s="28" t="s">
        <v>514</v>
      </c>
      <c r="H408" s="28" t="s">
        <v>2175</v>
      </c>
      <c r="I408" s="28" t="s">
        <v>516</v>
      </c>
      <c r="J408" s="28" t="s">
        <v>517</v>
      </c>
      <c r="K408" s="28" t="s">
        <v>518</v>
      </c>
      <c r="L408" s="28" t="s">
        <v>1245</v>
      </c>
      <c r="M408" s="28" t="s">
        <v>535</v>
      </c>
      <c r="N408" s="28" t="s">
        <v>544</v>
      </c>
      <c r="S408" s="28" t="s">
        <v>960</v>
      </c>
      <c r="T408" s="28" t="s">
        <v>733</v>
      </c>
      <c r="U408" s="28" t="s">
        <v>1150</v>
      </c>
      <c r="V408" s="28" t="s">
        <v>517</v>
      </c>
      <c r="W408" s="28" t="s">
        <v>2180</v>
      </c>
      <c r="Z408" s="28" t="s">
        <v>563</v>
      </c>
      <c r="AB408" s="28" t="s">
        <v>527</v>
      </c>
      <c r="AD408" s="28" t="s">
        <v>954</v>
      </c>
      <c r="AF408" s="117" t="s">
        <v>2183</v>
      </c>
      <c r="AG408" s="28" t="s">
        <v>563</v>
      </c>
      <c r="AK408" s="60">
        <v>2</v>
      </c>
      <c r="AL408" s="28">
        <f>1/COUNTIF(Tableau6[LAT],B408)</f>
        <v>8.3333333333333329E-2</v>
      </c>
      <c r="AM408" s="60" t="b">
        <f t="shared" ref="AM408:AM471" si="47">IF(N408="ALM","Yes",IF(N408="ALI","Yes",IF(N408="CAO","Yes",IF(N408="ICE","Yes",IF(N408="MAG","Yes",IF(N408="MAG","Yes",IF(N408="RBI","Yes",IF(N408="RBM","Yes",IF(N408="RCL","Yes",IF(N408="RCM","Yes",IF(N408="RCX","Yes",IF(N408="RDS","Yes",IF(N408="REQ","Yes",IF(N408="REX","Yes",IF(N408="RFG","Yes",IF(N408="RFL","Yes",IF(N408="RFS","Yes",IF(N408="RFW","Yes",IF(N408="RGX","Yes",IF(N408="RIS",IF(N408="RLI","Yes",IF(N408="RLM","Yes",IF(N408="RMD","Yes",IF(N408="RNG","Yes",IF(N408="ROP","Yes",IF(N408="ROX","Yes",IF(N408="RPB","Yes",IF(N408="RPG","Yes",IF(N408="RRE","Yes",IF(N408="RRW","Yes",IF(N408="RRY","Yes",IF(N408="RSB","Yes",IF(N408="RSC","Yes",IF(N408="RXB","Yes",IF(N408="RXC","Yes",IF(N408="RXD","Yes",IF(N408="RXE","Yes",IF(N408="RXG","Yes",IF(N408="RXS","Yes",)))))))))))))))))))))))))))))))))))))))</f>
        <v>0</v>
      </c>
      <c r="AN408" s="60" t="b">
        <f t="shared" ref="AN408:AN471" si="48">IF(O408="ALM","Yes",IF(O408="ALI","Yes",IF(O408="CAO","Yes",IF(O408="ICE","Yes",IF(O408="MAG","Yes",IF(O408="MAG","Yes",IF(O408="RBI","Yes",IF(O408="RBM","Yes",IF(O408="RCL","Yes",IF(O408="RCM","Yes",IF(O408="RCX","Yes",IF(O408="RDS","Yes",IF(O408="REQ","Yes",IF(O408="REX","Yes",IF(O408="RFG","Yes",IF(O408="RFL","Yes",IF(O408="RFS","Yes",IF(O408="RFW","Yes",IF(O408="RGX","Yes",IF(O408="RIS",IF(O408="RLI","Yes",IF(O408="RLM","Yes",IF(O408="RMD","Yes",IF(O408="RNG","Yes",IF(O408="ROP","Yes",IF(O408="ROX","Yes",IF(O408="RPB","Yes",IF(O408="RPG","Yes",IF(O408="RRE","Yes",IF(O408="RRW","Yes",IF(O408="RRY","Yes",IF(O408="RSB","Yes",IF(O408="RSC","Yes",IF(O408="RXB","Yes",IF(O408="RXC","Yes",IF(O408="RXD","Yes",IF(O408="RXE","Yes",IF(O408="RXG","Yes",IF(O408="RXS","Yes",)))))))))))))))))))))))))))))))))))))))</f>
        <v>0</v>
      </c>
      <c r="AO408" s="60" t="b">
        <f t="shared" ref="AO408:AO471" si="49">IF(P408="ALM","Yes",IF(P408="ALI","Yes",IF(P408="CAO","Yes",IF(P408="ICE","Yes",IF(P408="MAG","Yes",IF(P408="MAG","Yes",IF(P408="RBI","Yes",IF(P408="RBM","Yes",IF(P408="RCL","Yes",IF(P408="RCM","Yes",IF(P408="RCX","Yes",IF(P408="RDS","Yes",IF(P408="REQ","Yes",IF(P408="REX","Yes",IF(P408="RFG","Yes",IF(P408="RFL","Yes",IF(P408="RFS","Yes",IF(P408="RFW","Yes",IF(P408="RGX","Yes",IF(P408="RIS",IF(P408="RLI","Yes",IF(P408="RLM","Yes",IF(P408="RMD","Yes",IF(P408="RNG","Yes",IF(P408="ROP","Yes",IF(P408="ROX","Yes",IF(P408="RPB","Yes",IF(P408="RPG","Yes",IF(P408="RRE","Yes",IF(P408="RRW","Yes",IF(P408="RRY","Yes",IF(P408="RSB","Yes",IF(P408="RSC","Yes",IF(P408="RXB","Yes",IF(P408="RXC","Yes",IF(P408="RXD","Yes",IF(P408="RXE","Yes",IF(P408="RXG","Yes",IF(P408="RXS","Yes",)))))))))))))))))))))))))))))))))))))))</f>
        <v>0</v>
      </c>
      <c r="AP408" s="60" t="b">
        <f t="shared" ref="AP408:AP471" si="50">IF(Q408="ALM","Yes",IF(Q408="ALI","Yes",IF(Q408="CAO","Yes",IF(Q408="ICE","Yes",IF(Q408="MAG","Yes",IF(Q408="MAG","Yes",IF(Q408="RBI","Yes",IF(Q408="RBM","Yes",IF(Q408="RCL","Yes",IF(Q408="RCM","Yes",IF(Q408="RCX","Yes",IF(Q408="RDS","Yes",IF(Q408="REQ","Yes",IF(Q408="REX","Yes",IF(Q408="RFG","Yes",IF(Q408="RFL","Yes",IF(Q408="RFS","Yes",IF(Q408="RFW","Yes",IF(Q408="RGX","Yes",IF(Q408="RIS",IF(Q408="RLI","Yes",IF(Q408="RLM","Yes",IF(Q408="RMD","Yes",IF(Q408="RNG","Yes",IF(Q408="ROP","Yes",IF(Q408="ROX","Yes",IF(Q408="RPB","Yes",IF(Q408="RPG","Yes",IF(Q408="RRE","Yes",IF(Q408="RRW","Yes",IF(Q408="RRY","Yes",IF(Q408="RSB","Yes",IF(Q408="RSC","Yes",IF(Q408="RXB","Yes",IF(Q408="RXC","Yes",IF(Q408="RXD","Yes",IF(Q408="RXE","Yes",IF(Q408="RXG","Yes",IF(Q408="RXS","Yes",)))))))))))))))))))))))))))))))))))))))</f>
        <v>0</v>
      </c>
      <c r="AQ408" s="60" t="b">
        <f t="shared" ref="AQ408:AQ471" si="51">IF(R408="ALM","Yes",IF(R408="ALI","Yes",IF(R408="CAO","Yes",IF(R408="ICE","Yes",IF(R408="MAG","Yes",IF(R408="MAG","Yes",IF(R408="RBI","Yes",IF(R408="RBM","Yes",IF(R408="RCL","Yes",IF(R408="RCM","Yes",IF(R408="RCX","Yes",IF(R408="RDS","Yes",IF(R408="REQ","Yes",IF(R408="REX","Yes",IF(R408="RFG","Yes",IF(R408="RFL","Yes",IF(R408="RFS","Yes",IF(R408="RFW","Yes",IF(R408="RGX","Yes",IF(R408="RIS",IF(R408="RLI","Yes",IF(R408="RLM","Yes",IF(R408="RMD","Yes",IF(R408="RNG","Yes",IF(R408="ROP","Yes",IF(R408="ROX","Yes",IF(R408="RPB","Yes",IF(R408="RPG","Yes",IF(R408="RRE","Yes",IF(R408="RRW","Yes",IF(R408="RRY","Yes",IF(R408="RSB","Yes",IF(R408="RSC","Yes",IF(R408="RXB","Yes",IF(R408="RXC","Yes",IF(R408="RXD","Yes",IF(R408="RXE","Yes",IF(R408="RXG","Yes",IF(R408="RXS","Yes",)))))))))))))))))))))))))))))))))))))))</f>
        <v>0</v>
      </c>
      <c r="AR408" s="60" t="str">
        <f t="shared" si="45"/>
        <v>No</v>
      </c>
      <c r="AS408" s="60" t="str">
        <f t="shared" si="46"/>
        <v>No</v>
      </c>
    </row>
    <row r="409" spans="1:45" hidden="1">
      <c r="A409" s="103">
        <v>45243</v>
      </c>
      <c r="B409" s="117" t="s">
        <v>2172</v>
      </c>
      <c r="C409" s="28" t="s">
        <v>861</v>
      </c>
      <c r="D409" s="28" t="s">
        <v>2184</v>
      </c>
      <c r="F409" s="28" t="s">
        <v>2167</v>
      </c>
      <c r="G409" s="28" t="s">
        <v>514</v>
      </c>
      <c r="H409" s="28" t="s">
        <v>2175</v>
      </c>
      <c r="I409" s="28" t="s">
        <v>516</v>
      </c>
      <c r="J409" s="28" t="s">
        <v>517</v>
      </c>
      <c r="K409" s="28" t="s">
        <v>518</v>
      </c>
      <c r="L409" s="28" t="s">
        <v>1245</v>
      </c>
      <c r="M409" s="28" t="s">
        <v>535</v>
      </c>
      <c r="N409" s="28" t="s">
        <v>544</v>
      </c>
      <c r="S409" s="28" t="s">
        <v>960</v>
      </c>
      <c r="T409" s="28" t="s">
        <v>733</v>
      </c>
      <c r="U409" s="28" t="s">
        <v>1150</v>
      </c>
      <c r="V409" s="28" t="s">
        <v>517</v>
      </c>
      <c r="W409" s="28" t="s">
        <v>2185</v>
      </c>
      <c r="Z409" s="28" t="s">
        <v>563</v>
      </c>
      <c r="AB409" s="28" t="s">
        <v>527</v>
      </c>
      <c r="AD409" s="28" t="s">
        <v>954</v>
      </c>
      <c r="AF409" s="117" t="s">
        <v>2184</v>
      </c>
      <c r="AG409" s="28" t="s">
        <v>563</v>
      </c>
      <c r="AK409" s="60">
        <v>2</v>
      </c>
      <c r="AL409" s="28">
        <f>1/COUNTIF(Tableau6[LAT],B409)</f>
        <v>8.3333333333333329E-2</v>
      </c>
      <c r="AM409" s="60" t="b">
        <f t="shared" si="47"/>
        <v>0</v>
      </c>
      <c r="AN409" s="60" t="b">
        <f t="shared" si="48"/>
        <v>0</v>
      </c>
      <c r="AO409" s="60" t="b">
        <f t="shared" si="49"/>
        <v>0</v>
      </c>
      <c r="AP409" s="60" t="b">
        <f t="shared" si="50"/>
        <v>0</v>
      </c>
      <c r="AQ409" s="60" t="b">
        <f t="shared" si="51"/>
        <v>0</v>
      </c>
      <c r="AR409" s="60" t="str">
        <f t="shared" si="45"/>
        <v>No</v>
      </c>
      <c r="AS409" s="60" t="str">
        <f t="shared" si="46"/>
        <v>No</v>
      </c>
    </row>
    <row r="410" spans="1:45" hidden="1">
      <c r="A410" s="103">
        <v>45243</v>
      </c>
      <c r="B410" s="117" t="s">
        <v>2172</v>
      </c>
      <c r="D410" s="28" t="s">
        <v>2186</v>
      </c>
      <c r="F410" s="28" t="s">
        <v>2167</v>
      </c>
      <c r="G410" s="28" t="s">
        <v>514</v>
      </c>
      <c r="H410" s="28" t="s">
        <v>2175</v>
      </c>
      <c r="I410" s="28" t="s">
        <v>516</v>
      </c>
      <c r="J410" s="28" t="s">
        <v>517</v>
      </c>
      <c r="K410" s="28" t="s">
        <v>518</v>
      </c>
      <c r="L410" s="28" t="s">
        <v>1245</v>
      </c>
      <c r="M410" s="28" t="s">
        <v>535</v>
      </c>
      <c r="N410" s="28" t="s">
        <v>544</v>
      </c>
      <c r="S410" s="28" t="s">
        <v>960</v>
      </c>
      <c r="T410" s="28" t="s">
        <v>733</v>
      </c>
      <c r="U410" s="28" t="s">
        <v>1150</v>
      </c>
      <c r="V410" s="28" t="s">
        <v>517</v>
      </c>
      <c r="W410" s="28" t="s">
        <v>2182</v>
      </c>
      <c r="Z410" s="28" t="s">
        <v>563</v>
      </c>
      <c r="AB410" s="28" t="s">
        <v>527</v>
      </c>
      <c r="AD410" s="28" t="s">
        <v>954</v>
      </c>
      <c r="AF410" s="117" t="s">
        <v>2186</v>
      </c>
      <c r="AG410" s="28" t="s">
        <v>563</v>
      </c>
      <c r="AK410" s="60">
        <v>2</v>
      </c>
      <c r="AL410" s="28">
        <f>1/COUNTIF(Tableau6[LAT],B410)</f>
        <v>8.3333333333333329E-2</v>
      </c>
      <c r="AM410" s="60" t="b">
        <f t="shared" si="47"/>
        <v>0</v>
      </c>
      <c r="AN410" s="60" t="b">
        <f t="shared" si="48"/>
        <v>0</v>
      </c>
      <c r="AO410" s="60" t="b">
        <f t="shared" si="49"/>
        <v>0</v>
      </c>
      <c r="AP410" s="60" t="b">
        <f t="shared" si="50"/>
        <v>0</v>
      </c>
      <c r="AQ410" s="60" t="b">
        <f t="shared" si="51"/>
        <v>0</v>
      </c>
      <c r="AR410" s="60" t="str">
        <f t="shared" si="45"/>
        <v>No</v>
      </c>
      <c r="AS410" s="60" t="str">
        <f t="shared" si="46"/>
        <v>No</v>
      </c>
    </row>
    <row r="411" spans="1:45" hidden="1">
      <c r="A411" s="103">
        <v>45243</v>
      </c>
      <c r="B411" s="117" t="s">
        <v>2172</v>
      </c>
      <c r="C411" s="28" t="s">
        <v>864</v>
      </c>
      <c r="D411" s="28" t="s">
        <v>2187</v>
      </c>
      <c r="F411" s="28" t="s">
        <v>2167</v>
      </c>
      <c r="G411" s="28" t="s">
        <v>514</v>
      </c>
      <c r="H411" s="28" t="s">
        <v>2175</v>
      </c>
      <c r="I411" s="28" t="s">
        <v>516</v>
      </c>
      <c r="J411" s="28" t="s">
        <v>517</v>
      </c>
      <c r="K411" s="28" t="s">
        <v>518</v>
      </c>
      <c r="L411" s="28" t="s">
        <v>1245</v>
      </c>
      <c r="M411" s="28" t="s">
        <v>535</v>
      </c>
      <c r="N411" s="28" t="s">
        <v>544</v>
      </c>
      <c r="S411" s="28" t="s">
        <v>960</v>
      </c>
      <c r="T411" s="28" t="s">
        <v>733</v>
      </c>
      <c r="U411" s="28" t="s">
        <v>1150</v>
      </c>
      <c r="V411" s="28" t="s">
        <v>517</v>
      </c>
      <c r="W411" s="28" t="s">
        <v>2180</v>
      </c>
      <c r="Z411" s="28" t="s">
        <v>563</v>
      </c>
      <c r="AB411" s="28" t="s">
        <v>527</v>
      </c>
      <c r="AD411" s="28" t="s">
        <v>954</v>
      </c>
      <c r="AF411" s="117" t="s">
        <v>2187</v>
      </c>
      <c r="AG411" s="28" t="s">
        <v>563</v>
      </c>
      <c r="AK411" s="60">
        <v>2</v>
      </c>
      <c r="AL411" s="28">
        <f>1/COUNTIF(Tableau6[LAT],B411)</f>
        <v>8.3333333333333329E-2</v>
      </c>
      <c r="AM411" s="60" t="b">
        <f t="shared" si="47"/>
        <v>0</v>
      </c>
      <c r="AN411" s="60" t="b">
        <f t="shared" si="48"/>
        <v>0</v>
      </c>
      <c r="AO411" s="60" t="b">
        <f t="shared" si="49"/>
        <v>0</v>
      </c>
      <c r="AP411" s="60" t="b">
        <f t="shared" si="50"/>
        <v>0</v>
      </c>
      <c r="AQ411" s="60" t="b">
        <f t="shared" si="51"/>
        <v>0</v>
      </c>
      <c r="AR411" s="60" t="str">
        <f t="shared" si="45"/>
        <v>No</v>
      </c>
      <c r="AS411" s="60" t="str">
        <f t="shared" si="46"/>
        <v>No</v>
      </c>
    </row>
    <row r="412" spans="1:45" hidden="1">
      <c r="A412" s="103">
        <v>45243</v>
      </c>
      <c r="B412" s="117" t="s">
        <v>2172</v>
      </c>
      <c r="C412" s="28" t="s">
        <v>866</v>
      </c>
      <c r="D412" s="28" t="s">
        <v>2188</v>
      </c>
      <c r="F412" s="28" t="s">
        <v>1018</v>
      </c>
      <c r="G412" s="28" t="s">
        <v>514</v>
      </c>
      <c r="H412" s="28" t="s">
        <v>2175</v>
      </c>
      <c r="I412" s="28" t="s">
        <v>516</v>
      </c>
      <c r="J412" s="28" t="s">
        <v>517</v>
      </c>
      <c r="K412" s="28" t="s">
        <v>518</v>
      </c>
      <c r="L412" s="28" t="s">
        <v>1245</v>
      </c>
      <c r="M412" s="28" t="s">
        <v>535</v>
      </c>
      <c r="N412" s="28" t="s">
        <v>544</v>
      </c>
      <c r="S412" s="28" t="s">
        <v>960</v>
      </c>
      <c r="T412" s="28" t="s">
        <v>733</v>
      </c>
      <c r="U412" s="28" t="s">
        <v>1150</v>
      </c>
      <c r="V412" s="28" t="s">
        <v>517</v>
      </c>
      <c r="W412" s="28" t="s">
        <v>2185</v>
      </c>
      <c r="Z412" s="28" t="s">
        <v>563</v>
      </c>
      <c r="AB412" s="28" t="s">
        <v>527</v>
      </c>
      <c r="AD412" s="28" t="s">
        <v>954</v>
      </c>
      <c r="AF412" s="117" t="s">
        <v>2188</v>
      </c>
      <c r="AG412" s="28" t="s">
        <v>563</v>
      </c>
      <c r="AK412" s="60">
        <v>2</v>
      </c>
      <c r="AL412" s="28">
        <f>1/COUNTIF(Tableau6[LAT],B412)</f>
        <v>8.3333333333333329E-2</v>
      </c>
      <c r="AM412" s="60" t="b">
        <f t="shared" si="47"/>
        <v>0</v>
      </c>
      <c r="AN412" s="60" t="b">
        <f t="shared" si="48"/>
        <v>0</v>
      </c>
      <c r="AO412" s="60" t="b">
        <f t="shared" si="49"/>
        <v>0</v>
      </c>
      <c r="AP412" s="60" t="b">
        <f t="shared" si="50"/>
        <v>0</v>
      </c>
      <c r="AQ412" s="60" t="b">
        <f t="shared" si="51"/>
        <v>0</v>
      </c>
      <c r="AR412" s="60" t="str">
        <f t="shared" si="45"/>
        <v>No</v>
      </c>
      <c r="AS412" s="60" t="str">
        <f t="shared" si="46"/>
        <v>No</v>
      </c>
    </row>
    <row r="413" spans="1:45" hidden="1">
      <c r="A413" s="103">
        <v>45243</v>
      </c>
      <c r="B413" s="117" t="s">
        <v>2172</v>
      </c>
      <c r="C413" s="28" t="s">
        <v>868</v>
      </c>
      <c r="D413" s="28" t="s">
        <v>2189</v>
      </c>
      <c r="F413" s="28" t="s">
        <v>1018</v>
      </c>
      <c r="G413" s="28" t="s">
        <v>514</v>
      </c>
      <c r="H413" s="28" t="s">
        <v>2175</v>
      </c>
      <c r="I413" s="28" t="s">
        <v>516</v>
      </c>
      <c r="J413" s="28" t="s">
        <v>517</v>
      </c>
      <c r="K413" s="28" t="s">
        <v>518</v>
      </c>
      <c r="L413" s="28" t="s">
        <v>1245</v>
      </c>
      <c r="M413" s="28" t="s">
        <v>535</v>
      </c>
      <c r="N413" s="28" t="s">
        <v>544</v>
      </c>
      <c r="S413" s="28" t="s">
        <v>960</v>
      </c>
      <c r="T413" s="28" t="s">
        <v>733</v>
      </c>
      <c r="U413" s="28" t="s">
        <v>1150</v>
      </c>
      <c r="V413" s="28" t="s">
        <v>517</v>
      </c>
      <c r="W413" s="28" t="s">
        <v>2180</v>
      </c>
      <c r="Z413" s="28" t="s">
        <v>563</v>
      </c>
      <c r="AB413" s="28" t="s">
        <v>527</v>
      </c>
      <c r="AD413" s="28" t="s">
        <v>954</v>
      </c>
      <c r="AF413" s="117" t="s">
        <v>2189</v>
      </c>
      <c r="AG413" s="28" t="s">
        <v>563</v>
      </c>
      <c r="AK413" s="60">
        <v>2</v>
      </c>
      <c r="AL413" s="28">
        <f>1/COUNTIF(Tableau6[LAT],B413)</f>
        <v>8.3333333333333329E-2</v>
      </c>
      <c r="AM413" s="60" t="b">
        <f t="shared" si="47"/>
        <v>0</v>
      </c>
      <c r="AN413" s="60" t="b">
        <f t="shared" si="48"/>
        <v>0</v>
      </c>
      <c r="AO413" s="60" t="b">
        <f t="shared" si="49"/>
        <v>0</v>
      </c>
      <c r="AP413" s="60" t="b">
        <f t="shared" si="50"/>
        <v>0</v>
      </c>
      <c r="AQ413" s="60" t="b">
        <f t="shared" si="51"/>
        <v>0</v>
      </c>
      <c r="AR413" s="60" t="str">
        <f t="shared" si="45"/>
        <v>No</v>
      </c>
      <c r="AS413" s="60" t="str">
        <f t="shared" si="46"/>
        <v>No</v>
      </c>
    </row>
    <row r="414" spans="1:45" hidden="1">
      <c r="A414" s="103">
        <v>45243</v>
      </c>
      <c r="B414" s="117" t="s">
        <v>2172</v>
      </c>
      <c r="C414" s="28" t="s">
        <v>870</v>
      </c>
      <c r="D414" s="28" t="s">
        <v>2190</v>
      </c>
      <c r="F414" s="28" t="s">
        <v>1018</v>
      </c>
      <c r="G414" s="28" t="s">
        <v>514</v>
      </c>
      <c r="H414" s="28" t="s">
        <v>2175</v>
      </c>
      <c r="I414" s="28" t="s">
        <v>516</v>
      </c>
      <c r="J414" s="28" t="s">
        <v>517</v>
      </c>
      <c r="K414" s="28" t="s">
        <v>518</v>
      </c>
      <c r="L414" s="28" t="s">
        <v>1245</v>
      </c>
      <c r="M414" s="28" t="s">
        <v>535</v>
      </c>
      <c r="N414" s="28" t="s">
        <v>544</v>
      </c>
      <c r="S414" s="28" t="s">
        <v>960</v>
      </c>
      <c r="T414" s="28" t="s">
        <v>733</v>
      </c>
      <c r="U414" s="28" t="s">
        <v>1150</v>
      </c>
      <c r="V414" s="28" t="s">
        <v>517</v>
      </c>
      <c r="W414" s="28" t="s">
        <v>2180</v>
      </c>
      <c r="Z414" s="28" t="s">
        <v>563</v>
      </c>
      <c r="AB414" s="28" t="s">
        <v>527</v>
      </c>
      <c r="AD414" s="28" t="s">
        <v>954</v>
      </c>
      <c r="AF414" s="117" t="s">
        <v>2190</v>
      </c>
      <c r="AG414" s="28" t="s">
        <v>563</v>
      </c>
      <c r="AK414" s="60">
        <v>2</v>
      </c>
      <c r="AL414" s="28">
        <f>1/COUNTIF(Tableau6[LAT],B414)</f>
        <v>8.3333333333333329E-2</v>
      </c>
      <c r="AM414" s="60" t="b">
        <f t="shared" si="47"/>
        <v>0</v>
      </c>
      <c r="AN414" s="60" t="b">
        <f t="shared" si="48"/>
        <v>0</v>
      </c>
      <c r="AO414" s="60" t="b">
        <f t="shared" si="49"/>
        <v>0</v>
      </c>
      <c r="AP414" s="60" t="b">
        <f t="shared" si="50"/>
        <v>0</v>
      </c>
      <c r="AQ414" s="60" t="b">
        <f t="shared" si="51"/>
        <v>0</v>
      </c>
      <c r="AR414" s="60" t="str">
        <f t="shared" si="45"/>
        <v>No</v>
      </c>
      <c r="AS414" s="60" t="str">
        <f t="shared" si="46"/>
        <v>No</v>
      </c>
    </row>
    <row r="415" spans="1:45" hidden="1">
      <c r="A415" s="103">
        <v>45243</v>
      </c>
      <c r="B415" s="117" t="s">
        <v>2172</v>
      </c>
      <c r="C415" s="28" t="s">
        <v>872</v>
      </c>
      <c r="D415" s="28" t="s">
        <v>2191</v>
      </c>
      <c r="F415" s="28" t="s">
        <v>1018</v>
      </c>
      <c r="G415" s="28" t="s">
        <v>514</v>
      </c>
      <c r="H415" s="28" t="s">
        <v>2175</v>
      </c>
      <c r="I415" s="28" t="s">
        <v>516</v>
      </c>
      <c r="J415" s="28" t="s">
        <v>517</v>
      </c>
      <c r="K415" s="28" t="s">
        <v>518</v>
      </c>
      <c r="L415" s="28" t="s">
        <v>1245</v>
      </c>
      <c r="M415" s="28" t="s">
        <v>535</v>
      </c>
      <c r="N415" s="28" t="s">
        <v>544</v>
      </c>
      <c r="S415" s="28" t="s">
        <v>960</v>
      </c>
      <c r="T415" s="28" t="s">
        <v>733</v>
      </c>
      <c r="U415" s="28" t="s">
        <v>1150</v>
      </c>
      <c r="V415" s="28" t="s">
        <v>517</v>
      </c>
      <c r="W415" s="28" t="s">
        <v>2180</v>
      </c>
      <c r="Z415" s="28" t="s">
        <v>563</v>
      </c>
      <c r="AB415" s="28" t="s">
        <v>527</v>
      </c>
      <c r="AD415" s="28" t="s">
        <v>954</v>
      </c>
      <c r="AF415" s="117" t="s">
        <v>2191</v>
      </c>
      <c r="AG415" s="28" t="s">
        <v>563</v>
      </c>
      <c r="AK415" s="60">
        <v>2</v>
      </c>
      <c r="AL415" s="28">
        <f>1/COUNTIF(Tableau6[LAT],B415)</f>
        <v>8.3333333333333329E-2</v>
      </c>
      <c r="AM415" s="60" t="b">
        <f t="shared" si="47"/>
        <v>0</v>
      </c>
      <c r="AN415" s="60" t="b">
        <f t="shared" si="48"/>
        <v>0</v>
      </c>
      <c r="AO415" s="60" t="b">
        <f t="shared" si="49"/>
        <v>0</v>
      </c>
      <c r="AP415" s="60" t="b">
        <f t="shared" si="50"/>
        <v>0</v>
      </c>
      <c r="AQ415" s="60" t="b">
        <f t="shared" si="51"/>
        <v>0</v>
      </c>
      <c r="AR415" s="60" t="str">
        <f t="shared" si="45"/>
        <v>No</v>
      </c>
      <c r="AS415" s="60" t="str">
        <f t="shared" si="46"/>
        <v>No</v>
      </c>
    </row>
    <row r="416" spans="1:45" hidden="1">
      <c r="A416" s="103">
        <v>45243</v>
      </c>
      <c r="B416" s="117" t="s">
        <v>2192</v>
      </c>
      <c r="C416" s="28" t="s">
        <v>511</v>
      </c>
      <c r="D416" s="28" t="s">
        <v>2193</v>
      </c>
      <c r="F416" s="28" t="s">
        <v>2194</v>
      </c>
      <c r="G416" s="28" t="s">
        <v>665</v>
      </c>
      <c r="H416" s="28" t="s">
        <v>1120</v>
      </c>
      <c r="I416" s="28" t="s">
        <v>516</v>
      </c>
      <c r="J416" s="28" t="s">
        <v>517</v>
      </c>
      <c r="K416" s="28" t="s">
        <v>518</v>
      </c>
      <c r="L416" s="28" t="s">
        <v>1491</v>
      </c>
      <c r="M416" s="28" t="s">
        <v>520</v>
      </c>
      <c r="N416" s="28" t="s">
        <v>522</v>
      </c>
      <c r="S416" s="28" t="s">
        <v>524</v>
      </c>
      <c r="T416" s="28" t="s">
        <v>1494</v>
      </c>
      <c r="U416" s="28" t="s">
        <v>1494</v>
      </c>
      <c r="V416" s="28" t="s">
        <v>517</v>
      </c>
      <c r="W416" s="28" t="s">
        <v>2195</v>
      </c>
      <c r="Z416" s="28" t="s">
        <v>563</v>
      </c>
      <c r="AB416" s="28" t="s">
        <v>527</v>
      </c>
      <c r="AD416" s="28" t="s">
        <v>954</v>
      </c>
      <c r="AF416" s="117" t="s">
        <v>2193</v>
      </c>
      <c r="AG416" s="28" t="s">
        <v>563</v>
      </c>
      <c r="AK416" s="60">
        <v>2</v>
      </c>
      <c r="AL416" s="28">
        <f>1/COUNTIF(Tableau6[LAT],B416)</f>
        <v>1</v>
      </c>
      <c r="AM416" s="60" t="b">
        <f t="shared" si="47"/>
        <v>0</v>
      </c>
      <c r="AN416" s="60" t="b">
        <f t="shared" si="48"/>
        <v>0</v>
      </c>
      <c r="AO416" s="60" t="b">
        <f t="shared" si="49"/>
        <v>0</v>
      </c>
      <c r="AP416" s="60" t="b">
        <f t="shared" si="50"/>
        <v>0</v>
      </c>
      <c r="AQ416" s="60" t="b">
        <f t="shared" si="51"/>
        <v>0</v>
      </c>
      <c r="AR416" s="60" t="str">
        <f t="shared" si="45"/>
        <v>No</v>
      </c>
      <c r="AS416" s="60" t="str">
        <f t="shared" si="46"/>
        <v>No</v>
      </c>
    </row>
    <row r="417" spans="1:45" hidden="1">
      <c r="A417" s="103">
        <v>45243</v>
      </c>
      <c r="B417" s="117" t="s">
        <v>2196</v>
      </c>
      <c r="C417" s="28" t="s">
        <v>511</v>
      </c>
      <c r="D417" s="28" t="s">
        <v>2197</v>
      </c>
      <c r="F417" s="28" t="s">
        <v>2198</v>
      </c>
      <c r="G417" s="28" t="s">
        <v>514</v>
      </c>
      <c r="H417" s="28" t="s">
        <v>1340</v>
      </c>
      <c r="I417" s="28" t="s">
        <v>516</v>
      </c>
      <c r="J417" s="28" t="s">
        <v>517</v>
      </c>
      <c r="K417" s="28" t="s">
        <v>518</v>
      </c>
      <c r="L417" s="28" t="s">
        <v>1157</v>
      </c>
      <c r="M417" s="28" t="s">
        <v>535</v>
      </c>
      <c r="N417" s="28" t="s">
        <v>1637</v>
      </c>
      <c r="O417" s="28" t="s">
        <v>1383</v>
      </c>
      <c r="P417" s="28" t="s">
        <v>521</v>
      </c>
      <c r="Q417" s="28" t="s">
        <v>522</v>
      </c>
      <c r="R417" s="28" t="s">
        <v>559</v>
      </c>
      <c r="S417" s="28" t="s">
        <v>2199</v>
      </c>
      <c r="T417" s="28" t="s">
        <v>1159</v>
      </c>
      <c r="U417" s="28" t="s">
        <v>1159</v>
      </c>
      <c r="V417" s="28" t="s">
        <v>517</v>
      </c>
      <c r="W417" s="28" t="s">
        <v>2200</v>
      </c>
      <c r="Z417" s="28" t="s">
        <v>526</v>
      </c>
      <c r="AD417" s="28" t="s">
        <v>528</v>
      </c>
      <c r="AF417" s="117" t="s">
        <v>2197</v>
      </c>
      <c r="AG417" s="28" t="s">
        <v>529</v>
      </c>
      <c r="AK417" s="60">
        <v>2</v>
      </c>
      <c r="AL417" s="28">
        <f>1/COUNTIF(Tableau6[LAT],B417)</f>
        <v>1</v>
      </c>
      <c r="AM417" s="60" t="b">
        <f t="shared" si="47"/>
        <v>0</v>
      </c>
      <c r="AN417" s="60" t="b">
        <f t="shared" si="48"/>
        <v>0</v>
      </c>
      <c r="AO417" s="60" t="b">
        <f t="shared" si="49"/>
        <v>0</v>
      </c>
      <c r="AP417" s="60" t="b">
        <f t="shared" si="50"/>
        <v>0</v>
      </c>
      <c r="AQ417" s="60" t="b">
        <f t="shared" si="51"/>
        <v>0</v>
      </c>
      <c r="AR417" s="60" t="str">
        <f t="shared" si="45"/>
        <v>No</v>
      </c>
      <c r="AS417" s="60" t="str">
        <f t="shared" si="46"/>
        <v>No</v>
      </c>
    </row>
    <row r="418" spans="1:45" hidden="1">
      <c r="A418" s="103">
        <v>45243</v>
      </c>
      <c r="B418" s="117" t="s">
        <v>2201</v>
      </c>
      <c r="C418" s="28" t="s">
        <v>511</v>
      </c>
      <c r="D418" s="28" t="s">
        <v>2202</v>
      </c>
      <c r="E418" s="28" t="s">
        <v>2203</v>
      </c>
      <c r="F418" s="28" t="s">
        <v>2204</v>
      </c>
      <c r="G418" s="28" t="s">
        <v>979</v>
      </c>
      <c r="H418" s="28" t="s">
        <v>2205</v>
      </c>
      <c r="I418" s="28" t="s">
        <v>516</v>
      </c>
      <c r="J418" s="28" t="s">
        <v>517</v>
      </c>
      <c r="K418" s="28" t="s">
        <v>518</v>
      </c>
      <c r="L418" s="28" t="s">
        <v>1157</v>
      </c>
      <c r="M418" s="28" t="s">
        <v>535</v>
      </c>
      <c r="N418" s="28" t="s">
        <v>1637</v>
      </c>
      <c r="O418" s="28" t="s">
        <v>1383</v>
      </c>
      <c r="P418" s="28" t="s">
        <v>521</v>
      </c>
      <c r="S418" s="28" t="s">
        <v>2199</v>
      </c>
      <c r="T418" s="28" t="s">
        <v>1159</v>
      </c>
      <c r="U418" s="28" t="s">
        <v>1159</v>
      </c>
      <c r="V418" s="28" t="s">
        <v>517</v>
      </c>
      <c r="W418" s="28" t="s">
        <v>2206</v>
      </c>
      <c r="X418" s="28" t="s">
        <v>670</v>
      </c>
      <c r="Z418" s="28" t="s">
        <v>526</v>
      </c>
      <c r="AD418" s="28" t="s">
        <v>954</v>
      </c>
      <c r="AF418" s="117" t="s">
        <v>2202</v>
      </c>
      <c r="AG418" s="28" t="s">
        <v>563</v>
      </c>
      <c r="AK418" s="60">
        <v>2</v>
      </c>
      <c r="AL418" s="28">
        <f>1/COUNTIF(Tableau6[LAT],B418)</f>
        <v>0.14285714285714285</v>
      </c>
      <c r="AM418" s="60" t="b">
        <f t="shared" si="47"/>
        <v>0</v>
      </c>
      <c r="AN418" s="60" t="b">
        <f t="shared" si="48"/>
        <v>0</v>
      </c>
      <c r="AO418" s="60" t="b">
        <f t="shared" si="49"/>
        <v>0</v>
      </c>
      <c r="AP418" s="60" t="b">
        <f t="shared" si="50"/>
        <v>0</v>
      </c>
      <c r="AQ418" s="60" t="b">
        <f t="shared" si="51"/>
        <v>0</v>
      </c>
      <c r="AR418" s="60" t="str">
        <f t="shared" si="45"/>
        <v>No</v>
      </c>
      <c r="AS418" s="60" t="str">
        <f t="shared" si="46"/>
        <v>No</v>
      </c>
    </row>
    <row r="419" spans="1:45" hidden="1">
      <c r="A419" s="103">
        <v>45243</v>
      </c>
      <c r="B419" s="117" t="s">
        <v>2201</v>
      </c>
      <c r="C419" s="28" t="s">
        <v>548</v>
      </c>
      <c r="D419" s="28" t="s">
        <v>2207</v>
      </c>
      <c r="F419" s="28" t="s">
        <v>2208</v>
      </c>
      <c r="G419" s="28" t="s">
        <v>514</v>
      </c>
      <c r="H419" s="28" t="s">
        <v>2119</v>
      </c>
      <c r="I419" s="28" t="s">
        <v>516</v>
      </c>
      <c r="J419" s="28" t="s">
        <v>517</v>
      </c>
      <c r="K419" s="28" t="s">
        <v>518</v>
      </c>
      <c r="L419" s="28" t="s">
        <v>1157</v>
      </c>
      <c r="M419" s="28" t="s">
        <v>535</v>
      </c>
      <c r="N419" s="28" t="s">
        <v>1637</v>
      </c>
      <c r="O419" s="28" t="s">
        <v>1383</v>
      </c>
      <c r="P419" s="28" t="s">
        <v>521</v>
      </c>
      <c r="S419" s="28" t="s">
        <v>2199</v>
      </c>
      <c r="T419" s="28" t="s">
        <v>1159</v>
      </c>
      <c r="U419" s="28" t="s">
        <v>1159</v>
      </c>
      <c r="V419" s="28" t="s">
        <v>517</v>
      </c>
      <c r="W419" s="28" t="s">
        <v>2209</v>
      </c>
      <c r="Z419" s="28" t="s">
        <v>526</v>
      </c>
      <c r="AD419" s="28" t="s">
        <v>954</v>
      </c>
      <c r="AF419" s="117" t="s">
        <v>2207</v>
      </c>
      <c r="AG419" s="28" t="s">
        <v>563</v>
      </c>
      <c r="AK419" s="60">
        <v>2</v>
      </c>
      <c r="AL419" s="28">
        <f>1/COUNTIF(Tableau6[LAT],B419)</f>
        <v>0.14285714285714285</v>
      </c>
      <c r="AM419" s="60" t="b">
        <f t="shared" si="47"/>
        <v>0</v>
      </c>
      <c r="AN419" s="60" t="b">
        <f t="shared" si="48"/>
        <v>0</v>
      </c>
      <c r="AO419" s="60" t="b">
        <f t="shared" si="49"/>
        <v>0</v>
      </c>
      <c r="AP419" s="60" t="b">
        <f t="shared" si="50"/>
        <v>0</v>
      </c>
      <c r="AQ419" s="60" t="b">
        <f t="shared" si="51"/>
        <v>0</v>
      </c>
      <c r="AR419" s="60" t="str">
        <f t="shared" si="45"/>
        <v>No</v>
      </c>
      <c r="AS419" s="60" t="str">
        <f t="shared" si="46"/>
        <v>No</v>
      </c>
    </row>
    <row r="420" spans="1:45" hidden="1">
      <c r="A420" s="103">
        <v>45243</v>
      </c>
      <c r="B420" s="117" t="s">
        <v>2201</v>
      </c>
      <c r="C420" s="28" t="s">
        <v>612</v>
      </c>
      <c r="D420" s="28" t="s">
        <v>2210</v>
      </c>
      <c r="F420" s="28" t="s">
        <v>2208</v>
      </c>
      <c r="G420" s="28" t="s">
        <v>514</v>
      </c>
      <c r="H420" s="28" t="s">
        <v>2211</v>
      </c>
      <c r="I420" s="28" t="s">
        <v>516</v>
      </c>
      <c r="J420" s="28" t="s">
        <v>517</v>
      </c>
      <c r="K420" s="28" t="s">
        <v>518</v>
      </c>
      <c r="L420" s="28" t="s">
        <v>1157</v>
      </c>
      <c r="M420" s="28" t="s">
        <v>535</v>
      </c>
      <c r="N420" s="28" t="s">
        <v>1637</v>
      </c>
      <c r="O420" s="28" t="s">
        <v>1383</v>
      </c>
      <c r="P420" s="28" t="s">
        <v>521</v>
      </c>
      <c r="S420" s="28" t="s">
        <v>2199</v>
      </c>
      <c r="T420" s="28" t="s">
        <v>1159</v>
      </c>
      <c r="U420" s="28" t="s">
        <v>1159</v>
      </c>
      <c r="V420" s="28" t="s">
        <v>517</v>
      </c>
      <c r="W420" s="28" t="s">
        <v>2212</v>
      </c>
      <c r="Z420" s="28" t="s">
        <v>526</v>
      </c>
      <c r="AD420" s="28" t="s">
        <v>954</v>
      </c>
      <c r="AF420" s="117" t="s">
        <v>2210</v>
      </c>
      <c r="AG420" s="28" t="s">
        <v>563</v>
      </c>
      <c r="AK420" s="60">
        <v>2</v>
      </c>
      <c r="AL420" s="28">
        <f>1/COUNTIF(Tableau6[LAT],B420)</f>
        <v>0.14285714285714285</v>
      </c>
      <c r="AM420" s="60" t="b">
        <f t="shared" si="47"/>
        <v>0</v>
      </c>
      <c r="AN420" s="60" t="b">
        <f t="shared" si="48"/>
        <v>0</v>
      </c>
      <c r="AO420" s="60" t="b">
        <f t="shared" si="49"/>
        <v>0</v>
      </c>
      <c r="AP420" s="60" t="b">
        <f t="shared" si="50"/>
        <v>0</v>
      </c>
      <c r="AQ420" s="60" t="b">
        <f t="shared" si="51"/>
        <v>0</v>
      </c>
      <c r="AR420" s="60" t="str">
        <f t="shared" si="45"/>
        <v>No</v>
      </c>
      <c r="AS420" s="60" t="str">
        <f t="shared" si="46"/>
        <v>No</v>
      </c>
    </row>
    <row r="421" spans="1:45" hidden="1">
      <c r="A421" s="103">
        <v>45243</v>
      </c>
      <c r="B421" s="117" t="s">
        <v>2201</v>
      </c>
      <c r="C421" s="28" t="s">
        <v>691</v>
      </c>
      <c r="D421" s="28" t="s">
        <v>2213</v>
      </c>
      <c r="F421" s="28" t="s">
        <v>2208</v>
      </c>
      <c r="G421" s="28" t="s">
        <v>514</v>
      </c>
      <c r="H421" s="28" t="s">
        <v>2211</v>
      </c>
      <c r="I421" s="28" t="s">
        <v>516</v>
      </c>
      <c r="J421" s="28" t="s">
        <v>517</v>
      </c>
      <c r="K421" s="28" t="s">
        <v>518</v>
      </c>
      <c r="L421" s="28" t="s">
        <v>1157</v>
      </c>
      <c r="M421" s="28" t="s">
        <v>535</v>
      </c>
      <c r="N421" s="28" t="s">
        <v>1637</v>
      </c>
      <c r="O421" s="28" t="s">
        <v>1383</v>
      </c>
      <c r="P421" s="28" t="s">
        <v>521</v>
      </c>
      <c r="S421" s="28" t="s">
        <v>2199</v>
      </c>
      <c r="T421" s="28" t="s">
        <v>1159</v>
      </c>
      <c r="U421" s="28" t="s">
        <v>1159</v>
      </c>
      <c r="V421" s="28" t="s">
        <v>517</v>
      </c>
      <c r="W421" s="28" t="s">
        <v>2214</v>
      </c>
      <c r="Z421" s="28" t="s">
        <v>526</v>
      </c>
      <c r="AD421" s="28" t="s">
        <v>954</v>
      </c>
      <c r="AF421" s="117" t="s">
        <v>2213</v>
      </c>
      <c r="AG421" s="28" t="s">
        <v>563</v>
      </c>
      <c r="AK421" s="60">
        <v>2</v>
      </c>
      <c r="AL421" s="28">
        <f>1/COUNTIF(Tableau6[LAT],B421)</f>
        <v>0.14285714285714285</v>
      </c>
      <c r="AM421" s="60" t="b">
        <f t="shared" si="47"/>
        <v>0</v>
      </c>
      <c r="AN421" s="60" t="b">
        <f t="shared" si="48"/>
        <v>0</v>
      </c>
      <c r="AO421" s="60" t="b">
        <f t="shared" si="49"/>
        <v>0</v>
      </c>
      <c r="AP421" s="60" t="b">
        <f t="shared" si="50"/>
        <v>0</v>
      </c>
      <c r="AQ421" s="60" t="b">
        <f t="shared" si="51"/>
        <v>0</v>
      </c>
      <c r="AR421" s="60" t="str">
        <f t="shared" si="45"/>
        <v>No</v>
      </c>
      <c r="AS421" s="60" t="str">
        <f t="shared" si="46"/>
        <v>No</v>
      </c>
    </row>
    <row r="422" spans="1:45" hidden="1">
      <c r="A422" s="103">
        <v>45243</v>
      </c>
      <c r="B422" s="117" t="s">
        <v>2201</v>
      </c>
      <c r="C422" s="28" t="s">
        <v>859</v>
      </c>
      <c r="D422" s="28" t="s">
        <v>2215</v>
      </c>
      <c r="F422" s="28" t="s">
        <v>2208</v>
      </c>
      <c r="G422" s="28" t="s">
        <v>514</v>
      </c>
      <c r="H422" s="28" t="s">
        <v>2211</v>
      </c>
      <c r="I422" s="28" t="s">
        <v>516</v>
      </c>
      <c r="J422" s="28" t="s">
        <v>517</v>
      </c>
      <c r="K422" s="28" t="s">
        <v>518</v>
      </c>
      <c r="L422" s="28" t="s">
        <v>1157</v>
      </c>
      <c r="M422" s="28" t="s">
        <v>535</v>
      </c>
      <c r="N422" s="28" t="s">
        <v>1637</v>
      </c>
      <c r="O422" s="28" t="s">
        <v>1383</v>
      </c>
      <c r="P422" s="28" t="s">
        <v>521</v>
      </c>
      <c r="S422" s="28" t="s">
        <v>2199</v>
      </c>
      <c r="T422" s="28" t="s">
        <v>1159</v>
      </c>
      <c r="U422" s="28" t="s">
        <v>1159</v>
      </c>
      <c r="V422" s="28" t="s">
        <v>517</v>
      </c>
      <c r="W422" s="28" t="s">
        <v>2216</v>
      </c>
      <c r="Z422" s="28" t="s">
        <v>526</v>
      </c>
      <c r="AD422" s="28" t="s">
        <v>954</v>
      </c>
      <c r="AF422" s="117" t="s">
        <v>2215</v>
      </c>
      <c r="AG422" s="28" t="s">
        <v>563</v>
      </c>
      <c r="AK422" s="60">
        <v>2</v>
      </c>
      <c r="AL422" s="28">
        <f>1/COUNTIF(Tableau6[LAT],B422)</f>
        <v>0.14285714285714285</v>
      </c>
      <c r="AM422" s="60" t="b">
        <f t="shared" si="47"/>
        <v>0</v>
      </c>
      <c r="AN422" s="60" t="b">
        <f t="shared" si="48"/>
        <v>0</v>
      </c>
      <c r="AO422" s="60" t="b">
        <f t="shared" si="49"/>
        <v>0</v>
      </c>
      <c r="AP422" s="60" t="b">
        <f t="shared" si="50"/>
        <v>0</v>
      </c>
      <c r="AQ422" s="60" t="b">
        <f t="shared" si="51"/>
        <v>0</v>
      </c>
      <c r="AR422" s="60" t="str">
        <f t="shared" si="45"/>
        <v>No</v>
      </c>
      <c r="AS422" s="60" t="str">
        <f t="shared" si="46"/>
        <v>No</v>
      </c>
    </row>
    <row r="423" spans="1:45" hidden="1">
      <c r="A423" s="103">
        <v>45243</v>
      </c>
      <c r="B423" s="117" t="s">
        <v>2201</v>
      </c>
      <c r="C423" s="28" t="s">
        <v>861</v>
      </c>
      <c r="D423" s="28" t="s">
        <v>2217</v>
      </c>
      <c r="F423" s="28" t="s">
        <v>2208</v>
      </c>
      <c r="G423" s="28" t="s">
        <v>514</v>
      </c>
      <c r="H423" s="28" t="s">
        <v>2211</v>
      </c>
      <c r="I423" s="28" t="s">
        <v>516</v>
      </c>
      <c r="J423" s="28" t="s">
        <v>517</v>
      </c>
      <c r="K423" s="28" t="s">
        <v>518</v>
      </c>
      <c r="L423" s="28" t="s">
        <v>1157</v>
      </c>
      <c r="M423" s="28" t="s">
        <v>535</v>
      </c>
      <c r="N423" s="28" t="s">
        <v>1637</v>
      </c>
      <c r="O423" s="28" t="s">
        <v>1383</v>
      </c>
      <c r="P423" s="28" t="s">
        <v>521</v>
      </c>
      <c r="S423" s="28" t="s">
        <v>2199</v>
      </c>
      <c r="T423" s="28" t="s">
        <v>1159</v>
      </c>
      <c r="U423" s="28" t="s">
        <v>1159</v>
      </c>
      <c r="V423" s="28" t="s">
        <v>517</v>
      </c>
      <c r="W423" s="28" t="s">
        <v>2218</v>
      </c>
      <c r="Z423" s="28" t="s">
        <v>526</v>
      </c>
      <c r="AD423" s="28" t="s">
        <v>954</v>
      </c>
      <c r="AF423" s="117" t="s">
        <v>2217</v>
      </c>
      <c r="AG423" s="28" t="s">
        <v>563</v>
      </c>
      <c r="AK423" s="60">
        <v>2</v>
      </c>
      <c r="AL423" s="28">
        <f>1/COUNTIF(Tableau6[LAT],B423)</f>
        <v>0.14285714285714285</v>
      </c>
      <c r="AM423" s="60" t="b">
        <f t="shared" si="47"/>
        <v>0</v>
      </c>
      <c r="AN423" s="60" t="b">
        <f t="shared" si="48"/>
        <v>0</v>
      </c>
      <c r="AO423" s="60" t="b">
        <f t="shared" si="49"/>
        <v>0</v>
      </c>
      <c r="AP423" s="60" t="b">
        <f t="shared" si="50"/>
        <v>0</v>
      </c>
      <c r="AQ423" s="60" t="b">
        <f t="shared" si="51"/>
        <v>0</v>
      </c>
      <c r="AR423" s="60" t="str">
        <f t="shared" si="45"/>
        <v>No</v>
      </c>
      <c r="AS423" s="60" t="str">
        <f t="shared" si="46"/>
        <v>No</v>
      </c>
    </row>
    <row r="424" spans="1:45" hidden="1">
      <c r="A424" s="103">
        <v>45243</v>
      </c>
      <c r="B424" s="117" t="s">
        <v>2201</v>
      </c>
      <c r="D424" s="28" t="s">
        <v>2219</v>
      </c>
      <c r="F424" s="28" t="s">
        <v>2208</v>
      </c>
      <c r="G424" s="28" t="s">
        <v>514</v>
      </c>
      <c r="H424" s="28" t="s">
        <v>2119</v>
      </c>
      <c r="I424" s="28" t="s">
        <v>516</v>
      </c>
      <c r="J424" s="28" t="s">
        <v>517</v>
      </c>
      <c r="K424" s="28" t="s">
        <v>518</v>
      </c>
      <c r="L424" s="28" t="s">
        <v>1157</v>
      </c>
      <c r="M424" s="28" t="s">
        <v>535</v>
      </c>
      <c r="N424" s="28" t="s">
        <v>1637</v>
      </c>
      <c r="O424" s="28" t="s">
        <v>1383</v>
      </c>
      <c r="P424" s="28" t="s">
        <v>521</v>
      </c>
      <c r="S424" s="28" t="s">
        <v>2199</v>
      </c>
      <c r="T424" s="28" t="s">
        <v>1159</v>
      </c>
      <c r="U424" s="28" t="s">
        <v>1159</v>
      </c>
      <c r="V424" s="28" t="s">
        <v>517</v>
      </c>
      <c r="W424" s="28" t="s">
        <v>2220</v>
      </c>
      <c r="Z424" s="28" t="s">
        <v>526</v>
      </c>
      <c r="AD424" s="28" t="s">
        <v>954</v>
      </c>
      <c r="AF424" s="117" t="s">
        <v>2219</v>
      </c>
      <c r="AG424" s="28" t="s">
        <v>563</v>
      </c>
      <c r="AK424" s="60">
        <v>2</v>
      </c>
      <c r="AL424" s="28">
        <f>1/COUNTIF(Tableau6[LAT],B424)</f>
        <v>0.14285714285714285</v>
      </c>
      <c r="AM424" s="60" t="b">
        <f t="shared" si="47"/>
        <v>0</v>
      </c>
      <c r="AN424" s="60" t="b">
        <f t="shared" si="48"/>
        <v>0</v>
      </c>
      <c r="AO424" s="60" t="b">
        <f t="shared" si="49"/>
        <v>0</v>
      </c>
      <c r="AP424" s="60" t="b">
        <f t="shared" si="50"/>
        <v>0</v>
      </c>
      <c r="AQ424" s="60" t="b">
        <f t="shared" si="51"/>
        <v>0</v>
      </c>
      <c r="AR424" s="60" t="str">
        <f t="shared" si="45"/>
        <v>No</v>
      </c>
      <c r="AS424" s="60" t="str">
        <f t="shared" si="46"/>
        <v>No</v>
      </c>
    </row>
    <row r="425" spans="1:45" hidden="1">
      <c r="A425" s="103">
        <v>45243</v>
      </c>
      <c r="B425" s="117" t="s">
        <v>2221</v>
      </c>
      <c r="C425" s="28" t="s">
        <v>511</v>
      </c>
      <c r="D425" s="28" t="s">
        <v>2222</v>
      </c>
      <c r="F425" s="28" t="s">
        <v>2223</v>
      </c>
      <c r="G425" s="28" t="s">
        <v>514</v>
      </c>
      <c r="H425" s="28" t="s">
        <v>1580</v>
      </c>
      <c r="I425" s="28" t="s">
        <v>516</v>
      </c>
      <c r="J425" s="28" t="s">
        <v>517</v>
      </c>
      <c r="K425" s="28" t="s">
        <v>682</v>
      </c>
      <c r="L425" s="28" t="s">
        <v>683</v>
      </c>
      <c r="M425" s="28" t="s">
        <v>535</v>
      </c>
      <c r="N425" s="28" t="s">
        <v>557</v>
      </c>
      <c r="O425" s="28" t="s">
        <v>559</v>
      </c>
      <c r="S425" s="28" t="s">
        <v>1226</v>
      </c>
      <c r="T425" s="28" t="s">
        <v>545</v>
      </c>
      <c r="U425" s="28" t="s">
        <v>545</v>
      </c>
      <c r="V425" s="28" t="s">
        <v>517</v>
      </c>
      <c r="W425" s="28" t="s">
        <v>2224</v>
      </c>
      <c r="Z425" s="28" t="s">
        <v>563</v>
      </c>
      <c r="AB425" s="28" t="s">
        <v>527</v>
      </c>
      <c r="AD425" s="28" t="s">
        <v>954</v>
      </c>
      <c r="AF425" s="117" t="s">
        <v>2222</v>
      </c>
      <c r="AG425" s="28" t="s">
        <v>563</v>
      </c>
      <c r="AK425" s="60">
        <v>2</v>
      </c>
      <c r="AL425" s="28">
        <f>1/COUNTIF(Tableau6[LAT],B425)</f>
        <v>1</v>
      </c>
      <c r="AM425" s="60" t="b">
        <f t="shared" si="47"/>
        <v>0</v>
      </c>
      <c r="AN425" s="60" t="b">
        <f t="shared" si="48"/>
        <v>0</v>
      </c>
      <c r="AO425" s="60" t="b">
        <f t="shared" si="49"/>
        <v>0</v>
      </c>
      <c r="AP425" s="60" t="b">
        <f t="shared" si="50"/>
        <v>0</v>
      </c>
      <c r="AQ425" s="60" t="b">
        <f t="shared" si="51"/>
        <v>0</v>
      </c>
      <c r="AR425" s="60" t="str">
        <f t="shared" si="45"/>
        <v>No</v>
      </c>
      <c r="AS425" s="60" t="str">
        <f t="shared" si="46"/>
        <v>No</v>
      </c>
    </row>
    <row r="426" spans="1:45" hidden="1">
      <c r="A426" s="103">
        <v>45243</v>
      </c>
      <c r="B426" s="117" t="s">
        <v>2225</v>
      </c>
      <c r="C426" s="28" t="s">
        <v>511</v>
      </c>
      <c r="D426" s="28" t="s">
        <v>2226</v>
      </c>
      <c r="F426" s="28" t="s">
        <v>1311</v>
      </c>
      <c r="G426" s="28" t="s">
        <v>514</v>
      </c>
      <c r="H426" s="28" t="s">
        <v>2227</v>
      </c>
      <c r="I426" s="28" t="s">
        <v>516</v>
      </c>
      <c r="J426" s="28" t="s">
        <v>517</v>
      </c>
      <c r="K426" s="28" t="s">
        <v>518</v>
      </c>
      <c r="L426" s="28" t="s">
        <v>1040</v>
      </c>
      <c r="M426" s="28" t="s">
        <v>535</v>
      </c>
      <c r="N426" s="28" t="s">
        <v>521</v>
      </c>
      <c r="O426" s="28" t="s">
        <v>544</v>
      </c>
      <c r="P426" s="28" t="s">
        <v>522</v>
      </c>
      <c r="S426" s="28" t="s">
        <v>1366</v>
      </c>
      <c r="T426" s="28" t="s">
        <v>1042</v>
      </c>
      <c r="U426" s="28" t="s">
        <v>1042</v>
      </c>
      <c r="V426" s="28" t="s">
        <v>517</v>
      </c>
      <c r="W426" s="28" t="s">
        <v>2228</v>
      </c>
      <c r="Z426" s="28" t="s">
        <v>526</v>
      </c>
      <c r="AD426" s="28" t="s">
        <v>528</v>
      </c>
      <c r="AF426" s="117" t="s">
        <v>2226</v>
      </c>
      <c r="AG426" s="28" t="s">
        <v>529</v>
      </c>
      <c r="AK426" s="60">
        <v>2</v>
      </c>
      <c r="AL426" s="28">
        <f>1/COUNTIF(Tableau6[LAT],B426)</f>
        <v>1</v>
      </c>
      <c r="AM426" s="60" t="b">
        <f t="shared" si="47"/>
        <v>0</v>
      </c>
      <c r="AN426" s="60" t="b">
        <f t="shared" si="48"/>
        <v>0</v>
      </c>
      <c r="AO426" s="60" t="b">
        <f t="shared" si="49"/>
        <v>0</v>
      </c>
      <c r="AP426" s="60" t="b">
        <f t="shared" si="50"/>
        <v>0</v>
      </c>
      <c r="AQ426" s="60" t="b">
        <f t="shared" si="51"/>
        <v>0</v>
      </c>
      <c r="AR426" s="60" t="str">
        <f t="shared" si="45"/>
        <v>No</v>
      </c>
      <c r="AS426" s="60" t="str">
        <f t="shared" si="46"/>
        <v>No</v>
      </c>
    </row>
    <row r="427" spans="1:45" hidden="1">
      <c r="A427" s="103">
        <v>45243</v>
      </c>
      <c r="B427" s="117" t="s">
        <v>2229</v>
      </c>
      <c r="C427" s="28" t="s">
        <v>548</v>
      </c>
      <c r="D427" s="28" t="s">
        <v>2230</v>
      </c>
      <c r="E427" s="28" t="s">
        <v>2231</v>
      </c>
      <c r="F427" s="28" t="s">
        <v>2232</v>
      </c>
      <c r="G427" s="28" t="s">
        <v>514</v>
      </c>
      <c r="H427" s="28" t="s">
        <v>2233</v>
      </c>
      <c r="I427" s="28" t="s">
        <v>516</v>
      </c>
      <c r="J427" s="28" t="s">
        <v>517</v>
      </c>
      <c r="K427" s="28" t="s">
        <v>518</v>
      </c>
      <c r="L427" s="28" t="s">
        <v>2234</v>
      </c>
      <c r="M427" s="28" t="s">
        <v>520</v>
      </c>
      <c r="N427" s="28" t="s">
        <v>557</v>
      </c>
      <c r="O427" s="28" t="s">
        <v>544</v>
      </c>
      <c r="P427" s="28" t="s">
        <v>522</v>
      </c>
      <c r="Q427" s="28" t="s">
        <v>559</v>
      </c>
      <c r="S427" s="28" t="s">
        <v>1318</v>
      </c>
      <c r="T427" s="28" t="s">
        <v>607</v>
      </c>
      <c r="U427" s="28" t="s">
        <v>607</v>
      </c>
      <c r="V427" s="28" t="s">
        <v>517</v>
      </c>
      <c r="W427" s="28" t="s">
        <v>2235</v>
      </c>
      <c r="X427" s="28" t="s">
        <v>670</v>
      </c>
      <c r="Z427" s="28" t="s">
        <v>563</v>
      </c>
      <c r="AB427" s="28" t="s">
        <v>527</v>
      </c>
      <c r="AD427" s="28" t="s">
        <v>954</v>
      </c>
      <c r="AF427" s="117" t="s">
        <v>2236</v>
      </c>
      <c r="AG427" s="28" t="s">
        <v>563</v>
      </c>
      <c r="AK427" s="60">
        <v>2</v>
      </c>
      <c r="AL427" s="28">
        <f>1/COUNTIF(Tableau6[LAT],B427)</f>
        <v>0.2</v>
      </c>
      <c r="AM427" s="60" t="b">
        <f t="shared" si="47"/>
        <v>0</v>
      </c>
      <c r="AN427" s="60" t="b">
        <f t="shared" si="48"/>
        <v>0</v>
      </c>
      <c r="AO427" s="60" t="b">
        <f t="shared" si="49"/>
        <v>0</v>
      </c>
      <c r="AP427" s="60" t="b">
        <f t="shared" si="50"/>
        <v>0</v>
      </c>
      <c r="AQ427" s="60" t="b">
        <f t="shared" si="51"/>
        <v>0</v>
      </c>
      <c r="AR427" s="60" t="str">
        <f t="shared" si="45"/>
        <v>No</v>
      </c>
      <c r="AS427" s="60" t="str">
        <f t="shared" si="46"/>
        <v>No</v>
      </c>
    </row>
    <row r="428" spans="1:45" hidden="1">
      <c r="A428" s="103">
        <v>45243</v>
      </c>
      <c r="B428" s="117" t="s">
        <v>2229</v>
      </c>
      <c r="C428" s="28" t="s">
        <v>612</v>
      </c>
      <c r="D428" s="28" t="s">
        <v>2237</v>
      </c>
      <c r="E428" s="28" t="s">
        <v>2231</v>
      </c>
      <c r="F428" s="28" t="s">
        <v>2232</v>
      </c>
      <c r="G428" s="28" t="s">
        <v>514</v>
      </c>
      <c r="H428" s="28" t="s">
        <v>2233</v>
      </c>
      <c r="I428" s="28" t="s">
        <v>516</v>
      </c>
      <c r="J428" s="28" t="s">
        <v>517</v>
      </c>
      <c r="K428" s="28" t="s">
        <v>518</v>
      </c>
      <c r="L428" s="28" t="s">
        <v>2234</v>
      </c>
      <c r="M428" s="28" t="s">
        <v>520</v>
      </c>
      <c r="N428" s="28" t="s">
        <v>557</v>
      </c>
      <c r="O428" s="28" t="s">
        <v>544</v>
      </c>
      <c r="P428" s="28" t="s">
        <v>522</v>
      </c>
      <c r="Q428" s="28" t="s">
        <v>559</v>
      </c>
      <c r="S428" s="28" t="s">
        <v>1318</v>
      </c>
      <c r="T428" s="28" t="s">
        <v>607</v>
      </c>
      <c r="U428" s="28" t="s">
        <v>607</v>
      </c>
      <c r="V428" s="28" t="s">
        <v>517</v>
      </c>
      <c r="W428" s="28" t="s">
        <v>2235</v>
      </c>
      <c r="X428" s="28" t="s">
        <v>670</v>
      </c>
      <c r="Z428" s="28" t="s">
        <v>563</v>
      </c>
      <c r="AB428" s="28" t="s">
        <v>527</v>
      </c>
      <c r="AD428" s="28" t="s">
        <v>954</v>
      </c>
      <c r="AF428" s="117" t="s">
        <v>2230</v>
      </c>
      <c r="AG428" s="28" t="s">
        <v>563</v>
      </c>
      <c r="AK428" s="60">
        <v>2</v>
      </c>
      <c r="AL428" s="28">
        <f>1/COUNTIF(Tableau6[LAT],B428)</f>
        <v>0.2</v>
      </c>
      <c r="AM428" s="60" t="b">
        <f t="shared" si="47"/>
        <v>0</v>
      </c>
      <c r="AN428" s="60" t="b">
        <f t="shared" si="48"/>
        <v>0</v>
      </c>
      <c r="AO428" s="60" t="b">
        <f t="shared" si="49"/>
        <v>0</v>
      </c>
      <c r="AP428" s="60" t="b">
        <f t="shared" si="50"/>
        <v>0</v>
      </c>
      <c r="AQ428" s="60" t="b">
        <f t="shared" si="51"/>
        <v>0</v>
      </c>
      <c r="AR428" s="60" t="str">
        <f t="shared" si="45"/>
        <v>No</v>
      </c>
      <c r="AS428" s="60" t="str">
        <f t="shared" si="46"/>
        <v>No</v>
      </c>
    </row>
    <row r="429" spans="1:45" hidden="1">
      <c r="A429" s="103">
        <v>45243</v>
      </c>
      <c r="B429" s="117" t="s">
        <v>2229</v>
      </c>
      <c r="C429" s="28" t="s">
        <v>691</v>
      </c>
      <c r="D429" s="28" t="s">
        <v>2238</v>
      </c>
      <c r="E429" s="28" t="s">
        <v>2231</v>
      </c>
      <c r="F429" s="28" t="s">
        <v>2232</v>
      </c>
      <c r="G429" s="28" t="s">
        <v>514</v>
      </c>
      <c r="H429" s="28" t="s">
        <v>2233</v>
      </c>
      <c r="I429" s="28" t="s">
        <v>516</v>
      </c>
      <c r="J429" s="28" t="s">
        <v>517</v>
      </c>
      <c r="K429" s="28" t="s">
        <v>518</v>
      </c>
      <c r="L429" s="28" t="s">
        <v>2234</v>
      </c>
      <c r="M429" s="28" t="s">
        <v>520</v>
      </c>
      <c r="N429" s="28" t="s">
        <v>557</v>
      </c>
      <c r="O429" s="28" t="s">
        <v>544</v>
      </c>
      <c r="P429" s="28" t="s">
        <v>522</v>
      </c>
      <c r="Q429" s="28" t="s">
        <v>559</v>
      </c>
      <c r="S429" s="28" t="s">
        <v>1318</v>
      </c>
      <c r="T429" s="28" t="s">
        <v>607</v>
      </c>
      <c r="U429" s="28" t="s">
        <v>607</v>
      </c>
      <c r="V429" s="28" t="s">
        <v>517</v>
      </c>
      <c r="W429" s="28" t="s">
        <v>2235</v>
      </c>
      <c r="X429" s="28" t="s">
        <v>670</v>
      </c>
      <c r="Z429" s="28" t="s">
        <v>563</v>
      </c>
      <c r="AB429" s="28" t="s">
        <v>527</v>
      </c>
      <c r="AD429" s="28" t="s">
        <v>954</v>
      </c>
      <c r="AF429" s="117" t="s">
        <v>2237</v>
      </c>
      <c r="AG429" s="28" t="s">
        <v>563</v>
      </c>
      <c r="AK429" s="60">
        <v>2</v>
      </c>
      <c r="AL429" s="28">
        <f>1/COUNTIF(Tableau6[LAT],B429)</f>
        <v>0.2</v>
      </c>
      <c r="AM429" s="60" t="b">
        <f t="shared" si="47"/>
        <v>0</v>
      </c>
      <c r="AN429" s="60" t="b">
        <f t="shared" si="48"/>
        <v>0</v>
      </c>
      <c r="AO429" s="60" t="b">
        <f t="shared" si="49"/>
        <v>0</v>
      </c>
      <c r="AP429" s="60" t="b">
        <f t="shared" si="50"/>
        <v>0</v>
      </c>
      <c r="AQ429" s="60" t="b">
        <f t="shared" si="51"/>
        <v>0</v>
      </c>
      <c r="AR429" s="60" t="str">
        <f t="shared" si="45"/>
        <v>No</v>
      </c>
      <c r="AS429" s="60" t="str">
        <f t="shared" si="46"/>
        <v>No</v>
      </c>
    </row>
    <row r="430" spans="1:45" hidden="1">
      <c r="A430" s="103">
        <v>45243</v>
      </c>
      <c r="B430" s="117" t="s">
        <v>2229</v>
      </c>
      <c r="C430" s="28" t="s">
        <v>859</v>
      </c>
      <c r="D430" s="28" t="s">
        <v>2239</v>
      </c>
      <c r="E430" s="28" t="s">
        <v>2231</v>
      </c>
      <c r="F430" s="28" t="s">
        <v>2232</v>
      </c>
      <c r="G430" s="28" t="s">
        <v>514</v>
      </c>
      <c r="H430" s="28" t="s">
        <v>2233</v>
      </c>
      <c r="I430" s="28" t="s">
        <v>516</v>
      </c>
      <c r="J430" s="28" t="s">
        <v>517</v>
      </c>
      <c r="K430" s="28" t="s">
        <v>518</v>
      </c>
      <c r="L430" s="28" t="s">
        <v>2234</v>
      </c>
      <c r="M430" s="28" t="s">
        <v>520</v>
      </c>
      <c r="N430" s="28" t="s">
        <v>557</v>
      </c>
      <c r="O430" s="28" t="s">
        <v>544</v>
      </c>
      <c r="P430" s="28" t="s">
        <v>522</v>
      </c>
      <c r="Q430" s="28" t="s">
        <v>559</v>
      </c>
      <c r="S430" s="28" t="s">
        <v>1318</v>
      </c>
      <c r="T430" s="28" t="s">
        <v>607</v>
      </c>
      <c r="U430" s="28" t="s">
        <v>607</v>
      </c>
      <c r="V430" s="28" t="s">
        <v>517</v>
      </c>
      <c r="W430" s="28" t="s">
        <v>2235</v>
      </c>
      <c r="X430" s="28" t="s">
        <v>670</v>
      </c>
      <c r="Z430" s="28" t="s">
        <v>563</v>
      </c>
      <c r="AB430" s="28" t="s">
        <v>527</v>
      </c>
      <c r="AD430" s="28" t="s">
        <v>954</v>
      </c>
      <c r="AF430" s="117" t="s">
        <v>2238</v>
      </c>
      <c r="AG430" s="28" t="s">
        <v>563</v>
      </c>
      <c r="AK430" s="60">
        <v>2</v>
      </c>
      <c r="AL430" s="28">
        <f>1/COUNTIF(Tableau6[LAT],B430)</f>
        <v>0.2</v>
      </c>
      <c r="AM430" s="60" t="b">
        <f t="shared" si="47"/>
        <v>0</v>
      </c>
      <c r="AN430" s="60" t="b">
        <f t="shared" si="48"/>
        <v>0</v>
      </c>
      <c r="AO430" s="60" t="b">
        <f t="shared" si="49"/>
        <v>0</v>
      </c>
      <c r="AP430" s="60" t="b">
        <f t="shared" si="50"/>
        <v>0</v>
      </c>
      <c r="AQ430" s="60" t="b">
        <f t="shared" si="51"/>
        <v>0</v>
      </c>
      <c r="AR430" s="60" t="str">
        <f t="shared" si="45"/>
        <v>No</v>
      </c>
      <c r="AS430" s="60" t="str">
        <f t="shared" si="46"/>
        <v>No</v>
      </c>
    </row>
    <row r="431" spans="1:45" hidden="1">
      <c r="A431" s="103">
        <v>45243</v>
      </c>
      <c r="B431" s="117" t="s">
        <v>2229</v>
      </c>
      <c r="C431" s="28" t="s">
        <v>861</v>
      </c>
      <c r="D431" s="28" t="s">
        <v>2240</v>
      </c>
      <c r="E431" s="28" t="s">
        <v>2231</v>
      </c>
      <c r="F431" s="28" t="s">
        <v>2232</v>
      </c>
      <c r="G431" s="28" t="s">
        <v>514</v>
      </c>
      <c r="H431" s="28" t="s">
        <v>2233</v>
      </c>
      <c r="I431" s="28" t="s">
        <v>516</v>
      </c>
      <c r="J431" s="28" t="s">
        <v>517</v>
      </c>
      <c r="K431" s="28" t="s">
        <v>518</v>
      </c>
      <c r="L431" s="28" t="s">
        <v>2234</v>
      </c>
      <c r="M431" s="28" t="s">
        <v>520</v>
      </c>
      <c r="N431" s="28" t="s">
        <v>557</v>
      </c>
      <c r="O431" s="28" t="s">
        <v>544</v>
      </c>
      <c r="P431" s="28" t="s">
        <v>522</v>
      </c>
      <c r="Q431" s="28" t="s">
        <v>559</v>
      </c>
      <c r="S431" s="28" t="s">
        <v>1318</v>
      </c>
      <c r="T431" s="28" t="s">
        <v>607</v>
      </c>
      <c r="U431" s="28" t="s">
        <v>607</v>
      </c>
      <c r="V431" s="28" t="s">
        <v>517</v>
      </c>
      <c r="W431" s="28" t="s">
        <v>2235</v>
      </c>
      <c r="X431" s="28" t="s">
        <v>670</v>
      </c>
      <c r="Z431" s="28" t="s">
        <v>563</v>
      </c>
      <c r="AB431" s="28" t="s">
        <v>527</v>
      </c>
      <c r="AD431" s="28" t="s">
        <v>954</v>
      </c>
      <c r="AF431" s="117" t="s">
        <v>2239</v>
      </c>
      <c r="AG431" s="28" t="s">
        <v>563</v>
      </c>
      <c r="AK431" s="60">
        <v>2</v>
      </c>
      <c r="AL431" s="28">
        <f>1/COUNTIF(Tableau6[LAT],B431)</f>
        <v>0.2</v>
      </c>
      <c r="AM431" s="60" t="b">
        <f t="shared" si="47"/>
        <v>0</v>
      </c>
      <c r="AN431" s="60" t="b">
        <f t="shared" si="48"/>
        <v>0</v>
      </c>
      <c r="AO431" s="60" t="b">
        <f t="shared" si="49"/>
        <v>0</v>
      </c>
      <c r="AP431" s="60" t="b">
        <f t="shared" si="50"/>
        <v>0</v>
      </c>
      <c r="AQ431" s="60" t="b">
        <f t="shared" si="51"/>
        <v>0</v>
      </c>
      <c r="AR431" s="60" t="str">
        <f t="shared" si="45"/>
        <v>No</v>
      </c>
      <c r="AS431" s="60" t="str">
        <f t="shared" si="46"/>
        <v>No</v>
      </c>
    </row>
    <row r="432" spans="1:45" hidden="1">
      <c r="A432" s="103">
        <v>45243</v>
      </c>
      <c r="B432" s="117" t="s">
        <v>2241</v>
      </c>
      <c r="C432" s="28" t="s">
        <v>511</v>
      </c>
      <c r="D432" s="28" t="s">
        <v>2242</v>
      </c>
      <c r="F432" s="28" t="s">
        <v>2243</v>
      </c>
      <c r="G432" s="28" t="s">
        <v>514</v>
      </c>
      <c r="H432" s="28" t="s">
        <v>966</v>
      </c>
      <c r="I432" s="28" t="s">
        <v>516</v>
      </c>
      <c r="J432" s="28" t="s">
        <v>517</v>
      </c>
      <c r="K432" s="28" t="s">
        <v>518</v>
      </c>
      <c r="L432" s="28" t="s">
        <v>1917</v>
      </c>
      <c r="M432" s="28" t="s">
        <v>535</v>
      </c>
      <c r="N432" s="28" t="s">
        <v>557</v>
      </c>
      <c r="S432" s="28" t="s">
        <v>820</v>
      </c>
      <c r="T432" s="28" t="s">
        <v>1918</v>
      </c>
      <c r="U432" s="28" t="s">
        <v>1918</v>
      </c>
      <c r="V432" s="28" t="s">
        <v>517</v>
      </c>
      <c r="W432" s="28" t="s">
        <v>2244</v>
      </c>
      <c r="Z432" s="28" t="s">
        <v>563</v>
      </c>
      <c r="AB432" s="28" t="s">
        <v>527</v>
      </c>
      <c r="AD432" s="28" t="s">
        <v>954</v>
      </c>
      <c r="AF432" s="117" t="s">
        <v>2242</v>
      </c>
      <c r="AG432" s="28" t="s">
        <v>563</v>
      </c>
      <c r="AK432" s="60">
        <v>2</v>
      </c>
      <c r="AL432" s="28">
        <f>1/COUNTIF(Tableau6[LAT],B432)</f>
        <v>0.5</v>
      </c>
      <c r="AM432" s="60" t="b">
        <f t="shared" si="47"/>
        <v>0</v>
      </c>
      <c r="AN432" s="60" t="b">
        <f t="shared" si="48"/>
        <v>0</v>
      </c>
      <c r="AO432" s="60" t="b">
        <f t="shared" si="49"/>
        <v>0</v>
      </c>
      <c r="AP432" s="60" t="b">
        <f t="shared" si="50"/>
        <v>0</v>
      </c>
      <c r="AQ432" s="60" t="b">
        <f t="shared" si="51"/>
        <v>0</v>
      </c>
      <c r="AR432" s="60" t="str">
        <f t="shared" si="45"/>
        <v>No</v>
      </c>
      <c r="AS432" s="60" t="str">
        <f t="shared" si="46"/>
        <v>No</v>
      </c>
    </row>
    <row r="433" spans="1:45" hidden="1">
      <c r="A433" s="103">
        <v>45243</v>
      </c>
      <c r="B433" s="117" t="s">
        <v>2241</v>
      </c>
      <c r="C433" s="28" t="s">
        <v>548</v>
      </c>
      <c r="D433" s="28" t="s">
        <v>2245</v>
      </c>
      <c r="F433" s="28" t="s">
        <v>2243</v>
      </c>
      <c r="G433" s="28" t="s">
        <v>514</v>
      </c>
      <c r="H433" s="28" t="s">
        <v>966</v>
      </c>
      <c r="I433" s="28" t="s">
        <v>516</v>
      </c>
      <c r="J433" s="28" t="s">
        <v>517</v>
      </c>
      <c r="K433" s="28" t="s">
        <v>518</v>
      </c>
      <c r="L433" s="28" t="s">
        <v>1917</v>
      </c>
      <c r="M433" s="28" t="s">
        <v>535</v>
      </c>
      <c r="N433" s="28" t="s">
        <v>557</v>
      </c>
      <c r="S433" s="28" t="s">
        <v>820</v>
      </c>
      <c r="T433" s="28" t="s">
        <v>1918</v>
      </c>
      <c r="U433" s="28" t="s">
        <v>1918</v>
      </c>
      <c r="V433" s="28" t="s">
        <v>517</v>
      </c>
      <c r="W433" s="28" t="s">
        <v>2246</v>
      </c>
      <c r="Z433" s="28" t="s">
        <v>563</v>
      </c>
      <c r="AB433" s="28" t="s">
        <v>527</v>
      </c>
      <c r="AD433" s="28" t="s">
        <v>954</v>
      </c>
      <c r="AF433" s="117" t="s">
        <v>2245</v>
      </c>
      <c r="AG433" s="28" t="s">
        <v>563</v>
      </c>
      <c r="AK433" s="60">
        <v>2</v>
      </c>
      <c r="AL433" s="28">
        <f>1/COUNTIF(Tableau6[LAT],B433)</f>
        <v>0.5</v>
      </c>
      <c r="AM433" s="60" t="b">
        <f t="shared" si="47"/>
        <v>0</v>
      </c>
      <c r="AN433" s="60" t="b">
        <f t="shared" si="48"/>
        <v>0</v>
      </c>
      <c r="AO433" s="60" t="b">
        <f t="shared" si="49"/>
        <v>0</v>
      </c>
      <c r="AP433" s="60" t="b">
        <f t="shared" si="50"/>
        <v>0</v>
      </c>
      <c r="AQ433" s="60" t="b">
        <f t="shared" si="51"/>
        <v>0</v>
      </c>
      <c r="AR433" s="60" t="str">
        <f t="shared" si="45"/>
        <v>No</v>
      </c>
      <c r="AS433" s="60" t="str">
        <f t="shared" si="46"/>
        <v>No</v>
      </c>
    </row>
    <row r="434" spans="1:45" hidden="1">
      <c r="A434" s="103">
        <v>45243</v>
      </c>
      <c r="B434" s="117" t="s">
        <v>2247</v>
      </c>
      <c r="C434" s="28" t="s">
        <v>511</v>
      </c>
      <c r="D434" s="28" t="s">
        <v>2248</v>
      </c>
      <c r="F434" s="28" t="s">
        <v>2249</v>
      </c>
      <c r="G434" s="28" t="s">
        <v>514</v>
      </c>
      <c r="H434" s="28" t="s">
        <v>1381</v>
      </c>
      <c r="I434" s="28" t="s">
        <v>516</v>
      </c>
      <c r="J434" s="28" t="s">
        <v>517</v>
      </c>
      <c r="K434" s="28" t="s">
        <v>518</v>
      </c>
      <c r="L434" s="28" t="s">
        <v>739</v>
      </c>
      <c r="M434" s="28" t="s">
        <v>520</v>
      </c>
      <c r="N434" s="28" t="s">
        <v>557</v>
      </c>
      <c r="O434" s="28" t="s">
        <v>544</v>
      </c>
      <c r="P434" s="28" t="s">
        <v>522</v>
      </c>
      <c r="S434" s="28" t="s">
        <v>1494</v>
      </c>
      <c r="T434" s="28" t="s">
        <v>741</v>
      </c>
      <c r="U434" s="28" t="s">
        <v>741</v>
      </c>
      <c r="V434" s="28" t="s">
        <v>517</v>
      </c>
      <c r="W434" s="28" t="s">
        <v>835</v>
      </c>
      <c r="Z434" s="28" t="s">
        <v>563</v>
      </c>
      <c r="AB434" s="28" t="s">
        <v>527</v>
      </c>
      <c r="AD434" s="28" t="s">
        <v>954</v>
      </c>
      <c r="AF434" s="117" t="s">
        <v>2248</v>
      </c>
      <c r="AG434" s="28" t="s">
        <v>563</v>
      </c>
      <c r="AK434" s="60">
        <v>2</v>
      </c>
      <c r="AL434" s="28">
        <f>1/COUNTIF(Tableau6[LAT],B434)</f>
        <v>1</v>
      </c>
      <c r="AM434" s="60" t="b">
        <f t="shared" si="47"/>
        <v>0</v>
      </c>
      <c r="AN434" s="60" t="b">
        <f t="shared" si="48"/>
        <v>0</v>
      </c>
      <c r="AO434" s="60" t="b">
        <f t="shared" si="49"/>
        <v>0</v>
      </c>
      <c r="AP434" s="60" t="b">
        <f t="shared" si="50"/>
        <v>0</v>
      </c>
      <c r="AQ434" s="60" t="b">
        <f t="shared" si="51"/>
        <v>0</v>
      </c>
      <c r="AR434" s="60" t="str">
        <f t="shared" si="45"/>
        <v>No</v>
      </c>
      <c r="AS434" s="60" t="str">
        <f t="shared" si="46"/>
        <v>No</v>
      </c>
    </row>
    <row r="435" spans="1:45" hidden="1">
      <c r="A435" s="103">
        <v>45243</v>
      </c>
      <c r="B435" s="117" t="s">
        <v>2250</v>
      </c>
      <c r="C435" s="28" t="s">
        <v>511</v>
      </c>
      <c r="D435" s="28" t="s">
        <v>2251</v>
      </c>
      <c r="E435" s="28" t="s">
        <v>2252</v>
      </c>
      <c r="F435" s="28" t="s">
        <v>2253</v>
      </c>
      <c r="G435" s="28" t="s">
        <v>979</v>
      </c>
      <c r="H435" s="28" t="s">
        <v>2254</v>
      </c>
      <c r="I435" s="28" t="s">
        <v>516</v>
      </c>
      <c r="J435" s="28" t="s">
        <v>517</v>
      </c>
      <c r="K435" s="28" t="s">
        <v>518</v>
      </c>
      <c r="L435" s="28" t="s">
        <v>1013</v>
      </c>
      <c r="M435" s="28" t="s">
        <v>535</v>
      </c>
      <c r="N435" s="28" t="s">
        <v>544</v>
      </c>
      <c r="S435" s="28" t="s">
        <v>546</v>
      </c>
      <c r="T435" s="28" t="s">
        <v>1015</v>
      </c>
      <c r="U435" s="28" t="s">
        <v>1015</v>
      </c>
      <c r="V435" s="28" t="s">
        <v>517</v>
      </c>
      <c r="W435" s="28" t="s">
        <v>2255</v>
      </c>
      <c r="X435" s="28" t="s">
        <v>670</v>
      </c>
      <c r="Z435" s="28" t="s">
        <v>563</v>
      </c>
      <c r="AB435" s="73" t="s">
        <v>609</v>
      </c>
      <c r="AD435" s="28" t="s">
        <v>528</v>
      </c>
      <c r="AF435" s="117" t="s">
        <v>2251</v>
      </c>
      <c r="AG435" s="28" t="s">
        <v>563</v>
      </c>
      <c r="AK435" s="60">
        <v>2</v>
      </c>
      <c r="AL435" s="28">
        <f>1/COUNTIF(Tableau6[LAT],B435)</f>
        <v>0.5</v>
      </c>
      <c r="AM435" s="60" t="b">
        <f t="shared" si="47"/>
        <v>0</v>
      </c>
      <c r="AN435" s="60" t="b">
        <f t="shared" si="48"/>
        <v>0</v>
      </c>
      <c r="AO435" s="60" t="b">
        <f t="shared" si="49"/>
        <v>0</v>
      </c>
      <c r="AP435" s="60" t="b">
        <f t="shared" si="50"/>
        <v>0</v>
      </c>
      <c r="AQ435" s="60" t="b">
        <f t="shared" si="51"/>
        <v>0</v>
      </c>
      <c r="AR435" s="60" t="str">
        <f t="shared" si="45"/>
        <v>No</v>
      </c>
      <c r="AS435" s="60" t="str">
        <f t="shared" si="46"/>
        <v>No</v>
      </c>
    </row>
    <row r="436" spans="1:45" hidden="1">
      <c r="A436" s="103">
        <v>45243</v>
      </c>
      <c r="B436" s="117" t="s">
        <v>2250</v>
      </c>
      <c r="C436" s="28" t="s">
        <v>548</v>
      </c>
      <c r="D436" s="28" t="s">
        <v>2256</v>
      </c>
      <c r="E436" s="28" t="s">
        <v>2257</v>
      </c>
      <c r="F436" s="28" t="s">
        <v>2258</v>
      </c>
      <c r="G436" s="28" t="s">
        <v>1456</v>
      </c>
      <c r="H436" s="28" t="s">
        <v>2259</v>
      </c>
      <c r="I436" s="28" t="s">
        <v>516</v>
      </c>
      <c r="J436" s="28" t="s">
        <v>517</v>
      </c>
      <c r="K436" s="28" t="s">
        <v>518</v>
      </c>
      <c r="L436" s="28" t="s">
        <v>1013</v>
      </c>
      <c r="M436" s="28" t="s">
        <v>535</v>
      </c>
      <c r="N436" s="28" t="s">
        <v>544</v>
      </c>
      <c r="S436" s="28" t="s">
        <v>546</v>
      </c>
      <c r="T436" s="28" t="s">
        <v>1015</v>
      </c>
      <c r="U436" s="28" t="s">
        <v>1015</v>
      </c>
      <c r="V436" s="28" t="s">
        <v>517</v>
      </c>
      <c r="W436" s="28" t="s">
        <v>2260</v>
      </c>
      <c r="X436" s="28" t="s">
        <v>670</v>
      </c>
      <c r="Z436" s="28" t="s">
        <v>563</v>
      </c>
      <c r="AB436" s="73" t="s">
        <v>609</v>
      </c>
      <c r="AD436" s="28" t="s">
        <v>528</v>
      </c>
      <c r="AF436" s="117" t="s">
        <v>2256</v>
      </c>
      <c r="AG436" s="28" t="s">
        <v>563</v>
      </c>
      <c r="AK436" s="60">
        <v>2</v>
      </c>
      <c r="AL436" s="28">
        <f>1/COUNTIF(Tableau6[LAT],B436)</f>
        <v>0.5</v>
      </c>
      <c r="AM436" s="60" t="b">
        <f t="shared" si="47"/>
        <v>0</v>
      </c>
      <c r="AN436" s="60" t="b">
        <f t="shared" si="48"/>
        <v>0</v>
      </c>
      <c r="AO436" s="60" t="b">
        <f t="shared" si="49"/>
        <v>0</v>
      </c>
      <c r="AP436" s="60" t="b">
        <f t="shared" si="50"/>
        <v>0</v>
      </c>
      <c r="AQ436" s="60" t="b">
        <f t="shared" si="51"/>
        <v>0</v>
      </c>
      <c r="AR436" s="60" t="str">
        <f t="shared" si="45"/>
        <v>No</v>
      </c>
      <c r="AS436" s="60" t="str">
        <f t="shared" si="46"/>
        <v>No</v>
      </c>
    </row>
    <row r="437" spans="1:45" hidden="1">
      <c r="A437" s="103">
        <v>45243</v>
      </c>
      <c r="B437" s="117" t="s">
        <v>2261</v>
      </c>
      <c r="C437" s="28" t="s">
        <v>511</v>
      </c>
      <c r="D437" s="28" t="s">
        <v>2262</v>
      </c>
      <c r="F437" s="28" t="s">
        <v>2263</v>
      </c>
      <c r="G437" s="28" t="s">
        <v>648</v>
      </c>
      <c r="H437" s="28" t="s">
        <v>658</v>
      </c>
      <c r="I437" s="28" t="s">
        <v>516</v>
      </c>
      <c r="J437" s="28" t="s">
        <v>517</v>
      </c>
      <c r="K437" s="28" t="s">
        <v>518</v>
      </c>
      <c r="L437" s="28" t="s">
        <v>916</v>
      </c>
      <c r="M437" s="28" t="s">
        <v>535</v>
      </c>
      <c r="S437" s="28" t="s">
        <v>546</v>
      </c>
      <c r="T437" s="28" t="s">
        <v>917</v>
      </c>
      <c r="U437" s="28" t="s">
        <v>917</v>
      </c>
      <c r="V437" s="28" t="s">
        <v>517</v>
      </c>
      <c r="W437" s="28" t="s">
        <v>2264</v>
      </c>
      <c r="Z437" s="28" t="s">
        <v>563</v>
      </c>
      <c r="AB437" s="28" t="s">
        <v>527</v>
      </c>
      <c r="AD437" s="28" t="s">
        <v>528</v>
      </c>
      <c r="AF437" s="117" t="s">
        <v>2262</v>
      </c>
      <c r="AG437" s="28" t="s">
        <v>563</v>
      </c>
      <c r="AK437" s="60">
        <v>2</v>
      </c>
      <c r="AL437" s="28">
        <f>1/COUNTIF(Tableau6[LAT],B437)</f>
        <v>1</v>
      </c>
      <c r="AM437" s="60" t="b">
        <f t="shared" si="47"/>
        <v>0</v>
      </c>
      <c r="AN437" s="60" t="b">
        <f t="shared" si="48"/>
        <v>0</v>
      </c>
      <c r="AO437" s="60" t="b">
        <f t="shared" si="49"/>
        <v>0</v>
      </c>
      <c r="AP437" s="60" t="b">
        <f t="shared" si="50"/>
        <v>0</v>
      </c>
      <c r="AQ437" s="60" t="b">
        <f t="shared" si="51"/>
        <v>0</v>
      </c>
      <c r="AR437" s="60" t="str">
        <f t="shared" si="45"/>
        <v>No</v>
      </c>
      <c r="AS437" s="60" t="str">
        <f t="shared" si="46"/>
        <v>No</v>
      </c>
    </row>
    <row r="438" spans="1:45" hidden="1">
      <c r="A438" s="103">
        <v>45243</v>
      </c>
      <c r="B438" s="117" t="s">
        <v>2265</v>
      </c>
      <c r="C438" s="28" t="s">
        <v>511</v>
      </c>
      <c r="D438" s="28" t="s">
        <v>2266</v>
      </c>
      <c r="F438" s="28" t="s">
        <v>2267</v>
      </c>
      <c r="G438" s="28" t="s">
        <v>514</v>
      </c>
      <c r="H438" s="28" t="s">
        <v>808</v>
      </c>
      <c r="I438" s="28" t="s">
        <v>516</v>
      </c>
      <c r="J438" s="28" t="s">
        <v>517</v>
      </c>
      <c r="K438" s="28" t="s">
        <v>518</v>
      </c>
      <c r="L438" s="28" t="s">
        <v>667</v>
      </c>
      <c r="M438" s="28" t="s">
        <v>520</v>
      </c>
      <c r="N438" s="28" t="s">
        <v>544</v>
      </c>
      <c r="S438" s="28" t="s">
        <v>546</v>
      </c>
      <c r="T438" s="28" t="s">
        <v>597</v>
      </c>
      <c r="U438" s="28" t="s">
        <v>597</v>
      </c>
      <c r="V438" s="28" t="s">
        <v>517</v>
      </c>
      <c r="W438" s="28" t="s">
        <v>975</v>
      </c>
      <c r="Z438" s="28" t="s">
        <v>563</v>
      </c>
      <c r="AB438" s="28" t="s">
        <v>527</v>
      </c>
      <c r="AD438" s="28" t="s">
        <v>954</v>
      </c>
      <c r="AF438" s="117" t="s">
        <v>2266</v>
      </c>
      <c r="AG438" s="28" t="s">
        <v>563</v>
      </c>
      <c r="AK438" s="60">
        <v>2</v>
      </c>
      <c r="AL438" s="28">
        <f>1/COUNTIF(Tableau6[LAT],B438)</f>
        <v>0.5</v>
      </c>
      <c r="AM438" s="60" t="b">
        <f t="shared" si="47"/>
        <v>0</v>
      </c>
      <c r="AN438" s="60" t="b">
        <f t="shared" si="48"/>
        <v>0</v>
      </c>
      <c r="AO438" s="60" t="b">
        <f t="shared" si="49"/>
        <v>0</v>
      </c>
      <c r="AP438" s="60" t="b">
        <f t="shared" si="50"/>
        <v>0</v>
      </c>
      <c r="AQ438" s="60" t="b">
        <f t="shared" si="51"/>
        <v>0</v>
      </c>
      <c r="AR438" s="60" t="str">
        <f t="shared" si="45"/>
        <v>No</v>
      </c>
      <c r="AS438" s="60" t="str">
        <f t="shared" si="46"/>
        <v>No</v>
      </c>
    </row>
    <row r="439" spans="1:45" hidden="1">
      <c r="A439" s="103">
        <v>45243</v>
      </c>
      <c r="B439" s="117" t="s">
        <v>2265</v>
      </c>
      <c r="C439" s="28" t="s">
        <v>548</v>
      </c>
      <c r="D439" s="28" t="s">
        <v>2268</v>
      </c>
      <c r="F439" s="28" t="s">
        <v>2267</v>
      </c>
      <c r="G439" s="28" t="s">
        <v>514</v>
      </c>
      <c r="H439" s="28" t="s">
        <v>808</v>
      </c>
      <c r="I439" s="28" t="s">
        <v>516</v>
      </c>
      <c r="J439" s="28" t="s">
        <v>517</v>
      </c>
      <c r="K439" s="28" t="s">
        <v>518</v>
      </c>
      <c r="L439" s="28" t="s">
        <v>667</v>
      </c>
      <c r="M439" s="28" t="s">
        <v>520</v>
      </c>
      <c r="N439" s="28" t="s">
        <v>544</v>
      </c>
      <c r="S439" s="28" t="s">
        <v>546</v>
      </c>
      <c r="T439" s="28" t="s">
        <v>597</v>
      </c>
      <c r="U439" s="28" t="s">
        <v>597</v>
      </c>
      <c r="V439" s="28" t="s">
        <v>517</v>
      </c>
      <c r="W439" s="28" t="s">
        <v>835</v>
      </c>
      <c r="Z439" s="28" t="s">
        <v>563</v>
      </c>
      <c r="AB439" s="28" t="s">
        <v>527</v>
      </c>
      <c r="AD439" s="28" t="s">
        <v>954</v>
      </c>
      <c r="AF439" s="117" t="s">
        <v>2268</v>
      </c>
      <c r="AG439" s="28" t="s">
        <v>563</v>
      </c>
      <c r="AK439" s="60">
        <v>2</v>
      </c>
      <c r="AL439" s="28">
        <f>1/COUNTIF(Tableau6[LAT],B439)</f>
        <v>0.5</v>
      </c>
      <c r="AM439" s="60" t="b">
        <f t="shared" si="47"/>
        <v>0</v>
      </c>
      <c r="AN439" s="60" t="b">
        <f t="shared" si="48"/>
        <v>0</v>
      </c>
      <c r="AO439" s="60" t="b">
        <f t="shared" si="49"/>
        <v>0</v>
      </c>
      <c r="AP439" s="60" t="b">
        <f t="shared" si="50"/>
        <v>0</v>
      </c>
      <c r="AQ439" s="60" t="b">
        <f t="shared" si="51"/>
        <v>0</v>
      </c>
      <c r="AR439" s="60" t="str">
        <f t="shared" si="45"/>
        <v>No</v>
      </c>
      <c r="AS439" s="60" t="str">
        <f t="shared" si="46"/>
        <v>No</v>
      </c>
    </row>
    <row r="440" spans="1:45" hidden="1">
      <c r="A440" s="103">
        <v>45243</v>
      </c>
      <c r="B440" s="117" t="s">
        <v>2269</v>
      </c>
      <c r="C440" s="28" t="s">
        <v>548</v>
      </c>
      <c r="D440" s="28" t="s">
        <v>2270</v>
      </c>
      <c r="F440" s="28" t="s">
        <v>2271</v>
      </c>
      <c r="G440" s="28" t="s">
        <v>1163</v>
      </c>
      <c r="H440" s="28" t="s">
        <v>1540</v>
      </c>
      <c r="I440" s="28" t="s">
        <v>516</v>
      </c>
      <c r="J440" s="28" t="s">
        <v>517</v>
      </c>
      <c r="K440" s="28" t="s">
        <v>518</v>
      </c>
      <c r="L440" s="28" t="s">
        <v>2272</v>
      </c>
      <c r="M440" s="28" t="s">
        <v>535</v>
      </c>
      <c r="N440" s="28" t="s">
        <v>557</v>
      </c>
      <c r="O440" s="28" t="s">
        <v>522</v>
      </c>
      <c r="S440" s="28" t="s">
        <v>1934</v>
      </c>
      <c r="T440" s="28" t="s">
        <v>733</v>
      </c>
      <c r="U440" s="28" t="s">
        <v>733</v>
      </c>
      <c r="V440" s="28" t="s">
        <v>517</v>
      </c>
      <c r="W440" s="28" t="s">
        <v>2273</v>
      </c>
      <c r="Z440" s="28" t="s">
        <v>563</v>
      </c>
      <c r="AB440" s="28" t="s">
        <v>527</v>
      </c>
      <c r="AD440" s="28" t="s">
        <v>528</v>
      </c>
      <c r="AF440" s="117" t="s">
        <v>2274</v>
      </c>
      <c r="AG440" s="28" t="s">
        <v>529</v>
      </c>
      <c r="AK440" s="60">
        <v>2</v>
      </c>
      <c r="AL440" s="28">
        <f>1/COUNTIF(Tableau6[LAT],B440)</f>
        <v>0.16666666666666666</v>
      </c>
      <c r="AM440" s="60" t="b">
        <f t="shared" si="47"/>
        <v>0</v>
      </c>
      <c r="AN440" s="60" t="b">
        <f t="shared" si="48"/>
        <v>0</v>
      </c>
      <c r="AO440" s="60" t="b">
        <f t="shared" si="49"/>
        <v>0</v>
      </c>
      <c r="AP440" s="60" t="b">
        <f t="shared" si="50"/>
        <v>0</v>
      </c>
      <c r="AQ440" s="60" t="b">
        <f t="shared" si="51"/>
        <v>0</v>
      </c>
      <c r="AR440" s="60" t="str">
        <f t="shared" si="45"/>
        <v>No</v>
      </c>
      <c r="AS440" s="60" t="str">
        <f t="shared" si="46"/>
        <v>No</v>
      </c>
    </row>
    <row r="441" spans="1:45" hidden="1">
      <c r="A441" s="103">
        <v>45243</v>
      </c>
      <c r="B441" s="117" t="s">
        <v>2275</v>
      </c>
      <c r="C441" s="28" t="s">
        <v>511</v>
      </c>
      <c r="D441" s="28" t="s">
        <v>2276</v>
      </c>
      <c r="F441" s="28" t="s">
        <v>2277</v>
      </c>
      <c r="G441" s="28" t="s">
        <v>514</v>
      </c>
      <c r="H441" s="28" t="s">
        <v>1559</v>
      </c>
      <c r="I441" s="28" t="s">
        <v>516</v>
      </c>
      <c r="J441" s="28" t="s">
        <v>517</v>
      </c>
      <c r="K441" s="28" t="s">
        <v>518</v>
      </c>
      <c r="L441" s="28" t="s">
        <v>1040</v>
      </c>
      <c r="M441" s="28" t="s">
        <v>535</v>
      </c>
      <c r="N441" s="28" t="s">
        <v>544</v>
      </c>
      <c r="O441" s="28" t="s">
        <v>522</v>
      </c>
      <c r="S441" s="28" t="s">
        <v>740</v>
      </c>
      <c r="T441" s="28" t="s">
        <v>1042</v>
      </c>
      <c r="U441" s="28" t="s">
        <v>1042</v>
      </c>
      <c r="V441" s="28" t="s">
        <v>517</v>
      </c>
      <c r="W441" s="28" t="s">
        <v>2278</v>
      </c>
      <c r="Z441" s="28" t="s">
        <v>563</v>
      </c>
      <c r="AB441" s="28" t="s">
        <v>527</v>
      </c>
      <c r="AD441" s="28" t="s">
        <v>954</v>
      </c>
      <c r="AF441" s="117" t="s">
        <v>2276</v>
      </c>
      <c r="AG441" s="28" t="s">
        <v>563</v>
      </c>
      <c r="AK441" s="60">
        <v>2</v>
      </c>
      <c r="AL441" s="28">
        <f>1/COUNTIF(Tableau6[LAT],B441)</f>
        <v>0.5</v>
      </c>
      <c r="AM441" s="60" t="b">
        <f t="shared" si="47"/>
        <v>0</v>
      </c>
      <c r="AN441" s="60" t="b">
        <f t="shared" si="48"/>
        <v>0</v>
      </c>
      <c r="AO441" s="60" t="b">
        <f t="shared" si="49"/>
        <v>0</v>
      </c>
      <c r="AP441" s="60" t="b">
        <f t="shared" si="50"/>
        <v>0</v>
      </c>
      <c r="AQ441" s="60" t="b">
        <f t="shared" si="51"/>
        <v>0</v>
      </c>
      <c r="AR441" s="60" t="str">
        <f t="shared" si="45"/>
        <v>No</v>
      </c>
      <c r="AS441" s="60" t="str">
        <f t="shared" si="46"/>
        <v>No</v>
      </c>
    </row>
    <row r="442" spans="1:45" hidden="1">
      <c r="A442" s="103">
        <v>45243</v>
      </c>
      <c r="B442" s="117" t="s">
        <v>2275</v>
      </c>
      <c r="C442" s="28" t="s">
        <v>548</v>
      </c>
      <c r="D442" s="28" t="s">
        <v>2279</v>
      </c>
      <c r="F442" s="28" t="s">
        <v>2277</v>
      </c>
      <c r="G442" s="28" t="s">
        <v>514</v>
      </c>
      <c r="H442" s="28" t="s">
        <v>933</v>
      </c>
      <c r="I442" s="28" t="s">
        <v>516</v>
      </c>
      <c r="J442" s="28" t="s">
        <v>517</v>
      </c>
      <c r="K442" s="28" t="s">
        <v>518</v>
      </c>
      <c r="L442" s="28" t="s">
        <v>1040</v>
      </c>
      <c r="M442" s="28" t="s">
        <v>535</v>
      </c>
      <c r="N442" s="28" t="s">
        <v>544</v>
      </c>
      <c r="O442" s="28" t="s">
        <v>522</v>
      </c>
      <c r="S442" s="28" t="s">
        <v>740</v>
      </c>
      <c r="T442" s="28" t="s">
        <v>1042</v>
      </c>
      <c r="U442" s="28" t="s">
        <v>1042</v>
      </c>
      <c r="V442" s="28" t="s">
        <v>517</v>
      </c>
      <c r="W442" s="28" t="s">
        <v>2280</v>
      </c>
      <c r="Z442" s="28" t="s">
        <v>563</v>
      </c>
      <c r="AB442" s="28" t="s">
        <v>527</v>
      </c>
      <c r="AD442" s="28" t="s">
        <v>954</v>
      </c>
      <c r="AF442" s="117" t="s">
        <v>2279</v>
      </c>
      <c r="AG442" s="28" t="s">
        <v>563</v>
      </c>
      <c r="AK442" s="60">
        <v>2</v>
      </c>
      <c r="AL442" s="28">
        <f>1/COUNTIF(Tableau6[LAT],B442)</f>
        <v>0.5</v>
      </c>
      <c r="AM442" s="60" t="b">
        <f t="shared" si="47"/>
        <v>0</v>
      </c>
      <c r="AN442" s="60" t="b">
        <f t="shared" si="48"/>
        <v>0</v>
      </c>
      <c r="AO442" s="60" t="b">
        <f t="shared" si="49"/>
        <v>0</v>
      </c>
      <c r="AP442" s="60" t="b">
        <f t="shared" si="50"/>
        <v>0</v>
      </c>
      <c r="AQ442" s="60" t="b">
        <f t="shared" si="51"/>
        <v>0</v>
      </c>
      <c r="AR442" s="60" t="str">
        <f t="shared" si="45"/>
        <v>No</v>
      </c>
      <c r="AS442" s="60" t="str">
        <f t="shared" si="46"/>
        <v>No</v>
      </c>
    </row>
    <row r="443" spans="1:45" hidden="1">
      <c r="A443" s="103">
        <v>45243</v>
      </c>
      <c r="B443" s="117" t="s">
        <v>2281</v>
      </c>
      <c r="C443" s="28" t="s">
        <v>511</v>
      </c>
      <c r="D443" s="28" t="s">
        <v>2282</v>
      </c>
      <c r="F443" s="28" t="s">
        <v>2283</v>
      </c>
      <c r="G443" s="28" t="s">
        <v>514</v>
      </c>
      <c r="H443" s="28" t="s">
        <v>1008</v>
      </c>
      <c r="I443" s="28" t="s">
        <v>516</v>
      </c>
      <c r="J443" s="28" t="s">
        <v>517</v>
      </c>
      <c r="K443" s="28" t="s">
        <v>518</v>
      </c>
      <c r="L443" s="28" t="s">
        <v>839</v>
      </c>
      <c r="M443" s="28" t="s">
        <v>605</v>
      </c>
      <c r="N443" s="28" t="s">
        <v>544</v>
      </c>
      <c r="S443" s="28" t="s">
        <v>2284</v>
      </c>
      <c r="T443" s="28" t="s">
        <v>840</v>
      </c>
      <c r="U443" s="28" t="s">
        <v>840</v>
      </c>
      <c r="V443" s="28" t="s">
        <v>517</v>
      </c>
      <c r="W443" s="28" t="s">
        <v>2285</v>
      </c>
      <c r="Z443" s="28" t="s">
        <v>563</v>
      </c>
      <c r="AB443" s="28" t="s">
        <v>527</v>
      </c>
      <c r="AD443" s="28" t="s">
        <v>528</v>
      </c>
      <c r="AF443" s="117" t="s">
        <v>2282</v>
      </c>
      <c r="AG443" s="28" t="s">
        <v>563</v>
      </c>
      <c r="AK443" s="60">
        <v>2</v>
      </c>
      <c r="AL443" s="28">
        <f>1/COUNTIF(Tableau6[LAT],B443)</f>
        <v>0.25</v>
      </c>
      <c r="AM443" s="60" t="b">
        <f t="shared" si="47"/>
        <v>0</v>
      </c>
      <c r="AN443" s="60" t="b">
        <f t="shared" si="48"/>
        <v>0</v>
      </c>
      <c r="AO443" s="60" t="b">
        <f t="shared" si="49"/>
        <v>0</v>
      </c>
      <c r="AP443" s="60" t="b">
        <f t="shared" si="50"/>
        <v>0</v>
      </c>
      <c r="AQ443" s="60" t="b">
        <f t="shared" si="51"/>
        <v>0</v>
      </c>
      <c r="AR443" s="60" t="str">
        <f t="shared" si="45"/>
        <v>No</v>
      </c>
      <c r="AS443" s="60" t="str">
        <f t="shared" si="46"/>
        <v>No</v>
      </c>
    </row>
    <row r="444" spans="1:45" hidden="1">
      <c r="A444" s="103">
        <v>45243</v>
      </c>
      <c r="B444" s="117" t="s">
        <v>2281</v>
      </c>
      <c r="C444" s="28" t="s">
        <v>548</v>
      </c>
      <c r="D444" s="28" t="s">
        <v>2286</v>
      </c>
      <c r="F444" s="28" t="s">
        <v>2283</v>
      </c>
      <c r="G444" s="28" t="s">
        <v>514</v>
      </c>
      <c r="H444" s="28" t="s">
        <v>1008</v>
      </c>
      <c r="I444" s="28" t="s">
        <v>516</v>
      </c>
      <c r="J444" s="28" t="s">
        <v>517</v>
      </c>
      <c r="K444" s="28" t="s">
        <v>518</v>
      </c>
      <c r="L444" s="28" t="s">
        <v>839</v>
      </c>
      <c r="M444" s="28" t="s">
        <v>605</v>
      </c>
      <c r="N444" s="28" t="s">
        <v>544</v>
      </c>
      <c r="S444" s="28" t="s">
        <v>2284</v>
      </c>
      <c r="T444" s="28" t="s">
        <v>840</v>
      </c>
      <c r="U444" s="28" t="s">
        <v>840</v>
      </c>
      <c r="V444" s="28" t="s">
        <v>517</v>
      </c>
      <c r="W444" s="28" t="s">
        <v>2287</v>
      </c>
      <c r="Z444" s="28" t="s">
        <v>563</v>
      </c>
      <c r="AB444" s="28" t="s">
        <v>527</v>
      </c>
      <c r="AD444" s="28" t="s">
        <v>528</v>
      </c>
      <c r="AF444" s="117" t="s">
        <v>2286</v>
      </c>
      <c r="AG444" s="28" t="s">
        <v>563</v>
      </c>
      <c r="AK444" s="60">
        <v>2</v>
      </c>
      <c r="AL444" s="28">
        <f>1/COUNTIF(Tableau6[LAT],B444)</f>
        <v>0.25</v>
      </c>
      <c r="AM444" s="60" t="b">
        <f t="shared" si="47"/>
        <v>0</v>
      </c>
      <c r="AN444" s="60" t="b">
        <f t="shared" si="48"/>
        <v>0</v>
      </c>
      <c r="AO444" s="60" t="b">
        <f t="shared" si="49"/>
        <v>0</v>
      </c>
      <c r="AP444" s="60" t="b">
        <f t="shared" si="50"/>
        <v>0</v>
      </c>
      <c r="AQ444" s="60" t="b">
        <f t="shared" si="51"/>
        <v>0</v>
      </c>
      <c r="AR444" s="60" t="str">
        <f t="shared" si="45"/>
        <v>No</v>
      </c>
      <c r="AS444" s="60" t="str">
        <f t="shared" si="46"/>
        <v>No</v>
      </c>
    </row>
    <row r="445" spans="1:45" hidden="1">
      <c r="A445" s="103">
        <v>45243</v>
      </c>
      <c r="B445" s="117" t="s">
        <v>2281</v>
      </c>
      <c r="C445" s="28" t="s">
        <v>612</v>
      </c>
      <c r="D445" s="28" t="s">
        <v>2288</v>
      </c>
      <c r="F445" s="28" t="s">
        <v>2289</v>
      </c>
      <c r="G445" s="28" t="s">
        <v>514</v>
      </c>
      <c r="H445" s="28" t="s">
        <v>1008</v>
      </c>
      <c r="I445" s="28" t="s">
        <v>516</v>
      </c>
      <c r="J445" s="28" t="s">
        <v>517</v>
      </c>
      <c r="K445" s="28" t="s">
        <v>518</v>
      </c>
      <c r="L445" s="28" t="s">
        <v>839</v>
      </c>
      <c r="M445" s="28" t="s">
        <v>605</v>
      </c>
      <c r="N445" s="28" t="s">
        <v>544</v>
      </c>
      <c r="S445" s="28" t="s">
        <v>2284</v>
      </c>
      <c r="T445" s="28" t="s">
        <v>840</v>
      </c>
      <c r="U445" s="28" t="s">
        <v>840</v>
      </c>
      <c r="V445" s="28" t="s">
        <v>517</v>
      </c>
      <c r="W445" s="28" t="s">
        <v>2290</v>
      </c>
      <c r="Z445" s="28" t="s">
        <v>563</v>
      </c>
      <c r="AB445" s="28" t="s">
        <v>527</v>
      </c>
      <c r="AD445" s="28" t="s">
        <v>528</v>
      </c>
      <c r="AF445" s="117" t="s">
        <v>2288</v>
      </c>
      <c r="AG445" s="28" t="s">
        <v>563</v>
      </c>
      <c r="AK445" s="60">
        <v>2</v>
      </c>
      <c r="AL445" s="28">
        <f>1/COUNTIF(Tableau6[LAT],B445)</f>
        <v>0.25</v>
      </c>
      <c r="AM445" s="60" t="b">
        <f t="shared" si="47"/>
        <v>0</v>
      </c>
      <c r="AN445" s="60" t="b">
        <f t="shared" si="48"/>
        <v>0</v>
      </c>
      <c r="AO445" s="60" t="b">
        <f t="shared" si="49"/>
        <v>0</v>
      </c>
      <c r="AP445" s="60" t="b">
        <f t="shared" si="50"/>
        <v>0</v>
      </c>
      <c r="AQ445" s="60" t="b">
        <f t="shared" si="51"/>
        <v>0</v>
      </c>
      <c r="AR445" s="60" t="str">
        <f t="shared" si="45"/>
        <v>No</v>
      </c>
      <c r="AS445" s="60" t="str">
        <f t="shared" si="46"/>
        <v>No</v>
      </c>
    </row>
    <row r="446" spans="1:45" hidden="1">
      <c r="A446" s="103">
        <v>45243</v>
      </c>
      <c r="B446" s="117" t="s">
        <v>2281</v>
      </c>
      <c r="C446" s="28" t="s">
        <v>691</v>
      </c>
      <c r="D446" s="28" t="s">
        <v>2291</v>
      </c>
      <c r="F446" s="28" t="s">
        <v>2289</v>
      </c>
      <c r="G446" s="28" t="s">
        <v>514</v>
      </c>
      <c r="H446" s="28" t="s">
        <v>1008</v>
      </c>
      <c r="I446" s="28" t="s">
        <v>516</v>
      </c>
      <c r="J446" s="28" t="s">
        <v>517</v>
      </c>
      <c r="K446" s="28" t="s">
        <v>518</v>
      </c>
      <c r="L446" s="28" t="s">
        <v>839</v>
      </c>
      <c r="M446" s="28" t="s">
        <v>605</v>
      </c>
      <c r="N446" s="28" t="s">
        <v>544</v>
      </c>
      <c r="S446" s="28" t="s">
        <v>2284</v>
      </c>
      <c r="T446" s="28" t="s">
        <v>840</v>
      </c>
      <c r="U446" s="28" t="s">
        <v>840</v>
      </c>
      <c r="V446" s="28" t="s">
        <v>517</v>
      </c>
      <c r="W446" s="28" t="s">
        <v>2292</v>
      </c>
      <c r="Z446" s="28" t="s">
        <v>563</v>
      </c>
      <c r="AB446" s="28" t="s">
        <v>527</v>
      </c>
      <c r="AF446" s="117"/>
      <c r="AK446" s="60">
        <v>2</v>
      </c>
      <c r="AL446" s="28">
        <f>1/COUNTIF(Tableau6[LAT],B446)</f>
        <v>0.25</v>
      </c>
      <c r="AM446" s="60" t="b">
        <f t="shared" si="47"/>
        <v>0</v>
      </c>
      <c r="AN446" s="60" t="b">
        <f t="shared" si="48"/>
        <v>0</v>
      </c>
      <c r="AO446" s="60" t="b">
        <f t="shared" si="49"/>
        <v>0</v>
      </c>
      <c r="AP446" s="60" t="b">
        <f t="shared" si="50"/>
        <v>0</v>
      </c>
      <c r="AQ446" s="60" t="b">
        <f t="shared" si="51"/>
        <v>0</v>
      </c>
      <c r="AR446" s="60" t="str">
        <f t="shared" si="45"/>
        <v>No</v>
      </c>
      <c r="AS446" s="60" t="str">
        <f t="shared" si="46"/>
        <v>No</v>
      </c>
    </row>
    <row r="447" spans="1:45" hidden="1">
      <c r="A447" s="103">
        <v>45243</v>
      </c>
      <c r="B447" s="117" t="s">
        <v>2293</v>
      </c>
      <c r="C447" s="28" t="s">
        <v>511</v>
      </c>
      <c r="D447" s="28" t="s">
        <v>2294</v>
      </c>
      <c r="F447" s="28" t="s">
        <v>1933</v>
      </c>
      <c r="G447" s="28" t="s">
        <v>665</v>
      </c>
      <c r="H447" s="28" t="s">
        <v>1540</v>
      </c>
      <c r="I447" s="28" t="s">
        <v>516</v>
      </c>
      <c r="J447" s="28" t="s">
        <v>517</v>
      </c>
      <c r="K447" s="28" t="s">
        <v>518</v>
      </c>
      <c r="L447" s="28" t="s">
        <v>809</v>
      </c>
      <c r="M447" s="28" t="s">
        <v>605</v>
      </c>
      <c r="N447" s="28" t="s">
        <v>557</v>
      </c>
      <c r="S447" s="28" t="s">
        <v>1934</v>
      </c>
      <c r="T447" s="28" t="s">
        <v>811</v>
      </c>
      <c r="U447" s="28" t="s">
        <v>811</v>
      </c>
      <c r="V447" s="28" t="s">
        <v>517</v>
      </c>
      <c r="W447" s="28" t="s">
        <v>2295</v>
      </c>
      <c r="Z447" s="28" t="s">
        <v>563</v>
      </c>
      <c r="AB447" s="28" t="s">
        <v>527</v>
      </c>
      <c r="AD447" s="28" t="s">
        <v>954</v>
      </c>
      <c r="AF447" s="117" t="s">
        <v>2294</v>
      </c>
      <c r="AG447" s="28" t="s">
        <v>563</v>
      </c>
      <c r="AK447" s="60">
        <v>2</v>
      </c>
      <c r="AL447" s="28">
        <f>1/COUNTIF(Tableau6[LAT],B447)</f>
        <v>1</v>
      </c>
      <c r="AM447" s="60" t="b">
        <f t="shared" si="47"/>
        <v>0</v>
      </c>
      <c r="AN447" s="60" t="b">
        <f t="shared" si="48"/>
        <v>0</v>
      </c>
      <c r="AO447" s="60" t="b">
        <f t="shared" si="49"/>
        <v>0</v>
      </c>
      <c r="AP447" s="60" t="b">
        <f t="shared" si="50"/>
        <v>0</v>
      </c>
      <c r="AQ447" s="60" t="b">
        <f t="shared" si="51"/>
        <v>0</v>
      </c>
      <c r="AR447" s="60" t="str">
        <f t="shared" si="45"/>
        <v>No</v>
      </c>
      <c r="AS447" s="60" t="str">
        <f t="shared" si="46"/>
        <v>No</v>
      </c>
    </row>
    <row r="448" spans="1:45" hidden="1">
      <c r="A448" s="103">
        <v>45243</v>
      </c>
      <c r="B448" s="117" t="s">
        <v>2296</v>
      </c>
      <c r="C448" s="28" t="s">
        <v>511</v>
      </c>
      <c r="D448" s="28" t="s">
        <v>2297</v>
      </c>
      <c r="F448" s="28" t="s">
        <v>2298</v>
      </c>
      <c r="G448" s="28" t="s">
        <v>1163</v>
      </c>
      <c r="H448" s="28" t="s">
        <v>2299</v>
      </c>
      <c r="I448" s="28" t="s">
        <v>516</v>
      </c>
      <c r="J448" s="28" t="s">
        <v>517</v>
      </c>
      <c r="K448" s="28" t="s">
        <v>518</v>
      </c>
      <c r="L448" s="28" t="s">
        <v>675</v>
      </c>
      <c r="M448" s="28" t="s">
        <v>535</v>
      </c>
      <c r="N448" s="28" t="s">
        <v>521</v>
      </c>
      <c r="O448" s="28" t="s">
        <v>522</v>
      </c>
      <c r="S448" s="28" t="s">
        <v>1581</v>
      </c>
      <c r="T448" s="28" t="s">
        <v>676</v>
      </c>
      <c r="U448" s="28" t="s">
        <v>676</v>
      </c>
      <c r="V448" s="28" t="s">
        <v>517</v>
      </c>
      <c r="W448" s="28" t="s">
        <v>2300</v>
      </c>
      <c r="Z448" s="28" t="s">
        <v>563</v>
      </c>
      <c r="AB448" s="28" t="s">
        <v>527</v>
      </c>
      <c r="AD448" s="28" t="s">
        <v>528</v>
      </c>
      <c r="AF448" s="117" t="s">
        <v>2297</v>
      </c>
      <c r="AG448" s="28" t="s">
        <v>563</v>
      </c>
      <c r="AK448" s="60">
        <v>2</v>
      </c>
      <c r="AL448" s="28">
        <f>1/COUNTIF(Tableau6[LAT],B448)</f>
        <v>0.2</v>
      </c>
      <c r="AM448" s="60" t="b">
        <f t="shared" si="47"/>
        <v>0</v>
      </c>
      <c r="AN448" s="60" t="b">
        <f t="shared" si="48"/>
        <v>0</v>
      </c>
      <c r="AO448" s="60" t="b">
        <f t="shared" si="49"/>
        <v>0</v>
      </c>
      <c r="AP448" s="60" t="b">
        <f t="shared" si="50"/>
        <v>0</v>
      </c>
      <c r="AQ448" s="60" t="b">
        <f t="shared" si="51"/>
        <v>0</v>
      </c>
      <c r="AR448" s="60" t="str">
        <f t="shared" si="45"/>
        <v>No</v>
      </c>
      <c r="AS448" s="60" t="str">
        <f t="shared" si="46"/>
        <v>No</v>
      </c>
    </row>
    <row r="449" spans="1:45" hidden="1">
      <c r="A449" s="103">
        <v>45243</v>
      </c>
      <c r="B449" s="117" t="s">
        <v>2296</v>
      </c>
      <c r="C449" s="28" t="s">
        <v>548</v>
      </c>
      <c r="D449" s="28" t="s">
        <v>2301</v>
      </c>
      <c r="F449" s="28" t="s">
        <v>2302</v>
      </c>
      <c r="G449" s="28" t="s">
        <v>958</v>
      </c>
      <c r="H449" s="28" t="s">
        <v>1312</v>
      </c>
      <c r="I449" s="28" t="s">
        <v>516</v>
      </c>
      <c r="J449" s="28" t="s">
        <v>517</v>
      </c>
      <c r="K449" s="28" t="s">
        <v>518</v>
      </c>
      <c r="L449" s="28" t="s">
        <v>675</v>
      </c>
      <c r="M449" s="28" t="s">
        <v>535</v>
      </c>
      <c r="N449" s="28" t="s">
        <v>521</v>
      </c>
      <c r="O449" s="28" t="s">
        <v>522</v>
      </c>
      <c r="S449" s="28" t="s">
        <v>1581</v>
      </c>
      <c r="T449" s="28" t="s">
        <v>676</v>
      </c>
      <c r="U449" s="28" t="s">
        <v>676</v>
      </c>
      <c r="V449" s="28" t="s">
        <v>517</v>
      </c>
      <c r="W449" s="28" t="s">
        <v>2303</v>
      </c>
      <c r="Z449" s="28" t="s">
        <v>563</v>
      </c>
      <c r="AB449" s="28" t="s">
        <v>527</v>
      </c>
      <c r="AD449" s="28" t="s">
        <v>528</v>
      </c>
      <c r="AF449" s="117" t="s">
        <v>2301</v>
      </c>
      <c r="AG449" s="28" t="s">
        <v>563</v>
      </c>
      <c r="AK449" s="60">
        <v>2</v>
      </c>
      <c r="AL449" s="28">
        <f>1/COUNTIF(Tableau6[LAT],B449)</f>
        <v>0.2</v>
      </c>
      <c r="AM449" s="60" t="b">
        <f t="shared" si="47"/>
        <v>0</v>
      </c>
      <c r="AN449" s="60" t="b">
        <f t="shared" si="48"/>
        <v>0</v>
      </c>
      <c r="AO449" s="60" t="b">
        <f t="shared" si="49"/>
        <v>0</v>
      </c>
      <c r="AP449" s="60" t="b">
        <f t="shared" si="50"/>
        <v>0</v>
      </c>
      <c r="AQ449" s="60" t="b">
        <f t="shared" si="51"/>
        <v>0</v>
      </c>
      <c r="AR449" s="60" t="str">
        <f t="shared" si="45"/>
        <v>No</v>
      </c>
      <c r="AS449" s="60" t="str">
        <f t="shared" si="46"/>
        <v>No</v>
      </c>
    </row>
    <row r="450" spans="1:45" hidden="1">
      <c r="A450" s="103">
        <v>45243</v>
      </c>
      <c r="B450" s="117" t="s">
        <v>2296</v>
      </c>
      <c r="C450" s="28" t="s">
        <v>612</v>
      </c>
      <c r="D450" s="28" t="s">
        <v>2304</v>
      </c>
      <c r="F450" s="28" t="s">
        <v>2305</v>
      </c>
      <c r="G450" s="28" t="s">
        <v>648</v>
      </c>
      <c r="H450" s="28" t="s">
        <v>2306</v>
      </c>
      <c r="I450" s="28" t="s">
        <v>516</v>
      </c>
      <c r="J450" s="28" t="s">
        <v>517</v>
      </c>
      <c r="K450" s="28" t="s">
        <v>518</v>
      </c>
      <c r="L450" s="28" t="s">
        <v>675</v>
      </c>
      <c r="M450" s="28" t="s">
        <v>535</v>
      </c>
      <c r="N450" s="28" t="s">
        <v>521</v>
      </c>
      <c r="O450" s="28" t="s">
        <v>522</v>
      </c>
      <c r="S450" s="28" t="s">
        <v>1581</v>
      </c>
      <c r="T450" s="28" t="s">
        <v>676</v>
      </c>
      <c r="U450" s="28" t="s">
        <v>676</v>
      </c>
      <c r="V450" s="28" t="s">
        <v>517</v>
      </c>
      <c r="W450" s="28" t="s">
        <v>2307</v>
      </c>
      <c r="Z450" s="28" t="s">
        <v>563</v>
      </c>
      <c r="AB450" s="28" t="s">
        <v>527</v>
      </c>
      <c r="AD450" s="28" t="s">
        <v>528</v>
      </c>
      <c r="AF450" s="117" t="s">
        <v>2304</v>
      </c>
      <c r="AG450" s="28" t="s">
        <v>563</v>
      </c>
      <c r="AK450" s="60">
        <v>2</v>
      </c>
      <c r="AL450" s="28">
        <f>1/COUNTIF(Tableau6[LAT],B450)</f>
        <v>0.2</v>
      </c>
      <c r="AM450" s="60" t="b">
        <f t="shared" si="47"/>
        <v>0</v>
      </c>
      <c r="AN450" s="60" t="b">
        <f t="shared" si="48"/>
        <v>0</v>
      </c>
      <c r="AO450" s="60" t="b">
        <f t="shared" si="49"/>
        <v>0</v>
      </c>
      <c r="AP450" s="60" t="b">
        <f t="shared" si="50"/>
        <v>0</v>
      </c>
      <c r="AQ450" s="60" t="b">
        <f t="shared" si="51"/>
        <v>0</v>
      </c>
      <c r="AR450" s="60" t="str">
        <f t="shared" si="45"/>
        <v>No</v>
      </c>
      <c r="AS450" s="60" t="str">
        <f t="shared" si="46"/>
        <v>No</v>
      </c>
    </row>
    <row r="451" spans="1:45" hidden="1">
      <c r="A451" s="103">
        <v>45243</v>
      </c>
      <c r="B451" s="117" t="s">
        <v>2296</v>
      </c>
      <c r="C451" s="28" t="s">
        <v>691</v>
      </c>
      <c r="D451" s="28" t="s">
        <v>2308</v>
      </c>
      <c r="F451" s="28" t="s">
        <v>2309</v>
      </c>
      <c r="G451" s="28" t="s">
        <v>514</v>
      </c>
      <c r="H451" s="28" t="s">
        <v>1512</v>
      </c>
      <c r="I451" s="28" t="s">
        <v>516</v>
      </c>
      <c r="J451" s="28" t="s">
        <v>517</v>
      </c>
      <c r="K451" s="28" t="s">
        <v>518</v>
      </c>
      <c r="L451" s="28" t="s">
        <v>675</v>
      </c>
      <c r="M451" s="28" t="s">
        <v>535</v>
      </c>
      <c r="N451" s="28" t="s">
        <v>521</v>
      </c>
      <c r="O451" s="28" t="s">
        <v>522</v>
      </c>
      <c r="S451" s="28" t="s">
        <v>1581</v>
      </c>
      <c r="T451" s="28" t="s">
        <v>676</v>
      </c>
      <c r="U451" s="28" t="s">
        <v>676</v>
      </c>
      <c r="V451" s="28" t="s">
        <v>517</v>
      </c>
      <c r="W451" s="28" t="s">
        <v>2310</v>
      </c>
      <c r="Z451" s="28" t="s">
        <v>563</v>
      </c>
      <c r="AB451" s="28" t="s">
        <v>527</v>
      </c>
      <c r="AD451" s="28" t="s">
        <v>528</v>
      </c>
      <c r="AF451" s="117" t="s">
        <v>2308</v>
      </c>
      <c r="AG451" s="28" t="s">
        <v>563</v>
      </c>
      <c r="AK451" s="60">
        <v>2</v>
      </c>
      <c r="AL451" s="28">
        <f>1/COUNTIF(Tableau6[LAT],B451)</f>
        <v>0.2</v>
      </c>
      <c r="AM451" s="60" t="b">
        <f t="shared" si="47"/>
        <v>0</v>
      </c>
      <c r="AN451" s="60" t="b">
        <f t="shared" si="48"/>
        <v>0</v>
      </c>
      <c r="AO451" s="60" t="b">
        <f t="shared" si="49"/>
        <v>0</v>
      </c>
      <c r="AP451" s="60" t="b">
        <f t="shared" si="50"/>
        <v>0</v>
      </c>
      <c r="AQ451" s="60" t="b">
        <f t="shared" si="51"/>
        <v>0</v>
      </c>
      <c r="AR451" s="60" t="str">
        <f t="shared" si="45"/>
        <v>No</v>
      </c>
      <c r="AS451" s="60" t="str">
        <f t="shared" si="46"/>
        <v>No</v>
      </c>
    </row>
    <row r="452" spans="1:45" hidden="1">
      <c r="A452" s="103">
        <v>45243</v>
      </c>
      <c r="B452" s="117" t="s">
        <v>2296</v>
      </c>
      <c r="C452" s="28" t="s">
        <v>859</v>
      </c>
      <c r="D452" s="28" t="s">
        <v>2311</v>
      </c>
      <c r="F452" s="28" t="s">
        <v>2302</v>
      </c>
      <c r="G452" s="28" t="s">
        <v>958</v>
      </c>
      <c r="H452" s="28" t="s">
        <v>1312</v>
      </c>
      <c r="I452" s="28" t="s">
        <v>516</v>
      </c>
      <c r="J452" s="28" t="s">
        <v>517</v>
      </c>
      <c r="K452" s="28" t="s">
        <v>518</v>
      </c>
      <c r="L452" s="28" t="s">
        <v>675</v>
      </c>
      <c r="M452" s="28" t="s">
        <v>535</v>
      </c>
      <c r="N452" s="28" t="s">
        <v>521</v>
      </c>
      <c r="O452" s="28" t="s">
        <v>522</v>
      </c>
      <c r="S452" s="28" t="s">
        <v>1581</v>
      </c>
      <c r="T452" s="28" t="s">
        <v>676</v>
      </c>
      <c r="U452" s="28" t="s">
        <v>676</v>
      </c>
      <c r="V452" s="28" t="s">
        <v>517</v>
      </c>
      <c r="W452" s="28" t="s">
        <v>835</v>
      </c>
      <c r="Z452" s="28" t="s">
        <v>563</v>
      </c>
      <c r="AB452" s="28" t="s">
        <v>527</v>
      </c>
      <c r="AD452" s="28" t="s">
        <v>528</v>
      </c>
      <c r="AF452" s="117" t="s">
        <v>2311</v>
      </c>
      <c r="AG452" s="28" t="s">
        <v>563</v>
      </c>
      <c r="AK452" s="60">
        <v>2</v>
      </c>
      <c r="AL452" s="28">
        <f>1/COUNTIF(Tableau6[LAT],B452)</f>
        <v>0.2</v>
      </c>
      <c r="AM452" s="60" t="b">
        <f t="shared" si="47"/>
        <v>0</v>
      </c>
      <c r="AN452" s="60" t="b">
        <f t="shared" si="48"/>
        <v>0</v>
      </c>
      <c r="AO452" s="60" t="b">
        <f t="shared" si="49"/>
        <v>0</v>
      </c>
      <c r="AP452" s="60" t="b">
        <f t="shared" si="50"/>
        <v>0</v>
      </c>
      <c r="AQ452" s="60" t="b">
        <f t="shared" si="51"/>
        <v>0</v>
      </c>
      <c r="AR452" s="60" t="str">
        <f t="shared" ref="AR452:AR515" si="52">IF(AM452="Yes","Yes",IF(AN452="Yes","Yes",IF(AO452="yes","Yes",IF(AP452="Yes","Yes","No"))))</f>
        <v>No</v>
      </c>
      <c r="AS452" s="60" t="str">
        <f t="shared" ref="AS452:AS515" si="53">IF(S452="QFA","Yes",IF(S452="LCJ","Yes",IF(S452="CAJ","Yes",IF(S452="WRO","Yes",IF(S452="BEY","Yes",IF(S452="TUN","Yes",IF(S452="LFW","Yes",IF(S452="DLA","Yes",IF(S452="NSI","Yes",IF(S452="OUA","Yes",IF(S452="IAH","Yes",IF(S452="LYS","Yes",IF(S452="DSS","Yes",IF(S452="BKO","Yes",IF(S452="BZV","Yes",IF(S452="COO","Yes",IF(S452="EZE","Yes",IF(S452="CKY","Yes",IF(S452="PTP","Yes",IF(S452="ORD","Yes",IF(S452="CFE","Yes",IF(S452="NKC","Yes",IF(S452="FDF","Yes",IF(S452="SDQ","Yes",IF(S452="PNR","Yes",IF(S452="ICAY","Yes",IF(S452="DTW","Yes",IF(S452="TNR","Yes",IF(S452="RUN","Yes",IF(S452="NIM","Yes","No"))))))))))))))))))))))))))))))</f>
        <v>No</v>
      </c>
    </row>
    <row r="453" spans="1:45" hidden="1">
      <c r="A453" s="103">
        <v>45243</v>
      </c>
      <c r="B453" s="117" t="s">
        <v>2312</v>
      </c>
      <c r="C453" s="28" t="s">
        <v>511</v>
      </c>
      <c r="D453" s="28" t="s">
        <v>2313</v>
      </c>
      <c r="F453" s="28" t="s">
        <v>1002</v>
      </c>
      <c r="G453" s="28" t="s">
        <v>514</v>
      </c>
      <c r="H453" s="28" t="s">
        <v>1284</v>
      </c>
      <c r="I453" s="28" t="s">
        <v>516</v>
      </c>
      <c r="J453" s="28" t="s">
        <v>517</v>
      </c>
      <c r="K453" s="28" t="s">
        <v>518</v>
      </c>
      <c r="L453" s="28" t="s">
        <v>519</v>
      </c>
      <c r="M453" s="28" t="s">
        <v>535</v>
      </c>
      <c r="N453" s="28" t="s">
        <v>521</v>
      </c>
      <c r="O453" s="28" t="s">
        <v>544</v>
      </c>
      <c r="P453" s="28" t="s">
        <v>522</v>
      </c>
      <c r="S453" s="28" t="s">
        <v>1581</v>
      </c>
      <c r="T453" s="28" t="s">
        <v>524</v>
      </c>
      <c r="U453" s="28" t="s">
        <v>524</v>
      </c>
      <c r="V453" s="28" t="s">
        <v>517</v>
      </c>
      <c r="W453" s="28" t="s">
        <v>2314</v>
      </c>
      <c r="Z453" s="28" t="s">
        <v>563</v>
      </c>
      <c r="AB453" s="28" t="s">
        <v>527</v>
      </c>
      <c r="AD453" s="28" t="s">
        <v>528</v>
      </c>
      <c r="AF453" s="117" t="s">
        <v>2313</v>
      </c>
      <c r="AG453" s="28" t="s">
        <v>563</v>
      </c>
      <c r="AK453" s="60">
        <v>2</v>
      </c>
      <c r="AL453" s="28">
        <f>1/COUNTIF(Tableau6[LAT],B453)</f>
        <v>1</v>
      </c>
      <c r="AM453" s="60" t="b">
        <f t="shared" si="47"/>
        <v>0</v>
      </c>
      <c r="AN453" s="60" t="b">
        <f t="shared" si="48"/>
        <v>0</v>
      </c>
      <c r="AO453" s="60" t="b">
        <f t="shared" si="49"/>
        <v>0</v>
      </c>
      <c r="AP453" s="60" t="b">
        <f t="shared" si="50"/>
        <v>0</v>
      </c>
      <c r="AQ453" s="60" t="b">
        <f t="shared" si="51"/>
        <v>0</v>
      </c>
      <c r="AR453" s="60" t="str">
        <f t="shared" si="52"/>
        <v>No</v>
      </c>
      <c r="AS453" s="60" t="str">
        <f t="shared" si="53"/>
        <v>No</v>
      </c>
    </row>
    <row r="454" spans="1:45" hidden="1">
      <c r="A454" s="103">
        <v>45243</v>
      </c>
      <c r="B454" s="117" t="s">
        <v>2315</v>
      </c>
      <c r="C454" s="28" t="s">
        <v>511</v>
      </c>
      <c r="D454" s="28" t="s">
        <v>2316</v>
      </c>
      <c r="F454" s="28" t="s">
        <v>1579</v>
      </c>
      <c r="G454" s="28" t="s">
        <v>514</v>
      </c>
      <c r="H454" s="28" t="s">
        <v>2211</v>
      </c>
      <c r="I454" s="28" t="s">
        <v>516</v>
      </c>
      <c r="J454" s="28" t="s">
        <v>517</v>
      </c>
      <c r="K454" s="28" t="s">
        <v>518</v>
      </c>
      <c r="L454" s="28" t="s">
        <v>1097</v>
      </c>
      <c r="M454" s="28" t="s">
        <v>520</v>
      </c>
      <c r="N454" s="28" t="s">
        <v>557</v>
      </c>
      <c r="O454" s="28" t="s">
        <v>544</v>
      </c>
      <c r="P454" s="28" t="s">
        <v>559</v>
      </c>
      <c r="S454" s="28" t="s">
        <v>1318</v>
      </c>
      <c r="T454" s="28" t="s">
        <v>1098</v>
      </c>
      <c r="U454" s="28" t="s">
        <v>1098</v>
      </c>
      <c r="V454" s="28" t="s">
        <v>517</v>
      </c>
      <c r="W454" s="28" t="s">
        <v>2317</v>
      </c>
      <c r="Z454" s="28" t="s">
        <v>563</v>
      </c>
      <c r="AB454" s="28" t="s">
        <v>527</v>
      </c>
      <c r="AF454" s="117" t="s">
        <v>1083</v>
      </c>
      <c r="AK454" s="60">
        <v>2</v>
      </c>
      <c r="AL454" s="28">
        <f>1/COUNTIF(Tableau6[LAT],B454)</f>
        <v>1</v>
      </c>
      <c r="AM454" s="60" t="b">
        <f t="shared" si="47"/>
        <v>0</v>
      </c>
      <c r="AN454" s="60" t="b">
        <f t="shared" si="48"/>
        <v>0</v>
      </c>
      <c r="AO454" s="60" t="b">
        <f t="shared" si="49"/>
        <v>0</v>
      </c>
      <c r="AP454" s="60" t="b">
        <f t="shared" si="50"/>
        <v>0</v>
      </c>
      <c r="AQ454" s="60" t="b">
        <f t="shared" si="51"/>
        <v>0</v>
      </c>
      <c r="AR454" s="60" t="str">
        <f t="shared" si="52"/>
        <v>No</v>
      </c>
      <c r="AS454" s="60" t="str">
        <f t="shared" si="53"/>
        <v>No</v>
      </c>
    </row>
    <row r="455" spans="1:45" hidden="1">
      <c r="A455" s="103">
        <v>45243</v>
      </c>
      <c r="B455" s="117" t="s">
        <v>2318</v>
      </c>
      <c r="C455" s="28" t="s">
        <v>548</v>
      </c>
      <c r="D455" s="28" t="s">
        <v>2319</v>
      </c>
      <c r="F455" s="28" t="s">
        <v>2320</v>
      </c>
      <c r="G455" s="28" t="s">
        <v>514</v>
      </c>
      <c r="H455" s="28" t="s">
        <v>1873</v>
      </c>
      <c r="I455" s="28" t="s">
        <v>516</v>
      </c>
      <c r="J455" s="28" t="s">
        <v>517</v>
      </c>
      <c r="K455" s="28" t="s">
        <v>518</v>
      </c>
      <c r="L455" s="28" t="s">
        <v>731</v>
      </c>
      <c r="M455" s="28" t="s">
        <v>535</v>
      </c>
      <c r="N455" s="28" t="s">
        <v>1140</v>
      </c>
      <c r="O455" s="28" t="s">
        <v>544</v>
      </c>
      <c r="P455" s="28" t="s">
        <v>522</v>
      </c>
      <c r="S455" s="28" t="s">
        <v>732</v>
      </c>
      <c r="T455" s="28" t="s">
        <v>590</v>
      </c>
      <c r="U455" s="28" t="s">
        <v>733</v>
      </c>
      <c r="V455" s="28" t="s">
        <v>517</v>
      </c>
      <c r="W455" s="28" t="s">
        <v>889</v>
      </c>
      <c r="Z455" s="28" t="s">
        <v>563</v>
      </c>
      <c r="AB455" s="28" t="s">
        <v>527</v>
      </c>
      <c r="AD455" s="28" t="s">
        <v>528</v>
      </c>
      <c r="AF455" s="117" t="s">
        <v>2321</v>
      </c>
      <c r="AG455" s="28" t="s">
        <v>563</v>
      </c>
      <c r="AK455" s="60">
        <v>2</v>
      </c>
      <c r="AL455" s="28">
        <f>1/COUNTIF(Tableau6[LAT],B455)</f>
        <v>1</v>
      </c>
      <c r="AM455" s="60" t="b">
        <f t="shared" si="47"/>
        <v>0</v>
      </c>
      <c r="AN455" s="60" t="b">
        <f t="shared" si="48"/>
        <v>0</v>
      </c>
      <c r="AO455" s="60" t="b">
        <f t="shared" si="49"/>
        <v>0</v>
      </c>
      <c r="AP455" s="60" t="b">
        <f t="shared" si="50"/>
        <v>0</v>
      </c>
      <c r="AQ455" s="60" t="b">
        <f t="shared" si="51"/>
        <v>0</v>
      </c>
      <c r="AR455" s="60" t="str">
        <f t="shared" si="52"/>
        <v>No</v>
      </c>
      <c r="AS455" s="60" t="str">
        <f t="shared" si="53"/>
        <v>No</v>
      </c>
    </row>
    <row r="456" spans="1:45" hidden="1">
      <c r="A456" s="103">
        <v>45243</v>
      </c>
      <c r="B456" s="117" t="s">
        <v>2322</v>
      </c>
      <c r="C456" s="28" t="s">
        <v>511</v>
      </c>
      <c r="D456" s="28" t="s">
        <v>2323</v>
      </c>
      <c r="F456" s="28" t="s">
        <v>1090</v>
      </c>
      <c r="G456" s="28" t="s">
        <v>2324</v>
      </c>
      <c r="H456" s="28" t="s">
        <v>1187</v>
      </c>
      <c r="I456" s="28" t="s">
        <v>516</v>
      </c>
      <c r="J456" s="28" t="s">
        <v>517</v>
      </c>
      <c r="K456" s="28" t="s">
        <v>518</v>
      </c>
      <c r="L456" s="28" t="s">
        <v>2325</v>
      </c>
      <c r="M456" s="28" t="s">
        <v>535</v>
      </c>
      <c r="N456" s="28" t="s">
        <v>521</v>
      </c>
      <c r="O456" s="28" t="s">
        <v>522</v>
      </c>
      <c r="S456" s="28" t="s">
        <v>1934</v>
      </c>
      <c r="T456" s="28" t="s">
        <v>2326</v>
      </c>
      <c r="U456" s="28" t="s">
        <v>2326</v>
      </c>
      <c r="V456" s="28" t="s">
        <v>517</v>
      </c>
      <c r="W456" s="28" t="s">
        <v>2327</v>
      </c>
      <c r="Z456" s="28" t="s">
        <v>563</v>
      </c>
      <c r="AB456" s="28" t="s">
        <v>527</v>
      </c>
      <c r="AD456" s="28" t="s">
        <v>528</v>
      </c>
      <c r="AF456" s="117" t="s">
        <v>2323</v>
      </c>
      <c r="AG456" s="28" t="s">
        <v>563</v>
      </c>
      <c r="AK456" s="60">
        <v>2</v>
      </c>
      <c r="AL456" s="28">
        <f>1/COUNTIF(Tableau6[LAT],B456)</f>
        <v>1</v>
      </c>
      <c r="AM456" s="60" t="b">
        <f t="shared" si="47"/>
        <v>0</v>
      </c>
      <c r="AN456" s="60" t="b">
        <f t="shared" si="48"/>
        <v>0</v>
      </c>
      <c r="AO456" s="60" t="b">
        <f t="shared" si="49"/>
        <v>0</v>
      </c>
      <c r="AP456" s="60" t="b">
        <f t="shared" si="50"/>
        <v>0</v>
      </c>
      <c r="AQ456" s="60" t="b">
        <f t="shared" si="51"/>
        <v>0</v>
      </c>
      <c r="AR456" s="60" t="str">
        <f t="shared" si="52"/>
        <v>No</v>
      </c>
      <c r="AS456" s="60" t="str">
        <f t="shared" si="53"/>
        <v>No</v>
      </c>
    </row>
    <row r="457" spans="1:45" hidden="1">
      <c r="A457" s="103">
        <v>45243</v>
      </c>
      <c r="B457" s="117" t="s">
        <v>2328</v>
      </c>
      <c r="C457" s="28" t="s">
        <v>548</v>
      </c>
      <c r="D457" s="28" t="s">
        <v>2329</v>
      </c>
      <c r="F457" s="28" t="s">
        <v>989</v>
      </c>
      <c r="G457" s="28" t="s">
        <v>514</v>
      </c>
      <c r="H457" s="28" t="s">
        <v>2146</v>
      </c>
      <c r="I457" s="28" t="s">
        <v>516</v>
      </c>
      <c r="J457" s="28" t="s">
        <v>517</v>
      </c>
      <c r="K457" s="28" t="s">
        <v>518</v>
      </c>
      <c r="L457" s="28" t="s">
        <v>839</v>
      </c>
      <c r="M457" s="28" t="s">
        <v>520</v>
      </c>
      <c r="N457" s="28" t="s">
        <v>544</v>
      </c>
      <c r="O457" s="28" t="s">
        <v>522</v>
      </c>
      <c r="S457" s="28" t="s">
        <v>740</v>
      </c>
      <c r="T457" s="28" t="s">
        <v>840</v>
      </c>
      <c r="U457" s="28" t="s">
        <v>840</v>
      </c>
      <c r="V457" s="28" t="s">
        <v>517</v>
      </c>
      <c r="W457" s="28" t="s">
        <v>2330</v>
      </c>
      <c r="Z457" s="28" t="s">
        <v>563</v>
      </c>
      <c r="AB457" s="28" t="s">
        <v>527</v>
      </c>
      <c r="AD457" s="28" t="s">
        <v>528</v>
      </c>
      <c r="AF457" s="117" t="s">
        <v>2331</v>
      </c>
      <c r="AG457" s="28" t="s">
        <v>563</v>
      </c>
      <c r="AK457" s="60">
        <v>2</v>
      </c>
      <c r="AL457" s="28">
        <f>1/COUNTIF(Tableau6[LAT],B457)</f>
        <v>1</v>
      </c>
      <c r="AM457" s="60" t="b">
        <f t="shared" si="47"/>
        <v>0</v>
      </c>
      <c r="AN457" s="60" t="b">
        <f t="shared" si="48"/>
        <v>0</v>
      </c>
      <c r="AO457" s="60" t="b">
        <f t="shared" si="49"/>
        <v>0</v>
      </c>
      <c r="AP457" s="60" t="b">
        <f t="shared" si="50"/>
        <v>0</v>
      </c>
      <c r="AQ457" s="60" t="b">
        <f t="shared" si="51"/>
        <v>0</v>
      </c>
      <c r="AR457" s="60" t="str">
        <f t="shared" si="52"/>
        <v>No</v>
      </c>
      <c r="AS457" s="60" t="str">
        <f t="shared" si="53"/>
        <v>No</v>
      </c>
    </row>
    <row r="458" spans="1:45" hidden="1">
      <c r="A458" s="103">
        <v>45243</v>
      </c>
      <c r="B458" s="117" t="s">
        <v>2332</v>
      </c>
      <c r="C458" s="28" t="s">
        <v>511</v>
      </c>
      <c r="D458" s="28" t="s">
        <v>2333</v>
      </c>
      <c r="F458" s="28" t="s">
        <v>2334</v>
      </c>
      <c r="G458" s="28" t="s">
        <v>514</v>
      </c>
      <c r="H458" s="28" t="s">
        <v>2335</v>
      </c>
      <c r="I458" s="28" t="s">
        <v>516</v>
      </c>
      <c r="J458" s="28" t="s">
        <v>517</v>
      </c>
      <c r="K458" s="28" t="s">
        <v>518</v>
      </c>
      <c r="L458" s="28" t="s">
        <v>543</v>
      </c>
      <c r="M458" s="28" t="s">
        <v>535</v>
      </c>
      <c r="N458" s="28" t="s">
        <v>544</v>
      </c>
      <c r="O458" s="28" t="s">
        <v>559</v>
      </c>
      <c r="S458" s="28" t="s">
        <v>699</v>
      </c>
      <c r="T458" s="28" t="s">
        <v>546</v>
      </c>
      <c r="U458" s="28" t="s">
        <v>546</v>
      </c>
      <c r="V458" s="28" t="s">
        <v>517</v>
      </c>
      <c r="W458" s="28" t="s">
        <v>2336</v>
      </c>
      <c r="Z458" s="28" t="s">
        <v>563</v>
      </c>
      <c r="AB458" s="28" t="s">
        <v>527</v>
      </c>
      <c r="AD458" s="28" t="s">
        <v>528</v>
      </c>
      <c r="AF458" s="117" t="s">
        <v>2333</v>
      </c>
      <c r="AG458" s="28" t="s">
        <v>563</v>
      </c>
      <c r="AK458" s="60">
        <v>2</v>
      </c>
      <c r="AL458" s="28">
        <f>1/COUNTIF(Tableau6[LAT],B458)</f>
        <v>1</v>
      </c>
      <c r="AM458" s="60" t="b">
        <f t="shared" si="47"/>
        <v>0</v>
      </c>
      <c r="AN458" s="60" t="b">
        <f t="shared" si="48"/>
        <v>0</v>
      </c>
      <c r="AO458" s="60" t="b">
        <f t="shared" si="49"/>
        <v>0</v>
      </c>
      <c r="AP458" s="60" t="b">
        <f t="shared" si="50"/>
        <v>0</v>
      </c>
      <c r="AQ458" s="60" t="b">
        <f t="shared" si="51"/>
        <v>0</v>
      </c>
      <c r="AR458" s="60" t="str">
        <f t="shared" si="52"/>
        <v>No</v>
      </c>
      <c r="AS458" s="60" t="str">
        <f t="shared" si="53"/>
        <v>No</v>
      </c>
    </row>
    <row r="459" spans="1:45" hidden="1">
      <c r="A459" s="103">
        <v>45243</v>
      </c>
      <c r="B459" s="117" t="s">
        <v>2337</v>
      </c>
      <c r="C459" s="28" t="s">
        <v>511</v>
      </c>
      <c r="D459" s="28" t="s">
        <v>2338</v>
      </c>
      <c r="F459" s="28" t="s">
        <v>2339</v>
      </c>
      <c r="G459" s="28" t="s">
        <v>514</v>
      </c>
      <c r="H459" s="28" t="s">
        <v>990</v>
      </c>
      <c r="I459" s="28" t="s">
        <v>516</v>
      </c>
      <c r="J459" s="28" t="s">
        <v>517</v>
      </c>
      <c r="K459" s="28" t="s">
        <v>518</v>
      </c>
      <c r="L459" s="28" t="s">
        <v>1787</v>
      </c>
      <c r="M459" s="28" t="s">
        <v>535</v>
      </c>
      <c r="N459" s="28" t="s">
        <v>559</v>
      </c>
      <c r="S459" s="28" t="s">
        <v>699</v>
      </c>
      <c r="T459" s="28" t="s">
        <v>581</v>
      </c>
      <c r="U459" s="28" t="s">
        <v>581</v>
      </c>
      <c r="V459" s="28" t="s">
        <v>517</v>
      </c>
      <c r="W459" s="28" t="s">
        <v>1788</v>
      </c>
      <c r="Z459" s="28" t="s">
        <v>563</v>
      </c>
      <c r="AB459" s="28" t="s">
        <v>527</v>
      </c>
      <c r="AD459" s="28" t="s">
        <v>528</v>
      </c>
      <c r="AF459" s="117" t="s">
        <v>2338</v>
      </c>
      <c r="AG459" s="28" t="s">
        <v>563</v>
      </c>
      <c r="AK459" s="60">
        <v>2</v>
      </c>
      <c r="AL459" s="28">
        <f>1/COUNTIF(Tableau6[LAT],B459)</f>
        <v>1</v>
      </c>
      <c r="AM459" s="60" t="b">
        <f t="shared" si="47"/>
        <v>0</v>
      </c>
      <c r="AN459" s="60" t="b">
        <f t="shared" si="48"/>
        <v>0</v>
      </c>
      <c r="AO459" s="60" t="b">
        <f t="shared" si="49"/>
        <v>0</v>
      </c>
      <c r="AP459" s="60" t="b">
        <f t="shared" si="50"/>
        <v>0</v>
      </c>
      <c r="AQ459" s="60" t="b">
        <f t="shared" si="51"/>
        <v>0</v>
      </c>
      <c r="AR459" s="60" t="str">
        <f t="shared" si="52"/>
        <v>No</v>
      </c>
      <c r="AS459" s="60" t="str">
        <f t="shared" si="53"/>
        <v>No</v>
      </c>
    </row>
    <row r="460" spans="1:45" hidden="1">
      <c r="A460" s="103">
        <v>45243</v>
      </c>
      <c r="B460" s="117" t="s">
        <v>2340</v>
      </c>
      <c r="C460" s="28" t="s">
        <v>511</v>
      </c>
      <c r="D460" s="28" t="s">
        <v>2341</v>
      </c>
      <c r="F460" s="28" t="s">
        <v>2342</v>
      </c>
      <c r="G460" s="28" t="s">
        <v>514</v>
      </c>
      <c r="H460" s="28" t="s">
        <v>1381</v>
      </c>
      <c r="I460" s="28" t="s">
        <v>516</v>
      </c>
      <c r="J460" s="28" t="s">
        <v>517</v>
      </c>
      <c r="K460" s="28" t="s">
        <v>518</v>
      </c>
      <c r="L460" s="28" t="s">
        <v>1040</v>
      </c>
      <c r="M460" s="28" t="s">
        <v>535</v>
      </c>
      <c r="N460" s="28" t="s">
        <v>521</v>
      </c>
      <c r="O460" s="28" t="s">
        <v>544</v>
      </c>
      <c r="S460" s="28" t="s">
        <v>2343</v>
      </c>
      <c r="T460" s="28" t="s">
        <v>1042</v>
      </c>
      <c r="U460" s="28" t="s">
        <v>1042</v>
      </c>
      <c r="V460" s="28" t="s">
        <v>517</v>
      </c>
      <c r="W460" s="28" t="s">
        <v>922</v>
      </c>
      <c r="Z460" s="28" t="s">
        <v>563</v>
      </c>
      <c r="AB460" s="28" t="s">
        <v>527</v>
      </c>
      <c r="AD460" s="28" t="s">
        <v>954</v>
      </c>
      <c r="AF460" s="117" t="s">
        <v>2341</v>
      </c>
      <c r="AG460" s="28" t="s">
        <v>563</v>
      </c>
      <c r="AK460" s="60">
        <v>2</v>
      </c>
      <c r="AL460" s="28">
        <f>1/COUNTIF(Tableau6[LAT],B460)</f>
        <v>0.5</v>
      </c>
      <c r="AM460" s="60" t="b">
        <f t="shared" si="47"/>
        <v>0</v>
      </c>
      <c r="AN460" s="60" t="b">
        <f t="shared" si="48"/>
        <v>0</v>
      </c>
      <c r="AO460" s="60" t="b">
        <f t="shared" si="49"/>
        <v>0</v>
      </c>
      <c r="AP460" s="60" t="b">
        <f t="shared" si="50"/>
        <v>0</v>
      </c>
      <c r="AQ460" s="60" t="b">
        <f t="shared" si="51"/>
        <v>0</v>
      </c>
      <c r="AR460" s="60" t="str">
        <f t="shared" si="52"/>
        <v>No</v>
      </c>
      <c r="AS460" s="60" t="str">
        <f t="shared" si="53"/>
        <v>No</v>
      </c>
    </row>
    <row r="461" spans="1:45" hidden="1">
      <c r="A461" s="103">
        <v>45243</v>
      </c>
      <c r="B461" s="117" t="s">
        <v>2340</v>
      </c>
      <c r="C461" s="28" t="s">
        <v>548</v>
      </c>
      <c r="D461" s="28" t="s">
        <v>2344</v>
      </c>
      <c r="F461" s="28" t="s">
        <v>2342</v>
      </c>
      <c r="G461" s="28" t="s">
        <v>514</v>
      </c>
      <c r="H461" s="28" t="s">
        <v>1387</v>
      </c>
      <c r="I461" s="28" t="s">
        <v>516</v>
      </c>
      <c r="J461" s="28" t="s">
        <v>517</v>
      </c>
      <c r="K461" s="28" t="s">
        <v>518</v>
      </c>
      <c r="L461" s="28" t="s">
        <v>1040</v>
      </c>
      <c r="M461" s="28" t="s">
        <v>535</v>
      </c>
      <c r="N461" s="28" t="s">
        <v>521</v>
      </c>
      <c r="O461" s="28" t="s">
        <v>544</v>
      </c>
      <c r="S461" s="28" t="s">
        <v>2343</v>
      </c>
      <c r="T461" s="28" t="s">
        <v>1042</v>
      </c>
      <c r="U461" s="28" t="s">
        <v>1042</v>
      </c>
      <c r="V461" s="28" t="s">
        <v>517</v>
      </c>
      <c r="W461" s="28" t="s">
        <v>922</v>
      </c>
      <c r="Z461" s="28" t="s">
        <v>563</v>
      </c>
      <c r="AB461" s="28" t="s">
        <v>527</v>
      </c>
      <c r="AD461" s="28" t="s">
        <v>954</v>
      </c>
      <c r="AF461" s="117" t="s">
        <v>2344</v>
      </c>
      <c r="AG461" s="28" t="s">
        <v>563</v>
      </c>
      <c r="AK461" s="60">
        <v>2</v>
      </c>
      <c r="AL461" s="28">
        <f>1/COUNTIF(Tableau6[LAT],B461)</f>
        <v>0.5</v>
      </c>
      <c r="AM461" s="60" t="b">
        <f t="shared" si="47"/>
        <v>0</v>
      </c>
      <c r="AN461" s="60" t="b">
        <f t="shared" si="48"/>
        <v>0</v>
      </c>
      <c r="AO461" s="60" t="b">
        <f t="shared" si="49"/>
        <v>0</v>
      </c>
      <c r="AP461" s="60" t="b">
        <f t="shared" si="50"/>
        <v>0</v>
      </c>
      <c r="AQ461" s="60" t="b">
        <f t="shared" si="51"/>
        <v>0</v>
      </c>
      <c r="AR461" s="60" t="str">
        <f t="shared" si="52"/>
        <v>No</v>
      </c>
      <c r="AS461" s="60" t="str">
        <f t="shared" si="53"/>
        <v>No</v>
      </c>
    </row>
    <row r="462" spans="1:45" hidden="1">
      <c r="A462" s="103">
        <v>45243</v>
      </c>
      <c r="B462" s="117" t="s">
        <v>2345</v>
      </c>
      <c r="C462" s="28" t="s">
        <v>511</v>
      </c>
      <c r="D462" s="28" t="s">
        <v>2346</v>
      </c>
      <c r="F462" s="28" t="s">
        <v>2347</v>
      </c>
      <c r="G462" s="28" t="s">
        <v>514</v>
      </c>
      <c r="H462" s="28" t="s">
        <v>1325</v>
      </c>
      <c r="I462" s="28" t="s">
        <v>516</v>
      </c>
      <c r="J462" s="28" t="s">
        <v>517</v>
      </c>
      <c r="K462" s="28" t="s">
        <v>518</v>
      </c>
      <c r="L462" s="28" t="s">
        <v>1097</v>
      </c>
      <c r="M462" s="28" t="s">
        <v>520</v>
      </c>
      <c r="N462" s="28" t="s">
        <v>544</v>
      </c>
      <c r="O462" s="28" t="s">
        <v>559</v>
      </c>
      <c r="S462" s="28" t="s">
        <v>991</v>
      </c>
      <c r="T462" s="28" t="s">
        <v>1098</v>
      </c>
      <c r="U462" s="28" t="s">
        <v>1098</v>
      </c>
      <c r="V462" s="28" t="s">
        <v>517</v>
      </c>
      <c r="W462" s="28" t="s">
        <v>2348</v>
      </c>
      <c r="Z462" s="28" t="s">
        <v>563</v>
      </c>
      <c r="AB462" s="28" t="s">
        <v>527</v>
      </c>
      <c r="AD462" s="28" t="s">
        <v>528</v>
      </c>
      <c r="AF462" s="117" t="s">
        <v>2346</v>
      </c>
      <c r="AG462" s="28" t="s">
        <v>563</v>
      </c>
      <c r="AK462" s="60">
        <v>2</v>
      </c>
      <c r="AL462" s="28">
        <f>1/COUNTIF(Tableau6[LAT],B462)</f>
        <v>0.33333333333333331</v>
      </c>
      <c r="AM462" s="60" t="b">
        <f t="shared" si="47"/>
        <v>0</v>
      </c>
      <c r="AN462" s="60" t="b">
        <f t="shared" si="48"/>
        <v>0</v>
      </c>
      <c r="AO462" s="60" t="b">
        <f t="shared" si="49"/>
        <v>0</v>
      </c>
      <c r="AP462" s="60" t="b">
        <f t="shared" si="50"/>
        <v>0</v>
      </c>
      <c r="AQ462" s="60" t="b">
        <f t="shared" si="51"/>
        <v>0</v>
      </c>
      <c r="AR462" s="60" t="str">
        <f t="shared" si="52"/>
        <v>No</v>
      </c>
      <c r="AS462" s="60" t="str">
        <f t="shared" si="53"/>
        <v>No</v>
      </c>
    </row>
    <row r="463" spans="1:45" hidden="1">
      <c r="A463" s="103">
        <v>45243</v>
      </c>
      <c r="B463" s="117" t="s">
        <v>2345</v>
      </c>
      <c r="C463" s="28" t="s">
        <v>548</v>
      </c>
      <c r="D463" s="28" t="s">
        <v>2349</v>
      </c>
      <c r="F463" s="28" t="s">
        <v>2347</v>
      </c>
      <c r="G463" s="28" t="s">
        <v>514</v>
      </c>
      <c r="H463" s="28" t="s">
        <v>1325</v>
      </c>
      <c r="I463" s="28" t="s">
        <v>516</v>
      </c>
      <c r="J463" s="28" t="s">
        <v>517</v>
      </c>
      <c r="K463" s="28" t="s">
        <v>518</v>
      </c>
      <c r="L463" s="28" t="s">
        <v>1097</v>
      </c>
      <c r="M463" s="28" t="s">
        <v>520</v>
      </c>
      <c r="N463" s="28" t="s">
        <v>544</v>
      </c>
      <c r="O463" s="28" t="s">
        <v>559</v>
      </c>
      <c r="S463" s="28" t="s">
        <v>991</v>
      </c>
      <c r="T463" s="28" t="s">
        <v>1098</v>
      </c>
      <c r="U463" s="28" t="s">
        <v>1098</v>
      </c>
      <c r="V463" s="28" t="s">
        <v>517</v>
      </c>
      <c r="W463" s="28" t="s">
        <v>2350</v>
      </c>
      <c r="Z463" s="28" t="s">
        <v>563</v>
      </c>
      <c r="AB463" s="28" t="s">
        <v>527</v>
      </c>
      <c r="AD463" s="28" t="s">
        <v>528</v>
      </c>
      <c r="AF463" s="117" t="s">
        <v>2349</v>
      </c>
      <c r="AG463" s="28" t="s">
        <v>563</v>
      </c>
      <c r="AK463" s="60">
        <v>2</v>
      </c>
      <c r="AL463" s="28">
        <f>1/COUNTIF(Tableau6[LAT],B463)</f>
        <v>0.33333333333333331</v>
      </c>
      <c r="AM463" s="60" t="b">
        <f t="shared" si="47"/>
        <v>0</v>
      </c>
      <c r="AN463" s="60" t="b">
        <f t="shared" si="48"/>
        <v>0</v>
      </c>
      <c r="AO463" s="60" t="b">
        <f t="shared" si="49"/>
        <v>0</v>
      </c>
      <c r="AP463" s="60" t="b">
        <f t="shared" si="50"/>
        <v>0</v>
      </c>
      <c r="AQ463" s="60" t="b">
        <f t="shared" si="51"/>
        <v>0</v>
      </c>
      <c r="AR463" s="60" t="str">
        <f t="shared" si="52"/>
        <v>No</v>
      </c>
      <c r="AS463" s="60" t="str">
        <f t="shared" si="53"/>
        <v>No</v>
      </c>
    </row>
    <row r="464" spans="1:45" hidden="1">
      <c r="A464" s="103">
        <v>45243</v>
      </c>
      <c r="B464" s="117" t="s">
        <v>2345</v>
      </c>
      <c r="C464" s="28" t="s">
        <v>612</v>
      </c>
      <c r="D464" s="28" t="s">
        <v>2351</v>
      </c>
      <c r="F464" s="28" t="s">
        <v>2347</v>
      </c>
      <c r="G464" s="28" t="s">
        <v>514</v>
      </c>
      <c r="H464" s="28" t="s">
        <v>1325</v>
      </c>
      <c r="I464" s="28" t="s">
        <v>516</v>
      </c>
      <c r="J464" s="28" t="s">
        <v>517</v>
      </c>
      <c r="K464" s="28" t="s">
        <v>518</v>
      </c>
      <c r="L464" s="28" t="s">
        <v>1097</v>
      </c>
      <c r="M464" s="28" t="s">
        <v>520</v>
      </c>
      <c r="N464" s="28" t="s">
        <v>544</v>
      </c>
      <c r="O464" s="28" t="s">
        <v>559</v>
      </c>
      <c r="S464" s="28" t="s">
        <v>991</v>
      </c>
      <c r="T464" s="28" t="s">
        <v>1098</v>
      </c>
      <c r="U464" s="28" t="s">
        <v>1098</v>
      </c>
      <c r="V464" s="28" t="s">
        <v>517</v>
      </c>
      <c r="W464" s="28" t="s">
        <v>835</v>
      </c>
      <c r="Z464" s="28" t="s">
        <v>563</v>
      </c>
      <c r="AB464" s="28" t="s">
        <v>527</v>
      </c>
      <c r="AD464" s="28" t="s">
        <v>528</v>
      </c>
      <c r="AF464" s="117" t="s">
        <v>2351</v>
      </c>
      <c r="AG464" s="28" t="s">
        <v>563</v>
      </c>
      <c r="AK464" s="60">
        <v>2</v>
      </c>
      <c r="AL464" s="28">
        <f>1/COUNTIF(Tableau6[LAT],B464)</f>
        <v>0.33333333333333331</v>
      </c>
      <c r="AM464" s="60" t="b">
        <f t="shared" si="47"/>
        <v>0</v>
      </c>
      <c r="AN464" s="60" t="b">
        <f t="shared" si="48"/>
        <v>0</v>
      </c>
      <c r="AO464" s="60" t="b">
        <f t="shared" si="49"/>
        <v>0</v>
      </c>
      <c r="AP464" s="60" t="b">
        <f t="shared" si="50"/>
        <v>0</v>
      </c>
      <c r="AQ464" s="60" t="b">
        <f t="shared" si="51"/>
        <v>0</v>
      </c>
      <c r="AR464" s="60" t="str">
        <f t="shared" si="52"/>
        <v>No</v>
      </c>
      <c r="AS464" s="60" t="str">
        <f t="shared" si="53"/>
        <v>No</v>
      </c>
    </row>
    <row r="465" spans="1:45" hidden="1">
      <c r="A465" s="103">
        <v>45243</v>
      </c>
      <c r="B465" s="117" t="s">
        <v>2352</v>
      </c>
      <c r="C465" s="28" t="s">
        <v>511</v>
      </c>
      <c r="D465" s="28" t="s">
        <v>2353</v>
      </c>
      <c r="F465" s="28" t="s">
        <v>2354</v>
      </c>
      <c r="G465" s="28" t="s">
        <v>514</v>
      </c>
      <c r="H465" s="28" t="s">
        <v>1123</v>
      </c>
      <c r="I465" s="28" t="s">
        <v>516</v>
      </c>
      <c r="J465" s="28" t="s">
        <v>517</v>
      </c>
      <c r="K465" s="28" t="s">
        <v>518</v>
      </c>
      <c r="L465" s="28" t="s">
        <v>739</v>
      </c>
      <c r="M465" s="28" t="s">
        <v>535</v>
      </c>
      <c r="N465" s="28" t="s">
        <v>1140</v>
      </c>
      <c r="O465" s="28" t="s">
        <v>557</v>
      </c>
      <c r="P465" s="28" t="s">
        <v>544</v>
      </c>
      <c r="Q465" s="28" t="s">
        <v>559</v>
      </c>
      <c r="S465" s="28" t="s">
        <v>524</v>
      </c>
      <c r="T465" s="28" t="s">
        <v>741</v>
      </c>
      <c r="U465" s="28" t="s">
        <v>741</v>
      </c>
      <c r="V465" s="28" t="s">
        <v>517</v>
      </c>
      <c r="W465" s="28" t="s">
        <v>2355</v>
      </c>
      <c r="Z465" s="28" t="s">
        <v>526</v>
      </c>
      <c r="AD465" s="28" t="s">
        <v>528</v>
      </c>
      <c r="AF465" s="117" t="s">
        <v>2353</v>
      </c>
      <c r="AG465" s="28" t="s">
        <v>529</v>
      </c>
      <c r="AK465" s="60">
        <v>2</v>
      </c>
      <c r="AL465" s="28">
        <f>1/COUNTIF(Tableau6[LAT],B465)</f>
        <v>1</v>
      </c>
      <c r="AM465" s="60" t="b">
        <f t="shared" si="47"/>
        <v>0</v>
      </c>
      <c r="AN465" s="60" t="b">
        <f t="shared" si="48"/>
        <v>0</v>
      </c>
      <c r="AO465" s="60" t="b">
        <f t="shared" si="49"/>
        <v>0</v>
      </c>
      <c r="AP465" s="60" t="b">
        <f t="shared" si="50"/>
        <v>0</v>
      </c>
      <c r="AQ465" s="60" t="b">
        <f t="shared" si="51"/>
        <v>0</v>
      </c>
      <c r="AR465" s="60" t="str">
        <f t="shared" si="52"/>
        <v>No</v>
      </c>
      <c r="AS465" s="60" t="str">
        <f t="shared" si="53"/>
        <v>No</v>
      </c>
    </row>
    <row r="466" spans="1:45" hidden="1">
      <c r="A466" s="103">
        <v>45243</v>
      </c>
      <c r="B466" s="117" t="s">
        <v>2356</v>
      </c>
      <c r="C466" s="28" t="s">
        <v>511</v>
      </c>
      <c r="D466" s="28" t="s">
        <v>2357</v>
      </c>
      <c r="F466" s="28" t="s">
        <v>2358</v>
      </c>
      <c r="G466" s="28" t="s">
        <v>514</v>
      </c>
      <c r="H466" s="28" t="s">
        <v>1198</v>
      </c>
      <c r="I466" s="28" t="s">
        <v>516</v>
      </c>
      <c r="J466" s="28" t="s">
        <v>517</v>
      </c>
      <c r="K466" s="28" t="s">
        <v>518</v>
      </c>
      <c r="L466" s="28" t="s">
        <v>801</v>
      </c>
      <c r="M466" s="28" t="s">
        <v>520</v>
      </c>
      <c r="N466" s="28" t="s">
        <v>619</v>
      </c>
      <c r="O466" s="28" t="s">
        <v>2359</v>
      </c>
      <c r="P466" s="28" t="s">
        <v>572</v>
      </c>
      <c r="Q466" s="28" t="s">
        <v>521</v>
      </c>
      <c r="R466" s="28" t="s">
        <v>544</v>
      </c>
      <c r="S466" s="28" t="s">
        <v>1529</v>
      </c>
      <c r="T466" s="28" t="s">
        <v>803</v>
      </c>
      <c r="U466" s="28" t="s">
        <v>803</v>
      </c>
      <c r="V466" s="28" t="s">
        <v>517</v>
      </c>
      <c r="W466" s="28" t="s">
        <v>2360</v>
      </c>
      <c r="Z466" s="28" t="s">
        <v>526</v>
      </c>
      <c r="AF466" s="117" t="s">
        <v>1083</v>
      </c>
      <c r="AK466" s="60">
        <v>2</v>
      </c>
      <c r="AL466" s="28">
        <f>1/COUNTIF(Tableau6[LAT],B466)</f>
        <v>1</v>
      </c>
      <c r="AM466" s="60" t="b">
        <f t="shared" si="47"/>
        <v>0</v>
      </c>
      <c r="AN466" s="60" t="b">
        <f t="shared" si="48"/>
        <v>0</v>
      </c>
      <c r="AO466" s="60" t="b">
        <f t="shared" si="49"/>
        <v>0</v>
      </c>
      <c r="AP466" s="60" t="b">
        <f t="shared" si="50"/>
        <v>0</v>
      </c>
      <c r="AQ466" s="60" t="b">
        <f t="shared" si="51"/>
        <v>0</v>
      </c>
      <c r="AR466" s="60" t="str">
        <f t="shared" si="52"/>
        <v>No</v>
      </c>
      <c r="AS466" s="60" t="str">
        <f t="shared" si="53"/>
        <v>No</v>
      </c>
    </row>
    <row r="467" spans="1:45" hidden="1">
      <c r="A467" s="103">
        <v>45243</v>
      </c>
      <c r="B467" s="117" t="s">
        <v>2361</v>
      </c>
      <c r="C467" s="28" t="s">
        <v>859</v>
      </c>
      <c r="D467" s="28" t="s">
        <v>2362</v>
      </c>
      <c r="F467" s="28" t="s">
        <v>1861</v>
      </c>
      <c r="G467" s="28" t="s">
        <v>514</v>
      </c>
      <c r="H467" s="28" t="s">
        <v>848</v>
      </c>
      <c r="I467" s="28" t="s">
        <v>516</v>
      </c>
      <c r="J467" s="28" t="s">
        <v>517</v>
      </c>
      <c r="K467" s="28" t="s">
        <v>518</v>
      </c>
      <c r="L467" s="28" t="s">
        <v>2363</v>
      </c>
      <c r="M467" s="28" t="s">
        <v>605</v>
      </c>
      <c r="N467" s="28" t="s">
        <v>544</v>
      </c>
      <c r="S467" s="28" t="s">
        <v>1529</v>
      </c>
      <c r="T467" s="28" t="s">
        <v>2364</v>
      </c>
      <c r="U467" s="28" t="s">
        <v>2364</v>
      </c>
      <c r="V467" s="28" t="s">
        <v>517</v>
      </c>
      <c r="W467" s="28" t="s">
        <v>975</v>
      </c>
      <c r="Z467" s="28" t="s">
        <v>526</v>
      </c>
      <c r="AD467" s="28" t="s">
        <v>528</v>
      </c>
      <c r="AF467" s="117" t="s">
        <v>2365</v>
      </c>
      <c r="AG467" s="28" t="s">
        <v>529</v>
      </c>
      <c r="AK467" s="60">
        <v>2</v>
      </c>
      <c r="AL467" s="28">
        <f>1/COUNTIF(Tableau6[LAT],B467)</f>
        <v>0.16666666666666666</v>
      </c>
      <c r="AM467" s="60" t="b">
        <f t="shared" si="47"/>
        <v>0</v>
      </c>
      <c r="AN467" s="60" t="b">
        <f t="shared" si="48"/>
        <v>0</v>
      </c>
      <c r="AO467" s="60" t="b">
        <f t="shared" si="49"/>
        <v>0</v>
      </c>
      <c r="AP467" s="60" t="b">
        <f t="shared" si="50"/>
        <v>0</v>
      </c>
      <c r="AQ467" s="60" t="b">
        <f t="shared" si="51"/>
        <v>0</v>
      </c>
      <c r="AR467" s="60" t="str">
        <f t="shared" si="52"/>
        <v>No</v>
      </c>
      <c r="AS467" s="60" t="str">
        <f t="shared" si="53"/>
        <v>No</v>
      </c>
    </row>
    <row r="468" spans="1:45" hidden="1">
      <c r="A468" s="103">
        <v>45243</v>
      </c>
      <c r="B468" s="117" t="s">
        <v>2361</v>
      </c>
      <c r="C468" s="28" t="s">
        <v>861</v>
      </c>
      <c r="D468" s="28" t="s">
        <v>2366</v>
      </c>
      <c r="E468" s="28" t="s">
        <v>2367</v>
      </c>
      <c r="F468" s="28" t="s">
        <v>2368</v>
      </c>
      <c r="G468" s="28" t="s">
        <v>958</v>
      </c>
      <c r="H468" s="28" t="s">
        <v>2369</v>
      </c>
      <c r="I468" s="28" t="s">
        <v>516</v>
      </c>
      <c r="J468" s="28" t="s">
        <v>517</v>
      </c>
      <c r="K468" s="28" t="s">
        <v>518</v>
      </c>
      <c r="L468" s="28" t="s">
        <v>2363</v>
      </c>
      <c r="M468" s="28" t="s">
        <v>605</v>
      </c>
      <c r="N468" s="28" t="s">
        <v>544</v>
      </c>
      <c r="S468" s="28" t="s">
        <v>1529</v>
      </c>
      <c r="T468" s="28" t="s">
        <v>2364</v>
      </c>
      <c r="U468" s="28" t="s">
        <v>2364</v>
      </c>
      <c r="V468" s="28" t="s">
        <v>517</v>
      </c>
      <c r="W468" s="28" t="s">
        <v>2370</v>
      </c>
      <c r="X468" s="28" t="s">
        <v>670</v>
      </c>
      <c r="Z468" s="28" t="s">
        <v>526</v>
      </c>
      <c r="AD468" s="28" t="s">
        <v>528</v>
      </c>
      <c r="AF468" s="117" t="s">
        <v>2371</v>
      </c>
      <c r="AG468" s="28" t="s">
        <v>529</v>
      </c>
      <c r="AK468" s="60">
        <v>2</v>
      </c>
      <c r="AL468" s="28">
        <f>1/COUNTIF(Tableau6[LAT],B468)</f>
        <v>0.16666666666666666</v>
      </c>
      <c r="AM468" s="60" t="b">
        <f t="shared" si="47"/>
        <v>0</v>
      </c>
      <c r="AN468" s="60" t="b">
        <f t="shared" si="48"/>
        <v>0</v>
      </c>
      <c r="AO468" s="60" t="b">
        <f t="shared" si="49"/>
        <v>0</v>
      </c>
      <c r="AP468" s="60" t="b">
        <f t="shared" si="50"/>
        <v>0</v>
      </c>
      <c r="AQ468" s="60" t="b">
        <f t="shared" si="51"/>
        <v>0</v>
      </c>
      <c r="AR468" s="60" t="str">
        <f t="shared" si="52"/>
        <v>No</v>
      </c>
      <c r="AS468" s="60" t="str">
        <f t="shared" si="53"/>
        <v>No</v>
      </c>
    </row>
    <row r="469" spans="1:45" hidden="1">
      <c r="A469" s="103">
        <v>45243</v>
      </c>
      <c r="B469" s="117" t="s">
        <v>2361</v>
      </c>
      <c r="C469" s="28" t="s">
        <v>864</v>
      </c>
      <c r="D469" s="28" t="s">
        <v>2372</v>
      </c>
      <c r="F469" s="28" t="s">
        <v>2373</v>
      </c>
      <c r="G469" s="28" t="s">
        <v>514</v>
      </c>
      <c r="H469" s="28" t="s">
        <v>848</v>
      </c>
      <c r="I469" s="28" t="s">
        <v>516</v>
      </c>
      <c r="J469" s="28" t="s">
        <v>517</v>
      </c>
      <c r="K469" s="28" t="s">
        <v>518</v>
      </c>
      <c r="L469" s="28" t="s">
        <v>2363</v>
      </c>
      <c r="M469" s="28" t="s">
        <v>605</v>
      </c>
      <c r="N469" s="28" t="s">
        <v>1307</v>
      </c>
      <c r="O469" s="28" t="s">
        <v>1430</v>
      </c>
      <c r="P469" s="28" t="s">
        <v>557</v>
      </c>
      <c r="Q469" s="28" t="s">
        <v>544</v>
      </c>
      <c r="R469" s="28" t="s">
        <v>559</v>
      </c>
      <c r="S469" s="28" t="s">
        <v>1529</v>
      </c>
      <c r="T469" s="28" t="s">
        <v>2364</v>
      </c>
      <c r="U469" s="28" t="s">
        <v>2364</v>
      </c>
      <c r="V469" s="28" t="s">
        <v>517</v>
      </c>
      <c r="W469" s="28" t="s">
        <v>975</v>
      </c>
      <c r="Z469" s="28" t="s">
        <v>526</v>
      </c>
      <c r="AD469" s="28" t="s">
        <v>528</v>
      </c>
      <c r="AF469" s="117" t="s">
        <v>2374</v>
      </c>
      <c r="AG469" s="28" t="s">
        <v>529</v>
      </c>
      <c r="AK469" s="60">
        <v>2</v>
      </c>
      <c r="AL469" s="28">
        <f>1/COUNTIF(Tableau6[LAT],B469)</f>
        <v>0.16666666666666666</v>
      </c>
      <c r="AM469" s="60" t="b">
        <f t="shared" si="47"/>
        <v>0</v>
      </c>
      <c r="AN469" s="60" t="b">
        <f t="shared" si="48"/>
        <v>0</v>
      </c>
      <c r="AO469" s="60" t="b">
        <f t="shared" si="49"/>
        <v>0</v>
      </c>
      <c r="AP469" s="60" t="b">
        <f t="shared" si="50"/>
        <v>0</v>
      </c>
      <c r="AQ469" s="60" t="b">
        <f t="shared" si="51"/>
        <v>0</v>
      </c>
      <c r="AR469" s="60" t="str">
        <f t="shared" si="52"/>
        <v>No</v>
      </c>
      <c r="AS469" s="60" t="str">
        <f t="shared" si="53"/>
        <v>No</v>
      </c>
    </row>
    <row r="470" spans="1:45" hidden="1">
      <c r="A470" s="103">
        <v>45243</v>
      </c>
      <c r="B470" s="117" t="s">
        <v>2361</v>
      </c>
      <c r="C470" s="28" t="s">
        <v>866</v>
      </c>
      <c r="D470" s="28" t="s">
        <v>2375</v>
      </c>
      <c r="F470" s="28" t="s">
        <v>2376</v>
      </c>
      <c r="G470" s="28" t="s">
        <v>514</v>
      </c>
      <c r="H470" s="28" t="s">
        <v>848</v>
      </c>
      <c r="I470" s="28" t="s">
        <v>516</v>
      </c>
      <c r="J470" s="28" t="s">
        <v>517</v>
      </c>
      <c r="K470" s="28" t="s">
        <v>518</v>
      </c>
      <c r="L470" s="28" t="s">
        <v>2363</v>
      </c>
      <c r="M470" s="28" t="s">
        <v>605</v>
      </c>
      <c r="N470" s="28" t="s">
        <v>1307</v>
      </c>
      <c r="O470" s="28" t="s">
        <v>1430</v>
      </c>
      <c r="P470" s="28" t="s">
        <v>557</v>
      </c>
      <c r="Q470" s="28" t="s">
        <v>544</v>
      </c>
      <c r="R470" s="28" t="s">
        <v>559</v>
      </c>
      <c r="S470" s="28" t="s">
        <v>1529</v>
      </c>
      <c r="T470" s="28" t="s">
        <v>2364</v>
      </c>
      <c r="U470" s="28" t="s">
        <v>2364</v>
      </c>
      <c r="V470" s="28" t="s">
        <v>517</v>
      </c>
      <c r="W470" s="28" t="s">
        <v>2377</v>
      </c>
      <c r="Z470" s="28" t="s">
        <v>526</v>
      </c>
      <c r="AD470" s="28" t="s">
        <v>528</v>
      </c>
      <c r="AF470" s="117" t="s">
        <v>2378</v>
      </c>
      <c r="AG470" s="28" t="s">
        <v>529</v>
      </c>
      <c r="AK470" s="60">
        <v>2</v>
      </c>
      <c r="AL470" s="28">
        <f>1/COUNTIF(Tableau6[LAT],B470)</f>
        <v>0.16666666666666666</v>
      </c>
      <c r="AM470" s="60" t="b">
        <f t="shared" si="47"/>
        <v>0</v>
      </c>
      <c r="AN470" s="60" t="b">
        <f t="shared" si="48"/>
        <v>0</v>
      </c>
      <c r="AO470" s="60" t="b">
        <f t="shared" si="49"/>
        <v>0</v>
      </c>
      <c r="AP470" s="60" t="b">
        <f t="shared" si="50"/>
        <v>0</v>
      </c>
      <c r="AQ470" s="60" t="b">
        <f t="shared" si="51"/>
        <v>0</v>
      </c>
      <c r="AR470" s="60" t="str">
        <f t="shared" si="52"/>
        <v>No</v>
      </c>
      <c r="AS470" s="60" t="str">
        <f t="shared" si="53"/>
        <v>No</v>
      </c>
    </row>
    <row r="471" spans="1:45" hidden="1">
      <c r="A471" s="103">
        <v>45243</v>
      </c>
      <c r="B471" s="117" t="s">
        <v>2361</v>
      </c>
      <c r="C471" s="28" t="s">
        <v>868</v>
      </c>
      <c r="D471" s="28" t="s">
        <v>2379</v>
      </c>
      <c r="F471" s="28" t="s">
        <v>2376</v>
      </c>
      <c r="G471" s="28" t="s">
        <v>514</v>
      </c>
      <c r="H471" s="28" t="s">
        <v>848</v>
      </c>
      <c r="I471" s="28" t="s">
        <v>516</v>
      </c>
      <c r="J471" s="28" t="s">
        <v>517</v>
      </c>
      <c r="K471" s="28" t="s">
        <v>518</v>
      </c>
      <c r="L471" s="28" t="s">
        <v>2363</v>
      </c>
      <c r="M471" s="28" t="s">
        <v>605</v>
      </c>
      <c r="N471" s="28" t="s">
        <v>1307</v>
      </c>
      <c r="O471" s="28" t="s">
        <v>1430</v>
      </c>
      <c r="P471" s="28" t="s">
        <v>557</v>
      </c>
      <c r="Q471" s="28" t="s">
        <v>544</v>
      </c>
      <c r="R471" s="28" t="s">
        <v>559</v>
      </c>
      <c r="S471" s="28" t="s">
        <v>1529</v>
      </c>
      <c r="T471" s="28" t="s">
        <v>2364</v>
      </c>
      <c r="U471" s="28" t="s">
        <v>2364</v>
      </c>
      <c r="V471" s="28" t="s">
        <v>517</v>
      </c>
      <c r="W471" s="28" t="s">
        <v>835</v>
      </c>
      <c r="Z471" s="28" t="s">
        <v>526</v>
      </c>
      <c r="AD471" s="28" t="s">
        <v>528</v>
      </c>
      <c r="AF471" s="117" t="s">
        <v>2362</v>
      </c>
      <c r="AG471" s="28" t="s">
        <v>529</v>
      </c>
      <c r="AK471" s="60">
        <v>2</v>
      </c>
      <c r="AL471" s="28">
        <f>1/COUNTIF(Tableau6[LAT],B471)</f>
        <v>0.16666666666666666</v>
      </c>
      <c r="AM471" s="60" t="b">
        <f t="shared" si="47"/>
        <v>0</v>
      </c>
      <c r="AN471" s="60" t="b">
        <f t="shared" si="48"/>
        <v>0</v>
      </c>
      <c r="AO471" s="60" t="b">
        <f t="shared" si="49"/>
        <v>0</v>
      </c>
      <c r="AP471" s="60" t="b">
        <f t="shared" si="50"/>
        <v>0</v>
      </c>
      <c r="AQ471" s="60" t="b">
        <f t="shared" si="51"/>
        <v>0</v>
      </c>
      <c r="AR471" s="60" t="str">
        <f t="shared" si="52"/>
        <v>No</v>
      </c>
      <c r="AS471" s="60" t="str">
        <f t="shared" si="53"/>
        <v>No</v>
      </c>
    </row>
    <row r="472" spans="1:45" hidden="1">
      <c r="A472" s="103">
        <v>45243</v>
      </c>
      <c r="B472" s="117" t="s">
        <v>2361</v>
      </c>
      <c r="C472" s="28" t="s">
        <v>870</v>
      </c>
      <c r="D472" s="28" t="s">
        <v>2380</v>
      </c>
      <c r="E472" s="28" t="s">
        <v>2367</v>
      </c>
      <c r="F472" s="28" t="s">
        <v>2381</v>
      </c>
      <c r="G472" s="28" t="s">
        <v>514</v>
      </c>
      <c r="H472" s="28" t="s">
        <v>848</v>
      </c>
      <c r="I472" s="28" t="s">
        <v>516</v>
      </c>
      <c r="J472" s="28" t="s">
        <v>517</v>
      </c>
      <c r="K472" s="28" t="s">
        <v>518</v>
      </c>
      <c r="L472" s="28" t="s">
        <v>2363</v>
      </c>
      <c r="M472" s="28" t="s">
        <v>605</v>
      </c>
      <c r="N472" s="28" t="s">
        <v>544</v>
      </c>
      <c r="S472" s="28" t="s">
        <v>1529</v>
      </c>
      <c r="T472" s="28" t="s">
        <v>2364</v>
      </c>
      <c r="U472" s="28" t="s">
        <v>2364</v>
      </c>
      <c r="V472" s="28" t="s">
        <v>517</v>
      </c>
      <c r="W472" s="28" t="s">
        <v>2370</v>
      </c>
      <c r="X472" s="28" t="s">
        <v>670</v>
      </c>
      <c r="Z472" s="28" t="s">
        <v>526</v>
      </c>
      <c r="AD472" s="28" t="s">
        <v>528</v>
      </c>
      <c r="AF472" s="117" t="s">
        <v>2366</v>
      </c>
      <c r="AG472" s="28" t="s">
        <v>529</v>
      </c>
      <c r="AK472" s="60">
        <v>2</v>
      </c>
      <c r="AL472" s="28">
        <f>1/COUNTIF(Tableau6[LAT],B472)</f>
        <v>0.16666666666666666</v>
      </c>
      <c r="AM472" s="60" t="b">
        <f t="shared" ref="AM472:AM535" si="54">IF(N472="ALM","Yes",IF(N472="ALI","Yes",IF(N472="CAO","Yes",IF(N472="ICE","Yes",IF(N472="MAG","Yes",IF(N472="MAG","Yes",IF(N472="RBI","Yes",IF(N472="RBM","Yes",IF(N472="RCL","Yes",IF(N472="RCM","Yes",IF(N472="RCX","Yes",IF(N472="RDS","Yes",IF(N472="REQ","Yes",IF(N472="REX","Yes",IF(N472="RFG","Yes",IF(N472="RFL","Yes",IF(N472="RFS","Yes",IF(N472="RFW","Yes",IF(N472="RGX","Yes",IF(N472="RIS",IF(N472="RLI","Yes",IF(N472="RLM","Yes",IF(N472="RMD","Yes",IF(N472="RNG","Yes",IF(N472="ROP","Yes",IF(N472="ROX","Yes",IF(N472="RPB","Yes",IF(N472="RPG","Yes",IF(N472="RRE","Yes",IF(N472="RRW","Yes",IF(N472="RRY","Yes",IF(N472="RSB","Yes",IF(N472="RSC","Yes",IF(N472="RXB","Yes",IF(N472="RXC","Yes",IF(N472="RXD","Yes",IF(N472="RXE","Yes",IF(N472="RXG","Yes",IF(N472="RXS","Yes",)))))))))))))))))))))))))))))))))))))))</f>
        <v>0</v>
      </c>
      <c r="AN472" s="60" t="b">
        <f t="shared" ref="AN472:AN535" si="55">IF(O472="ALM","Yes",IF(O472="ALI","Yes",IF(O472="CAO","Yes",IF(O472="ICE","Yes",IF(O472="MAG","Yes",IF(O472="MAG","Yes",IF(O472="RBI","Yes",IF(O472="RBM","Yes",IF(O472="RCL","Yes",IF(O472="RCM","Yes",IF(O472="RCX","Yes",IF(O472="RDS","Yes",IF(O472="REQ","Yes",IF(O472="REX","Yes",IF(O472="RFG","Yes",IF(O472="RFL","Yes",IF(O472="RFS","Yes",IF(O472="RFW","Yes",IF(O472="RGX","Yes",IF(O472="RIS",IF(O472="RLI","Yes",IF(O472="RLM","Yes",IF(O472="RMD","Yes",IF(O472="RNG","Yes",IF(O472="ROP","Yes",IF(O472="ROX","Yes",IF(O472="RPB","Yes",IF(O472="RPG","Yes",IF(O472="RRE","Yes",IF(O472="RRW","Yes",IF(O472="RRY","Yes",IF(O472="RSB","Yes",IF(O472="RSC","Yes",IF(O472="RXB","Yes",IF(O472="RXC","Yes",IF(O472="RXD","Yes",IF(O472="RXE","Yes",IF(O472="RXG","Yes",IF(O472="RXS","Yes",)))))))))))))))))))))))))))))))))))))))</f>
        <v>0</v>
      </c>
      <c r="AO472" s="60" t="b">
        <f t="shared" ref="AO472:AO535" si="56">IF(P472="ALM","Yes",IF(P472="ALI","Yes",IF(P472="CAO","Yes",IF(P472="ICE","Yes",IF(P472="MAG","Yes",IF(P472="MAG","Yes",IF(P472="RBI","Yes",IF(P472="RBM","Yes",IF(P472="RCL","Yes",IF(P472="RCM","Yes",IF(P472="RCX","Yes",IF(P472="RDS","Yes",IF(P472="REQ","Yes",IF(P472="REX","Yes",IF(P472="RFG","Yes",IF(P472="RFL","Yes",IF(P472="RFS","Yes",IF(P472="RFW","Yes",IF(P472="RGX","Yes",IF(P472="RIS",IF(P472="RLI","Yes",IF(P472="RLM","Yes",IF(P472="RMD","Yes",IF(P472="RNG","Yes",IF(P472="ROP","Yes",IF(P472="ROX","Yes",IF(P472="RPB","Yes",IF(P472="RPG","Yes",IF(P472="RRE","Yes",IF(P472="RRW","Yes",IF(P472="RRY","Yes",IF(P472="RSB","Yes",IF(P472="RSC","Yes",IF(P472="RXB","Yes",IF(P472="RXC","Yes",IF(P472="RXD","Yes",IF(P472="RXE","Yes",IF(P472="RXG","Yes",IF(P472="RXS","Yes",)))))))))))))))))))))))))))))))))))))))</f>
        <v>0</v>
      </c>
      <c r="AP472" s="60" t="b">
        <f t="shared" ref="AP472:AP535" si="57">IF(Q472="ALM","Yes",IF(Q472="ALI","Yes",IF(Q472="CAO","Yes",IF(Q472="ICE","Yes",IF(Q472="MAG","Yes",IF(Q472="MAG","Yes",IF(Q472="RBI","Yes",IF(Q472="RBM","Yes",IF(Q472="RCL","Yes",IF(Q472="RCM","Yes",IF(Q472="RCX","Yes",IF(Q472="RDS","Yes",IF(Q472="REQ","Yes",IF(Q472="REX","Yes",IF(Q472="RFG","Yes",IF(Q472="RFL","Yes",IF(Q472="RFS","Yes",IF(Q472="RFW","Yes",IF(Q472="RGX","Yes",IF(Q472="RIS",IF(Q472="RLI","Yes",IF(Q472="RLM","Yes",IF(Q472="RMD","Yes",IF(Q472="RNG","Yes",IF(Q472="ROP","Yes",IF(Q472="ROX","Yes",IF(Q472="RPB","Yes",IF(Q472="RPG","Yes",IF(Q472="RRE","Yes",IF(Q472="RRW","Yes",IF(Q472="RRY","Yes",IF(Q472="RSB","Yes",IF(Q472="RSC","Yes",IF(Q472="RXB","Yes",IF(Q472="RXC","Yes",IF(Q472="RXD","Yes",IF(Q472="RXE","Yes",IF(Q472="RXG","Yes",IF(Q472="RXS","Yes",)))))))))))))))))))))))))))))))))))))))</f>
        <v>0</v>
      </c>
      <c r="AQ472" s="60" t="b">
        <f t="shared" ref="AQ472:AQ535" si="58">IF(R472="ALM","Yes",IF(R472="ALI","Yes",IF(R472="CAO","Yes",IF(R472="ICE","Yes",IF(R472="MAG","Yes",IF(R472="MAG","Yes",IF(R472="RBI","Yes",IF(R472="RBM","Yes",IF(R472="RCL","Yes",IF(R472="RCM","Yes",IF(R472="RCX","Yes",IF(R472="RDS","Yes",IF(R472="REQ","Yes",IF(R472="REX","Yes",IF(R472="RFG","Yes",IF(R472="RFL","Yes",IF(R472="RFS","Yes",IF(R472="RFW","Yes",IF(R472="RGX","Yes",IF(R472="RIS",IF(R472="RLI","Yes",IF(R472="RLM","Yes",IF(R472="RMD","Yes",IF(R472="RNG","Yes",IF(R472="ROP","Yes",IF(R472="ROX","Yes",IF(R472="RPB","Yes",IF(R472="RPG","Yes",IF(R472="RRE","Yes",IF(R472="RRW","Yes",IF(R472="RRY","Yes",IF(R472="RSB","Yes",IF(R472="RSC","Yes",IF(R472="RXB","Yes",IF(R472="RXC","Yes",IF(R472="RXD","Yes",IF(R472="RXE","Yes",IF(R472="RXG","Yes",IF(R472="RXS","Yes",)))))))))))))))))))))))))))))))))))))))</f>
        <v>0</v>
      </c>
      <c r="AR472" s="60" t="str">
        <f t="shared" si="52"/>
        <v>No</v>
      </c>
      <c r="AS472" s="60" t="str">
        <f t="shared" si="53"/>
        <v>No</v>
      </c>
    </row>
    <row r="473" spans="1:45" hidden="1">
      <c r="A473" s="103">
        <v>45243</v>
      </c>
      <c r="B473" s="117" t="s">
        <v>2382</v>
      </c>
      <c r="C473" s="28" t="s">
        <v>548</v>
      </c>
      <c r="D473" s="28" t="s">
        <v>2383</v>
      </c>
      <c r="F473" s="28" t="s">
        <v>1300</v>
      </c>
      <c r="G473" s="28" t="s">
        <v>514</v>
      </c>
      <c r="H473" s="28" t="s">
        <v>1148</v>
      </c>
      <c r="I473" s="28" t="s">
        <v>516</v>
      </c>
      <c r="J473" s="28" t="s">
        <v>517</v>
      </c>
      <c r="K473" s="28" t="s">
        <v>518</v>
      </c>
      <c r="L473" s="28" t="s">
        <v>697</v>
      </c>
      <c r="M473" s="28" t="s">
        <v>535</v>
      </c>
      <c r="N473" s="28" t="s">
        <v>1415</v>
      </c>
      <c r="O473" s="28" t="s">
        <v>1140</v>
      </c>
      <c r="P473" s="28" t="s">
        <v>559</v>
      </c>
      <c r="S473" s="28" t="s">
        <v>732</v>
      </c>
      <c r="T473" s="28" t="s">
        <v>699</v>
      </c>
      <c r="U473" s="28" t="s">
        <v>699</v>
      </c>
      <c r="V473" s="28" t="s">
        <v>517</v>
      </c>
      <c r="W473" s="28" t="s">
        <v>2384</v>
      </c>
      <c r="Z473" s="28" t="s">
        <v>563</v>
      </c>
      <c r="AB473" s="28" t="s">
        <v>2385</v>
      </c>
      <c r="AD473" s="28" t="s">
        <v>954</v>
      </c>
      <c r="AF473" s="117" t="s">
        <v>2386</v>
      </c>
      <c r="AG473" s="28" t="s">
        <v>563</v>
      </c>
      <c r="AK473" s="60">
        <v>2</v>
      </c>
      <c r="AL473" s="28">
        <f>1/COUNTIF(Tableau6[LAT],B473)</f>
        <v>1</v>
      </c>
      <c r="AM473" s="60" t="str">
        <f t="shared" si="54"/>
        <v>Yes</v>
      </c>
      <c r="AN473" s="60" t="b">
        <f t="shared" si="55"/>
        <v>0</v>
      </c>
      <c r="AO473" s="60" t="b">
        <f t="shared" si="56"/>
        <v>0</v>
      </c>
      <c r="AP473" s="60" t="b">
        <f t="shared" si="57"/>
        <v>0</v>
      </c>
      <c r="AQ473" s="60" t="b">
        <f t="shared" si="58"/>
        <v>0</v>
      </c>
      <c r="AR473" s="60" t="str">
        <f t="shared" si="52"/>
        <v>Yes</v>
      </c>
      <c r="AS473" s="60" t="str">
        <f t="shared" si="53"/>
        <v>No</v>
      </c>
    </row>
    <row r="474" spans="1:45" hidden="1">
      <c r="A474" s="103">
        <v>45243</v>
      </c>
      <c r="B474" s="117" t="s">
        <v>2387</v>
      </c>
      <c r="C474" s="28" t="s">
        <v>511</v>
      </c>
      <c r="D474" s="28" t="s">
        <v>2388</v>
      </c>
      <c r="F474" s="28" t="s">
        <v>2389</v>
      </c>
      <c r="G474" s="28" t="s">
        <v>665</v>
      </c>
      <c r="H474" s="28" t="s">
        <v>894</v>
      </c>
      <c r="I474" s="28" t="s">
        <v>516</v>
      </c>
      <c r="J474" s="28" t="s">
        <v>517</v>
      </c>
      <c r="K474" s="28" t="s">
        <v>518</v>
      </c>
      <c r="L474" s="28" t="s">
        <v>675</v>
      </c>
      <c r="M474" s="28" t="s">
        <v>520</v>
      </c>
      <c r="N474" s="28" t="s">
        <v>619</v>
      </c>
      <c r="O474" s="28" t="s">
        <v>934</v>
      </c>
      <c r="S474" s="28" t="s">
        <v>752</v>
      </c>
      <c r="T474" s="28" t="s">
        <v>676</v>
      </c>
      <c r="U474" s="28" t="s">
        <v>676</v>
      </c>
      <c r="V474" s="28" t="s">
        <v>517</v>
      </c>
      <c r="W474" s="28" t="s">
        <v>2390</v>
      </c>
      <c r="Z474" s="28" t="s">
        <v>563</v>
      </c>
      <c r="AB474" s="28" t="s">
        <v>527</v>
      </c>
      <c r="AD474" s="28" t="s">
        <v>528</v>
      </c>
      <c r="AF474" s="117" t="s">
        <v>2388</v>
      </c>
      <c r="AG474" s="28" t="s">
        <v>563</v>
      </c>
      <c r="AK474" s="60">
        <v>2</v>
      </c>
      <c r="AL474" s="28">
        <f>1/COUNTIF(Tableau6[LAT],B474)</f>
        <v>1</v>
      </c>
      <c r="AM474" s="60" t="b">
        <f t="shared" si="54"/>
        <v>0</v>
      </c>
      <c r="AN474" s="60" t="b">
        <f t="shared" si="55"/>
        <v>0</v>
      </c>
      <c r="AO474" s="60" t="b">
        <f t="shared" si="56"/>
        <v>0</v>
      </c>
      <c r="AP474" s="60" t="b">
        <f t="shared" si="57"/>
        <v>0</v>
      </c>
      <c r="AQ474" s="60" t="b">
        <f t="shared" si="58"/>
        <v>0</v>
      </c>
      <c r="AR474" s="60" t="str">
        <f t="shared" si="52"/>
        <v>No</v>
      </c>
      <c r="AS474" s="60" t="str">
        <f t="shared" si="53"/>
        <v>No</v>
      </c>
    </row>
    <row r="475" spans="1:45" hidden="1">
      <c r="A475" s="103">
        <v>45243</v>
      </c>
      <c r="B475" s="117" t="s">
        <v>2391</v>
      </c>
      <c r="C475" s="28" t="s">
        <v>511</v>
      </c>
      <c r="D475" s="28" t="s">
        <v>2392</v>
      </c>
      <c r="F475" s="28" t="s">
        <v>1486</v>
      </c>
      <c r="G475" s="28" t="s">
        <v>514</v>
      </c>
      <c r="H475" s="28" t="s">
        <v>794</v>
      </c>
      <c r="I475" s="28" t="s">
        <v>516</v>
      </c>
      <c r="J475" s="28" t="s">
        <v>517</v>
      </c>
      <c r="K475" s="28" t="s">
        <v>518</v>
      </c>
      <c r="L475" s="28" t="s">
        <v>667</v>
      </c>
      <c r="M475" s="28" t="s">
        <v>520</v>
      </c>
      <c r="N475" s="28" t="s">
        <v>544</v>
      </c>
      <c r="S475" s="28" t="s">
        <v>752</v>
      </c>
      <c r="T475" s="28" t="s">
        <v>597</v>
      </c>
      <c r="U475" s="28" t="s">
        <v>597</v>
      </c>
      <c r="V475" s="28" t="s">
        <v>517</v>
      </c>
      <c r="W475" s="28" t="s">
        <v>2393</v>
      </c>
      <c r="Z475" s="28" t="s">
        <v>563</v>
      </c>
      <c r="AB475" s="28" t="s">
        <v>527</v>
      </c>
      <c r="AD475" s="28" t="s">
        <v>528</v>
      </c>
      <c r="AF475" s="117" t="s">
        <v>2392</v>
      </c>
      <c r="AG475" s="28" t="s">
        <v>563</v>
      </c>
      <c r="AK475" s="60">
        <v>2</v>
      </c>
      <c r="AL475" s="28">
        <f>1/COUNTIF(Tableau6[LAT],B475)</f>
        <v>1</v>
      </c>
      <c r="AM475" s="60" t="b">
        <f t="shared" si="54"/>
        <v>0</v>
      </c>
      <c r="AN475" s="60" t="b">
        <f t="shared" si="55"/>
        <v>0</v>
      </c>
      <c r="AO475" s="60" t="b">
        <f t="shared" si="56"/>
        <v>0</v>
      </c>
      <c r="AP475" s="60" t="b">
        <f t="shared" si="57"/>
        <v>0</v>
      </c>
      <c r="AQ475" s="60" t="b">
        <f t="shared" si="58"/>
        <v>0</v>
      </c>
      <c r="AR475" s="60" t="str">
        <f t="shared" si="52"/>
        <v>No</v>
      </c>
      <c r="AS475" s="60" t="str">
        <f t="shared" si="53"/>
        <v>No</v>
      </c>
    </row>
    <row r="476" spans="1:45" hidden="1">
      <c r="A476" s="103">
        <v>45243</v>
      </c>
      <c r="B476" s="117" t="s">
        <v>2394</v>
      </c>
      <c r="C476" s="28" t="s">
        <v>511</v>
      </c>
      <c r="D476" s="28" t="s">
        <v>2395</v>
      </c>
      <c r="F476" s="28" t="s">
        <v>2396</v>
      </c>
      <c r="G476" s="28" t="s">
        <v>514</v>
      </c>
      <c r="H476" s="28" t="s">
        <v>2135</v>
      </c>
      <c r="I476" s="28" t="s">
        <v>516</v>
      </c>
      <c r="J476" s="28" t="s">
        <v>517</v>
      </c>
      <c r="K476" s="28" t="s">
        <v>518</v>
      </c>
      <c r="L476" s="28" t="s">
        <v>596</v>
      </c>
      <c r="M476" s="28" t="s">
        <v>535</v>
      </c>
      <c r="N476" s="28" t="s">
        <v>557</v>
      </c>
      <c r="O476" s="28" t="s">
        <v>544</v>
      </c>
      <c r="P476" s="28" t="s">
        <v>522</v>
      </c>
      <c r="S476" s="28" t="s">
        <v>1529</v>
      </c>
      <c r="T476" s="28" t="s">
        <v>597</v>
      </c>
      <c r="U476" s="28" t="s">
        <v>597</v>
      </c>
      <c r="V476" s="28" t="s">
        <v>517</v>
      </c>
      <c r="W476" s="28" t="s">
        <v>2397</v>
      </c>
      <c r="Z476" s="28" t="s">
        <v>526</v>
      </c>
      <c r="AD476" s="28" t="s">
        <v>528</v>
      </c>
      <c r="AF476" s="117" t="s">
        <v>2395</v>
      </c>
      <c r="AG476" s="28" t="s">
        <v>529</v>
      </c>
      <c r="AK476" s="60">
        <v>2</v>
      </c>
      <c r="AL476" s="28">
        <f>1/COUNTIF(Tableau6[LAT],B476)</f>
        <v>1</v>
      </c>
      <c r="AM476" s="60" t="b">
        <f t="shared" si="54"/>
        <v>0</v>
      </c>
      <c r="AN476" s="60" t="b">
        <f t="shared" si="55"/>
        <v>0</v>
      </c>
      <c r="AO476" s="60" t="b">
        <f t="shared" si="56"/>
        <v>0</v>
      </c>
      <c r="AP476" s="60" t="b">
        <f t="shared" si="57"/>
        <v>0</v>
      </c>
      <c r="AQ476" s="60" t="b">
        <f t="shared" si="58"/>
        <v>0</v>
      </c>
      <c r="AR476" s="60" t="str">
        <f t="shared" si="52"/>
        <v>No</v>
      </c>
      <c r="AS476" s="60" t="str">
        <f t="shared" si="53"/>
        <v>No</v>
      </c>
    </row>
    <row r="477" spans="1:45" hidden="1">
      <c r="A477" s="103">
        <v>45243</v>
      </c>
      <c r="B477" s="117" t="s">
        <v>2398</v>
      </c>
      <c r="C477" s="28" t="s">
        <v>511</v>
      </c>
      <c r="D477" s="28" t="s">
        <v>2399</v>
      </c>
      <c r="F477" s="28" t="s">
        <v>2400</v>
      </c>
      <c r="G477" s="28" t="s">
        <v>724</v>
      </c>
      <c r="H477" s="28" t="s">
        <v>2401</v>
      </c>
      <c r="I477" s="28" t="s">
        <v>516</v>
      </c>
      <c r="J477" s="28" t="s">
        <v>517</v>
      </c>
      <c r="K477" s="28" t="s">
        <v>518</v>
      </c>
      <c r="L477" s="28" t="s">
        <v>839</v>
      </c>
      <c r="M477" s="28" t="s">
        <v>520</v>
      </c>
      <c r="N477" s="28" t="s">
        <v>557</v>
      </c>
      <c r="O477" s="28" t="s">
        <v>522</v>
      </c>
      <c r="S477" s="28" t="s">
        <v>2402</v>
      </c>
      <c r="T477" s="28" t="s">
        <v>840</v>
      </c>
      <c r="U477" s="28" t="s">
        <v>840</v>
      </c>
      <c r="V477" s="28" t="s">
        <v>517</v>
      </c>
      <c r="W477" s="28" t="s">
        <v>2403</v>
      </c>
      <c r="Z477" s="28" t="s">
        <v>563</v>
      </c>
      <c r="AB477" s="28" t="s">
        <v>527</v>
      </c>
      <c r="AD477" s="28" t="s">
        <v>954</v>
      </c>
      <c r="AF477" s="117" t="s">
        <v>2399</v>
      </c>
      <c r="AG477" s="28" t="s">
        <v>563</v>
      </c>
      <c r="AK477" s="60">
        <v>2</v>
      </c>
      <c r="AL477" s="28">
        <f>1/COUNTIF(Tableau6[LAT],B477)</f>
        <v>1</v>
      </c>
      <c r="AM477" s="60" t="b">
        <f t="shared" si="54"/>
        <v>0</v>
      </c>
      <c r="AN477" s="60" t="b">
        <f t="shared" si="55"/>
        <v>0</v>
      </c>
      <c r="AO477" s="60" t="b">
        <f t="shared" si="56"/>
        <v>0</v>
      </c>
      <c r="AP477" s="60" t="b">
        <f t="shared" si="57"/>
        <v>0</v>
      </c>
      <c r="AQ477" s="60" t="b">
        <f t="shared" si="58"/>
        <v>0</v>
      </c>
      <c r="AR477" s="60" t="str">
        <f t="shared" si="52"/>
        <v>No</v>
      </c>
      <c r="AS477" s="60" t="str">
        <f t="shared" si="53"/>
        <v>No</v>
      </c>
    </row>
    <row r="478" spans="1:45" hidden="1">
      <c r="A478" s="103">
        <v>45243</v>
      </c>
      <c r="B478" s="117" t="s">
        <v>2404</v>
      </c>
      <c r="C478" s="28" t="s">
        <v>511</v>
      </c>
      <c r="D478" s="28" t="s">
        <v>2405</v>
      </c>
      <c r="F478" s="28" t="s">
        <v>1050</v>
      </c>
      <c r="G478" s="28" t="s">
        <v>514</v>
      </c>
      <c r="H478" s="28" t="s">
        <v>1134</v>
      </c>
      <c r="I478" s="28" t="s">
        <v>516</v>
      </c>
      <c r="J478" s="28" t="s">
        <v>517</v>
      </c>
      <c r="K478" s="28" t="s">
        <v>518</v>
      </c>
      <c r="L478" s="28" t="s">
        <v>580</v>
      </c>
      <c r="M478" s="28" t="s">
        <v>520</v>
      </c>
      <c r="S478" s="28" t="s">
        <v>2406</v>
      </c>
      <c r="T478" s="28" t="s">
        <v>582</v>
      </c>
      <c r="U478" s="28" t="s">
        <v>582</v>
      </c>
      <c r="V478" s="28" t="s">
        <v>517</v>
      </c>
      <c r="W478" s="28" t="s">
        <v>2407</v>
      </c>
      <c r="Z478" s="28" t="s">
        <v>526</v>
      </c>
      <c r="AF478" s="117" t="s">
        <v>1083</v>
      </c>
      <c r="AK478" s="60">
        <v>2</v>
      </c>
      <c r="AL478" s="28">
        <f>1/COUNTIF(Tableau6[LAT],B478)</f>
        <v>1</v>
      </c>
      <c r="AM478" s="60" t="b">
        <f t="shared" si="54"/>
        <v>0</v>
      </c>
      <c r="AN478" s="60" t="b">
        <f t="shared" si="55"/>
        <v>0</v>
      </c>
      <c r="AO478" s="60" t="b">
        <f t="shared" si="56"/>
        <v>0</v>
      </c>
      <c r="AP478" s="60" t="b">
        <f t="shared" si="57"/>
        <v>0</v>
      </c>
      <c r="AQ478" s="60" t="b">
        <f t="shared" si="58"/>
        <v>0</v>
      </c>
      <c r="AR478" s="60" t="str">
        <f t="shared" si="52"/>
        <v>No</v>
      </c>
      <c r="AS478" s="60" t="str">
        <f t="shared" si="53"/>
        <v>No</v>
      </c>
    </row>
    <row r="479" spans="1:45" hidden="1">
      <c r="A479" s="103">
        <v>45243</v>
      </c>
      <c r="B479" s="117" t="s">
        <v>2408</v>
      </c>
      <c r="C479" s="28" t="s">
        <v>511</v>
      </c>
      <c r="D479" s="28" t="s">
        <v>2409</v>
      </c>
      <c r="E479" s="28" t="s">
        <v>1802</v>
      </c>
      <c r="F479" s="28" t="s">
        <v>2410</v>
      </c>
      <c r="G479" s="28" t="s">
        <v>514</v>
      </c>
      <c r="H479" s="28" t="s">
        <v>2411</v>
      </c>
      <c r="I479" s="28" t="s">
        <v>516</v>
      </c>
      <c r="J479" s="28" t="s">
        <v>517</v>
      </c>
      <c r="K479" s="28" t="s">
        <v>518</v>
      </c>
      <c r="L479" s="28" t="s">
        <v>1097</v>
      </c>
      <c r="M479" s="28" t="s">
        <v>535</v>
      </c>
      <c r="N479" s="28" t="s">
        <v>2412</v>
      </c>
      <c r="O479" s="28" t="s">
        <v>1637</v>
      </c>
      <c r="P479" s="28" t="s">
        <v>544</v>
      </c>
      <c r="S479" s="28" t="s">
        <v>1263</v>
      </c>
      <c r="T479" s="28" t="s">
        <v>1098</v>
      </c>
      <c r="U479" s="28" t="s">
        <v>1098</v>
      </c>
      <c r="V479" s="28" t="s">
        <v>517</v>
      </c>
      <c r="W479" s="28" t="s">
        <v>1804</v>
      </c>
      <c r="X479" s="28" t="s">
        <v>670</v>
      </c>
      <c r="Z479" s="28" t="s">
        <v>526</v>
      </c>
      <c r="AD479" s="28" t="s">
        <v>528</v>
      </c>
      <c r="AF479" s="117" t="s">
        <v>2409</v>
      </c>
      <c r="AG479" s="28" t="s">
        <v>529</v>
      </c>
      <c r="AK479" s="60">
        <v>2</v>
      </c>
      <c r="AL479" s="28">
        <f>1/COUNTIF(Tableau6[LAT],B479)</f>
        <v>1</v>
      </c>
      <c r="AM479" s="60" t="b">
        <f t="shared" si="54"/>
        <v>0</v>
      </c>
      <c r="AN479" s="60" t="b">
        <f t="shared" si="55"/>
        <v>0</v>
      </c>
      <c r="AO479" s="60" t="b">
        <f t="shared" si="56"/>
        <v>0</v>
      </c>
      <c r="AP479" s="60" t="b">
        <f t="shared" si="57"/>
        <v>0</v>
      </c>
      <c r="AQ479" s="60" t="b">
        <f t="shared" si="58"/>
        <v>0</v>
      </c>
      <c r="AR479" s="60" t="str">
        <f t="shared" si="52"/>
        <v>No</v>
      </c>
      <c r="AS479" s="60" t="str">
        <f t="shared" si="53"/>
        <v>No</v>
      </c>
    </row>
    <row r="480" spans="1:45" hidden="1">
      <c r="A480" s="103">
        <v>45243</v>
      </c>
      <c r="B480" s="117" t="s">
        <v>2413</v>
      </c>
      <c r="C480" s="28" t="s">
        <v>511</v>
      </c>
      <c r="D480" s="28" t="s">
        <v>2414</v>
      </c>
      <c r="F480" s="28" t="s">
        <v>1194</v>
      </c>
      <c r="G480" s="28" t="s">
        <v>958</v>
      </c>
      <c r="H480" s="28" t="s">
        <v>1540</v>
      </c>
      <c r="I480" s="28" t="s">
        <v>516</v>
      </c>
      <c r="J480" s="28" t="s">
        <v>517</v>
      </c>
      <c r="K480" s="28" t="s">
        <v>518</v>
      </c>
      <c r="L480" s="28" t="s">
        <v>809</v>
      </c>
      <c r="M480" s="28" t="s">
        <v>535</v>
      </c>
      <c r="N480" s="28" t="s">
        <v>557</v>
      </c>
      <c r="O480" s="28" t="s">
        <v>934</v>
      </c>
      <c r="S480" s="28" t="s">
        <v>1934</v>
      </c>
      <c r="T480" s="28" t="s">
        <v>811</v>
      </c>
      <c r="U480" s="28" t="s">
        <v>811</v>
      </c>
      <c r="V480" s="28" t="s">
        <v>517</v>
      </c>
      <c r="W480" s="28" t="s">
        <v>2415</v>
      </c>
      <c r="Z480" s="28" t="s">
        <v>563</v>
      </c>
      <c r="AB480" s="28" t="s">
        <v>527</v>
      </c>
      <c r="AD480" s="28" t="s">
        <v>954</v>
      </c>
      <c r="AF480" s="117" t="s">
        <v>2414</v>
      </c>
      <c r="AG480" s="28" t="s">
        <v>563</v>
      </c>
      <c r="AK480" s="60">
        <v>2</v>
      </c>
      <c r="AL480" s="28">
        <f>1/COUNTIF(Tableau6[LAT],B480)</f>
        <v>1</v>
      </c>
      <c r="AM480" s="60" t="b">
        <f t="shared" si="54"/>
        <v>0</v>
      </c>
      <c r="AN480" s="60" t="b">
        <f t="shared" si="55"/>
        <v>0</v>
      </c>
      <c r="AO480" s="60" t="b">
        <f t="shared" si="56"/>
        <v>0</v>
      </c>
      <c r="AP480" s="60" t="b">
        <f t="shared" si="57"/>
        <v>0</v>
      </c>
      <c r="AQ480" s="60" t="b">
        <f t="shared" si="58"/>
        <v>0</v>
      </c>
      <c r="AR480" s="60" t="str">
        <f t="shared" si="52"/>
        <v>No</v>
      </c>
      <c r="AS480" s="60" t="str">
        <f t="shared" si="53"/>
        <v>No</v>
      </c>
    </row>
    <row r="481" spans="1:45" hidden="1">
      <c r="A481" s="103">
        <v>45243</v>
      </c>
      <c r="B481" s="117" t="s">
        <v>2416</v>
      </c>
      <c r="C481" s="28" t="s">
        <v>511</v>
      </c>
      <c r="D481" s="28" t="s">
        <v>2417</v>
      </c>
      <c r="F481" s="28" t="s">
        <v>688</v>
      </c>
      <c r="G481" s="28" t="s">
        <v>514</v>
      </c>
      <c r="H481" s="28" t="s">
        <v>1325</v>
      </c>
      <c r="I481" s="28" t="s">
        <v>516</v>
      </c>
      <c r="J481" s="28" t="s">
        <v>517</v>
      </c>
      <c r="K481" s="28" t="s">
        <v>518</v>
      </c>
      <c r="L481" s="28" t="s">
        <v>959</v>
      </c>
      <c r="M481" s="28" t="s">
        <v>520</v>
      </c>
      <c r="N481" s="28" t="s">
        <v>521</v>
      </c>
      <c r="O481" s="28" t="s">
        <v>544</v>
      </c>
      <c r="P481" s="28" t="s">
        <v>522</v>
      </c>
      <c r="S481" s="28" t="s">
        <v>905</v>
      </c>
      <c r="T481" s="28" t="s">
        <v>960</v>
      </c>
      <c r="U481" s="28" t="s">
        <v>960</v>
      </c>
      <c r="V481" s="28" t="s">
        <v>517</v>
      </c>
      <c r="W481" s="28" t="s">
        <v>2418</v>
      </c>
      <c r="Z481" s="28" t="s">
        <v>526</v>
      </c>
      <c r="AD481" s="28" t="s">
        <v>528</v>
      </c>
      <c r="AF481" s="117" t="s">
        <v>2417</v>
      </c>
      <c r="AG481" s="28" t="s">
        <v>529</v>
      </c>
      <c r="AK481" s="60">
        <v>2</v>
      </c>
      <c r="AL481" s="28">
        <f>1/COUNTIF(Tableau6[LAT],B481)</f>
        <v>0.33333333333333331</v>
      </c>
      <c r="AM481" s="60" t="b">
        <f t="shared" si="54"/>
        <v>0</v>
      </c>
      <c r="AN481" s="60" t="b">
        <f t="shared" si="55"/>
        <v>0</v>
      </c>
      <c r="AO481" s="60" t="b">
        <f t="shared" si="56"/>
        <v>0</v>
      </c>
      <c r="AP481" s="60" t="b">
        <f t="shared" si="57"/>
        <v>0</v>
      </c>
      <c r="AQ481" s="60" t="b">
        <f t="shared" si="58"/>
        <v>0</v>
      </c>
      <c r="AR481" s="60" t="str">
        <f t="shared" si="52"/>
        <v>No</v>
      </c>
      <c r="AS481" s="60" t="str">
        <f t="shared" si="53"/>
        <v>No</v>
      </c>
    </row>
    <row r="482" spans="1:45" hidden="1">
      <c r="A482" s="103">
        <v>45243</v>
      </c>
      <c r="B482" s="117" t="s">
        <v>2416</v>
      </c>
      <c r="C482" s="28" t="s">
        <v>548</v>
      </c>
      <c r="D482" s="28" t="s">
        <v>2419</v>
      </c>
      <c r="F482" s="28" t="s">
        <v>688</v>
      </c>
      <c r="G482" s="28" t="s">
        <v>514</v>
      </c>
      <c r="H482" s="28" t="s">
        <v>1325</v>
      </c>
      <c r="I482" s="28" t="s">
        <v>516</v>
      </c>
      <c r="J482" s="28" t="s">
        <v>517</v>
      </c>
      <c r="K482" s="28" t="s">
        <v>518</v>
      </c>
      <c r="L482" s="28" t="s">
        <v>959</v>
      </c>
      <c r="M482" s="28" t="s">
        <v>520</v>
      </c>
      <c r="N482" s="28" t="s">
        <v>521</v>
      </c>
      <c r="O482" s="28" t="s">
        <v>544</v>
      </c>
      <c r="P482" s="28" t="s">
        <v>522</v>
      </c>
      <c r="S482" s="28" t="s">
        <v>905</v>
      </c>
      <c r="T482" s="28" t="s">
        <v>960</v>
      </c>
      <c r="U482" s="28" t="s">
        <v>960</v>
      </c>
      <c r="V482" s="28" t="s">
        <v>517</v>
      </c>
      <c r="W482" s="28" t="s">
        <v>2420</v>
      </c>
      <c r="Z482" s="28" t="s">
        <v>526</v>
      </c>
      <c r="AD482" s="28" t="s">
        <v>528</v>
      </c>
      <c r="AF482" s="117" t="s">
        <v>2419</v>
      </c>
      <c r="AG482" s="28" t="s">
        <v>529</v>
      </c>
      <c r="AK482" s="60">
        <v>2</v>
      </c>
      <c r="AL482" s="28">
        <f>1/COUNTIF(Tableau6[LAT],B482)</f>
        <v>0.33333333333333331</v>
      </c>
      <c r="AM482" s="60" t="b">
        <f t="shared" si="54"/>
        <v>0</v>
      </c>
      <c r="AN482" s="60" t="b">
        <f t="shared" si="55"/>
        <v>0</v>
      </c>
      <c r="AO482" s="60" t="b">
        <f t="shared" si="56"/>
        <v>0</v>
      </c>
      <c r="AP482" s="60" t="b">
        <f t="shared" si="57"/>
        <v>0</v>
      </c>
      <c r="AQ482" s="60" t="b">
        <f t="shared" si="58"/>
        <v>0</v>
      </c>
      <c r="AR482" s="60" t="str">
        <f t="shared" si="52"/>
        <v>No</v>
      </c>
      <c r="AS482" s="60" t="str">
        <f t="shared" si="53"/>
        <v>No</v>
      </c>
    </row>
    <row r="483" spans="1:45" hidden="1">
      <c r="A483" s="103">
        <v>45243</v>
      </c>
      <c r="B483" s="117" t="s">
        <v>2416</v>
      </c>
      <c r="C483" s="28" t="s">
        <v>612</v>
      </c>
      <c r="D483" s="28" t="s">
        <v>2421</v>
      </c>
      <c r="F483" s="28" t="s">
        <v>688</v>
      </c>
      <c r="G483" s="28" t="s">
        <v>514</v>
      </c>
      <c r="H483" s="28" t="s">
        <v>1325</v>
      </c>
      <c r="I483" s="28" t="s">
        <v>516</v>
      </c>
      <c r="J483" s="28" t="s">
        <v>517</v>
      </c>
      <c r="K483" s="28" t="s">
        <v>518</v>
      </c>
      <c r="L483" s="28" t="s">
        <v>959</v>
      </c>
      <c r="M483" s="28" t="s">
        <v>520</v>
      </c>
      <c r="N483" s="28" t="s">
        <v>521</v>
      </c>
      <c r="O483" s="28" t="s">
        <v>544</v>
      </c>
      <c r="P483" s="28" t="s">
        <v>522</v>
      </c>
      <c r="S483" s="28" t="s">
        <v>905</v>
      </c>
      <c r="T483" s="28" t="s">
        <v>960</v>
      </c>
      <c r="U483" s="28" t="s">
        <v>960</v>
      </c>
      <c r="V483" s="28" t="s">
        <v>517</v>
      </c>
      <c r="W483" s="28" t="s">
        <v>2422</v>
      </c>
      <c r="Z483" s="28" t="s">
        <v>526</v>
      </c>
      <c r="AD483" s="28" t="s">
        <v>528</v>
      </c>
      <c r="AF483" s="117" t="s">
        <v>2421</v>
      </c>
      <c r="AG483" s="28" t="s">
        <v>529</v>
      </c>
      <c r="AK483" s="60">
        <v>2</v>
      </c>
      <c r="AL483" s="28">
        <f>1/COUNTIF(Tableau6[LAT],B483)</f>
        <v>0.33333333333333331</v>
      </c>
      <c r="AM483" s="60" t="b">
        <f t="shared" si="54"/>
        <v>0</v>
      </c>
      <c r="AN483" s="60" t="b">
        <f t="shared" si="55"/>
        <v>0</v>
      </c>
      <c r="AO483" s="60" t="b">
        <f t="shared" si="56"/>
        <v>0</v>
      </c>
      <c r="AP483" s="60" t="b">
        <f t="shared" si="57"/>
        <v>0</v>
      </c>
      <c r="AQ483" s="60" t="b">
        <f t="shared" si="58"/>
        <v>0</v>
      </c>
      <c r="AR483" s="60" t="str">
        <f t="shared" si="52"/>
        <v>No</v>
      </c>
      <c r="AS483" s="60" t="str">
        <f t="shared" si="53"/>
        <v>No</v>
      </c>
    </row>
    <row r="484" spans="1:45" hidden="1">
      <c r="A484" s="103">
        <v>45243</v>
      </c>
      <c r="B484" s="117" t="s">
        <v>2423</v>
      </c>
      <c r="C484" s="28" t="s">
        <v>511</v>
      </c>
      <c r="D484" s="28" t="s">
        <v>2424</v>
      </c>
      <c r="F484" s="28" t="s">
        <v>2425</v>
      </c>
      <c r="G484" s="28" t="s">
        <v>958</v>
      </c>
      <c r="H484" s="28" t="s">
        <v>1457</v>
      </c>
      <c r="I484" s="28" t="s">
        <v>516</v>
      </c>
      <c r="J484" s="28" t="s">
        <v>517</v>
      </c>
      <c r="K484" s="28" t="s">
        <v>518</v>
      </c>
      <c r="L484" s="28" t="s">
        <v>774</v>
      </c>
      <c r="M484" s="28" t="s">
        <v>605</v>
      </c>
      <c r="N484" s="28" t="s">
        <v>619</v>
      </c>
      <c r="O484" s="28" t="s">
        <v>559</v>
      </c>
      <c r="S484" s="28" t="s">
        <v>741</v>
      </c>
      <c r="T484" s="28" t="s">
        <v>776</v>
      </c>
      <c r="U484" s="28" t="s">
        <v>776</v>
      </c>
      <c r="V484" s="28" t="s">
        <v>517</v>
      </c>
      <c r="W484" s="28" t="s">
        <v>2426</v>
      </c>
      <c r="Z484" s="28" t="s">
        <v>563</v>
      </c>
      <c r="AB484" s="73" t="s">
        <v>609</v>
      </c>
      <c r="AD484" s="28" t="s">
        <v>528</v>
      </c>
      <c r="AF484" s="117" t="s">
        <v>2424</v>
      </c>
      <c r="AG484" s="28" t="s">
        <v>563</v>
      </c>
      <c r="AK484" s="60">
        <v>2</v>
      </c>
      <c r="AL484" s="28">
        <f>1/COUNTIF(Tableau6[LAT],B484)</f>
        <v>0.5</v>
      </c>
      <c r="AM484" s="60" t="b">
        <f t="shared" si="54"/>
        <v>0</v>
      </c>
      <c r="AN484" s="60" t="b">
        <f t="shared" si="55"/>
        <v>0</v>
      </c>
      <c r="AO484" s="60" t="b">
        <f t="shared" si="56"/>
        <v>0</v>
      </c>
      <c r="AP484" s="60" t="b">
        <f t="shared" si="57"/>
        <v>0</v>
      </c>
      <c r="AQ484" s="60" t="b">
        <f t="shared" si="58"/>
        <v>0</v>
      </c>
      <c r="AR484" s="60" t="str">
        <f t="shared" si="52"/>
        <v>No</v>
      </c>
      <c r="AS484" s="60" t="str">
        <f t="shared" si="53"/>
        <v>Yes</v>
      </c>
    </row>
    <row r="485" spans="1:45" hidden="1">
      <c r="A485" s="103">
        <v>45243</v>
      </c>
      <c r="B485" s="117" t="s">
        <v>2423</v>
      </c>
      <c r="C485" s="28" t="s">
        <v>548</v>
      </c>
      <c r="D485" s="28" t="s">
        <v>2427</v>
      </c>
      <c r="E485" s="28" t="s">
        <v>792</v>
      </c>
      <c r="F485" s="28" t="s">
        <v>2428</v>
      </c>
      <c r="G485" s="28" t="s">
        <v>514</v>
      </c>
      <c r="H485" s="28" t="s">
        <v>1957</v>
      </c>
      <c r="I485" s="28" t="s">
        <v>516</v>
      </c>
      <c r="J485" s="28" t="s">
        <v>517</v>
      </c>
      <c r="K485" s="28" t="s">
        <v>518</v>
      </c>
      <c r="L485" s="28" t="s">
        <v>774</v>
      </c>
      <c r="M485" s="28" t="s">
        <v>605</v>
      </c>
      <c r="S485" s="28" t="s">
        <v>741</v>
      </c>
      <c r="T485" s="28" t="s">
        <v>776</v>
      </c>
      <c r="U485" s="28" t="s">
        <v>776</v>
      </c>
      <c r="V485" s="28" t="s">
        <v>517</v>
      </c>
      <c r="W485" s="28" t="s">
        <v>796</v>
      </c>
      <c r="X485" s="28" t="s">
        <v>670</v>
      </c>
      <c r="Z485" s="28" t="s">
        <v>563</v>
      </c>
      <c r="AB485" s="73" t="s">
        <v>609</v>
      </c>
      <c r="AD485" s="28" t="s">
        <v>528</v>
      </c>
      <c r="AF485" s="117" t="s">
        <v>2427</v>
      </c>
      <c r="AG485" s="28" t="s">
        <v>563</v>
      </c>
      <c r="AK485" s="60">
        <v>2</v>
      </c>
      <c r="AL485" s="28">
        <f>1/COUNTIF(Tableau6[LAT],B485)</f>
        <v>0.5</v>
      </c>
      <c r="AM485" s="60" t="b">
        <f t="shared" si="54"/>
        <v>0</v>
      </c>
      <c r="AN485" s="60" t="b">
        <f t="shared" si="55"/>
        <v>0</v>
      </c>
      <c r="AO485" s="60" t="b">
        <f t="shared" si="56"/>
        <v>0</v>
      </c>
      <c r="AP485" s="60" t="b">
        <f t="shared" si="57"/>
        <v>0</v>
      </c>
      <c r="AQ485" s="60" t="b">
        <f t="shared" si="58"/>
        <v>0</v>
      </c>
      <c r="AR485" s="60" t="str">
        <f t="shared" si="52"/>
        <v>No</v>
      </c>
      <c r="AS485" s="60" t="str">
        <f t="shared" si="53"/>
        <v>Yes</v>
      </c>
    </row>
    <row r="486" spans="1:45" hidden="1">
      <c r="A486" s="103">
        <v>45243</v>
      </c>
      <c r="B486" s="117" t="s">
        <v>2429</v>
      </c>
      <c r="C486" s="28" t="s">
        <v>511</v>
      </c>
      <c r="D486" s="28" t="s">
        <v>2430</v>
      </c>
      <c r="E486" s="28" t="s">
        <v>2431</v>
      </c>
      <c r="F486" s="28" t="s">
        <v>2432</v>
      </c>
      <c r="G486" s="28" t="s">
        <v>724</v>
      </c>
      <c r="H486" s="28" t="s">
        <v>555</v>
      </c>
      <c r="I486" s="28" t="s">
        <v>516</v>
      </c>
      <c r="J486" s="28" t="s">
        <v>517</v>
      </c>
      <c r="K486" s="28" t="s">
        <v>518</v>
      </c>
      <c r="L486" s="28" t="s">
        <v>625</v>
      </c>
      <c r="M486" s="28" t="s">
        <v>535</v>
      </c>
      <c r="N486" s="28" t="s">
        <v>1307</v>
      </c>
      <c r="O486" s="28" t="s">
        <v>1430</v>
      </c>
      <c r="P486" s="28" t="s">
        <v>572</v>
      </c>
      <c r="Q486" s="28" t="s">
        <v>544</v>
      </c>
      <c r="R486" s="28" t="s">
        <v>427</v>
      </c>
      <c r="S486" s="28" t="s">
        <v>1958</v>
      </c>
      <c r="T486" s="28" t="s">
        <v>628</v>
      </c>
      <c r="U486" s="28" t="s">
        <v>628</v>
      </c>
      <c r="V486" s="28" t="s">
        <v>517</v>
      </c>
      <c r="W486" s="28" t="s">
        <v>2433</v>
      </c>
      <c r="X486" s="28" t="s">
        <v>670</v>
      </c>
      <c r="Z486" s="28" t="s">
        <v>563</v>
      </c>
      <c r="AB486" s="28" t="s">
        <v>527</v>
      </c>
      <c r="AF486" s="117" t="s">
        <v>1083</v>
      </c>
      <c r="AK486" s="60">
        <v>2</v>
      </c>
      <c r="AL486" s="28">
        <f>1/COUNTIF(Tableau6[LAT],B486)</f>
        <v>1</v>
      </c>
      <c r="AM486" s="60" t="b">
        <f t="shared" si="54"/>
        <v>0</v>
      </c>
      <c r="AN486" s="60" t="b">
        <f t="shared" si="55"/>
        <v>0</v>
      </c>
      <c r="AO486" s="60" t="b">
        <f t="shared" si="56"/>
        <v>0</v>
      </c>
      <c r="AP486" s="60" t="b">
        <f t="shared" si="57"/>
        <v>0</v>
      </c>
      <c r="AQ486" s="60" t="b">
        <f t="shared" si="58"/>
        <v>0</v>
      </c>
      <c r="AR486" s="60" t="str">
        <f t="shared" si="52"/>
        <v>No</v>
      </c>
      <c r="AS486" s="60" t="str">
        <f t="shared" si="53"/>
        <v>No</v>
      </c>
    </row>
    <row r="487" spans="1:45" hidden="1">
      <c r="A487" s="103">
        <v>45243</v>
      </c>
      <c r="B487" s="117" t="s">
        <v>2434</v>
      </c>
      <c r="C487" s="28" t="s">
        <v>511</v>
      </c>
      <c r="D487" s="28" t="s">
        <v>2435</v>
      </c>
      <c r="E487" s="28" t="s">
        <v>2436</v>
      </c>
      <c r="F487" s="28" t="s">
        <v>2432</v>
      </c>
      <c r="G487" s="28" t="s">
        <v>724</v>
      </c>
      <c r="H487" s="28" t="s">
        <v>555</v>
      </c>
      <c r="I487" s="28" t="s">
        <v>516</v>
      </c>
      <c r="J487" s="28" t="s">
        <v>517</v>
      </c>
      <c r="K487" s="28" t="s">
        <v>518</v>
      </c>
      <c r="L487" s="28" t="s">
        <v>625</v>
      </c>
      <c r="M487" s="28" t="s">
        <v>535</v>
      </c>
      <c r="N487" s="28" t="s">
        <v>1307</v>
      </c>
      <c r="O487" s="28" t="s">
        <v>1430</v>
      </c>
      <c r="P487" s="28" t="s">
        <v>572</v>
      </c>
      <c r="Q487" s="28" t="s">
        <v>544</v>
      </c>
      <c r="R487" s="28" t="s">
        <v>427</v>
      </c>
      <c r="S487" s="28" t="s">
        <v>1958</v>
      </c>
      <c r="T487" s="28" t="s">
        <v>628</v>
      </c>
      <c r="U487" s="28" t="s">
        <v>628</v>
      </c>
      <c r="V487" s="28" t="s">
        <v>517</v>
      </c>
      <c r="W487" s="28" t="s">
        <v>2437</v>
      </c>
      <c r="X487" s="28" t="s">
        <v>670</v>
      </c>
      <c r="Z487" s="28" t="s">
        <v>563</v>
      </c>
      <c r="AB487" s="28" t="s">
        <v>527</v>
      </c>
      <c r="AF487" s="117" t="s">
        <v>1083</v>
      </c>
      <c r="AK487" s="60">
        <v>2</v>
      </c>
      <c r="AL487" s="28">
        <f>1/COUNTIF(Tableau6[LAT],B487)</f>
        <v>1</v>
      </c>
      <c r="AM487" s="60" t="b">
        <f t="shared" si="54"/>
        <v>0</v>
      </c>
      <c r="AN487" s="60" t="b">
        <f t="shared" si="55"/>
        <v>0</v>
      </c>
      <c r="AO487" s="60" t="b">
        <f t="shared" si="56"/>
        <v>0</v>
      </c>
      <c r="AP487" s="60" t="b">
        <f t="shared" si="57"/>
        <v>0</v>
      </c>
      <c r="AQ487" s="60" t="b">
        <f t="shared" si="58"/>
        <v>0</v>
      </c>
      <c r="AR487" s="60" t="str">
        <f t="shared" si="52"/>
        <v>No</v>
      </c>
      <c r="AS487" s="60" t="str">
        <f t="shared" si="53"/>
        <v>No</v>
      </c>
    </row>
    <row r="488" spans="1:45" hidden="1">
      <c r="A488" s="103">
        <v>45243</v>
      </c>
      <c r="B488" s="117" t="s">
        <v>2438</v>
      </c>
      <c r="C488" s="28" t="s">
        <v>548</v>
      </c>
      <c r="D488" s="28" t="s">
        <v>2439</v>
      </c>
      <c r="E488" s="28" t="s">
        <v>2440</v>
      </c>
      <c r="F488" s="28" t="s">
        <v>2441</v>
      </c>
      <c r="G488" s="28" t="s">
        <v>1077</v>
      </c>
      <c r="H488" s="28" t="s">
        <v>2442</v>
      </c>
      <c r="I488" s="28" t="s">
        <v>516</v>
      </c>
      <c r="J488" s="28" t="s">
        <v>517</v>
      </c>
      <c r="K488" s="28" t="s">
        <v>682</v>
      </c>
      <c r="L488" s="28" t="s">
        <v>2443</v>
      </c>
      <c r="M488" s="28" t="s">
        <v>535</v>
      </c>
      <c r="N488" s="28" t="s">
        <v>559</v>
      </c>
      <c r="S488" s="28" t="s">
        <v>740</v>
      </c>
      <c r="T488" s="28" t="s">
        <v>607</v>
      </c>
      <c r="U488" s="28" t="s">
        <v>607</v>
      </c>
      <c r="V488" s="28" t="s">
        <v>517</v>
      </c>
      <c r="W488" s="28" t="s">
        <v>2444</v>
      </c>
      <c r="X488" s="28" t="s">
        <v>670</v>
      </c>
      <c r="Z488" s="28" t="s">
        <v>563</v>
      </c>
      <c r="AB488" s="28" t="s">
        <v>527</v>
      </c>
      <c r="AD488" s="28" t="s">
        <v>528</v>
      </c>
      <c r="AF488" s="117" t="s">
        <v>2445</v>
      </c>
      <c r="AG488" s="28" t="s">
        <v>563</v>
      </c>
      <c r="AK488" s="60">
        <v>2</v>
      </c>
      <c r="AL488" s="28">
        <f>1/COUNTIF(Tableau6[LAT],B488)</f>
        <v>0.5</v>
      </c>
      <c r="AM488" s="60" t="b">
        <f t="shared" si="54"/>
        <v>0</v>
      </c>
      <c r="AN488" s="60" t="b">
        <f t="shared" si="55"/>
        <v>0</v>
      </c>
      <c r="AO488" s="60" t="b">
        <f t="shared" si="56"/>
        <v>0</v>
      </c>
      <c r="AP488" s="60" t="b">
        <f t="shared" si="57"/>
        <v>0</v>
      </c>
      <c r="AQ488" s="60" t="b">
        <f t="shared" si="58"/>
        <v>0</v>
      </c>
      <c r="AR488" s="60" t="str">
        <f t="shared" si="52"/>
        <v>No</v>
      </c>
      <c r="AS488" s="60" t="str">
        <f t="shared" si="53"/>
        <v>No</v>
      </c>
    </row>
    <row r="489" spans="1:45" hidden="1">
      <c r="A489" s="103">
        <v>45243</v>
      </c>
      <c r="B489" s="117" t="s">
        <v>2438</v>
      </c>
      <c r="C489" s="28" t="s">
        <v>612</v>
      </c>
      <c r="D489" s="28" t="s">
        <v>2446</v>
      </c>
      <c r="E489" s="28" t="s">
        <v>2447</v>
      </c>
      <c r="F489" s="28" t="s">
        <v>2448</v>
      </c>
      <c r="G489" s="28" t="s">
        <v>665</v>
      </c>
      <c r="H489" s="28" t="s">
        <v>2449</v>
      </c>
      <c r="I489" s="28" t="s">
        <v>516</v>
      </c>
      <c r="J489" s="28" t="s">
        <v>517</v>
      </c>
      <c r="K489" s="28" t="s">
        <v>682</v>
      </c>
      <c r="L489" s="28" t="s">
        <v>2443</v>
      </c>
      <c r="M489" s="28" t="s">
        <v>535</v>
      </c>
      <c r="N489" s="28" t="s">
        <v>559</v>
      </c>
      <c r="S489" s="28" t="s">
        <v>740</v>
      </c>
      <c r="T489" s="28" t="s">
        <v>607</v>
      </c>
      <c r="U489" s="28" t="s">
        <v>607</v>
      </c>
      <c r="V489" s="28" t="s">
        <v>517</v>
      </c>
      <c r="W489" s="28" t="s">
        <v>2450</v>
      </c>
      <c r="X489" s="28" t="s">
        <v>670</v>
      </c>
      <c r="Z489" s="28" t="s">
        <v>563</v>
      </c>
      <c r="AB489" s="28" t="s">
        <v>527</v>
      </c>
      <c r="AD489" s="28" t="s">
        <v>528</v>
      </c>
      <c r="AF489" s="117" t="s">
        <v>2439</v>
      </c>
      <c r="AG489" s="28" t="s">
        <v>563</v>
      </c>
      <c r="AK489" s="60">
        <v>2</v>
      </c>
      <c r="AL489" s="28">
        <f>1/COUNTIF(Tableau6[LAT],B489)</f>
        <v>0.5</v>
      </c>
      <c r="AM489" s="60" t="b">
        <f t="shared" si="54"/>
        <v>0</v>
      </c>
      <c r="AN489" s="60" t="b">
        <f t="shared" si="55"/>
        <v>0</v>
      </c>
      <c r="AO489" s="60" t="b">
        <f t="shared" si="56"/>
        <v>0</v>
      </c>
      <c r="AP489" s="60" t="b">
        <f t="shared" si="57"/>
        <v>0</v>
      </c>
      <c r="AQ489" s="60" t="b">
        <f t="shared" si="58"/>
        <v>0</v>
      </c>
      <c r="AR489" s="60" t="str">
        <f t="shared" si="52"/>
        <v>No</v>
      </c>
      <c r="AS489" s="60" t="str">
        <f t="shared" si="53"/>
        <v>No</v>
      </c>
    </row>
    <row r="490" spans="1:45" hidden="1">
      <c r="A490" s="103">
        <v>45243</v>
      </c>
      <c r="B490" s="117" t="s">
        <v>2451</v>
      </c>
      <c r="C490" s="28" t="s">
        <v>511</v>
      </c>
      <c r="D490" s="28" t="s">
        <v>2452</v>
      </c>
      <c r="F490" s="28" t="s">
        <v>1235</v>
      </c>
      <c r="G490" s="28" t="s">
        <v>514</v>
      </c>
      <c r="H490" s="28" t="s">
        <v>1325</v>
      </c>
      <c r="I490" s="28" t="s">
        <v>516</v>
      </c>
      <c r="J490" s="28" t="s">
        <v>517</v>
      </c>
      <c r="K490" s="28" t="s">
        <v>518</v>
      </c>
      <c r="L490" s="28" t="s">
        <v>1013</v>
      </c>
      <c r="M490" s="28" t="s">
        <v>535</v>
      </c>
      <c r="N490" s="28" t="s">
        <v>544</v>
      </c>
      <c r="O490" s="28" t="s">
        <v>559</v>
      </c>
      <c r="S490" s="28" t="s">
        <v>928</v>
      </c>
      <c r="T490" s="28" t="s">
        <v>1015</v>
      </c>
      <c r="U490" s="28" t="s">
        <v>1015</v>
      </c>
      <c r="V490" s="28" t="s">
        <v>517</v>
      </c>
      <c r="W490" s="28" t="s">
        <v>2453</v>
      </c>
      <c r="Z490" s="28" t="s">
        <v>526</v>
      </c>
      <c r="AD490" s="28" t="s">
        <v>528</v>
      </c>
      <c r="AF490" s="117" t="s">
        <v>2452</v>
      </c>
      <c r="AG490" s="28" t="s">
        <v>529</v>
      </c>
      <c r="AK490" s="60">
        <v>2</v>
      </c>
      <c r="AL490" s="28">
        <f>1/COUNTIF(Tableau6[LAT],B490)</f>
        <v>1</v>
      </c>
      <c r="AM490" s="60" t="b">
        <f t="shared" si="54"/>
        <v>0</v>
      </c>
      <c r="AN490" s="60" t="b">
        <f t="shared" si="55"/>
        <v>0</v>
      </c>
      <c r="AO490" s="60" t="b">
        <f t="shared" si="56"/>
        <v>0</v>
      </c>
      <c r="AP490" s="60" t="b">
        <f t="shared" si="57"/>
        <v>0</v>
      </c>
      <c r="AQ490" s="60" t="b">
        <f t="shared" si="58"/>
        <v>0</v>
      </c>
      <c r="AR490" s="60" t="str">
        <f t="shared" si="52"/>
        <v>No</v>
      </c>
      <c r="AS490" s="60" t="str">
        <f t="shared" si="53"/>
        <v>No</v>
      </c>
    </row>
    <row r="491" spans="1:45" ht="15" hidden="1">
      <c r="A491" s="103">
        <v>45243</v>
      </c>
      <c r="B491" s="117" t="s">
        <v>2454</v>
      </c>
      <c r="C491" s="28" t="s">
        <v>612</v>
      </c>
      <c r="D491" s="28" t="s">
        <v>2455</v>
      </c>
      <c r="F491" s="28" t="s">
        <v>2456</v>
      </c>
      <c r="G491" s="28" t="s">
        <v>514</v>
      </c>
      <c r="H491" s="28" t="s">
        <v>1619</v>
      </c>
      <c r="I491" s="28" t="s">
        <v>516</v>
      </c>
      <c r="J491" s="28" t="s">
        <v>517</v>
      </c>
      <c r="K491" s="28" t="s">
        <v>518</v>
      </c>
      <c r="L491" s="28" t="s">
        <v>667</v>
      </c>
      <c r="M491" s="28" t="s">
        <v>520</v>
      </c>
      <c r="N491" s="28" t="s">
        <v>544</v>
      </c>
      <c r="O491" s="28" t="s">
        <v>559</v>
      </c>
      <c r="S491" s="28" t="s">
        <v>928</v>
      </c>
      <c r="T491" s="28" t="s">
        <v>597</v>
      </c>
      <c r="U491" s="28" t="s">
        <v>597</v>
      </c>
      <c r="V491" s="28" t="s">
        <v>517</v>
      </c>
      <c r="W491" s="28" t="s">
        <v>2457</v>
      </c>
      <c r="Z491" s="28" t="s">
        <v>563</v>
      </c>
      <c r="AB491" s="118" t="s">
        <v>2458</v>
      </c>
      <c r="AD491" s="28" t="s">
        <v>528</v>
      </c>
      <c r="AF491" s="117" t="s">
        <v>2459</v>
      </c>
      <c r="AG491" s="28" t="s">
        <v>563</v>
      </c>
      <c r="AK491" s="60">
        <v>2</v>
      </c>
      <c r="AL491" s="28">
        <f>1/COUNTIF(Tableau6[LAT],B491)</f>
        <v>0.25</v>
      </c>
      <c r="AM491" s="60" t="b">
        <f t="shared" si="54"/>
        <v>0</v>
      </c>
      <c r="AN491" s="60" t="b">
        <f t="shared" si="55"/>
        <v>0</v>
      </c>
      <c r="AO491" s="60" t="b">
        <f t="shared" si="56"/>
        <v>0</v>
      </c>
      <c r="AP491" s="60" t="b">
        <f t="shared" si="57"/>
        <v>0</v>
      </c>
      <c r="AQ491" s="60" t="b">
        <f t="shared" si="58"/>
        <v>0</v>
      </c>
      <c r="AR491" s="60" t="str">
        <f t="shared" si="52"/>
        <v>No</v>
      </c>
      <c r="AS491" s="60" t="str">
        <f t="shared" si="53"/>
        <v>No</v>
      </c>
    </row>
    <row r="492" spans="1:45" ht="15" hidden="1">
      <c r="A492" s="103">
        <v>45243</v>
      </c>
      <c r="B492" s="117" t="s">
        <v>2454</v>
      </c>
      <c r="D492" s="28" t="s">
        <v>2460</v>
      </c>
      <c r="F492" s="28" t="s">
        <v>2461</v>
      </c>
      <c r="G492" s="28" t="s">
        <v>514</v>
      </c>
      <c r="H492" s="28" t="s">
        <v>1619</v>
      </c>
      <c r="I492" s="28" t="s">
        <v>516</v>
      </c>
      <c r="J492" s="28" t="s">
        <v>517</v>
      </c>
      <c r="K492" s="28" t="s">
        <v>518</v>
      </c>
      <c r="L492" s="28" t="s">
        <v>667</v>
      </c>
      <c r="M492" s="28" t="s">
        <v>520</v>
      </c>
      <c r="N492" s="28" t="s">
        <v>544</v>
      </c>
      <c r="O492" s="28" t="s">
        <v>559</v>
      </c>
      <c r="S492" s="28" t="s">
        <v>928</v>
      </c>
      <c r="T492" s="28" t="s">
        <v>597</v>
      </c>
      <c r="U492" s="28" t="s">
        <v>597</v>
      </c>
      <c r="V492" s="28" t="s">
        <v>517</v>
      </c>
      <c r="W492" s="28" t="s">
        <v>2462</v>
      </c>
      <c r="Z492" s="28" t="s">
        <v>563</v>
      </c>
      <c r="AB492" s="118" t="s">
        <v>2458</v>
      </c>
      <c r="AD492" s="28" t="s">
        <v>528</v>
      </c>
      <c r="AF492" s="117" t="s">
        <v>2463</v>
      </c>
      <c r="AG492" s="28" t="s">
        <v>563</v>
      </c>
      <c r="AK492" s="60">
        <v>2</v>
      </c>
      <c r="AL492" s="28">
        <f>1/COUNTIF(Tableau6[LAT],B492)</f>
        <v>0.25</v>
      </c>
      <c r="AM492" s="60" t="b">
        <f t="shared" si="54"/>
        <v>0</v>
      </c>
      <c r="AN492" s="60" t="b">
        <f t="shared" si="55"/>
        <v>0</v>
      </c>
      <c r="AO492" s="60" t="b">
        <f t="shared" si="56"/>
        <v>0</v>
      </c>
      <c r="AP492" s="60" t="b">
        <f t="shared" si="57"/>
        <v>0</v>
      </c>
      <c r="AQ492" s="60" t="b">
        <f t="shared" si="58"/>
        <v>0</v>
      </c>
      <c r="AR492" s="60" t="str">
        <f t="shared" si="52"/>
        <v>No</v>
      </c>
      <c r="AS492" s="60" t="str">
        <f t="shared" si="53"/>
        <v>No</v>
      </c>
    </row>
    <row r="493" spans="1:45" hidden="1">
      <c r="A493" s="103">
        <v>45243</v>
      </c>
      <c r="B493" s="117" t="s">
        <v>2464</v>
      </c>
      <c r="C493" s="28" t="s">
        <v>511</v>
      </c>
      <c r="D493" s="28" t="s">
        <v>2465</v>
      </c>
      <c r="E493" s="28" t="s">
        <v>2466</v>
      </c>
      <c r="F493" s="28" t="s">
        <v>2467</v>
      </c>
      <c r="G493" s="28" t="s">
        <v>979</v>
      </c>
      <c r="H493" s="28" t="s">
        <v>2468</v>
      </c>
      <c r="I493" s="28" t="s">
        <v>516</v>
      </c>
      <c r="J493" s="28" t="s">
        <v>517</v>
      </c>
      <c r="K493" s="28" t="s">
        <v>518</v>
      </c>
      <c r="L493" s="28" t="s">
        <v>1157</v>
      </c>
      <c r="M493" s="28" t="s">
        <v>535</v>
      </c>
      <c r="N493" s="28" t="s">
        <v>1637</v>
      </c>
      <c r="O493" s="28" t="s">
        <v>1383</v>
      </c>
      <c r="P493" s="28" t="s">
        <v>521</v>
      </c>
      <c r="S493" s="28" t="s">
        <v>2199</v>
      </c>
      <c r="T493" s="28" t="s">
        <v>1159</v>
      </c>
      <c r="U493" s="28" t="s">
        <v>1159</v>
      </c>
      <c r="V493" s="28" t="s">
        <v>517</v>
      </c>
      <c r="W493" s="28" t="s">
        <v>2469</v>
      </c>
      <c r="X493" s="28" t="s">
        <v>670</v>
      </c>
      <c r="Z493" s="28" t="s">
        <v>526</v>
      </c>
      <c r="AF493" s="117" t="s">
        <v>1083</v>
      </c>
      <c r="AK493" s="60">
        <v>2</v>
      </c>
      <c r="AL493" s="28">
        <f>1/COUNTIF(Tableau6[LAT],B493)</f>
        <v>0.5</v>
      </c>
      <c r="AM493" s="60" t="b">
        <f t="shared" si="54"/>
        <v>0</v>
      </c>
      <c r="AN493" s="60" t="b">
        <f t="shared" si="55"/>
        <v>0</v>
      </c>
      <c r="AO493" s="60" t="b">
        <f t="shared" si="56"/>
        <v>0</v>
      </c>
      <c r="AP493" s="60" t="b">
        <f t="shared" si="57"/>
        <v>0</v>
      </c>
      <c r="AQ493" s="60" t="b">
        <f t="shared" si="58"/>
        <v>0</v>
      </c>
      <c r="AR493" s="60" t="str">
        <f t="shared" si="52"/>
        <v>No</v>
      </c>
      <c r="AS493" s="60" t="str">
        <f t="shared" si="53"/>
        <v>No</v>
      </c>
    </row>
    <row r="494" spans="1:45" hidden="1">
      <c r="A494" s="103">
        <v>45243</v>
      </c>
      <c r="B494" s="117" t="s">
        <v>2464</v>
      </c>
      <c r="C494" s="28" t="s">
        <v>548</v>
      </c>
      <c r="D494" s="28" t="s">
        <v>2470</v>
      </c>
      <c r="F494" s="28" t="s">
        <v>2471</v>
      </c>
      <c r="G494" s="28" t="s">
        <v>514</v>
      </c>
      <c r="H494" s="28" t="s">
        <v>579</v>
      </c>
      <c r="I494" s="28" t="s">
        <v>516</v>
      </c>
      <c r="J494" s="28" t="s">
        <v>517</v>
      </c>
      <c r="K494" s="28" t="s">
        <v>518</v>
      </c>
      <c r="L494" s="28" t="s">
        <v>1157</v>
      </c>
      <c r="M494" s="28" t="s">
        <v>535</v>
      </c>
      <c r="N494" s="28" t="s">
        <v>1637</v>
      </c>
      <c r="O494" s="28" t="s">
        <v>1383</v>
      </c>
      <c r="P494" s="28" t="s">
        <v>521</v>
      </c>
      <c r="S494" s="28" t="s">
        <v>2199</v>
      </c>
      <c r="T494" s="28" t="s">
        <v>1159</v>
      </c>
      <c r="U494" s="28" t="s">
        <v>1159</v>
      </c>
      <c r="V494" s="28" t="s">
        <v>517</v>
      </c>
      <c r="W494" s="28" t="s">
        <v>2472</v>
      </c>
      <c r="Z494" s="28" t="s">
        <v>526</v>
      </c>
      <c r="AF494" s="117" t="s">
        <v>1083</v>
      </c>
      <c r="AK494" s="60">
        <v>2</v>
      </c>
      <c r="AL494" s="28">
        <f>1/COUNTIF(Tableau6[LAT],B494)</f>
        <v>0.5</v>
      </c>
      <c r="AM494" s="60" t="b">
        <f t="shared" si="54"/>
        <v>0</v>
      </c>
      <c r="AN494" s="60" t="b">
        <f t="shared" si="55"/>
        <v>0</v>
      </c>
      <c r="AO494" s="60" t="b">
        <f t="shared" si="56"/>
        <v>0</v>
      </c>
      <c r="AP494" s="60" t="b">
        <f t="shared" si="57"/>
        <v>0</v>
      </c>
      <c r="AQ494" s="60" t="b">
        <f t="shared" si="58"/>
        <v>0</v>
      </c>
      <c r="AR494" s="60" t="str">
        <f t="shared" si="52"/>
        <v>No</v>
      </c>
      <c r="AS494" s="60" t="str">
        <f t="shared" si="53"/>
        <v>No</v>
      </c>
    </row>
    <row r="495" spans="1:45" hidden="1">
      <c r="A495" s="103">
        <v>45243</v>
      </c>
      <c r="B495" s="117" t="s">
        <v>2473</v>
      </c>
      <c r="C495" s="28" t="s">
        <v>511</v>
      </c>
      <c r="D495" s="28" t="s">
        <v>2474</v>
      </c>
      <c r="F495" s="28" t="s">
        <v>2475</v>
      </c>
      <c r="G495" s="28" t="s">
        <v>514</v>
      </c>
      <c r="H495" s="28" t="s">
        <v>2476</v>
      </c>
      <c r="I495" s="28" t="s">
        <v>516</v>
      </c>
      <c r="J495" s="28" t="s">
        <v>517</v>
      </c>
      <c r="K495" s="28" t="s">
        <v>518</v>
      </c>
      <c r="L495" s="28" t="s">
        <v>697</v>
      </c>
      <c r="M495" s="28" t="s">
        <v>535</v>
      </c>
      <c r="N495" s="28" t="s">
        <v>557</v>
      </c>
      <c r="O495" s="28" t="s">
        <v>544</v>
      </c>
      <c r="S495" s="28" t="s">
        <v>2477</v>
      </c>
      <c r="T495" s="28" t="s">
        <v>699</v>
      </c>
      <c r="U495" s="28" t="s">
        <v>699</v>
      </c>
      <c r="V495" s="28" t="s">
        <v>517</v>
      </c>
      <c r="W495" s="28" t="s">
        <v>835</v>
      </c>
      <c r="Z495" s="28" t="s">
        <v>563</v>
      </c>
      <c r="AB495" s="28" t="s">
        <v>527</v>
      </c>
      <c r="AD495" s="28" t="s">
        <v>528</v>
      </c>
      <c r="AF495" s="117" t="s">
        <v>2474</v>
      </c>
      <c r="AG495" s="28" t="s">
        <v>563</v>
      </c>
      <c r="AK495" s="60">
        <v>2</v>
      </c>
      <c r="AL495" s="28">
        <f>1/COUNTIF(Tableau6[LAT],B495)</f>
        <v>1</v>
      </c>
      <c r="AM495" s="60" t="b">
        <f t="shared" si="54"/>
        <v>0</v>
      </c>
      <c r="AN495" s="60" t="b">
        <f t="shared" si="55"/>
        <v>0</v>
      </c>
      <c r="AO495" s="60" t="b">
        <f t="shared" si="56"/>
        <v>0</v>
      </c>
      <c r="AP495" s="60" t="b">
        <f t="shared" si="57"/>
        <v>0</v>
      </c>
      <c r="AQ495" s="60" t="b">
        <f t="shared" si="58"/>
        <v>0</v>
      </c>
      <c r="AR495" s="60" t="str">
        <f t="shared" si="52"/>
        <v>No</v>
      </c>
      <c r="AS495" s="60" t="str">
        <f t="shared" si="53"/>
        <v>No</v>
      </c>
    </row>
    <row r="496" spans="1:45" hidden="1">
      <c r="A496" s="103">
        <v>45243</v>
      </c>
      <c r="B496" s="117" t="s">
        <v>2478</v>
      </c>
      <c r="C496" s="28" t="s">
        <v>548</v>
      </c>
      <c r="D496" s="28" t="s">
        <v>2479</v>
      </c>
      <c r="F496" s="28" t="s">
        <v>2480</v>
      </c>
      <c r="G496" s="28" t="s">
        <v>514</v>
      </c>
      <c r="H496" s="28" t="s">
        <v>704</v>
      </c>
      <c r="I496" s="28" t="s">
        <v>516</v>
      </c>
      <c r="J496" s="28" t="s">
        <v>517</v>
      </c>
      <c r="K496" s="28" t="s">
        <v>518</v>
      </c>
      <c r="L496" s="28" t="s">
        <v>849</v>
      </c>
      <c r="M496" s="28" t="s">
        <v>605</v>
      </c>
      <c r="N496" s="28" t="s">
        <v>557</v>
      </c>
      <c r="O496" s="28" t="s">
        <v>544</v>
      </c>
      <c r="S496" s="28" t="s">
        <v>820</v>
      </c>
      <c r="T496" s="28" t="s">
        <v>753</v>
      </c>
      <c r="U496" s="28" t="s">
        <v>850</v>
      </c>
      <c r="V496" s="28" t="s">
        <v>517</v>
      </c>
      <c r="W496" s="28" t="s">
        <v>2481</v>
      </c>
      <c r="Z496" s="28" t="s">
        <v>563</v>
      </c>
      <c r="AB496" s="28" t="s">
        <v>527</v>
      </c>
      <c r="AD496" s="28" t="s">
        <v>528</v>
      </c>
      <c r="AF496" s="117" t="s">
        <v>2482</v>
      </c>
      <c r="AG496" s="28" t="s">
        <v>563</v>
      </c>
      <c r="AK496" s="60">
        <v>2</v>
      </c>
      <c r="AL496" s="28">
        <f>1/COUNTIF(Tableau6[LAT],B496)</f>
        <v>1</v>
      </c>
      <c r="AM496" s="60" t="b">
        <f t="shared" si="54"/>
        <v>0</v>
      </c>
      <c r="AN496" s="60" t="b">
        <f t="shared" si="55"/>
        <v>0</v>
      </c>
      <c r="AO496" s="60" t="b">
        <f t="shared" si="56"/>
        <v>0</v>
      </c>
      <c r="AP496" s="60" t="b">
        <f t="shared" si="57"/>
        <v>0</v>
      </c>
      <c r="AQ496" s="60" t="b">
        <f t="shared" si="58"/>
        <v>0</v>
      </c>
      <c r="AR496" s="60" t="str">
        <f t="shared" si="52"/>
        <v>No</v>
      </c>
      <c r="AS496" s="60" t="str">
        <f t="shared" si="53"/>
        <v>No</v>
      </c>
    </row>
    <row r="497" spans="1:45" hidden="1">
      <c r="A497" s="103">
        <v>45243</v>
      </c>
      <c r="B497" s="117" t="s">
        <v>2483</v>
      </c>
      <c r="C497" s="28" t="s">
        <v>511</v>
      </c>
      <c r="D497" s="28" t="s">
        <v>2484</v>
      </c>
      <c r="F497" s="28" t="s">
        <v>2485</v>
      </c>
      <c r="G497" s="28" t="s">
        <v>514</v>
      </c>
      <c r="H497" s="28" t="s">
        <v>2486</v>
      </c>
      <c r="I497" s="28" t="s">
        <v>517</v>
      </c>
      <c r="J497" s="28" t="s">
        <v>517</v>
      </c>
      <c r="K497" s="28" t="s">
        <v>518</v>
      </c>
      <c r="L497" s="28" t="s">
        <v>580</v>
      </c>
      <c r="M497" s="28" t="s">
        <v>520</v>
      </c>
      <c r="N497" s="28" t="s">
        <v>544</v>
      </c>
      <c r="O497" s="28" t="s">
        <v>522</v>
      </c>
      <c r="S497" s="28" t="s">
        <v>573</v>
      </c>
      <c r="T497" s="28" t="s">
        <v>582</v>
      </c>
      <c r="U497" s="28" t="s">
        <v>582</v>
      </c>
      <c r="V497" s="28" t="s">
        <v>517</v>
      </c>
      <c r="W497" s="28" t="s">
        <v>2487</v>
      </c>
      <c r="Z497" s="28" t="s">
        <v>526</v>
      </c>
      <c r="AB497" s="73" t="s">
        <v>630</v>
      </c>
      <c r="AC497" s="73" t="s">
        <v>35</v>
      </c>
      <c r="AD497" s="28" t="s">
        <v>528</v>
      </c>
      <c r="AF497" s="117" t="s">
        <v>2484</v>
      </c>
      <c r="AG497" s="28" t="s">
        <v>529</v>
      </c>
      <c r="AK497" s="60">
        <v>2</v>
      </c>
      <c r="AL497" s="28">
        <f>1/COUNTIF(Tableau6[LAT],B497)</f>
        <v>1</v>
      </c>
      <c r="AM497" s="60" t="b">
        <f t="shared" si="54"/>
        <v>0</v>
      </c>
      <c r="AN497" s="60" t="b">
        <f t="shared" si="55"/>
        <v>0</v>
      </c>
      <c r="AO497" s="60" t="b">
        <f t="shared" si="56"/>
        <v>0</v>
      </c>
      <c r="AP497" s="60" t="b">
        <f t="shared" si="57"/>
        <v>0</v>
      </c>
      <c r="AQ497" s="60" t="b">
        <f t="shared" si="58"/>
        <v>0</v>
      </c>
      <c r="AR497" s="60" t="str">
        <f t="shared" si="52"/>
        <v>No</v>
      </c>
      <c r="AS497" s="60" t="str">
        <f t="shared" si="53"/>
        <v>No</v>
      </c>
    </row>
    <row r="498" spans="1:45" hidden="1">
      <c r="A498" s="103">
        <v>45243</v>
      </c>
      <c r="B498" s="117" t="s">
        <v>2488</v>
      </c>
      <c r="C498" s="28" t="s">
        <v>511</v>
      </c>
      <c r="D498" s="28" t="s">
        <v>2489</v>
      </c>
      <c r="F498" s="28" t="s">
        <v>1989</v>
      </c>
      <c r="G498" s="28" t="s">
        <v>514</v>
      </c>
      <c r="H498" s="28" t="s">
        <v>533</v>
      </c>
      <c r="I498" s="28" t="s">
        <v>517</v>
      </c>
      <c r="J498" s="28" t="s">
        <v>517</v>
      </c>
      <c r="K498" s="28" t="s">
        <v>518</v>
      </c>
      <c r="L498" s="28" t="s">
        <v>839</v>
      </c>
      <c r="M498" s="28" t="s">
        <v>520</v>
      </c>
      <c r="N498" s="28" t="s">
        <v>557</v>
      </c>
      <c r="O498" s="28" t="s">
        <v>626</v>
      </c>
      <c r="P498" s="28" t="s">
        <v>522</v>
      </c>
      <c r="Q498" s="28" t="s">
        <v>627</v>
      </c>
      <c r="S498" s="28" t="s">
        <v>573</v>
      </c>
      <c r="T498" s="28" t="s">
        <v>840</v>
      </c>
      <c r="U498" s="28" t="s">
        <v>840</v>
      </c>
      <c r="V498" s="28" t="s">
        <v>517</v>
      </c>
      <c r="W498" s="28" t="s">
        <v>2490</v>
      </c>
      <c r="Z498" s="28" t="s">
        <v>526</v>
      </c>
      <c r="AB498" s="73" t="s">
        <v>630</v>
      </c>
      <c r="AC498" s="73" t="s">
        <v>35</v>
      </c>
      <c r="AD498" s="28" t="s">
        <v>528</v>
      </c>
      <c r="AF498" s="117" t="s">
        <v>2489</v>
      </c>
      <c r="AG498" s="28" t="s">
        <v>529</v>
      </c>
      <c r="AK498" s="60">
        <v>2</v>
      </c>
      <c r="AL498" s="28">
        <f>1/COUNTIF(Tableau6[LAT],B498)</f>
        <v>1</v>
      </c>
      <c r="AM498" s="60" t="b">
        <f t="shared" si="54"/>
        <v>0</v>
      </c>
      <c r="AN498" s="60" t="b">
        <f t="shared" si="55"/>
        <v>0</v>
      </c>
      <c r="AO498" s="60" t="b">
        <f t="shared" si="56"/>
        <v>0</v>
      </c>
      <c r="AP498" s="60" t="b">
        <f t="shared" si="57"/>
        <v>0</v>
      </c>
      <c r="AQ498" s="60" t="b">
        <f t="shared" si="58"/>
        <v>0</v>
      </c>
      <c r="AR498" s="60" t="str">
        <f t="shared" si="52"/>
        <v>No</v>
      </c>
      <c r="AS498" s="60" t="str">
        <f t="shared" si="53"/>
        <v>No</v>
      </c>
    </row>
    <row r="499" spans="1:45" hidden="1">
      <c r="A499" s="103">
        <v>45243</v>
      </c>
      <c r="B499" s="117" t="s">
        <v>2491</v>
      </c>
      <c r="C499" s="28" t="s">
        <v>511</v>
      </c>
      <c r="D499" s="28" t="s">
        <v>2492</v>
      </c>
      <c r="F499" s="28" t="s">
        <v>2493</v>
      </c>
      <c r="G499" s="28" t="s">
        <v>514</v>
      </c>
      <c r="H499" s="28" t="s">
        <v>1896</v>
      </c>
      <c r="I499" s="28" t="s">
        <v>516</v>
      </c>
      <c r="J499" s="28" t="s">
        <v>517</v>
      </c>
      <c r="K499" s="28" t="s">
        <v>518</v>
      </c>
      <c r="L499" s="28" t="s">
        <v>519</v>
      </c>
      <c r="M499" s="28" t="s">
        <v>605</v>
      </c>
      <c r="N499" s="28" t="s">
        <v>521</v>
      </c>
      <c r="S499" s="28" t="s">
        <v>1901</v>
      </c>
      <c r="T499" s="28" t="s">
        <v>524</v>
      </c>
      <c r="U499" s="28" t="s">
        <v>524</v>
      </c>
      <c r="V499" s="28" t="s">
        <v>517</v>
      </c>
      <c r="W499" s="28" t="s">
        <v>2494</v>
      </c>
      <c r="Z499" s="28" t="s">
        <v>563</v>
      </c>
      <c r="AB499" s="28" t="s">
        <v>527</v>
      </c>
      <c r="AD499" s="28" t="s">
        <v>528</v>
      </c>
      <c r="AF499" s="117" t="s">
        <v>2492</v>
      </c>
      <c r="AG499" s="28" t="s">
        <v>563</v>
      </c>
      <c r="AK499" s="60">
        <v>2</v>
      </c>
      <c r="AL499" s="28">
        <f>1/COUNTIF(Tableau6[LAT],B499)</f>
        <v>0.5</v>
      </c>
      <c r="AM499" s="60" t="b">
        <f t="shared" si="54"/>
        <v>0</v>
      </c>
      <c r="AN499" s="60" t="b">
        <f t="shared" si="55"/>
        <v>0</v>
      </c>
      <c r="AO499" s="60" t="b">
        <f t="shared" si="56"/>
        <v>0</v>
      </c>
      <c r="AP499" s="60" t="b">
        <f t="shared" si="57"/>
        <v>0</v>
      </c>
      <c r="AQ499" s="60" t="b">
        <f t="shared" si="58"/>
        <v>0</v>
      </c>
      <c r="AR499" s="60" t="str">
        <f t="shared" si="52"/>
        <v>No</v>
      </c>
      <c r="AS499" s="60" t="str">
        <f t="shared" si="53"/>
        <v>No</v>
      </c>
    </row>
    <row r="500" spans="1:45" hidden="1">
      <c r="A500" s="103">
        <v>45243</v>
      </c>
      <c r="B500" s="117" t="s">
        <v>2491</v>
      </c>
      <c r="C500" s="28" t="s">
        <v>548</v>
      </c>
      <c r="D500" s="28" t="s">
        <v>2495</v>
      </c>
      <c r="F500" s="28" t="s">
        <v>2493</v>
      </c>
      <c r="G500" s="28" t="s">
        <v>514</v>
      </c>
      <c r="H500" s="28" t="s">
        <v>1896</v>
      </c>
      <c r="I500" s="28" t="s">
        <v>516</v>
      </c>
      <c r="J500" s="28" t="s">
        <v>517</v>
      </c>
      <c r="K500" s="28" t="s">
        <v>518</v>
      </c>
      <c r="L500" s="28" t="s">
        <v>519</v>
      </c>
      <c r="M500" s="28" t="s">
        <v>605</v>
      </c>
      <c r="N500" s="28" t="s">
        <v>619</v>
      </c>
      <c r="O500" s="28" t="s">
        <v>521</v>
      </c>
      <c r="S500" s="28" t="s">
        <v>1901</v>
      </c>
      <c r="T500" s="28" t="s">
        <v>524</v>
      </c>
      <c r="U500" s="28" t="s">
        <v>524</v>
      </c>
      <c r="V500" s="28" t="s">
        <v>517</v>
      </c>
      <c r="W500" s="28" t="s">
        <v>2496</v>
      </c>
      <c r="Z500" s="28" t="s">
        <v>563</v>
      </c>
      <c r="AB500" s="28" t="s">
        <v>527</v>
      </c>
      <c r="AD500" s="28" t="s">
        <v>528</v>
      </c>
      <c r="AF500" s="117" t="s">
        <v>2495</v>
      </c>
      <c r="AG500" s="28" t="s">
        <v>563</v>
      </c>
      <c r="AK500" s="60">
        <v>2</v>
      </c>
      <c r="AL500" s="28">
        <f>1/COUNTIF(Tableau6[LAT],B500)</f>
        <v>0.5</v>
      </c>
      <c r="AM500" s="60" t="b">
        <f t="shared" si="54"/>
        <v>0</v>
      </c>
      <c r="AN500" s="60" t="b">
        <f t="shared" si="55"/>
        <v>0</v>
      </c>
      <c r="AO500" s="60" t="b">
        <f t="shared" si="56"/>
        <v>0</v>
      </c>
      <c r="AP500" s="60" t="b">
        <f t="shared" si="57"/>
        <v>0</v>
      </c>
      <c r="AQ500" s="60" t="b">
        <f t="shared" si="58"/>
        <v>0</v>
      </c>
      <c r="AR500" s="60" t="str">
        <f t="shared" si="52"/>
        <v>No</v>
      </c>
      <c r="AS500" s="60" t="str">
        <f t="shared" si="53"/>
        <v>No</v>
      </c>
    </row>
    <row r="501" spans="1:45" hidden="1">
      <c r="A501" s="103">
        <v>45243</v>
      </c>
      <c r="B501" s="117" t="s">
        <v>2497</v>
      </c>
      <c r="C501" s="28" t="s">
        <v>511</v>
      </c>
      <c r="D501" s="28" t="s">
        <v>2498</v>
      </c>
      <c r="F501" s="28" t="s">
        <v>578</v>
      </c>
      <c r="G501" s="28" t="s">
        <v>514</v>
      </c>
      <c r="H501" s="28" t="s">
        <v>1039</v>
      </c>
      <c r="I501" s="28" t="s">
        <v>516</v>
      </c>
      <c r="J501" s="28" t="s">
        <v>517</v>
      </c>
      <c r="K501" s="28" t="s">
        <v>518</v>
      </c>
      <c r="L501" s="28" t="s">
        <v>1097</v>
      </c>
      <c r="M501" s="28" t="s">
        <v>520</v>
      </c>
      <c r="N501" s="28" t="s">
        <v>557</v>
      </c>
      <c r="O501" s="28" t="s">
        <v>522</v>
      </c>
      <c r="S501" s="28" t="s">
        <v>1581</v>
      </c>
      <c r="T501" s="28" t="s">
        <v>1098</v>
      </c>
      <c r="U501" s="28" t="s">
        <v>1098</v>
      </c>
      <c r="V501" s="28" t="s">
        <v>517</v>
      </c>
      <c r="W501" s="28" t="s">
        <v>2499</v>
      </c>
      <c r="Z501" s="28" t="s">
        <v>563</v>
      </c>
      <c r="AB501" s="28" t="s">
        <v>527</v>
      </c>
      <c r="AF501" s="117" t="s">
        <v>1083</v>
      </c>
      <c r="AK501" s="60">
        <v>2</v>
      </c>
      <c r="AL501" s="28">
        <f>1/COUNTIF(Tableau6[LAT],B501)</f>
        <v>1</v>
      </c>
      <c r="AM501" s="60" t="b">
        <f t="shared" si="54"/>
        <v>0</v>
      </c>
      <c r="AN501" s="60" t="b">
        <f t="shared" si="55"/>
        <v>0</v>
      </c>
      <c r="AO501" s="60" t="b">
        <f t="shared" si="56"/>
        <v>0</v>
      </c>
      <c r="AP501" s="60" t="b">
        <f t="shared" si="57"/>
        <v>0</v>
      </c>
      <c r="AQ501" s="60" t="b">
        <f t="shared" si="58"/>
        <v>0</v>
      </c>
      <c r="AR501" s="60" t="str">
        <f t="shared" si="52"/>
        <v>No</v>
      </c>
      <c r="AS501" s="60" t="str">
        <f t="shared" si="53"/>
        <v>No</v>
      </c>
    </row>
    <row r="502" spans="1:45" hidden="1">
      <c r="A502" s="103">
        <v>45243</v>
      </c>
      <c r="B502" s="117" t="s">
        <v>2500</v>
      </c>
      <c r="C502" s="28" t="s">
        <v>511</v>
      </c>
      <c r="D502" s="28" t="s">
        <v>2501</v>
      </c>
      <c r="F502" s="28" t="s">
        <v>1727</v>
      </c>
      <c r="G502" s="28" t="s">
        <v>514</v>
      </c>
      <c r="H502" s="28" t="s">
        <v>1156</v>
      </c>
      <c r="I502" s="28" t="s">
        <v>516</v>
      </c>
      <c r="J502" s="28" t="s">
        <v>517</v>
      </c>
      <c r="K502" s="28" t="s">
        <v>518</v>
      </c>
      <c r="L502" s="28" t="s">
        <v>2502</v>
      </c>
      <c r="M502" s="28" t="s">
        <v>535</v>
      </c>
      <c r="N502" s="28" t="s">
        <v>557</v>
      </c>
      <c r="O502" s="28" t="s">
        <v>544</v>
      </c>
      <c r="P502" s="28" t="s">
        <v>522</v>
      </c>
      <c r="S502" s="28" t="s">
        <v>1350</v>
      </c>
      <c r="T502" s="28" t="s">
        <v>2503</v>
      </c>
      <c r="U502" s="28" t="s">
        <v>1958</v>
      </c>
      <c r="V502" s="28" t="s">
        <v>517</v>
      </c>
      <c r="W502" s="28" t="s">
        <v>2504</v>
      </c>
      <c r="Z502" s="28" t="s">
        <v>563</v>
      </c>
      <c r="AB502" s="28" t="s">
        <v>527</v>
      </c>
      <c r="AD502" s="28" t="s">
        <v>954</v>
      </c>
      <c r="AF502" s="117" t="s">
        <v>2501</v>
      </c>
      <c r="AG502" s="28" t="s">
        <v>563</v>
      </c>
      <c r="AK502" s="60">
        <v>2</v>
      </c>
      <c r="AL502" s="28">
        <f>1/COUNTIF(Tableau6[LAT],B502)</f>
        <v>0.25</v>
      </c>
      <c r="AM502" s="60" t="b">
        <f t="shared" si="54"/>
        <v>0</v>
      </c>
      <c r="AN502" s="60" t="b">
        <f t="shared" si="55"/>
        <v>0</v>
      </c>
      <c r="AO502" s="60" t="b">
        <f t="shared" si="56"/>
        <v>0</v>
      </c>
      <c r="AP502" s="60" t="b">
        <f t="shared" si="57"/>
        <v>0</v>
      </c>
      <c r="AQ502" s="60" t="b">
        <f t="shared" si="58"/>
        <v>0</v>
      </c>
      <c r="AR502" s="60" t="str">
        <f t="shared" si="52"/>
        <v>No</v>
      </c>
      <c r="AS502" s="60" t="str">
        <f t="shared" si="53"/>
        <v>No</v>
      </c>
    </row>
    <row r="503" spans="1:45" hidden="1">
      <c r="A503" s="103">
        <v>45243</v>
      </c>
      <c r="B503" s="117" t="s">
        <v>2500</v>
      </c>
      <c r="C503" s="28" t="s">
        <v>548</v>
      </c>
      <c r="D503" s="28" t="s">
        <v>2505</v>
      </c>
      <c r="F503" s="28" t="s">
        <v>1727</v>
      </c>
      <c r="G503" s="28" t="s">
        <v>514</v>
      </c>
      <c r="H503" s="28" t="s">
        <v>1156</v>
      </c>
      <c r="I503" s="28" t="s">
        <v>516</v>
      </c>
      <c r="J503" s="28" t="s">
        <v>517</v>
      </c>
      <c r="K503" s="28" t="s">
        <v>518</v>
      </c>
      <c r="L503" s="28" t="s">
        <v>2502</v>
      </c>
      <c r="M503" s="28" t="s">
        <v>535</v>
      </c>
      <c r="N503" s="28" t="s">
        <v>557</v>
      </c>
      <c r="O503" s="28" t="s">
        <v>544</v>
      </c>
      <c r="P503" s="28" t="s">
        <v>522</v>
      </c>
      <c r="S503" s="28" t="s">
        <v>1350</v>
      </c>
      <c r="T503" s="28" t="s">
        <v>2503</v>
      </c>
      <c r="U503" s="28" t="s">
        <v>1958</v>
      </c>
      <c r="V503" s="28" t="s">
        <v>517</v>
      </c>
      <c r="W503" s="28" t="s">
        <v>2506</v>
      </c>
      <c r="Z503" s="28" t="s">
        <v>563</v>
      </c>
      <c r="AB503" s="28" t="s">
        <v>527</v>
      </c>
      <c r="AD503" s="28" t="s">
        <v>954</v>
      </c>
      <c r="AF503" s="117" t="s">
        <v>2505</v>
      </c>
      <c r="AG503" s="28" t="s">
        <v>563</v>
      </c>
      <c r="AK503" s="60">
        <v>2</v>
      </c>
      <c r="AL503" s="28">
        <f>1/COUNTIF(Tableau6[LAT],B503)</f>
        <v>0.25</v>
      </c>
      <c r="AM503" s="60" t="b">
        <f t="shared" si="54"/>
        <v>0</v>
      </c>
      <c r="AN503" s="60" t="b">
        <f t="shared" si="55"/>
        <v>0</v>
      </c>
      <c r="AO503" s="60" t="b">
        <f t="shared" si="56"/>
        <v>0</v>
      </c>
      <c r="AP503" s="60" t="b">
        <f t="shared" si="57"/>
        <v>0</v>
      </c>
      <c r="AQ503" s="60" t="b">
        <f t="shared" si="58"/>
        <v>0</v>
      </c>
      <c r="AR503" s="60" t="str">
        <f t="shared" si="52"/>
        <v>No</v>
      </c>
      <c r="AS503" s="60" t="str">
        <f t="shared" si="53"/>
        <v>No</v>
      </c>
    </row>
    <row r="504" spans="1:45" hidden="1">
      <c r="A504" s="103">
        <v>45243</v>
      </c>
      <c r="B504" s="117" t="s">
        <v>2500</v>
      </c>
      <c r="C504" s="28" t="s">
        <v>612</v>
      </c>
      <c r="D504" s="28" t="s">
        <v>2507</v>
      </c>
      <c r="F504" s="28" t="s">
        <v>1727</v>
      </c>
      <c r="G504" s="28" t="s">
        <v>514</v>
      </c>
      <c r="H504" s="28" t="s">
        <v>1156</v>
      </c>
      <c r="I504" s="28" t="s">
        <v>516</v>
      </c>
      <c r="J504" s="28" t="s">
        <v>517</v>
      </c>
      <c r="K504" s="28" t="s">
        <v>518</v>
      </c>
      <c r="L504" s="28" t="s">
        <v>2502</v>
      </c>
      <c r="M504" s="28" t="s">
        <v>535</v>
      </c>
      <c r="N504" s="28" t="s">
        <v>557</v>
      </c>
      <c r="O504" s="28" t="s">
        <v>544</v>
      </c>
      <c r="P504" s="28" t="s">
        <v>522</v>
      </c>
      <c r="S504" s="28" t="s">
        <v>1350</v>
      </c>
      <c r="T504" s="28" t="s">
        <v>2503</v>
      </c>
      <c r="U504" s="28" t="s">
        <v>1958</v>
      </c>
      <c r="V504" s="28" t="s">
        <v>517</v>
      </c>
      <c r="W504" s="28" t="s">
        <v>2508</v>
      </c>
      <c r="Z504" s="28" t="s">
        <v>563</v>
      </c>
      <c r="AB504" s="28" t="s">
        <v>527</v>
      </c>
      <c r="AD504" s="28" t="s">
        <v>954</v>
      </c>
      <c r="AF504" s="117" t="s">
        <v>2507</v>
      </c>
      <c r="AG504" s="28" t="s">
        <v>563</v>
      </c>
      <c r="AK504" s="60">
        <v>2</v>
      </c>
      <c r="AL504" s="28">
        <f>1/COUNTIF(Tableau6[LAT],B504)</f>
        <v>0.25</v>
      </c>
      <c r="AM504" s="60" t="b">
        <f t="shared" si="54"/>
        <v>0</v>
      </c>
      <c r="AN504" s="60" t="b">
        <f t="shared" si="55"/>
        <v>0</v>
      </c>
      <c r="AO504" s="60" t="b">
        <f t="shared" si="56"/>
        <v>0</v>
      </c>
      <c r="AP504" s="60" t="b">
        <f t="shared" si="57"/>
        <v>0</v>
      </c>
      <c r="AQ504" s="60" t="b">
        <f t="shared" si="58"/>
        <v>0</v>
      </c>
      <c r="AR504" s="60" t="str">
        <f t="shared" si="52"/>
        <v>No</v>
      </c>
      <c r="AS504" s="60" t="str">
        <f t="shared" si="53"/>
        <v>No</v>
      </c>
    </row>
    <row r="505" spans="1:45" hidden="1">
      <c r="A505" s="103">
        <v>45243</v>
      </c>
      <c r="B505" s="117" t="s">
        <v>2500</v>
      </c>
      <c r="C505" s="28" t="s">
        <v>691</v>
      </c>
      <c r="D505" s="28" t="s">
        <v>2509</v>
      </c>
      <c r="F505" s="28" t="s">
        <v>1727</v>
      </c>
      <c r="G505" s="28" t="s">
        <v>514</v>
      </c>
      <c r="H505" s="28" t="s">
        <v>1156</v>
      </c>
      <c r="I505" s="28" t="s">
        <v>516</v>
      </c>
      <c r="J505" s="28" t="s">
        <v>517</v>
      </c>
      <c r="K505" s="28" t="s">
        <v>518</v>
      </c>
      <c r="L505" s="28" t="s">
        <v>2502</v>
      </c>
      <c r="M505" s="28" t="s">
        <v>535</v>
      </c>
      <c r="N505" s="28" t="s">
        <v>557</v>
      </c>
      <c r="O505" s="28" t="s">
        <v>544</v>
      </c>
      <c r="P505" s="28" t="s">
        <v>522</v>
      </c>
      <c r="S505" s="28" t="s">
        <v>1350</v>
      </c>
      <c r="T505" s="28" t="s">
        <v>2503</v>
      </c>
      <c r="U505" s="28" t="s">
        <v>1958</v>
      </c>
      <c r="V505" s="28" t="s">
        <v>517</v>
      </c>
      <c r="W505" s="28" t="s">
        <v>2510</v>
      </c>
      <c r="Z505" s="28" t="s">
        <v>563</v>
      </c>
      <c r="AB505" s="28" t="s">
        <v>527</v>
      </c>
      <c r="AD505" s="28" t="s">
        <v>954</v>
      </c>
      <c r="AF505" s="117" t="s">
        <v>2509</v>
      </c>
      <c r="AG505" s="28" t="s">
        <v>563</v>
      </c>
      <c r="AK505" s="60">
        <v>2</v>
      </c>
      <c r="AL505" s="28">
        <f>1/COUNTIF(Tableau6[LAT],B505)</f>
        <v>0.25</v>
      </c>
      <c r="AM505" s="60" t="b">
        <f t="shared" si="54"/>
        <v>0</v>
      </c>
      <c r="AN505" s="60" t="b">
        <f t="shared" si="55"/>
        <v>0</v>
      </c>
      <c r="AO505" s="60" t="b">
        <f t="shared" si="56"/>
        <v>0</v>
      </c>
      <c r="AP505" s="60" t="b">
        <f t="shared" si="57"/>
        <v>0</v>
      </c>
      <c r="AQ505" s="60" t="b">
        <f t="shared" si="58"/>
        <v>0</v>
      </c>
      <c r="AR505" s="60" t="str">
        <f t="shared" si="52"/>
        <v>No</v>
      </c>
      <c r="AS505" s="60" t="str">
        <f t="shared" si="53"/>
        <v>No</v>
      </c>
    </row>
    <row r="506" spans="1:45" hidden="1">
      <c r="A506" s="103">
        <v>45243</v>
      </c>
      <c r="B506" s="117" t="s">
        <v>2511</v>
      </c>
      <c r="C506" s="28" t="s">
        <v>511</v>
      </c>
      <c r="D506" s="28" t="s">
        <v>2512</v>
      </c>
      <c r="F506" s="28" t="s">
        <v>1995</v>
      </c>
      <c r="G506" s="28" t="s">
        <v>514</v>
      </c>
      <c r="H506" s="28" t="s">
        <v>1051</v>
      </c>
      <c r="I506" s="28" t="s">
        <v>516</v>
      </c>
      <c r="J506" s="28" t="s">
        <v>517</v>
      </c>
      <c r="K506" s="28" t="s">
        <v>518</v>
      </c>
      <c r="L506" s="28" t="s">
        <v>895</v>
      </c>
      <c r="M506" s="28" t="s">
        <v>535</v>
      </c>
      <c r="N506" s="28" t="s">
        <v>557</v>
      </c>
      <c r="O506" s="28" t="s">
        <v>522</v>
      </c>
      <c r="S506" s="28" t="s">
        <v>928</v>
      </c>
      <c r="T506" s="28" t="s">
        <v>897</v>
      </c>
      <c r="U506" s="28" t="s">
        <v>897</v>
      </c>
      <c r="V506" s="28" t="s">
        <v>517</v>
      </c>
      <c r="W506" s="28" t="s">
        <v>2513</v>
      </c>
      <c r="Z506" s="28" t="s">
        <v>563</v>
      </c>
      <c r="AB506" s="28" t="s">
        <v>527</v>
      </c>
      <c r="AD506" s="28" t="s">
        <v>528</v>
      </c>
      <c r="AF506" s="117" t="s">
        <v>2512</v>
      </c>
      <c r="AG506" s="28" t="s">
        <v>563</v>
      </c>
      <c r="AK506" s="60">
        <v>2</v>
      </c>
      <c r="AL506" s="28">
        <f>1/COUNTIF(Tableau6[LAT],B506)</f>
        <v>1</v>
      </c>
      <c r="AM506" s="60" t="b">
        <f t="shared" si="54"/>
        <v>0</v>
      </c>
      <c r="AN506" s="60" t="b">
        <f t="shared" si="55"/>
        <v>0</v>
      </c>
      <c r="AO506" s="60" t="b">
        <f t="shared" si="56"/>
        <v>0</v>
      </c>
      <c r="AP506" s="60" t="b">
        <f t="shared" si="57"/>
        <v>0</v>
      </c>
      <c r="AQ506" s="60" t="b">
        <f t="shared" si="58"/>
        <v>0</v>
      </c>
      <c r="AR506" s="60" t="str">
        <f t="shared" si="52"/>
        <v>No</v>
      </c>
      <c r="AS506" s="60" t="str">
        <f t="shared" si="53"/>
        <v>No</v>
      </c>
    </row>
    <row r="507" spans="1:45" hidden="1">
      <c r="A507" s="103">
        <v>45243</v>
      </c>
      <c r="B507" s="117" t="s">
        <v>2514</v>
      </c>
      <c r="C507" s="28" t="s">
        <v>511</v>
      </c>
      <c r="D507" s="28" t="s">
        <v>2515</v>
      </c>
      <c r="F507" s="28" t="s">
        <v>2516</v>
      </c>
      <c r="G507" s="28" t="s">
        <v>958</v>
      </c>
      <c r="H507" s="28" t="s">
        <v>2017</v>
      </c>
      <c r="I507" s="28" t="s">
        <v>516</v>
      </c>
      <c r="J507" s="28" t="s">
        <v>517</v>
      </c>
      <c r="K507" s="28" t="s">
        <v>518</v>
      </c>
      <c r="L507" s="28" t="s">
        <v>2517</v>
      </c>
      <c r="M507" s="28" t="s">
        <v>605</v>
      </c>
      <c r="N507" s="28" t="s">
        <v>619</v>
      </c>
      <c r="O507" s="28" t="s">
        <v>934</v>
      </c>
      <c r="P507" s="28" t="s">
        <v>559</v>
      </c>
      <c r="S507" s="28" t="s">
        <v>1918</v>
      </c>
      <c r="T507" s="28" t="s">
        <v>2518</v>
      </c>
      <c r="U507" s="28" t="s">
        <v>2518</v>
      </c>
      <c r="V507" s="28" t="s">
        <v>517</v>
      </c>
      <c r="W507" s="28" t="s">
        <v>2519</v>
      </c>
      <c r="Z507" s="28" t="s">
        <v>526</v>
      </c>
      <c r="AF507" s="117" t="s">
        <v>1083</v>
      </c>
      <c r="AK507" s="60">
        <v>2</v>
      </c>
      <c r="AL507" s="28">
        <f>1/COUNTIF(Tableau6[LAT],B507)</f>
        <v>1</v>
      </c>
      <c r="AM507" s="60" t="b">
        <f t="shared" si="54"/>
        <v>0</v>
      </c>
      <c r="AN507" s="60" t="b">
        <f t="shared" si="55"/>
        <v>0</v>
      </c>
      <c r="AO507" s="60" t="b">
        <f t="shared" si="56"/>
        <v>0</v>
      </c>
      <c r="AP507" s="60" t="b">
        <f t="shared" si="57"/>
        <v>0</v>
      </c>
      <c r="AQ507" s="60" t="b">
        <f t="shared" si="58"/>
        <v>0</v>
      </c>
      <c r="AR507" s="60" t="str">
        <f t="shared" si="52"/>
        <v>No</v>
      </c>
      <c r="AS507" s="60" t="str">
        <f t="shared" si="53"/>
        <v>No</v>
      </c>
    </row>
    <row r="508" spans="1:45" hidden="1">
      <c r="A508" s="103">
        <v>45243</v>
      </c>
      <c r="B508" s="117" t="s">
        <v>2520</v>
      </c>
      <c r="C508" s="28" t="s">
        <v>511</v>
      </c>
      <c r="D508" s="28" t="s">
        <v>2521</v>
      </c>
      <c r="E508" s="28" t="s">
        <v>2522</v>
      </c>
      <c r="F508" s="28" t="s">
        <v>2523</v>
      </c>
      <c r="G508" s="28" t="s">
        <v>958</v>
      </c>
      <c r="H508" s="28" t="s">
        <v>2524</v>
      </c>
      <c r="I508" s="28" t="s">
        <v>516</v>
      </c>
      <c r="J508" s="28" t="s">
        <v>517</v>
      </c>
      <c r="K508" s="28" t="s">
        <v>518</v>
      </c>
      <c r="L508" s="28" t="s">
        <v>751</v>
      </c>
      <c r="M508" s="28" t="s">
        <v>535</v>
      </c>
      <c r="N508" s="28" t="s">
        <v>557</v>
      </c>
      <c r="O508" s="28" t="s">
        <v>544</v>
      </c>
      <c r="P508" s="28" t="s">
        <v>522</v>
      </c>
      <c r="S508" s="28" t="s">
        <v>1918</v>
      </c>
      <c r="T508" s="28" t="s">
        <v>753</v>
      </c>
      <c r="U508" s="28" t="s">
        <v>753</v>
      </c>
      <c r="V508" s="28" t="s">
        <v>517</v>
      </c>
      <c r="W508" s="28" t="s">
        <v>2525</v>
      </c>
      <c r="X508" s="28" t="s">
        <v>2526</v>
      </c>
      <c r="Z508" s="28" t="s">
        <v>563</v>
      </c>
      <c r="AB508" s="28" t="s">
        <v>527</v>
      </c>
      <c r="AD508" s="28" t="s">
        <v>528</v>
      </c>
      <c r="AF508" s="117" t="s">
        <v>2521</v>
      </c>
      <c r="AG508" s="28" t="s">
        <v>563</v>
      </c>
      <c r="AK508" s="60">
        <v>2</v>
      </c>
      <c r="AL508" s="28">
        <f>1/COUNTIF(Tableau6[LAT],B508)</f>
        <v>0.5</v>
      </c>
      <c r="AM508" s="60" t="b">
        <f t="shared" si="54"/>
        <v>0</v>
      </c>
      <c r="AN508" s="60" t="b">
        <f t="shared" si="55"/>
        <v>0</v>
      </c>
      <c r="AO508" s="60" t="b">
        <f t="shared" si="56"/>
        <v>0</v>
      </c>
      <c r="AP508" s="60" t="b">
        <f t="shared" si="57"/>
        <v>0</v>
      </c>
      <c r="AQ508" s="60" t="b">
        <f t="shared" si="58"/>
        <v>0</v>
      </c>
      <c r="AR508" s="60" t="str">
        <f t="shared" si="52"/>
        <v>No</v>
      </c>
      <c r="AS508" s="60" t="str">
        <f t="shared" si="53"/>
        <v>No</v>
      </c>
    </row>
    <row r="509" spans="1:45" hidden="1">
      <c r="A509" s="103">
        <v>45243</v>
      </c>
      <c r="B509" s="117" t="s">
        <v>2520</v>
      </c>
      <c r="C509" s="28" t="s">
        <v>548</v>
      </c>
      <c r="D509" s="28" t="s">
        <v>2527</v>
      </c>
      <c r="E509" s="28" t="s">
        <v>2528</v>
      </c>
      <c r="F509" s="28" t="s">
        <v>2529</v>
      </c>
      <c r="G509" s="28" t="s">
        <v>724</v>
      </c>
      <c r="H509" s="28" t="s">
        <v>2530</v>
      </c>
      <c r="I509" s="28" t="s">
        <v>516</v>
      </c>
      <c r="J509" s="28" t="s">
        <v>517</v>
      </c>
      <c r="K509" s="28" t="s">
        <v>518</v>
      </c>
      <c r="L509" s="28" t="s">
        <v>751</v>
      </c>
      <c r="M509" s="28" t="s">
        <v>535</v>
      </c>
      <c r="N509" s="28" t="s">
        <v>557</v>
      </c>
      <c r="O509" s="28" t="s">
        <v>544</v>
      </c>
      <c r="P509" s="28" t="s">
        <v>522</v>
      </c>
      <c r="S509" s="28" t="s">
        <v>1918</v>
      </c>
      <c r="T509" s="28" t="s">
        <v>753</v>
      </c>
      <c r="U509" s="28" t="s">
        <v>753</v>
      </c>
      <c r="V509" s="28" t="s">
        <v>517</v>
      </c>
      <c r="W509" s="28" t="s">
        <v>2531</v>
      </c>
      <c r="X509" s="28" t="s">
        <v>670</v>
      </c>
      <c r="Z509" s="28" t="s">
        <v>563</v>
      </c>
      <c r="AB509" s="28" t="s">
        <v>527</v>
      </c>
      <c r="AD509" s="28" t="s">
        <v>528</v>
      </c>
      <c r="AF509" s="117" t="s">
        <v>2527</v>
      </c>
      <c r="AG509" s="28" t="s">
        <v>563</v>
      </c>
      <c r="AK509" s="60">
        <v>2</v>
      </c>
      <c r="AL509" s="28">
        <f>1/COUNTIF(Tableau6[LAT],B509)</f>
        <v>0.5</v>
      </c>
      <c r="AM509" s="60" t="b">
        <f t="shared" si="54"/>
        <v>0</v>
      </c>
      <c r="AN509" s="60" t="b">
        <f t="shared" si="55"/>
        <v>0</v>
      </c>
      <c r="AO509" s="60" t="b">
        <f t="shared" si="56"/>
        <v>0</v>
      </c>
      <c r="AP509" s="60" t="b">
        <f t="shared" si="57"/>
        <v>0</v>
      </c>
      <c r="AQ509" s="60" t="b">
        <f t="shared" si="58"/>
        <v>0</v>
      </c>
      <c r="AR509" s="60" t="str">
        <f t="shared" si="52"/>
        <v>No</v>
      </c>
      <c r="AS509" s="60" t="str">
        <f t="shared" si="53"/>
        <v>No</v>
      </c>
    </row>
    <row r="510" spans="1:45" hidden="1">
      <c r="A510" s="103">
        <v>45243</v>
      </c>
      <c r="B510" s="117" t="s">
        <v>2532</v>
      </c>
      <c r="C510" s="28" t="s">
        <v>511</v>
      </c>
      <c r="D510" s="28" t="s">
        <v>2533</v>
      </c>
      <c r="F510" s="28" t="s">
        <v>2534</v>
      </c>
      <c r="G510" s="28" t="s">
        <v>514</v>
      </c>
      <c r="H510" s="28" t="s">
        <v>1413</v>
      </c>
      <c r="I510" s="28" t="s">
        <v>516</v>
      </c>
      <c r="J510" s="28" t="s">
        <v>517</v>
      </c>
      <c r="K510" s="28" t="s">
        <v>518</v>
      </c>
      <c r="L510" s="28" t="s">
        <v>543</v>
      </c>
      <c r="M510" s="28" t="s">
        <v>535</v>
      </c>
      <c r="N510" s="28" t="s">
        <v>557</v>
      </c>
      <c r="O510" s="28" t="s">
        <v>1523</v>
      </c>
      <c r="P510" s="28" t="s">
        <v>522</v>
      </c>
      <c r="S510" s="28" t="s">
        <v>1918</v>
      </c>
      <c r="T510" s="28" t="s">
        <v>546</v>
      </c>
      <c r="U510" s="28" t="s">
        <v>546</v>
      </c>
      <c r="V510" s="28" t="s">
        <v>517</v>
      </c>
      <c r="W510" s="28" t="s">
        <v>2535</v>
      </c>
      <c r="Z510" s="28" t="s">
        <v>563</v>
      </c>
      <c r="AB510" s="73" t="s">
        <v>609</v>
      </c>
      <c r="AD510" s="28" t="s">
        <v>528</v>
      </c>
      <c r="AF510" s="117" t="s">
        <v>2533</v>
      </c>
      <c r="AG510" s="28" t="s">
        <v>563</v>
      </c>
      <c r="AK510" s="60">
        <v>2</v>
      </c>
      <c r="AL510" s="28">
        <f>1/COUNTIF(Tableau6[LAT],B510)</f>
        <v>1</v>
      </c>
      <c r="AM510" s="60" t="b">
        <f t="shared" si="54"/>
        <v>0</v>
      </c>
      <c r="AN510" s="60" t="b">
        <f t="shared" si="55"/>
        <v>0</v>
      </c>
      <c r="AO510" s="60" t="b">
        <f t="shared" si="56"/>
        <v>0</v>
      </c>
      <c r="AP510" s="60" t="b">
        <f t="shared" si="57"/>
        <v>0</v>
      </c>
      <c r="AQ510" s="60" t="b">
        <f t="shared" si="58"/>
        <v>0</v>
      </c>
      <c r="AR510" s="60" t="str">
        <f t="shared" si="52"/>
        <v>No</v>
      </c>
      <c r="AS510" s="60" t="str">
        <f t="shared" si="53"/>
        <v>No</v>
      </c>
    </row>
    <row r="511" spans="1:45" hidden="1">
      <c r="A511" s="103">
        <v>45243</v>
      </c>
      <c r="B511" s="117" t="s">
        <v>2536</v>
      </c>
      <c r="C511" s="28" t="s">
        <v>511</v>
      </c>
      <c r="D511" s="28" t="s">
        <v>2537</v>
      </c>
      <c r="F511" s="28" t="s">
        <v>2534</v>
      </c>
      <c r="G511" s="28" t="s">
        <v>514</v>
      </c>
      <c r="H511" s="28" t="s">
        <v>1413</v>
      </c>
      <c r="I511" s="28" t="s">
        <v>516</v>
      </c>
      <c r="J511" s="28" t="s">
        <v>517</v>
      </c>
      <c r="K511" s="28" t="s">
        <v>518</v>
      </c>
      <c r="L511" s="28" t="s">
        <v>543</v>
      </c>
      <c r="M511" s="28" t="s">
        <v>535</v>
      </c>
      <c r="N511" s="28" t="s">
        <v>557</v>
      </c>
      <c r="O511" s="28" t="s">
        <v>1523</v>
      </c>
      <c r="P511" s="28" t="s">
        <v>522</v>
      </c>
      <c r="S511" s="28" t="s">
        <v>1918</v>
      </c>
      <c r="T511" s="28" t="s">
        <v>546</v>
      </c>
      <c r="U511" s="28" t="s">
        <v>546</v>
      </c>
      <c r="V511" s="28" t="s">
        <v>517</v>
      </c>
      <c r="W511" s="28" t="s">
        <v>2538</v>
      </c>
      <c r="Z511" s="28" t="s">
        <v>563</v>
      </c>
      <c r="AB511" s="28" t="s">
        <v>527</v>
      </c>
      <c r="AD511" s="28" t="s">
        <v>528</v>
      </c>
      <c r="AF511" s="117" t="s">
        <v>2537</v>
      </c>
      <c r="AG511" s="28" t="s">
        <v>563</v>
      </c>
      <c r="AK511" s="60">
        <v>2</v>
      </c>
      <c r="AL511" s="28">
        <f>1/COUNTIF(Tableau6[LAT],B511)</f>
        <v>1</v>
      </c>
      <c r="AM511" s="60" t="b">
        <f t="shared" si="54"/>
        <v>0</v>
      </c>
      <c r="AN511" s="60" t="b">
        <f t="shared" si="55"/>
        <v>0</v>
      </c>
      <c r="AO511" s="60" t="b">
        <f t="shared" si="56"/>
        <v>0</v>
      </c>
      <c r="AP511" s="60" t="b">
        <f t="shared" si="57"/>
        <v>0</v>
      </c>
      <c r="AQ511" s="60" t="b">
        <f t="shared" si="58"/>
        <v>0</v>
      </c>
      <c r="AR511" s="60" t="str">
        <f t="shared" si="52"/>
        <v>No</v>
      </c>
      <c r="AS511" s="60" t="str">
        <f t="shared" si="53"/>
        <v>No</v>
      </c>
    </row>
    <row r="512" spans="1:45" hidden="1">
      <c r="A512" s="103">
        <v>45243</v>
      </c>
      <c r="B512" s="117" t="s">
        <v>2539</v>
      </c>
      <c r="C512" s="28" t="s">
        <v>511</v>
      </c>
      <c r="D512" s="28" t="s">
        <v>2540</v>
      </c>
      <c r="E512" s="28" t="s">
        <v>2541</v>
      </c>
      <c r="F512" s="28" t="s">
        <v>2542</v>
      </c>
      <c r="G512" s="28" t="s">
        <v>514</v>
      </c>
      <c r="H512" s="28" t="s">
        <v>2543</v>
      </c>
      <c r="I512" s="28" t="s">
        <v>516</v>
      </c>
      <c r="J512" s="28" t="s">
        <v>517</v>
      </c>
      <c r="K512" s="28" t="s">
        <v>518</v>
      </c>
      <c r="L512" s="28" t="s">
        <v>774</v>
      </c>
      <c r="M512" s="28" t="s">
        <v>535</v>
      </c>
      <c r="N512" s="28" t="s">
        <v>1307</v>
      </c>
      <c r="O512" s="28" t="s">
        <v>544</v>
      </c>
      <c r="P512" s="28" t="s">
        <v>522</v>
      </c>
      <c r="S512" s="28" t="s">
        <v>741</v>
      </c>
      <c r="T512" s="28" t="s">
        <v>776</v>
      </c>
      <c r="U512" s="28" t="s">
        <v>776</v>
      </c>
      <c r="V512" s="28" t="s">
        <v>517</v>
      </c>
      <c r="W512" s="28" t="s">
        <v>2544</v>
      </c>
      <c r="X512" s="28" t="s">
        <v>670</v>
      </c>
      <c r="Z512" s="28" t="s">
        <v>563</v>
      </c>
      <c r="AB512" s="73" t="s">
        <v>609</v>
      </c>
      <c r="AD512" s="28" t="s">
        <v>528</v>
      </c>
      <c r="AF512" s="117" t="s">
        <v>2540</v>
      </c>
      <c r="AG512" s="28" t="s">
        <v>563</v>
      </c>
      <c r="AK512" s="60">
        <v>2</v>
      </c>
      <c r="AL512" s="28">
        <f>1/COUNTIF(Tableau6[LAT],B512)</f>
        <v>0.5</v>
      </c>
      <c r="AM512" s="60" t="b">
        <f t="shared" si="54"/>
        <v>0</v>
      </c>
      <c r="AN512" s="60" t="b">
        <f t="shared" si="55"/>
        <v>0</v>
      </c>
      <c r="AO512" s="60" t="b">
        <f t="shared" si="56"/>
        <v>0</v>
      </c>
      <c r="AP512" s="60" t="b">
        <f t="shared" si="57"/>
        <v>0</v>
      </c>
      <c r="AQ512" s="60" t="b">
        <f t="shared" si="58"/>
        <v>0</v>
      </c>
      <c r="AR512" s="60" t="str">
        <f t="shared" si="52"/>
        <v>No</v>
      </c>
      <c r="AS512" s="60" t="str">
        <f t="shared" si="53"/>
        <v>Yes</v>
      </c>
    </row>
    <row r="513" spans="1:45" hidden="1">
      <c r="A513" s="103">
        <v>45243</v>
      </c>
      <c r="B513" s="117" t="s">
        <v>2539</v>
      </c>
      <c r="C513" s="28" t="s">
        <v>548</v>
      </c>
      <c r="D513" s="28" t="s">
        <v>2545</v>
      </c>
      <c r="E513" s="28" t="s">
        <v>2546</v>
      </c>
      <c r="F513" s="28" t="s">
        <v>2542</v>
      </c>
      <c r="G513" s="28" t="s">
        <v>514</v>
      </c>
      <c r="H513" s="28" t="s">
        <v>2543</v>
      </c>
      <c r="I513" s="28" t="s">
        <v>516</v>
      </c>
      <c r="J513" s="28" t="s">
        <v>517</v>
      </c>
      <c r="K513" s="28" t="s">
        <v>518</v>
      </c>
      <c r="L513" s="28" t="s">
        <v>774</v>
      </c>
      <c r="M513" s="28" t="s">
        <v>535</v>
      </c>
      <c r="N513" s="28" t="s">
        <v>1307</v>
      </c>
      <c r="O513" s="28" t="s">
        <v>544</v>
      </c>
      <c r="P513" s="28" t="s">
        <v>522</v>
      </c>
      <c r="S513" s="28" t="s">
        <v>741</v>
      </c>
      <c r="T513" s="28" t="s">
        <v>776</v>
      </c>
      <c r="U513" s="28" t="s">
        <v>776</v>
      </c>
      <c r="V513" s="28" t="s">
        <v>517</v>
      </c>
      <c r="W513" s="28" t="s">
        <v>2547</v>
      </c>
      <c r="X513" s="28" t="s">
        <v>670</v>
      </c>
      <c r="Z513" s="28" t="s">
        <v>563</v>
      </c>
      <c r="AB513" s="73" t="s">
        <v>609</v>
      </c>
      <c r="AD513" s="28" t="s">
        <v>528</v>
      </c>
      <c r="AF513" s="117" t="s">
        <v>2540</v>
      </c>
      <c r="AG513" s="28" t="s">
        <v>563</v>
      </c>
      <c r="AK513" s="60">
        <v>2</v>
      </c>
      <c r="AL513" s="28">
        <f>1/COUNTIF(Tableau6[LAT],B513)</f>
        <v>0.5</v>
      </c>
      <c r="AM513" s="60" t="b">
        <f t="shared" si="54"/>
        <v>0</v>
      </c>
      <c r="AN513" s="60" t="b">
        <f t="shared" si="55"/>
        <v>0</v>
      </c>
      <c r="AO513" s="60" t="b">
        <f t="shared" si="56"/>
        <v>0</v>
      </c>
      <c r="AP513" s="60" t="b">
        <f t="shared" si="57"/>
        <v>0</v>
      </c>
      <c r="AQ513" s="60" t="b">
        <f t="shared" si="58"/>
        <v>0</v>
      </c>
      <c r="AR513" s="60" t="str">
        <f t="shared" si="52"/>
        <v>No</v>
      </c>
      <c r="AS513" s="60" t="str">
        <f t="shared" si="53"/>
        <v>Yes</v>
      </c>
    </row>
    <row r="514" spans="1:45" hidden="1">
      <c r="A514" s="103">
        <v>45243</v>
      </c>
      <c r="B514" s="117" t="s">
        <v>2548</v>
      </c>
      <c r="C514" s="28" t="s">
        <v>511</v>
      </c>
      <c r="D514" s="28" t="s">
        <v>2549</v>
      </c>
      <c r="E514" s="28" t="s">
        <v>926</v>
      </c>
      <c r="F514" s="28" t="s">
        <v>2550</v>
      </c>
      <c r="G514" s="28" t="s">
        <v>514</v>
      </c>
      <c r="H514" s="28" t="s">
        <v>1171</v>
      </c>
      <c r="I514" s="28" t="s">
        <v>516</v>
      </c>
      <c r="J514" s="28" t="s">
        <v>517</v>
      </c>
      <c r="K514" s="28" t="s">
        <v>518</v>
      </c>
      <c r="L514" s="28" t="s">
        <v>809</v>
      </c>
      <c r="M514" s="28" t="s">
        <v>535</v>
      </c>
      <c r="N514" s="28" t="s">
        <v>557</v>
      </c>
      <c r="O514" s="28" t="s">
        <v>544</v>
      </c>
      <c r="S514" s="28" t="s">
        <v>928</v>
      </c>
      <c r="T514" s="28" t="s">
        <v>811</v>
      </c>
      <c r="U514" s="28" t="s">
        <v>811</v>
      </c>
      <c r="V514" s="28" t="s">
        <v>517</v>
      </c>
      <c r="W514" s="28" t="s">
        <v>929</v>
      </c>
      <c r="X514" s="28" t="s">
        <v>670</v>
      </c>
      <c r="Z514" s="28" t="s">
        <v>526</v>
      </c>
      <c r="AD514" s="28" t="s">
        <v>528</v>
      </c>
      <c r="AF514" s="117" t="s">
        <v>2549</v>
      </c>
      <c r="AG514" s="28" t="s">
        <v>529</v>
      </c>
      <c r="AK514" s="60">
        <v>2</v>
      </c>
      <c r="AL514" s="28">
        <f>1/COUNTIF(Tableau6[LAT],B514)</f>
        <v>1</v>
      </c>
      <c r="AM514" s="60" t="b">
        <f t="shared" si="54"/>
        <v>0</v>
      </c>
      <c r="AN514" s="60" t="b">
        <f t="shared" si="55"/>
        <v>0</v>
      </c>
      <c r="AO514" s="60" t="b">
        <f t="shared" si="56"/>
        <v>0</v>
      </c>
      <c r="AP514" s="60" t="b">
        <f t="shared" si="57"/>
        <v>0</v>
      </c>
      <c r="AQ514" s="60" t="b">
        <f t="shared" si="58"/>
        <v>0</v>
      </c>
      <c r="AR514" s="60" t="str">
        <f t="shared" si="52"/>
        <v>No</v>
      </c>
      <c r="AS514" s="60" t="str">
        <f t="shared" si="53"/>
        <v>No</v>
      </c>
    </row>
    <row r="515" spans="1:45" hidden="1">
      <c r="A515" s="103">
        <v>45243</v>
      </c>
      <c r="B515" s="117" t="s">
        <v>2551</v>
      </c>
      <c r="C515" s="28" t="s">
        <v>511</v>
      </c>
      <c r="D515" s="28" t="s">
        <v>2552</v>
      </c>
      <c r="F515" s="28" t="s">
        <v>1316</v>
      </c>
      <c r="G515" s="28" t="s">
        <v>514</v>
      </c>
      <c r="H515" s="28" t="s">
        <v>1849</v>
      </c>
      <c r="I515" s="28" t="s">
        <v>516</v>
      </c>
      <c r="J515" s="28" t="s">
        <v>517</v>
      </c>
      <c r="K515" s="28" t="s">
        <v>518</v>
      </c>
      <c r="L515" s="28" t="s">
        <v>697</v>
      </c>
      <c r="M515" s="28" t="s">
        <v>535</v>
      </c>
      <c r="N515" s="28" t="s">
        <v>557</v>
      </c>
      <c r="O515" s="28" t="s">
        <v>522</v>
      </c>
      <c r="S515" s="28" t="s">
        <v>928</v>
      </c>
      <c r="T515" s="28" t="s">
        <v>699</v>
      </c>
      <c r="U515" s="28" t="s">
        <v>699</v>
      </c>
      <c r="V515" s="28" t="s">
        <v>517</v>
      </c>
      <c r="W515" s="28" t="s">
        <v>2553</v>
      </c>
      <c r="Z515" s="28" t="s">
        <v>563</v>
      </c>
      <c r="AB515" s="28" t="s">
        <v>527</v>
      </c>
      <c r="AD515" s="28" t="s">
        <v>528</v>
      </c>
      <c r="AF515" s="117" t="s">
        <v>2552</v>
      </c>
      <c r="AG515" s="28" t="s">
        <v>563</v>
      </c>
      <c r="AK515" s="60">
        <v>2</v>
      </c>
      <c r="AL515" s="28">
        <f>1/COUNTIF(Tableau6[LAT],B515)</f>
        <v>1</v>
      </c>
      <c r="AM515" s="60" t="b">
        <f t="shared" si="54"/>
        <v>0</v>
      </c>
      <c r="AN515" s="60" t="b">
        <f t="shared" si="55"/>
        <v>0</v>
      </c>
      <c r="AO515" s="60" t="b">
        <f t="shared" si="56"/>
        <v>0</v>
      </c>
      <c r="AP515" s="60" t="b">
        <f t="shared" si="57"/>
        <v>0</v>
      </c>
      <c r="AQ515" s="60" t="b">
        <f t="shared" si="58"/>
        <v>0</v>
      </c>
      <c r="AR515" s="60" t="str">
        <f t="shared" si="52"/>
        <v>No</v>
      </c>
      <c r="AS515" s="60" t="str">
        <f t="shared" si="53"/>
        <v>No</v>
      </c>
    </row>
    <row r="516" spans="1:45" hidden="1">
      <c r="A516" s="103">
        <v>45243</v>
      </c>
      <c r="B516" s="117" t="s">
        <v>2554</v>
      </c>
      <c r="C516" s="28" t="s">
        <v>511</v>
      </c>
      <c r="D516" s="28" t="s">
        <v>2555</v>
      </c>
      <c r="F516" s="28" t="s">
        <v>2556</v>
      </c>
      <c r="G516" s="28" t="s">
        <v>724</v>
      </c>
      <c r="H516" s="28" t="s">
        <v>2557</v>
      </c>
      <c r="I516" s="28" t="s">
        <v>516</v>
      </c>
      <c r="J516" s="28" t="s">
        <v>517</v>
      </c>
      <c r="K516" s="28" t="s">
        <v>518</v>
      </c>
      <c r="L516" s="28" t="s">
        <v>1032</v>
      </c>
      <c r="M516" s="28" t="s">
        <v>535</v>
      </c>
      <c r="S516" s="28" t="s">
        <v>2558</v>
      </c>
      <c r="T516" s="28" t="s">
        <v>545</v>
      </c>
      <c r="U516" s="28" t="s">
        <v>545</v>
      </c>
      <c r="V516" s="28" t="s">
        <v>517</v>
      </c>
      <c r="W516" s="28" t="s">
        <v>2559</v>
      </c>
      <c r="Z516" s="28" t="s">
        <v>563</v>
      </c>
      <c r="AB516" s="28" t="s">
        <v>527</v>
      </c>
      <c r="AF516" s="117" t="s">
        <v>1083</v>
      </c>
      <c r="AK516" s="60">
        <v>2</v>
      </c>
      <c r="AL516" s="28">
        <f>1/COUNTIF(Tableau6[LAT],B516)</f>
        <v>1</v>
      </c>
      <c r="AM516" s="60" t="b">
        <f t="shared" si="54"/>
        <v>0</v>
      </c>
      <c r="AN516" s="60" t="b">
        <f t="shared" si="55"/>
        <v>0</v>
      </c>
      <c r="AO516" s="60" t="b">
        <f t="shared" si="56"/>
        <v>0</v>
      </c>
      <c r="AP516" s="60" t="b">
        <f t="shared" si="57"/>
        <v>0</v>
      </c>
      <c r="AQ516" s="60" t="b">
        <f t="shared" si="58"/>
        <v>0</v>
      </c>
      <c r="AR516" s="60" t="str">
        <f t="shared" ref="AR516:AR579" si="59">IF(AM516="Yes","Yes",IF(AN516="Yes","Yes",IF(AO516="yes","Yes",IF(AP516="Yes","Yes","No"))))</f>
        <v>No</v>
      </c>
      <c r="AS516" s="60" t="str">
        <f t="shared" ref="AS516:AS579" si="60">IF(S516="QFA","Yes",IF(S516="LCJ","Yes",IF(S516="CAJ","Yes",IF(S516="WRO","Yes",IF(S516="BEY","Yes",IF(S516="TUN","Yes",IF(S516="LFW","Yes",IF(S516="DLA","Yes",IF(S516="NSI","Yes",IF(S516="OUA","Yes",IF(S516="IAH","Yes",IF(S516="LYS","Yes",IF(S516="DSS","Yes",IF(S516="BKO","Yes",IF(S516="BZV","Yes",IF(S516="COO","Yes",IF(S516="EZE","Yes",IF(S516="CKY","Yes",IF(S516="PTP","Yes",IF(S516="ORD","Yes",IF(S516="CFE","Yes",IF(S516="NKC","Yes",IF(S516="FDF","Yes",IF(S516="SDQ","Yes",IF(S516="PNR","Yes",IF(S516="ICAY","Yes",IF(S516="DTW","Yes",IF(S516="TNR","Yes",IF(S516="RUN","Yes",IF(S516="NIM","Yes","No"))))))))))))))))))))))))))))))</f>
        <v>No</v>
      </c>
    </row>
    <row r="517" spans="1:45" hidden="1">
      <c r="A517" s="103">
        <v>45243</v>
      </c>
      <c r="B517" s="117" t="s">
        <v>2560</v>
      </c>
      <c r="C517" s="28" t="s">
        <v>511</v>
      </c>
      <c r="D517" s="28" t="s">
        <v>2561</v>
      </c>
      <c r="E517" s="28" t="s">
        <v>2562</v>
      </c>
      <c r="F517" s="28" t="s">
        <v>2563</v>
      </c>
      <c r="G517" s="28" t="s">
        <v>514</v>
      </c>
      <c r="H517" s="28" t="s">
        <v>2564</v>
      </c>
      <c r="I517" s="28" t="s">
        <v>517</v>
      </c>
      <c r="J517" s="28" t="s">
        <v>517</v>
      </c>
      <c r="K517" s="28" t="s">
        <v>518</v>
      </c>
      <c r="L517" s="28" t="s">
        <v>2234</v>
      </c>
      <c r="M517" s="28" t="s">
        <v>535</v>
      </c>
      <c r="N517" s="28" t="s">
        <v>557</v>
      </c>
      <c r="O517" s="28" t="s">
        <v>544</v>
      </c>
      <c r="P517" s="28" t="s">
        <v>650</v>
      </c>
      <c r="Q517" s="28" t="s">
        <v>559</v>
      </c>
      <c r="R517" s="28" t="s">
        <v>627</v>
      </c>
      <c r="S517" s="28" t="s">
        <v>573</v>
      </c>
      <c r="T517" s="28" t="s">
        <v>607</v>
      </c>
      <c r="U517" s="28" t="s">
        <v>607</v>
      </c>
      <c r="V517" s="28" t="s">
        <v>517</v>
      </c>
      <c r="W517" s="28" t="s">
        <v>2565</v>
      </c>
      <c r="X517" s="28" t="s">
        <v>1071</v>
      </c>
      <c r="Z517" s="28" t="s">
        <v>526</v>
      </c>
      <c r="AB517" s="73" t="s">
        <v>609</v>
      </c>
      <c r="AC517" s="73" t="s">
        <v>35</v>
      </c>
      <c r="AF517" s="117" t="s">
        <v>1083</v>
      </c>
      <c r="AK517" s="60">
        <v>2</v>
      </c>
      <c r="AL517" s="28">
        <f>1/COUNTIF(Tableau6[LAT],B517)</f>
        <v>0.2</v>
      </c>
      <c r="AM517" s="60" t="b">
        <f t="shared" si="54"/>
        <v>0</v>
      </c>
      <c r="AN517" s="60" t="b">
        <f t="shared" si="55"/>
        <v>0</v>
      </c>
      <c r="AO517" s="60" t="b">
        <f t="shared" si="56"/>
        <v>0</v>
      </c>
      <c r="AP517" s="60" t="b">
        <f t="shared" si="57"/>
        <v>0</v>
      </c>
      <c r="AQ517" s="60" t="b">
        <f t="shared" si="58"/>
        <v>0</v>
      </c>
      <c r="AR517" s="60" t="str">
        <f t="shared" si="59"/>
        <v>No</v>
      </c>
      <c r="AS517" s="60" t="str">
        <f t="shared" si="60"/>
        <v>No</v>
      </c>
    </row>
    <row r="518" spans="1:45" hidden="1">
      <c r="A518" s="103">
        <v>45243</v>
      </c>
      <c r="B518" s="117" t="s">
        <v>2560</v>
      </c>
      <c r="C518" s="28" t="s">
        <v>548</v>
      </c>
      <c r="D518" s="28" t="s">
        <v>2566</v>
      </c>
      <c r="E518" s="28" t="s">
        <v>2562</v>
      </c>
      <c r="F518" s="28" t="s">
        <v>2563</v>
      </c>
      <c r="G518" s="28" t="s">
        <v>514</v>
      </c>
      <c r="H518" s="28" t="s">
        <v>2564</v>
      </c>
      <c r="I518" s="28" t="s">
        <v>517</v>
      </c>
      <c r="J518" s="28" t="s">
        <v>517</v>
      </c>
      <c r="K518" s="28" t="s">
        <v>518</v>
      </c>
      <c r="L518" s="28" t="s">
        <v>2234</v>
      </c>
      <c r="M518" s="28" t="s">
        <v>535</v>
      </c>
      <c r="N518" s="28" t="s">
        <v>557</v>
      </c>
      <c r="O518" s="28" t="s">
        <v>544</v>
      </c>
      <c r="P518" s="28" t="s">
        <v>650</v>
      </c>
      <c r="Q518" s="28" t="s">
        <v>559</v>
      </c>
      <c r="R518" s="28" t="s">
        <v>627</v>
      </c>
      <c r="S518" s="28" t="s">
        <v>573</v>
      </c>
      <c r="T518" s="28" t="s">
        <v>607</v>
      </c>
      <c r="U518" s="28" t="s">
        <v>607</v>
      </c>
      <c r="V518" s="28" t="s">
        <v>517</v>
      </c>
      <c r="W518" s="28" t="s">
        <v>2565</v>
      </c>
      <c r="X518" s="28" t="s">
        <v>1071</v>
      </c>
      <c r="Z518" s="28" t="s">
        <v>526</v>
      </c>
      <c r="AB518" s="73" t="s">
        <v>609</v>
      </c>
      <c r="AC518" s="73" t="s">
        <v>35</v>
      </c>
      <c r="AF518" s="117" t="s">
        <v>1083</v>
      </c>
      <c r="AK518" s="60">
        <v>2</v>
      </c>
      <c r="AL518" s="28">
        <f>1/COUNTIF(Tableau6[LAT],B518)</f>
        <v>0.2</v>
      </c>
      <c r="AM518" s="60" t="b">
        <f t="shared" si="54"/>
        <v>0</v>
      </c>
      <c r="AN518" s="60" t="b">
        <f t="shared" si="55"/>
        <v>0</v>
      </c>
      <c r="AO518" s="60" t="b">
        <f t="shared" si="56"/>
        <v>0</v>
      </c>
      <c r="AP518" s="60" t="b">
        <f t="shared" si="57"/>
        <v>0</v>
      </c>
      <c r="AQ518" s="60" t="b">
        <f t="shared" si="58"/>
        <v>0</v>
      </c>
      <c r="AR518" s="60" t="str">
        <f t="shared" si="59"/>
        <v>No</v>
      </c>
      <c r="AS518" s="60" t="str">
        <f t="shared" si="60"/>
        <v>No</v>
      </c>
    </row>
    <row r="519" spans="1:45" hidden="1">
      <c r="A519" s="103">
        <v>45243</v>
      </c>
      <c r="B519" s="117" t="s">
        <v>2560</v>
      </c>
      <c r="C519" s="28" t="s">
        <v>612</v>
      </c>
      <c r="D519" s="28" t="s">
        <v>2567</v>
      </c>
      <c r="E519" s="28" t="s">
        <v>2562</v>
      </c>
      <c r="F519" s="28" t="s">
        <v>2563</v>
      </c>
      <c r="G519" s="28" t="s">
        <v>514</v>
      </c>
      <c r="H519" s="28" t="s">
        <v>2564</v>
      </c>
      <c r="I519" s="28" t="s">
        <v>517</v>
      </c>
      <c r="J519" s="28" t="s">
        <v>517</v>
      </c>
      <c r="K519" s="28" t="s">
        <v>518</v>
      </c>
      <c r="L519" s="28" t="s">
        <v>2234</v>
      </c>
      <c r="M519" s="28" t="s">
        <v>535</v>
      </c>
      <c r="N519" s="28" t="s">
        <v>557</v>
      </c>
      <c r="O519" s="28" t="s">
        <v>544</v>
      </c>
      <c r="P519" s="28" t="s">
        <v>650</v>
      </c>
      <c r="Q519" s="28" t="s">
        <v>559</v>
      </c>
      <c r="R519" s="28" t="s">
        <v>627</v>
      </c>
      <c r="S519" s="28" t="s">
        <v>573</v>
      </c>
      <c r="T519" s="28" t="s">
        <v>607</v>
      </c>
      <c r="U519" s="28" t="s">
        <v>607</v>
      </c>
      <c r="V519" s="28" t="s">
        <v>517</v>
      </c>
      <c r="W519" s="28" t="s">
        <v>2565</v>
      </c>
      <c r="X519" s="28" t="s">
        <v>1071</v>
      </c>
      <c r="Z519" s="28" t="s">
        <v>526</v>
      </c>
      <c r="AB519" s="73" t="s">
        <v>609</v>
      </c>
      <c r="AC519" s="73" t="s">
        <v>35</v>
      </c>
      <c r="AF519" s="117" t="s">
        <v>1083</v>
      </c>
      <c r="AK519" s="60">
        <v>2</v>
      </c>
      <c r="AL519" s="28">
        <f>1/COUNTIF(Tableau6[LAT],B519)</f>
        <v>0.2</v>
      </c>
      <c r="AM519" s="60" t="b">
        <f t="shared" si="54"/>
        <v>0</v>
      </c>
      <c r="AN519" s="60" t="b">
        <f t="shared" si="55"/>
        <v>0</v>
      </c>
      <c r="AO519" s="60" t="b">
        <f t="shared" si="56"/>
        <v>0</v>
      </c>
      <c r="AP519" s="60" t="b">
        <f t="shared" si="57"/>
        <v>0</v>
      </c>
      <c r="AQ519" s="60" t="b">
        <f t="shared" si="58"/>
        <v>0</v>
      </c>
      <c r="AR519" s="60" t="str">
        <f t="shared" si="59"/>
        <v>No</v>
      </c>
      <c r="AS519" s="60" t="str">
        <f t="shared" si="60"/>
        <v>No</v>
      </c>
    </row>
    <row r="520" spans="1:45" hidden="1">
      <c r="A520" s="103">
        <v>45243</v>
      </c>
      <c r="B520" s="117" t="s">
        <v>2560</v>
      </c>
      <c r="C520" s="28" t="s">
        <v>691</v>
      </c>
      <c r="D520" s="28" t="s">
        <v>2568</v>
      </c>
      <c r="E520" s="28" t="s">
        <v>2562</v>
      </c>
      <c r="F520" s="28" t="s">
        <v>2563</v>
      </c>
      <c r="G520" s="28" t="s">
        <v>514</v>
      </c>
      <c r="H520" s="28" t="s">
        <v>2564</v>
      </c>
      <c r="I520" s="28" t="s">
        <v>517</v>
      </c>
      <c r="J520" s="28" t="s">
        <v>517</v>
      </c>
      <c r="K520" s="28" t="s">
        <v>518</v>
      </c>
      <c r="L520" s="28" t="s">
        <v>2234</v>
      </c>
      <c r="M520" s="28" t="s">
        <v>535</v>
      </c>
      <c r="N520" s="28" t="s">
        <v>557</v>
      </c>
      <c r="O520" s="28" t="s">
        <v>544</v>
      </c>
      <c r="P520" s="28" t="s">
        <v>650</v>
      </c>
      <c r="Q520" s="28" t="s">
        <v>559</v>
      </c>
      <c r="R520" s="28" t="s">
        <v>627</v>
      </c>
      <c r="S520" s="28" t="s">
        <v>573</v>
      </c>
      <c r="T520" s="28" t="s">
        <v>607</v>
      </c>
      <c r="U520" s="28" t="s">
        <v>607</v>
      </c>
      <c r="V520" s="28" t="s">
        <v>517</v>
      </c>
      <c r="W520" s="28" t="s">
        <v>2565</v>
      </c>
      <c r="X520" s="28" t="s">
        <v>1071</v>
      </c>
      <c r="Z520" s="28" t="s">
        <v>526</v>
      </c>
      <c r="AB520" s="73" t="s">
        <v>609</v>
      </c>
      <c r="AC520" s="73" t="s">
        <v>35</v>
      </c>
      <c r="AF520" s="117" t="s">
        <v>1083</v>
      </c>
      <c r="AK520" s="60">
        <v>2</v>
      </c>
      <c r="AL520" s="28">
        <f>1/COUNTIF(Tableau6[LAT],B520)</f>
        <v>0.2</v>
      </c>
      <c r="AM520" s="60" t="b">
        <f t="shared" si="54"/>
        <v>0</v>
      </c>
      <c r="AN520" s="60" t="b">
        <f t="shared" si="55"/>
        <v>0</v>
      </c>
      <c r="AO520" s="60" t="b">
        <f t="shared" si="56"/>
        <v>0</v>
      </c>
      <c r="AP520" s="60" t="b">
        <f t="shared" si="57"/>
        <v>0</v>
      </c>
      <c r="AQ520" s="60" t="b">
        <f t="shared" si="58"/>
        <v>0</v>
      </c>
      <c r="AR520" s="60" t="str">
        <f t="shared" si="59"/>
        <v>No</v>
      </c>
      <c r="AS520" s="60" t="str">
        <f t="shared" si="60"/>
        <v>No</v>
      </c>
    </row>
    <row r="521" spans="1:45" hidden="1">
      <c r="A521" s="103">
        <v>45243</v>
      </c>
      <c r="B521" s="117" t="s">
        <v>2560</v>
      </c>
      <c r="C521" s="28" t="s">
        <v>859</v>
      </c>
      <c r="D521" s="28" t="s">
        <v>2569</v>
      </c>
      <c r="E521" s="28" t="s">
        <v>2562</v>
      </c>
      <c r="F521" s="28" t="s">
        <v>2563</v>
      </c>
      <c r="G521" s="28" t="s">
        <v>514</v>
      </c>
      <c r="H521" s="28" t="s">
        <v>2564</v>
      </c>
      <c r="I521" s="28" t="s">
        <v>517</v>
      </c>
      <c r="J521" s="28" t="s">
        <v>517</v>
      </c>
      <c r="K521" s="28" t="s">
        <v>518</v>
      </c>
      <c r="L521" s="28" t="s">
        <v>2234</v>
      </c>
      <c r="M521" s="28" t="s">
        <v>535</v>
      </c>
      <c r="N521" s="28" t="s">
        <v>557</v>
      </c>
      <c r="O521" s="28" t="s">
        <v>544</v>
      </c>
      <c r="P521" s="28" t="s">
        <v>650</v>
      </c>
      <c r="Q521" s="28" t="s">
        <v>559</v>
      </c>
      <c r="R521" s="28" t="s">
        <v>627</v>
      </c>
      <c r="S521" s="28" t="s">
        <v>573</v>
      </c>
      <c r="T521" s="28" t="s">
        <v>607</v>
      </c>
      <c r="U521" s="28" t="s">
        <v>607</v>
      </c>
      <c r="V521" s="28" t="s">
        <v>517</v>
      </c>
      <c r="W521" s="28" t="s">
        <v>2565</v>
      </c>
      <c r="X521" s="28" t="s">
        <v>1071</v>
      </c>
      <c r="Z521" s="28" t="s">
        <v>526</v>
      </c>
      <c r="AB521" s="73" t="s">
        <v>609</v>
      </c>
      <c r="AC521" s="73" t="s">
        <v>35</v>
      </c>
      <c r="AF521" s="117" t="s">
        <v>1083</v>
      </c>
      <c r="AK521" s="60">
        <v>2</v>
      </c>
      <c r="AL521" s="28">
        <f>1/COUNTIF(Tableau6[LAT],B521)</f>
        <v>0.2</v>
      </c>
      <c r="AM521" s="60" t="b">
        <f t="shared" si="54"/>
        <v>0</v>
      </c>
      <c r="AN521" s="60" t="b">
        <f t="shared" si="55"/>
        <v>0</v>
      </c>
      <c r="AO521" s="60" t="b">
        <f t="shared" si="56"/>
        <v>0</v>
      </c>
      <c r="AP521" s="60" t="b">
        <f t="shared" si="57"/>
        <v>0</v>
      </c>
      <c r="AQ521" s="60" t="b">
        <f t="shared" si="58"/>
        <v>0</v>
      </c>
      <c r="AR521" s="60" t="str">
        <f t="shared" si="59"/>
        <v>No</v>
      </c>
      <c r="AS521" s="60" t="str">
        <f t="shared" si="60"/>
        <v>No</v>
      </c>
    </row>
    <row r="522" spans="1:45" hidden="1">
      <c r="A522" s="103">
        <v>45243</v>
      </c>
      <c r="B522" s="117" t="s">
        <v>2570</v>
      </c>
      <c r="C522" s="28" t="s">
        <v>511</v>
      </c>
      <c r="D522" s="28" t="s">
        <v>2571</v>
      </c>
      <c r="F522" s="28" t="s">
        <v>2572</v>
      </c>
      <c r="G522" s="28" t="s">
        <v>514</v>
      </c>
      <c r="H522" s="28" t="s">
        <v>952</v>
      </c>
      <c r="I522" s="28" t="s">
        <v>517</v>
      </c>
      <c r="J522" s="28" t="s">
        <v>517</v>
      </c>
      <c r="K522" s="28" t="s">
        <v>518</v>
      </c>
      <c r="L522" s="28" t="s">
        <v>675</v>
      </c>
      <c r="M522" s="28" t="s">
        <v>605</v>
      </c>
      <c r="N522" s="28" t="s">
        <v>521</v>
      </c>
      <c r="O522" s="28" t="s">
        <v>544</v>
      </c>
      <c r="P522" s="28" t="s">
        <v>650</v>
      </c>
      <c r="Q522" s="28" t="s">
        <v>559</v>
      </c>
      <c r="R522" s="28" t="s">
        <v>627</v>
      </c>
      <c r="S522" s="28" t="s">
        <v>573</v>
      </c>
      <c r="T522" s="28" t="s">
        <v>676</v>
      </c>
      <c r="U522" s="28" t="s">
        <v>676</v>
      </c>
      <c r="V522" s="28" t="s">
        <v>517</v>
      </c>
      <c r="W522" s="28" t="s">
        <v>2573</v>
      </c>
      <c r="Z522" s="28" t="s">
        <v>526</v>
      </c>
      <c r="AF522" s="117" t="s">
        <v>1083</v>
      </c>
      <c r="AK522" s="60">
        <v>2</v>
      </c>
      <c r="AL522" s="28">
        <f>1/COUNTIF(Tableau6[LAT],B522)</f>
        <v>0.5</v>
      </c>
      <c r="AM522" s="60" t="b">
        <f t="shared" si="54"/>
        <v>0</v>
      </c>
      <c r="AN522" s="60" t="b">
        <f t="shared" si="55"/>
        <v>0</v>
      </c>
      <c r="AO522" s="60" t="b">
        <f t="shared" si="56"/>
        <v>0</v>
      </c>
      <c r="AP522" s="60" t="b">
        <f t="shared" si="57"/>
        <v>0</v>
      </c>
      <c r="AQ522" s="60" t="b">
        <f t="shared" si="58"/>
        <v>0</v>
      </c>
      <c r="AR522" s="60" t="str">
        <f t="shared" si="59"/>
        <v>No</v>
      </c>
      <c r="AS522" s="60" t="str">
        <f t="shared" si="60"/>
        <v>No</v>
      </c>
    </row>
    <row r="523" spans="1:45" hidden="1">
      <c r="A523" s="103">
        <v>45243</v>
      </c>
      <c r="B523" s="117" t="s">
        <v>2570</v>
      </c>
      <c r="C523" s="28" t="s">
        <v>548</v>
      </c>
      <c r="D523" s="28" t="s">
        <v>2574</v>
      </c>
      <c r="F523" s="28" t="s">
        <v>2572</v>
      </c>
      <c r="G523" s="28" t="s">
        <v>514</v>
      </c>
      <c r="H523" s="28" t="s">
        <v>952</v>
      </c>
      <c r="I523" s="28" t="s">
        <v>517</v>
      </c>
      <c r="J523" s="28" t="s">
        <v>517</v>
      </c>
      <c r="K523" s="28" t="s">
        <v>518</v>
      </c>
      <c r="L523" s="28" t="s">
        <v>675</v>
      </c>
      <c r="M523" s="28" t="s">
        <v>605</v>
      </c>
      <c r="N523" s="28" t="s">
        <v>521</v>
      </c>
      <c r="O523" s="28" t="s">
        <v>544</v>
      </c>
      <c r="P523" s="28" t="s">
        <v>650</v>
      </c>
      <c r="Q523" s="28" t="s">
        <v>559</v>
      </c>
      <c r="R523" s="28" t="s">
        <v>627</v>
      </c>
      <c r="S523" s="28" t="s">
        <v>573</v>
      </c>
      <c r="T523" s="28" t="s">
        <v>676</v>
      </c>
      <c r="U523" s="28" t="s">
        <v>676</v>
      </c>
      <c r="V523" s="28" t="s">
        <v>517</v>
      </c>
      <c r="W523" s="28" t="s">
        <v>2575</v>
      </c>
      <c r="Z523" s="28" t="s">
        <v>526</v>
      </c>
      <c r="AB523" s="73" t="s">
        <v>609</v>
      </c>
      <c r="AC523" s="73" t="s">
        <v>35</v>
      </c>
      <c r="AF523" s="117" t="s">
        <v>1083</v>
      </c>
      <c r="AK523" s="60">
        <v>2</v>
      </c>
      <c r="AL523" s="28">
        <f>1/COUNTIF(Tableau6[LAT],B523)</f>
        <v>0.5</v>
      </c>
      <c r="AM523" s="60" t="b">
        <f t="shared" si="54"/>
        <v>0</v>
      </c>
      <c r="AN523" s="60" t="b">
        <f t="shared" si="55"/>
        <v>0</v>
      </c>
      <c r="AO523" s="60" t="b">
        <f t="shared" si="56"/>
        <v>0</v>
      </c>
      <c r="AP523" s="60" t="b">
        <f t="shared" si="57"/>
        <v>0</v>
      </c>
      <c r="AQ523" s="60" t="b">
        <f t="shared" si="58"/>
        <v>0</v>
      </c>
      <c r="AR523" s="60" t="str">
        <f t="shared" si="59"/>
        <v>No</v>
      </c>
      <c r="AS523" s="60" t="str">
        <f t="shared" si="60"/>
        <v>No</v>
      </c>
    </row>
    <row r="524" spans="1:45" hidden="1">
      <c r="A524" s="103">
        <v>45243</v>
      </c>
      <c r="B524" s="117" t="s">
        <v>644</v>
      </c>
      <c r="C524" s="28" t="s">
        <v>511</v>
      </c>
      <c r="D524" s="28" t="s">
        <v>645</v>
      </c>
      <c r="E524" s="28" t="s">
        <v>646</v>
      </c>
      <c r="F524" s="28" t="s">
        <v>647</v>
      </c>
      <c r="G524" s="28" t="s">
        <v>648</v>
      </c>
      <c r="H524" s="28" t="s">
        <v>555</v>
      </c>
      <c r="I524" s="28" t="s">
        <v>517</v>
      </c>
      <c r="J524" s="28" t="s">
        <v>517</v>
      </c>
      <c r="K524" s="28" t="s">
        <v>518</v>
      </c>
      <c r="L524" s="28" t="s">
        <v>649</v>
      </c>
      <c r="M524" s="28" t="s">
        <v>535</v>
      </c>
      <c r="N524" s="28" t="s">
        <v>544</v>
      </c>
      <c r="O524" s="28" t="s">
        <v>650</v>
      </c>
      <c r="P524" s="28" t="s">
        <v>427</v>
      </c>
      <c r="Q524" s="28" t="s">
        <v>559</v>
      </c>
      <c r="S524" s="28" t="s">
        <v>573</v>
      </c>
      <c r="T524" s="28" t="s">
        <v>651</v>
      </c>
      <c r="U524" s="28" t="s">
        <v>651</v>
      </c>
      <c r="V524" s="28" t="s">
        <v>517</v>
      </c>
      <c r="W524" s="28" t="s">
        <v>652</v>
      </c>
      <c r="X524" s="28" t="s">
        <v>670</v>
      </c>
      <c r="Z524" s="28" t="s">
        <v>526</v>
      </c>
      <c r="AF524" s="117" t="s">
        <v>653</v>
      </c>
      <c r="AK524" s="60">
        <v>2</v>
      </c>
      <c r="AL524" s="28">
        <f>1/COUNTIF(Tableau6[LAT],B524)</f>
        <v>0.5</v>
      </c>
      <c r="AM524" s="60" t="b">
        <f t="shared" si="54"/>
        <v>0</v>
      </c>
      <c r="AN524" s="60" t="b">
        <f t="shared" si="55"/>
        <v>0</v>
      </c>
      <c r="AO524" s="60" t="b">
        <f t="shared" si="56"/>
        <v>0</v>
      </c>
      <c r="AP524" s="60" t="b">
        <f t="shared" si="57"/>
        <v>0</v>
      </c>
      <c r="AQ524" s="60" t="b">
        <f t="shared" si="58"/>
        <v>0</v>
      </c>
      <c r="AR524" s="60" t="str">
        <f t="shared" si="59"/>
        <v>No</v>
      </c>
      <c r="AS524" s="60" t="str">
        <f t="shared" si="60"/>
        <v>No</v>
      </c>
    </row>
    <row r="525" spans="1:45" hidden="1">
      <c r="A525" s="103">
        <v>45243</v>
      </c>
      <c r="B525" s="117" t="s">
        <v>2576</v>
      </c>
      <c r="C525" s="28" t="s">
        <v>511</v>
      </c>
      <c r="D525" s="28" t="s">
        <v>2577</v>
      </c>
      <c r="F525" s="28" t="s">
        <v>2578</v>
      </c>
      <c r="G525" s="28" t="s">
        <v>2579</v>
      </c>
      <c r="H525" s="28" t="s">
        <v>2580</v>
      </c>
      <c r="I525" s="28" t="s">
        <v>517</v>
      </c>
      <c r="J525" s="28" t="s">
        <v>517</v>
      </c>
      <c r="K525" s="28" t="s">
        <v>518</v>
      </c>
      <c r="L525" s="28" t="s">
        <v>1491</v>
      </c>
      <c r="M525" s="28" t="s">
        <v>520</v>
      </c>
      <c r="N525" s="28" t="s">
        <v>557</v>
      </c>
      <c r="O525" s="28" t="s">
        <v>544</v>
      </c>
      <c r="P525" s="28" t="s">
        <v>626</v>
      </c>
      <c r="Q525" s="28" t="s">
        <v>559</v>
      </c>
      <c r="R525" s="28" t="s">
        <v>627</v>
      </c>
      <c r="S525" s="28" t="s">
        <v>573</v>
      </c>
      <c r="T525" s="28" t="s">
        <v>1494</v>
      </c>
      <c r="U525" s="28" t="s">
        <v>1494</v>
      </c>
      <c r="V525" s="28" t="s">
        <v>517</v>
      </c>
      <c r="W525" s="28" t="s">
        <v>2581</v>
      </c>
      <c r="Z525" s="28" t="s">
        <v>526</v>
      </c>
      <c r="AB525" s="73" t="s">
        <v>609</v>
      </c>
      <c r="AC525" s="73" t="s">
        <v>35</v>
      </c>
      <c r="AF525" s="117" t="s">
        <v>1083</v>
      </c>
      <c r="AK525" s="60">
        <v>2</v>
      </c>
      <c r="AL525" s="28">
        <f>1/COUNTIF(Tableau6[LAT],B525)</f>
        <v>0.25</v>
      </c>
      <c r="AM525" s="60" t="b">
        <f t="shared" si="54"/>
        <v>0</v>
      </c>
      <c r="AN525" s="60" t="b">
        <f t="shared" si="55"/>
        <v>0</v>
      </c>
      <c r="AO525" s="60" t="b">
        <f t="shared" si="56"/>
        <v>0</v>
      </c>
      <c r="AP525" s="60" t="b">
        <f t="shared" si="57"/>
        <v>0</v>
      </c>
      <c r="AQ525" s="60" t="b">
        <f t="shared" si="58"/>
        <v>0</v>
      </c>
      <c r="AR525" s="60" t="str">
        <f t="shared" si="59"/>
        <v>No</v>
      </c>
      <c r="AS525" s="60" t="str">
        <f t="shared" si="60"/>
        <v>No</v>
      </c>
    </row>
    <row r="526" spans="1:45" hidden="1">
      <c r="A526" s="103">
        <v>45243</v>
      </c>
      <c r="B526" s="117" t="s">
        <v>2576</v>
      </c>
      <c r="C526" s="28" t="s">
        <v>995</v>
      </c>
      <c r="D526" s="28" t="s">
        <v>2582</v>
      </c>
      <c r="F526" s="28" t="s">
        <v>2583</v>
      </c>
      <c r="G526" s="28" t="s">
        <v>2579</v>
      </c>
      <c r="H526" s="28" t="s">
        <v>2584</v>
      </c>
      <c r="I526" s="28" t="s">
        <v>517</v>
      </c>
      <c r="J526" s="28" t="s">
        <v>517</v>
      </c>
      <c r="K526" s="28" t="s">
        <v>518</v>
      </c>
      <c r="L526" s="28" t="s">
        <v>1491</v>
      </c>
      <c r="M526" s="28" t="s">
        <v>520</v>
      </c>
      <c r="N526" s="28" t="s">
        <v>557</v>
      </c>
      <c r="O526" s="28" t="s">
        <v>544</v>
      </c>
      <c r="P526" s="28" t="s">
        <v>626</v>
      </c>
      <c r="Q526" s="28" t="s">
        <v>559</v>
      </c>
      <c r="R526" s="28" t="s">
        <v>627</v>
      </c>
      <c r="S526" s="28" t="s">
        <v>573</v>
      </c>
      <c r="T526" s="28" t="s">
        <v>1494</v>
      </c>
      <c r="U526" s="28" t="s">
        <v>1494</v>
      </c>
      <c r="V526" s="28" t="s">
        <v>517</v>
      </c>
      <c r="W526" s="28" t="s">
        <v>2581</v>
      </c>
      <c r="Z526" s="28" t="s">
        <v>526</v>
      </c>
      <c r="AB526" s="73" t="s">
        <v>609</v>
      </c>
      <c r="AC526" s="73" t="s">
        <v>35</v>
      </c>
      <c r="AF526" s="117" t="s">
        <v>1083</v>
      </c>
      <c r="AK526" s="60">
        <v>2</v>
      </c>
      <c r="AL526" s="28">
        <f>1/COUNTIF(Tableau6[LAT],B526)</f>
        <v>0.25</v>
      </c>
      <c r="AM526" s="60" t="b">
        <f t="shared" si="54"/>
        <v>0</v>
      </c>
      <c r="AN526" s="60" t="b">
        <f t="shared" si="55"/>
        <v>0</v>
      </c>
      <c r="AO526" s="60" t="b">
        <f t="shared" si="56"/>
        <v>0</v>
      </c>
      <c r="AP526" s="60" t="b">
        <f t="shared" si="57"/>
        <v>0</v>
      </c>
      <c r="AQ526" s="60" t="b">
        <f t="shared" si="58"/>
        <v>0</v>
      </c>
      <c r="AR526" s="60" t="str">
        <f t="shared" si="59"/>
        <v>No</v>
      </c>
      <c r="AS526" s="60" t="str">
        <f t="shared" si="60"/>
        <v>No</v>
      </c>
    </row>
    <row r="527" spans="1:45" hidden="1">
      <c r="A527" s="103">
        <v>45243</v>
      </c>
      <c r="B527" s="117" t="s">
        <v>2585</v>
      </c>
      <c r="C527" s="28" t="s">
        <v>511</v>
      </c>
      <c r="D527" s="28" t="s">
        <v>2586</v>
      </c>
      <c r="F527" s="28" t="s">
        <v>2587</v>
      </c>
      <c r="G527" s="28" t="s">
        <v>514</v>
      </c>
      <c r="H527" s="28" t="s">
        <v>794</v>
      </c>
      <c r="I527" s="28" t="s">
        <v>517</v>
      </c>
      <c r="J527" s="28" t="s">
        <v>517</v>
      </c>
      <c r="K527" s="28" t="s">
        <v>518</v>
      </c>
      <c r="L527" s="28" t="s">
        <v>974</v>
      </c>
      <c r="M527" s="28" t="s">
        <v>535</v>
      </c>
      <c r="N527" s="28" t="s">
        <v>557</v>
      </c>
      <c r="O527" s="28" t="s">
        <v>544</v>
      </c>
      <c r="P527" s="28" t="s">
        <v>626</v>
      </c>
      <c r="Q527" s="28" t="s">
        <v>559</v>
      </c>
      <c r="R527" s="28" t="s">
        <v>627</v>
      </c>
      <c r="S527" s="28" t="s">
        <v>573</v>
      </c>
      <c r="T527" s="28" t="s">
        <v>897</v>
      </c>
      <c r="U527" s="28" t="s">
        <v>897</v>
      </c>
      <c r="V527" s="28" t="s">
        <v>517</v>
      </c>
      <c r="W527" s="28" t="s">
        <v>2588</v>
      </c>
      <c r="Z527" s="28" t="s">
        <v>526</v>
      </c>
      <c r="AB527" s="73" t="s">
        <v>630</v>
      </c>
      <c r="AC527" s="73" t="s">
        <v>35</v>
      </c>
      <c r="AD527" s="28" t="s">
        <v>528</v>
      </c>
      <c r="AF527" s="117" t="s">
        <v>2586</v>
      </c>
      <c r="AG527" s="28" t="s">
        <v>529</v>
      </c>
      <c r="AK527" s="60">
        <v>2</v>
      </c>
      <c r="AL527" s="28">
        <f>1/COUNTIF(Tableau6[LAT],B527)</f>
        <v>0.5</v>
      </c>
      <c r="AM527" s="60" t="b">
        <f t="shared" si="54"/>
        <v>0</v>
      </c>
      <c r="AN527" s="60" t="b">
        <f t="shared" si="55"/>
        <v>0</v>
      </c>
      <c r="AO527" s="60" t="b">
        <f t="shared" si="56"/>
        <v>0</v>
      </c>
      <c r="AP527" s="60" t="b">
        <f t="shared" si="57"/>
        <v>0</v>
      </c>
      <c r="AQ527" s="60" t="b">
        <f t="shared" si="58"/>
        <v>0</v>
      </c>
      <c r="AR527" s="60" t="str">
        <f>IF(AM527="Yes","Yes",IF(AN527="Yes","Yes",IF(AO527="yes","Yes",IF(AP527="Yes","Yes","No"))))</f>
        <v>No</v>
      </c>
      <c r="AS527" s="60" t="str">
        <f t="shared" si="60"/>
        <v>No</v>
      </c>
    </row>
    <row r="528" spans="1:45" hidden="1">
      <c r="A528" s="103">
        <v>45243</v>
      </c>
      <c r="B528" s="117" t="s">
        <v>2585</v>
      </c>
      <c r="C528" s="28" t="s">
        <v>548</v>
      </c>
      <c r="D528" s="28" t="s">
        <v>2589</v>
      </c>
      <c r="F528" s="28" t="s">
        <v>2587</v>
      </c>
      <c r="G528" s="28" t="s">
        <v>514</v>
      </c>
      <c r="H528" s="28" t="s">
        <v>794</v>
      </c>
      <c r="I528" s="28" t="s">
        <v>517</v>
      </c>
      <c r="J528" s="28" t="s">
        <v>517</v>
      </c>
      <c r="K528" s="28" t="s">
        <v>518</v>
      </c>
      <c r="L528" s="28" t="s">
        <v>974</v>
      </c>
      <c r="M528" s="28" t="s">
        <v>535</v>
      </c>
      <c r="N528" s="28" t="s">
        <v>557</v>
      </c>
      <c r="O528" s="28" t="s">
        <v>544</v>
      </c>
      <c r="P528" s="28" t="s">
        <v>626</v>
      </c>
      <c r="Q528" s="28" t="s">
        <v>559</v>
      </c>
      <c r="R528" s="28" t="s">
        <v>627</v>
      </c>
      <c r="S528" s="28" t="s">
        <v>573</v>
      </c>
      <c r="T528" s="28" t="s">
        <v>897</v>
      </c>
      <c r="U528" s="28" t="s">
        <v>897</v>
      </c>
      <c r="V528" s="28" t="s">
        <v>517</v>
      </c>
      <c r="W528" s="28" t="s">
        <v>2590</v>
      </c>
      <c r="Z528" s="28" t="s">
        <v>526</v>
      </c>
      <c r="AB528" s="73" t="s">
        <v>630</v>
      </c>
      <c r="AC528" s="73" t="s">
        <v>35</v>
      </c>
      <c r="AD528" s="28" t="s">
        <v>528</v>
      </c>
      <c r="AF528" s="117" t="s">
        <v>2589</v>
      </c>
      <c r="AG528" s="28" t="s">
        <v>529</v>
      </c>
      <c r="AK528" s="60">
        <v>2</v>
      </c>
      <c r="AL528" s="28">
        <f>1/COUNTIF(Tableau6[LAT],B528)</f>
        <v>0.5</v>
      </c>
      <c r="AM528" s="60" t="b">
        <f t="shared" si="54"/>
        <v>0</v>
      </c>
      <c r="AN528" s="60" t="b">
        <f t="shared" si="55"/>
        <v>0</v>
      </c>
      <c r="AO528" s="60" t="b">
        <f t="shared" si="56"/>
        <v>0</v>
      </c>
      <c r="AP528" s="60" t="b">
        <f t="shared" si="57"/>
        <v>0</v>
      </c>
      <c r="AQ528" s="60" t="b">
        <f t="shared" si="58"/>
        <v>0</v>
      </c>
      <c r="AR528" s="60" t="str">
        <f t="shared" si="59"/>
        <v>No</v>
      </c>
      <c r="AS528" s="60" t="str">
        <f t="shared" si="60"/>
        <v>No</v>
      </c>
    </row>
    <row r="529" spans="1:45" hidden="1">
      <c r="A529" s="103">
        <v>45243</v>
      </c>
      <c r="B529" s="117" t="s">
        <v>2591</v>
      </c>
      <c r="C529" s="28" t="s">
        <v>511</v>
      </c>
      <c r="D529" s="28" t="s">
        <v>2592</v>
      </c>
      <c r="F529" s="28" t="s">
        <v>2593</v>
      </c>
      <c r="G529" s="28" t="s">
        <v>514</v>
      </c>
      <c r="H529" s="28" t="s">
        <v>808</v>
      </c>
      <c r="I529" s="28" t="s">
        <v>517</v>
      </c>
      <c r="J529" s="28" t="s">
        <v>517</v>
      </c>
      <c r="K529" s="28" t="s">
        <v>518</v>
      </c>
      <c r="L529" s="28" t="s">
        <v>974</v>
      </c>
      <c r="M529" s="28" t="s">
        <v>535</v>
      </c>
      <c r="N529" s="28" t="s">
        <v>557</v>
      </c>
      <c r="O529" s="28" t="s">
        <v>544</v>
      </c>
      <c r="P529" s="28" t="s">
        <v>626</v>
      </c>
      <c r="Q529" s="28" t="s">
        <v>559</v>
      </c>
      <c r="R529" s="28" t="s">
        <v>627</v>
      </c>
      <c r="S529" s="28" t="s">
        <v>573</v>
      </c>
      <c r="T529" s="28" t="s">
        <v>897</v>
      </c>
      <c r="U529" s="28" t="s">
        <v>897</v>
      </c>
      <c r="V529" s="28" t="s">
        <v>517</v>
      </c>
      <c r="W529" s="28" t="s">
        <v>2594</v>
      </c>
      <c r="Z529" s="28" t="s">
        <v>526</v>
      </c>
      <c r="AB529" s="73" t="s">
        <v>630</v>
      </c>
      <c r="AC529" s="73" t="s">
        <v>35</v>
      </c>
      <c r="AD529" s="28" t="s">
        <v>528</v>
      </c>
      <c r="AF529" s="117" t="s">
        <v>2592</v>
      </c>
      <c r="AG529" s="28" t="s">
        <v>529</v>
      </c>
      <c r="AK529" s="60">
        <v>2</v>
      </c>
      <c r="AL529" s="28">
        <f>1/COUNTIF(Tableau6[LAT],B529)</f>
        <v>1</v>
      </c>
      <c r="AM529" s="60" t="b">
        <f t="shared" si="54"/>
        <v>0</v>
      </c>
      <c r="AN529" s="60" t="b">
        <f t="shared" si="55"/>
        <v>0</v>
      </c>
      <c r="AO529" s="60" t="b">
        <f t="shared" si="56"/>
        <v>0</v>
      </c>
      <c r="AP529" s="60" t="b">
        <f t="shared" si="57"/>
        <v>0</v>
      </c>
      <c r="AQ529" s="60" t="b">
        <f t="shared" si="58"/>
        <v>0</v>
      </c>
      <c r="AR529" s="60" t="str">
        <f t="shared" si="59"/>
        <v>No</v>
      </c>
      <c r="AS529" s="60" t="str">
        <f t="shared" si="60"/>
        <v>No</v>
      </c>
    </row>
    <row r="530" spans="1:45" hidden="1">
      <c r="A530" s="103">
        <v>45243</v>
      </c>
      <c r="B530" s="117" t="s">
        <v>2595</v>
      </c>
      <c r="C530" s="28" t="s">
        <v>511</v>
      </c>
      <c r="D530" s="28" t="s">
        <v>2596</v>
      </c>
      <c r="F530" s="28" t="s">
        <v>2597</v>
      </c>
      <c r="G530" s="28" t="s">
        <v>979</v>
      </c>
      <c r="H530" s="28" t="s">
        <v>2598</v>
      </c>
      <c r="I530" s="28" t="s">
        <v>517</v>
      </c>
      <c r="J530" s="28" t="s">
        <v>517</v>
      </c>
      <c r="K530" s="28" t="s">
        <v>518</v>
      </c>
      <c r="L530" s="28" t="s">
        <v>2599</v>
      </c>
      <c r="M530" s="28" t="s">
        <v>520</v>
      </c>
      <c r="N530" s="28" t="s">
        <v>521</v>
      </c>
      <c r="O530" s="28" t="s">
        <v>626</v>
      </c>
      <c r="P530" s="28" t="s">
        <v>559</v>
      </c>
      <c r="Q530" s="28" t="s">
        <v>627</v>
      </c>
      <c r="S530" s="28" t="s">
        <v>573</v>
      </c>
      <c r="T530" s="28" t="s">
        <v>2600</v>
      </c>
      <c r="U530" s="28" t="s">
        <v>2600</v>
      </c>
      <c r="V530" s="28" t="s">
        <v>517</v>
      </c>
      <c r="W530" s="28" t="s">
        <v>1058</v>
      </c>
      <c r="Z530" s="28" t="s">
        <v>526</v>
      </c>
      <c r="AB530" s="73" t="s">
        <v>630</v>
      </c>
      <c r="AC530" s="73" t="s">
        <v>35</v>
      </c>
      <c r="AD530" s="28" t="s">
        <v>528</v>
      </c>
      <c r="AF530" s="117" t="s">
        <v>2596</v>
      </c>
      <c r="AG530" s="28" t="s">
        <v>529</v>
      </c>
      <c r="AK530" s="60">
        <v>2</v>
      </c>
      <c r="AL530" s="28">
        <f>1/COUNTIF(Tableau6[LAT],B530)</f>
        <v>1</v>
      </c>
      <c r="AM530" s="60" t="b">
        <f t="shared" si="54"/>
        <v>0</v>
      </c>
      <c r="AN530" s="60" t="b">
        <f t="shared" si="55"/>
        <v>0</v>
      </c>
      <c r="AO530" s="60" t="b">
        <f t="shared" si="56"/>
        <v>0</v>
      </c>
      <c r="AP530" s="60" t="b">
        <f t="shared" si="57"/>
        <v>0</v>
      </c>
      <c r="AQ530" s="60" t="b">
        <f t="shared" si="58"/>
        <v>0</v>
      </c>
      <c r="AR530" s="60" t="str">
        <f t="shared" si="59"/>
        <v>No</v>
      </c>
      <c r="AS530" s="60" t="str">
        <f t="shared" si="60"/>
        <v>No</v>
      </c>
    </row>
    <row r="531" spans="1:45" hidden="1">
      <c r="A531" s="103">
        <v>45243</v>
      </c>
      <c r="B531" s="117" t="s">
        <v>2601</v>
      </c>
      <c r="C531" s="28" t="s">
        <v>511</v>
      </c>
      <c r="D531" s="28" t="s">
        <v>2602</v>
      </c>
      <c r="F531" s="28" t="s">
        <v>2603</v>
      </c>
      <c r="G531" s="28" t="s">
        <v>514</v>
      </c>
      <c r="H531" s="28" t="s">
        <v>658</v>
      </c>
      <c r="I531" s="28" t="s">
        <v>516</v>
      </c>
      <c r="J531" s="28" t="s">
        <v>517</v>
      </c>
      <c r="K531" s="28" t="s">
        <v>518</v>
      </c>
      <c r="L531" s="28" t="s">
        <v>751</v>
      </c>
      <c r="M531" s="28" t="s">
        <v>535</v>
      </c>
      <c r="N531" s="28" t="s">
        <v>557</v>
      </c>
      <c r="S531" s="28" t="s">
        <v>733</v>
      </c>
      <c r="T531" s="28" t="s">
        <v>753</v>
      </c>
      <c r="U531" s="28" t="s">
        <v>753</v>
      </c>
      <c r="V531" s="28" t="s">
        <v>517</v>
      </c>
      <c r="W531" s="28" t="s">
        <v>2604</v>
      </c>
      <c r="Z531" s="28" t="s">
        <v>526</v>
      </c>
      <c r="AD531" s="28" t="s">
        <v>528</v>
      </c>
      <c r="AF531" s="117" t="s">
        <v>2602</v>
      </c>
      <c r="AG531" s="28" t="s">
        <v>529</v>
      </c>
      <c r="AK531" s="60">
        <v>2</v>
      </c>
      <c r="AL531" s="28">
        <f>1/COUNTIF(Tableau6[LAT],B531)</f>
        <v>0.5</v>
      </c>
      <c r="AM531" s="60" t="b">
        <f t="shared" si="54"/>
        <v>0</v>
      </c>
      <c r="AN531" s="60" t="b">
        <f t="shared" si="55"/>
        <v>0</v>
      </c>
      <c r="AO531" s="60" t="b">
        <f t="shared" si="56"/>
        <v>0</v>
      </c>
      <c r="AP531" s="60" t="b">
        <f t="shared" si="57"/>
        <v>0</v>
      </c>
      <c r="AQ531" s="60" t="b">
        <f t="shared" si="58"/>
        <v>0</v>
      </c>
      <c r="AR531" s="60" t="str">
        <f t="shared" si="59"/>
        <v>No</v>
      </c>
      <c r="AS531" s="60" t="str">
        <f t="shared" si="60"/>
        <v>Yes</v>
      </c>
    </row>
    <row r="532" spans="1:45" hidden="1">
      <c r="A532" s="103">
        <v>45243</v>
      </c>
      <c r="B532" s="117" t="s">
        <v>2601</v>
      </c>
      <c r="C532" s="28" t="s">
        <v>548</v>
      </c>
      <c r="D532" s="28" t="s">
        <v>2605</v>
      </c>
      <c r="F532" s="28" t="s">
        <v>2603</v>
      </c>
      <c r="G532" s="28" t="s">
        <v>514</v>
      </c>
      <c r="H532" s="28" t="s">
        <v>1559</v>
      </c>
      <c r="I532" s="28" t="s">
        <v>516</v>
      </c>
      <c r="J532" s="28" t="s">
        <v>517</v>
      </c>
      <c r="K532" s="28" t="s">
        <v>518</v>
      </c>
      <c r="L532" s="28" t="s">
        <v>751</v>
      </c>
      <c r="M532" s="28" t="s">
        <v>535</v>
      </c>
      <c r="N532" s="28" t="s">
        <v>557</v>
      </c>
      <c r="S532" s="28" t="s">
        <v>733</v>
      </c>
      <c r="T532" s="28" t="s">
        <v>753</v>
      </c>
      <c r="U532" s="28" t="s">
        <v>753</v>
      </c>
      <c r="V532" s="28" t="s">
        <v>517</v>
      </c>
      <c r="W532" s="28" t="s">
        <v>2606</v>
      </c>
      <c r="Z532" s="28" t="s">
        <v>526</v>
      </c>
      <c r="AD532" s="28" t="s">
        <v>528</v>
      </c>
      <c r="AF532" s="117" t="s">
        <v>2605</v>
      </c>
      <c r="AG532" s="28" t="s">
        <v>529</v>
      </c>
      <c r="AK532" s="60">
        <v>2</v>
      </c>
      <c r="AL532" s="28">
        <f>1/COUNTIF(Tableau6[LAT],B532)</f>
        <v>0.5</v>
      </c>
      <c r="AM532" s="60" t="b">
        <f t="shared" si="54"/>
        <v>0</v>
      </c>
      <c r="AN532" s="60" t="b">
        <f t="shared" si="55"/>
        <v>0</v>
      </c>
      <c r="AO532" s="60" t="b">
        <f t="shared" si="56"/>
        <v>0</v>
      </c>
      <c r="AP532" s="60" t="b">
        <f t="shared" si="57"/>
        <v>0</v>
      </c>
      <c r="AQ532" s="60" t="b">
        <f t="shared" si="58"/>
        <v>0</v>
      </c>
      <c r="AR532" s="60" t="str">
        <f t="shared" si="59"/>
        <v>No</v>
      </c>
      <c r="AS532" s="60" t="str">
        <f t="shared" si="60"/>
        <v>Yes</v>
      </c>
    </row>
    <row r="533" spans="1:45" hidden="1">
      <c r="A533" s="103">
        <v>45243</v>
      </c>
      <c r="B533" s="117" t="s">
        <v>2607</v>
      </c>
      <c r="C533" s="28" t="s">
        <v>511</v>
      </c>
      <c r="D533" s="28" t="s">
        <v>2608</v>
      </c>
      <c r="F533" s="28" t="s">
        <v>2609</v>
      </c>
      <c r="G533" s="28" t="s">
        <v>514</v>
      </c>
      <c r="H533" s="28" t="s">
        <v>1728</v>
      </c>
      <c r="I533" s="28" t="s">
        <v>516</v>
      </c>
      <c r="J533" s="28" t="s">
        <v>517</v>
      </c>
      <c r="K533" s="28" t="s">
        <v>518</v>
      </c>
      <c r="L533" s="28" t="s">
        <v>1302</v>
      </c>
      <c r="M533" s="28" t="s">
        <v>802</v>
      </c>
      <c r="N533" s="28" t="s">
        <v>557</v>
      </c>
      <c r="O533" s="28" t="s">
        <v>544</v>
      </c>
      <c r="P533" s="28" t="s">
        <v>522</v>
      </c>
      <c r="S533" s="28" t="s">
        <v>733</v>
      </c>
      <c r="T533" s="28" t="s">
        <v>1246</v>
      </c>
      <c r="U533" s="28" t="s">
        <v>1246</v>
      </c>
      <c r="V533" s="28" t="s">
        <v>517</v>
      </c>
      <c r="W533" s="28" t="s">
        <v>2610</v>
      </c>
      <c r="Z533" s="28" t="s">
        <v>563</v>
      </c>
      <c r="AB533" s="28" t="s">
        <v>527</v>
      </c>
      <c r="AD533" s="28" t="s">
        <v>954</v>
      </c>
      <c r="AF533" s="117" t="s">
        <v>2608</v>
      </c>
      <c r="AG533" s="28" t="s">
        <v>563</v>
      </c>
      <c r="AK533" s="60">
        <v>2</v>
      </c>
      <c r="AL533" s="28">
        <f>1/COUNTIF(Tableau6[LAT],B533)</f>
        <v>1</v>
      </c>
      <c r="AM533" s="60" t="b">
        <f t="shared" si="54"/>
        <v>0</v>
      </c>
      <c r="AN533" s="60" t="b">
        <f t="shared" si="55"/>
        <v>0</v>
      </c>
      <c r="AO533" s="60" t="b">
        <f t="shared" si="56"/>
        <v>0</v>
      </c>
      <c r="AP533" s="60" t="b">
        <f t="shared" si="57"/>
        <v>0</v>
      </c>
      <c r="AQ533" s="60" t="b">
        <f t="shared" si="58"/>
        <v>0</v>
      </c>
      <c r="AR533" s="60" t="str">
        <f t="shared" si="59"/>
        <v>No</v>
      </c>
      <c r="AS533" s="60" t="str">
        <f t="shared" si="60"/>
        <v>Yes</v>
      </c>
    </row>
    <row r="534" spans="1:45" hidden="1">
      <c r="A534" s="103">
        <v>45243</v>
      </c>
      <c r="B534" s="117" t="s">
        <v>2611</v>
      </c>
      <c r="C534" s="28" t="s">
        <v>511</v>
      </c>
      <c r="D534" s="28" t="s">
        <v>2612</v>
      </c>
      <c r="F534" s="28" t="s">
        <v>2613</v>
      </c>
      <c r="G534" s="28" t="s">
        <v>514</v>
      </c>
      <c r="H534" s="28" t="s">
        <v>2614</v>
      </c>
      <c r="I534" s="28" t="s">
        <v>516</v>
      </c>
      <c r="J534" s="28" t="s">
        <v>517</v>
      </c>
      <c r="K534" s="28" t="s">
        <v>518</v>
      </c>
      <c r="L534" s="28" t="s">
        <v>2615</v>
      </c>
      <c r="M534" s="28" t="s">
        <v>535</v>
      </c>
      <c r="N534" s="28" t="s">
        <v>2616</v>
      </c>
      <c r="O534" s="28" t="s">
        <v>2617</v>
      </c>
      <c r="P534" s="28" t="s">
        <v>557</v>
      </c>
      <c r="S534" s="28" t="s">
        <v>733</v>
      </c>
      <c r="T534" s="28" t="s">
        <v>2558</v>
      </c>
      <c r="U534" s="28" t="s">
        <v>2558</v>
      </c>
      <c r="V534" s="28" t="s">
        <v>517</v>
      </c>
      <c r="W534" s="28" t="s">
        <v>2618</v>
      </c>
      <c r="Z534" s="28" t="s">
        <v>563</v>
      </c>
      <c r="AB534" s="28" t="s">
        <v>2619</v>
      </c>
      <c r="AF534" s="117" t="s">
        <v>1083</v>
      </c>
      <c r="AK534" s="60">
        <v>2</v>
      </c>
      <c r="AL534" s="28">
        <f>1/COUNTIF(Tableau6[LAT],B534)</f>
        <v>1</v>
      </c>
      <c r="AM534" s="60" t="str">
        <f t="shared" si="54"/>
        <v>Yes</v>
      </c>
      <c r="AN534" s="60" t="str">
        <f t="shared" si="55"/>
        <v>Yes</v>
      </c>
      <c r="AO534" s="60" t="b">
        <f t="shared" si="56"/>
        <v>0</v>
      </c>
      <c r="AP534" s="60" t="b">
        <f t="shared" si="57"/>
        <v>0</v>
      </c>
      <c r="AQ534" s="60" t="b">
        <f t="shared" si="58"/>
        <v>0</v>
      </c>
      <c r="AR534" s="60" t="str">
        <f t="shared" si="59"/>
        <v>Yes</v>
      </c>
      <c r="AS534" s="60" t="str">
        <f t="shared" si="60"/>
        <v>Yes</v>
      </c>
    </row>
    <row r="535" spans="1:45" hidden="1">
      <c r="A535" s="103">
        <v>45243</v>
      </c>
      <c r="B535" s="117" t="s">
        <v>2620</v>
      </c>
      <c r="C535" s="28" t="s">
        <v>511</v>
      </c>
      <c r="D535" s="28" t="s">
        <v>2621</v>
      </c>
      <c r="F535" s="28" t="s">
        <v>1090</v>
      </c>
      <c r="G535" s="28" t="s">
        <v>514</v>
      </c>
      <c r="H535" s="28" t="s">
        <v>947</v>
      </c>
      <c r="I535" s="28" t="s">
        <v>516</v>
      </c>
      <c r="J535" s="28" t="s">
        <v>517</v>
      </c>
      <c r="K535" s="28" t="s">
        <v>518</v>
      </c>
      <c r="L535" s="28" t="s">
        <v>1040</v>
      </c>
      <c r="M535" s="28" t="s">
        <v>535</v>
      </c>
      <c r="N535" s="28" t="s">
        <v>521</v>
      </c>
      <c r="O535" s="28" t="s">
        <v>544</v>
      </c>
      <c r="P535" s="28" t="s">
        <v>522</v>
      </c>
      <c r="S535" s="28" t="s">
        <v>1150</v>
      </c>
      <c r="T535" s="28" t="s">
        <v>1042</v>
      </c>
      <c r="U535" s="28" t="s">
        <v>1042</v>
      </c>
      <c r="V535" s="28" t="s">
        <v>517</v>
      </c>
      <c r="W535" s="28" t="s">
        <v>2622</v>
      </c>
      <c r="Z535" s="28" t="s">
        <v>563</v>
      </c>
      <c r="AB535" s="28" t="s">
        <v>527</v>
      </c>
      <c r="AF535" s="117" t="s">
        <v>1083</v>
      </c>
      <c r="AK535" s="60">
        <v>2</v>
      </c>
      <c r="AL535" s="28">
        <f>1/COUNTIF(Tableau6[LAT],B535)</f>
        <v>1</v>
      </c>
      <c r="AM535" s="60" t="b">
        <f t="shared" si="54"/>
        <v>0</v>
      </c>
      <c r="AN535" s="60" t="b">
        <f t="shared" si="55"/>
        <v>0</v>
      </c>
      <c r="AO535" s="60" t="b">
        <f t="shared" si="56"/>
        <v>0</v>
      </c>
      <c r="AP535" s="60" t="b">
        <f t="shared" si="57"/>
        <v>0</v>
      </c>
      <c r="AQ535" s="60" t="b">
        <f t="shared" si="58"/>
        <v>0</v>
      </c>
      <c r="AR535" s="60" t="str">
        <f t="shared" si="59"/>
        <v>No</v>
      </c>
      <c r="AS535" s="60" t="str">
        <f t="shared" si="60"/>
        <v>Yes</v>
      </c>
    </row>
    <row r="536" spans="1:45" hidden="1">
      <c r="A536" s="103">
        <v>45243</v>
      </c>
      <c r="B536" s="117" t="s">
        <v>2623</v>
      </c>
      <c r="C536" s="28" t="s">
        <v>511</v>
      </c>
      <c r="D536" s="28" t="s">
        <v>2624</v>
      </c>
      <c r="F536" s="28" t="s">
        <v>2625</v>
      </c>
      <c r="G536" s="28" t="s">
        <v>514</v>
      </c>
      <c r="H536" s="28" t="s">
        <v>1256</v>
      </c>
      <c r="I536" s="28" t="s">
        <v>516</v>
      </c>
      <c r="J536" s="28" t="s">
        <v>517</v>
      </c>
      <c r="K536" s="28" t="s">
        <v>518</v>
      </c>
      <c r="L536" s="28" t="s">
        <v>751</v>
      </c>
      <c r="M536" s="28" t="s">
        <v>535</v>
      </c>
      <c r="S536" s="28" t="s">
        <v>1158</v>
      </c>
      <c r="T536" s="28" t="s">
        <v>753</v>
      </c>
      <c r="U536" s="28" t="s">
        <v>753</v>
      </c>
      <c r="V536" s="28" t="s">
        <v>517</v>
      </c>
      <c r="W536" s="28" t="s">
        <v>2626</v>
      </c>
      <c r="Z536" s="28" t="s">
        <v>563</v>
      </c>
      <c r="AB536" s="28" t="s">
        <v>527</v>
      </c>
      <c r="AF536" s="117" t="s">
        <v>2624</v>
      </c>
      <c r="AK536" s="60">
        <v>2</v>
      </c>
      <c r="AL536" s="28">
        <f>1/COUNTIF(Tableau6[LAT],B536)</f>
        <v>1</v>
      </c>
      <c r="AM536" s="60" t="b">
        <f t="shared" ref="AM536:AM599" si="61">IF(N536="ALM","Yes",IF(N536="ALI","Yes",IF(N536="CAO","Yes",IF(N536="ICE","Yes",IF(N536="MAG","Yes",IF(N536="MAG","Yes",IF(N536="RBI","Yes",IF(N536="RBM","Yes",IF(N536="RCL","Yes",IF(N536="RCM","Yes",IF(N536="RCX","Yes",IF(N536="RDS","Yes",IF(N536="REQ","Yes",IF(N536="REX","Yes",IF(N536="RFG","Yes",IF(N536="RFL","Yes",IF(N536="RFS","Yes",IF(N536="RFW","Yes",IF(N536="RGX","Yes",IF(N536="RIS",IF(N536="RLI","Yes",IF(N536="RLM","Yes",IF(N536="RMD","Yes",IF(N536="RNG","Yes",IF(N536="ROP","Yes",IF(N536="ROX","Yes",IF(N536="RPB","Yes",IF(N536="RPG","Yes",IF(N536="RRE","Yes",IF(N536="RRW","Yes",IF(N536="RRY","Yes",IF(N536="RSB","Yes",IF(N536="RSC","Yes",IF(N536="RXB","Yes",IF(N536="RXC","Yes",IF(N536="RXD","Yes",IF(N536="RXE","Yes",IF(N536="RXG","Yes",IF(N536="RXS","Yes",)))))))))))))))))))))))))))))))))))))))</f>
        <v>0</v>
      </c>
      <c r="AN536" s="60" t="b">
        <f t="shared" ref="AN536:AN599" si="62">IF(O536="ALM","Yes",IF(O536="ALI","Yes",IF(O536="CAO","Yes",IF(O536="ICE","Yes",IF(O536="MAG","Yes",IF(O536="MAG","Yes",IF(O536="RBI","Yes",IF(O536="RBM","Yes",IF(O536="RCL","Yes",IF(O536="RCM","Yes",IF(O536="RCX","Yes",IF(O536="RDS","Yes",IF(O536="REQ","Yes",IF(O536="REX","Yes",IF(O536="RFG","Yes",IF(O536="RFL","Yes",IF(O536="RFS","Yes",IF(O536="RFW","Yes",IF(O536="RGX","Yes",IF(O536="RIS",IF(O536="RLI","Yes",IF(O536="RLM","Yes",IF(O536="RMD","Yes",IF(O536="RNG","Yes",IF(O536="ROP","Yes",IF(O536="ROX","Yes",IF(O536="RPB","Yes",IF(O536="RPG","Yes",IF(O536="RRE","Yes",IF(O536="RRW","Yes",IF(O536="RRY","Yes",IF(O536="RSB","Yes",IF(O536="RSC","Yes",IF(O536="RXB","Yes",IF(O536="RXC","Yes",IF(O536="RXD","Yes",IF(O536="RXE","Yes",IF(O536="RXG","Yes",IF(O536="RXS","Yes",)))))))))))))))))))))))))))))))))))))))</f>
        <v>0</v>
      </c>
      <c r="AO536" s="60" t="b">
        <f t="shared" ref="AO536:AO599" si="63">IF(P536="ALM","Yes",IF(P536="ALI","Yes",IF(P536="CAO","Yes",IF(P536="ICE","Yes",IF(P536="MAG","Yes",IF(P536="MAG","Yes",IF(P536="RBI","Yes",IF(P536="RBM","Yes",IF(P536="RCL","Yes",IF(P536="RCM","Yes",IF(P536="RCX","Yes",IF(P536="RDS","Yes",IF(P536="REQ","Yes",IF(P536="REX","Yes",IF(P536="RFG","Yes",IF(P536="RFL","Yes",IF(P536="RFS","Yes",IF(P536="RFW","Yes",IF(P536="RGX","Yes",IF(P536="RIS",IF(P536="RLI","Yes",IF(P536="RLM","Yes",IF(P536="RMD","Yes",IF(P536="RNG","Yes",IF(P536="ROP","Yes",IF(P536="ROX","Yes",IF(P536="RPB","Yes",IF(P536="RPG","Yes",IF(P536="RRE","Yes",IF(P536="RRW","Yes",IF(P536="RRY","Yes",IF(P536="RSB","Yes",IF(P536="RSC","Yes",IF(P536="RXB","Yes",IF(P536="RXC","Yes",IF(P536="RXD","Yes",IF(P536="RXE","Yes",IF(P536="RXG","Yes",IF(P536="RXS","Yes",)))))))))))))))))))))))))))))))))))))))</f>
        <v>0</v>
      </c>
      <c r="AP536" s="60" t="b">
        <f t="shared" ref="AP536:AP599" si="64">IF(Q536="ALM","Yes",IF(Q536="ALI","Yes",IF(Q536="CAO","Yes",IF(Q536="ICE","Yes",IF(Q536="MAG","Yes",IF(Q536="MAG","Yes",IF(Q536="RBI","Yes",IF(Q536="RBM","Yes",IF(Q536="RCL","Yes",IF(Q536="RCM","Yes",IF(Q536="RCX","Yes",IF(Q536="RDS","Yes",IF(Q536="REQ","Yes",IF(Q536="REX","Yes",IF(Q536="RFG","Yes",IF(Q536="RFL","Yes",IF(Q536="RFS","Yes",IF(Q536="RFW","Yes",IF(Q536="RGX","Yes",IF(Q536="RIS",IF(Q536="RLI","Yes",IF(Q536="RLM","Yes",IF(Q536="RMD","Yes",IF(Q536="RNG","Yes",IF(Q536="ROP","Yes",IF(Q536="ROX","Yes",IF(Q536="RPB","Yes",IF(Q536="RPG","Yes",IF(Q536="RRE","Yes",IF(Q536="RRW","Yes",IF(Q536="RRY","Yes",IF(Q536="RSB","Yes",IF(Q536="RSC","Yes",IF(Q536="RXB","Yes",IF(Q536="RXC","Yes",IF(Q536="RXD","Yes",IF(Q536="RXE","Yes",IF(Q536="RXG","Yes",IF(Q536="RXS","Yes",)))))))))))))))))))))))))))))))))))))))</f>
        <v>0</v>
      </c>
      <c r="AQ536" s="60" t="b">
        <f t="shared" ref="AQ536:AQ599" si="65">IF(R536="ALM","Yes",IF(R536="ALI","Yes",IF(R536="CAO","Yes",IF(R536="ICE","Yes",IF(R536="MAG","Yes",IF(R536="MAG","Yes",IF(R536="RBI","Yes",IF(R536="RBM","Yes",IF(R536="RCL","Yes",IF(R536="RCM","Yes",IF(R536="RCX","Yes",IF(R536="RDS","Yes",IF(R536="REQ","Yes",IF(R536="REX","Yes",IF(R536="RFG","Yes",IF(R536="RFL","Yes",IF(R536="RFS","Yes",IF(R536="RFW","Yes",IF(R536="RGX","Yes",IF(R536="RIS",IF(R536="RLI","Yes",IF(R536="RLM","Yes",IF(R536="RMD","Yes",IF(R536="RNG","Yes",IF(R536="ROP","Yes",IF(R536="ROX","Yes",IF(R536="RPB","Yes",IF(R536="RPG","Yes",IF(R536="RRE","Yes",IF(R536="RRW","Yes",IF(R536="RRY","Yes",IF(R536="RSB","Yes",IF(R536="RSC","Yes",IF(R536="RXB","Yes",IF(R536="RXC","Yes",IF(R536="RXD","Yes",IF(R536="RXE","Yes",IF(R536="RXG","Yes",IF(R536="RXS","Yes",)))))))))))))))))))))))))))))))))))))))</f>
        <v>0</v>
      </c>
      <c r="AR536" s="60" t="str">
        <f t="shared" si="59"/>
        <v>No</v>
      </c>
      <c r="AS536" s="60" t="str">
        <f t="shared" si="60"/>
        <v>No</v>
      </c>
    </row>
    <row r="537" spans="1:45" hidden="1">
      <c r="A537" s="103">
        <v>45243</v>
      </c>
      <c r="B537" s="117" t="s">
        <v>2627</v>
      </c>
      <c r="C537" s="28" t="s">
        <v>511</v>
      </c>
      <c r="D537" s="28" t="s">
        <v>2628</v>
      </c>
      <c r="F537" s="28" t="s">
        <v>1137</v>
      </c>
      <c r="G537" s="28" t="s">
        <v>514</v>
      </c>
      <c r="H537" s="28" t="s">
        <v>1325</v>
      </c>
      <c r="I537" s="28" t="s">
        <v>516</v>
      </c>
      <c r="J537" s="28" t="s">
        <v>517</v>
      </c>
      <c r="K537" s="28" t="s">
        <v>518</v>
      </c>
      <c r="L537" s="28" t="s">
        <v>667</v>
      </c>
      <c r="M537" s="28" t="s">
        <v>520</v>
      </c>
      <c r="S537" s="28" t="s">
        <v>928</v>
      </c>
      <c r="T537" s="28" t="s">
        <v>597</v>
      </c>
      <c r="U537" s="28" t="s">
        <v>597</v>
      </c>
      <c r="V537" s="28" t="s">
        <v>517</v>
      </c>
      <c r="W537" s="28" t="s">
        <v>2629</v>
      </c>
      <c r="Z537" s="28" t="s">
        <v>526</v>
      </c>
      <c r="AD537" s="28" t="s">
        <v>528</v>
      </c>
      <c r="AF537" s="117" t="s">
        <v>2628</v>
      </c>
      <c r="AG537" s="28" t="s">
        <v>529</v>
      </c>
      <c r="AK537" s="60">
        <v>2</v>
      </c>
      <c r="AL537" s="28">
        <f>1/COUNTIF(Tableau6[LAT],B537)</f>
        <v>0.25</v>
      </c>
      <c r="AM537" s="60" t="b">
        <f t="shared" si="61"/>
        <v>0</v>
      </c>
      <c r="AN537" s="60" t="b">
        <f t="shared" si="62"/>
        <v>0</v>
      </c>
      <c r="AO537" s="60" t="b">
        <f t="shared" si="63"/>
        <v>0</v>
      </c>
      <c r="AP537" s="60" t="b">
        <f t="shared" si="64"/>
        <v>0</v>
      </c>
      <c r="AQ537" s="60" t="b">
        <f t="shared" si="65"/>
        <v>0</v>
      </c>
      <c r="AR537" s="60" t="str">
        <f t="shared" si="59"/>
        <v>No</v>
      </c>
      <c r="AS537" s="60" t="str">
        <f t="shared" si="60"/>
        <v>No</v>
      </c>
    </row>
    <row r="538" spans="1:45" hidden="1">
      <c r="A538" s="103">
        <v>45243</v>
      </c>
      <c r="B538" s="117" t="s">
        <v>2627</v>
      </c>
      <c r="C538" s="28" t="s">
        <v>548</v>
      </c>
      <c r="D538" s="28" t="s">
        <v>2630</v>
      </c>
      <c r="F538" s="28" t="s">
        <v>1137</v>
      </c>
      <c r="G538" s="28" t="s">
        <v>514</v>
      </c>
      <c r="H538" s="28" t="s">
        <v>1171</v>
      </c>
      <c r="I538" s="28" t="s">
        <v>516</v>
      </c>
      <c r="J538" s="28" t="s">
        <v>517</v>
      </c>
      <c r="K538" s="28" t="s">
        <v>518</v>
      </c>
      <c r="L538" s="28" t="s">
        <v>667</v>
      </c>
      <c r="M538" s="28" t="s">
        <v>520</v>
      </c>
      <c r="S538" s="28" t="s">
        <v>928</v>
      </c>
      <c r="T538" s="28" t="s">
        <v>597</v>
      </c>
      <c r="U538" s="28" t="s">
        <v>597</v>
      </c>
      <c r="V538" s="28" t="s">
        <v>517</v>
      </c>
      <c r="Z538" s="28" t="s">
        <v>526</v>
      </c>
      <c r="AD538" s="28" t="s">
        <v>528</v>
      </c>
      <c r="AF538" s="117" t="s">
        <v>2630</v>
      </c>
      <c r="AG538" s="28" t="s">
        <v>529</v>
      </c>
      <c r="AK538" s="60">
        <v>2</v>
      </c>
      <c r="AL538" s="28">
        <f>1/COUNTIF(Tableau6[LAT],B538)</f>
        <v>0.25</v>
      </c>
      <c r="AM538" s="60" t="b">
        <f t="shared" si="61"/>
        <v>0</v>
      </c>
      <c r="AN538" s="60" t="b">
        <f t="shared" si="62"/>
        <v>0</v>
      </c>
      <c r="AO538" s="60" t="b">
        <f t="shared" si="63"/>
        <v>0</v>
      </c>
      <c r="AP538" s="60" t="b">
        <f t="shared" si="64"/>
        <v>0</v>
      </c>
      <c r="AQ538" s="60" t="b">
        <f t="shared" si="65"/>
        <v>0</v>
      </c>
      <c r="AR538" s="60" t="str">
        <f t="shared" si="59"/>
        <v>No</v>
      </c>
      <c r="AS538" s="60" t="str">
        <f t="shared" si="60"/>
        <v>No</v>
      </c>
    </row>
    <row r="539" spans="1:45" hidden="1">
      <c r="A539" s="103">
        <v>45243</v>
      </c>
      <c r="B539" s="117" t="s">
        <v>2627</v>
      </c>
      <c r="C539" s="28" t="s">
        <v>612</v>
      </c>
      <c r="D539" s="28" t="s">
        <v>2631</v>
      </c>
      <c r="F539" s="28" t="s">
        <v>1137</v>
      </c>
      <c r="G539" s="28" t="s">
        <v>514</v>
      </c>
      <c r="H539" s="28" t="s">
        <v>1171</v>
      </c>
      <c r="I539" s="28" t="s">
        <v>516</v>
      </c>
      <c r="J539" s="28" t="s">
        <v>517</v>
      </c>
      <c r="K539" s="28" t="s">
        <v>518</v>
      </c>
      <c r="L539" s="28" t="s">
        <v>667</v>
      </c>
      <c r="M539" s="28" t="s">
        <v>520</v>
      </c>
      <c r="S539" s="28" t="s">
        <v>928</v>
      </c>
      <c r="T539" s="28" t="s">
        <v>597</v>
      </c>
      <c r="U539" s="28" t="s">
        <v>597</v>
      </c>
      <c r="V539" s="28" t="s">
        <v>517</v>
      </c>
      <c r="Z539" s="28" t="s">
        <v>526</v>
      </c>
      <c r="AF539" s="117" t="s">
        <v>2631</v>
      </c>
      <c r="AK539" s="60">
        <v>2</v>
      </c>
      <c r="AL539" s="28">
        <f>1/COUNTIF(Tableau6[LAT],B539)</f>
        <v>0.25</v>
      </c>
      <c r="AM539" s="60" t="b">
        <f t="shared" si="61"/>
        <v>0</v>
      </c>
      <c r="AN539" s="60" t="b">
        <f t="shared" si="62"/>
        <v>0</v>
      </c>
      <c r="AO539" s="60" t="b">
        <f t="shared" si="63"/>
        <v>0</v>
      </c>
      <c r="AP539" s="60" t="b">
        <f t="shared" si="64"/>
        <v>0</v>
      </c>
      <c r="AQ539" s="60" t="b">
        <f t="shared" si="65"/>
        <v>0</v>
      </c>
      <c r="AR539" s="60" t="str">
        <f t="shared" si="59"/>
        <v>No</v>
      </c>
      <c r="AS539" s="60" t="str">
        <f t="shared" si="60"/>
        <v>No</v>
      </c>
    </row>
    <row r="540" spans="1:45" hidden="1">
      <c r="A540" s="103">
        <v>45243</v>
      </c>
      <c r="B540" s="117" t="s">
        <v>2627</v>
      </c>
      <c r="C540" s="28" t="s">
        <v>691</v>
      </c>
      <c r="D540" s="28" t="s">
        <v>2632</v>
      </c>
      <c r="F540" s="28" t="s">
        <v>1137</v>
      </c>
      <c r="G540" s="28" t="s">
        <v>514</v>
      </c>
      <c r="H540" s="28" t="s">
        <v>1171</v>
      </c>
      <c r="I540" s="28" t="s">
        <v>516</v>
      </c>
      <c r="J540" s="28" t="s">
        <v>517</v>
      </c>
      <c r="K540" s="28" t="s">
        <v>518</v>
      </c>
      <c r="L540" s="28" t="s">
        <v>667</v>
      </c>
      <c r="M540" s="28" t="s">
        <v>520</v>
      </c>
      <c r="S540" s="28" t="s">
        <v>928</v>
      </c>
      <c r="T540" s="28" t="s">
        <v>597</v>
      </c>
      <c r="U540" s="28" t="s">
        <v>597</v>
      </c>
      <c r="V540" s="28" t="s">
        <v>517</v>
      </c>
      <c r="W540" s="28" t="s">
        <v>2633</v>
      </c>
      <c r="Z540" s="28" t="s">
        <v>526</v>
      </c>
      <c r="AF540" s="117" t="s">
        <v>2632</v>
      </c>
      <c r="AK540" s="60">
        <v>2</v>
      </c>
      <c r="AL540" s="28">
        <f>1/COUNTIF(Tableau6[LAT],B540)</f>
        <v>0.25</v>
      </c>
      <c r="AM540" s="60" t="b">
        <f t="shared" si="61"/>
        <v>0</v>
      </c>
      <c r="AN540" s="60" t="b">
        <f t="shared" si="62"/>
        <v>0</v>
      </c>
      <c r="AO540" s="60" t="b">
        <f t="shared" si="63"/>
        <v>0</v>
      </c>
      <c r="AP540" s="60" t="b">
        <f t="shared" si="64"/>
        <v>0</v>
      </c>
      <c r="AQ540" s="60" t="b">
        <f t="shared" si="65"/>
        <v>0</v>
      </c>
      <c r="AR540" s="60" t="str">
        <f t="shared" si="59"/>
        <v>No</v>
      </c>
      <c r="AS540" s="60" t="str">
        <f t="shared" si="60"/>
        <v>No</v>
      </c>
    </row>
    <row r="541" spans="1:45" hidden="1">
      <c r="A541" s="103">
        <v>45243</v>
      </c>
      <c r="B541" s="117" t="s">
        <v>2634</v>
      </c>
      <c r="C541" s="28" t="s">
        <v>511</v>
      </c>
      <c r="D541" s="28" t="s">
        <v>2635</v>
      </c>
      <c r="F541" s="28" t="s">
        <v>2636</v>
      </c>
      <c r="G541" s="28" t="s">
        <v>514</v>
      </c>
      <c r="H541" s="28" t="s">
        <v>2637</v>
      </c>
      <c r="I541" s="28" t="s">
        <v>516</v>
      </c>
      <c r="J541" s="28" t="s">
        <v>517</v>
      </c>
      <c r="K541" s="28" t="s">
        <v>518</v>
      </c>
      <c r="L541" s="28" t="s">
        <v>1040</v>
      </c>
      <c r="M541" s="28" t="s">
        <v>535</v>
      </c>
      <c r="N541" s="28" t="s">
        <v>522</v>
      </c>
      <c r="S541" s="28" t="s">
        <v>928</v>
      </c>
      <c r="T541" s="28" t="s">
        <v>1042</v>
      </c>
      <c r="U541" s="28" t="s">
        <v>1042</v>
      </c>
      <c r="V541" s="28" t="s">
        <v>517</v>
      </c>
      <c r="W541" s="28" t="s">
        <v>2638</v>
      </c>
      <c r="Z541" s="28" t="s">
        <v>563</v>
      </c>
      <c r="AB541" s="28" t="s">
        <v>527</v>
      </c>
      <c r="AD541" s="28" t="s">
        <v>528</v>
      </c>
      <c r="AF541" s="117" t="s">
        <v>2635</v>
      </c>
      <c r="AG541" s="28" t="s">
        <v>563</v>
      </c>
      <c r="AK541" s="60">
        <v>2</v>
      </c>
      <c r="AL541" s="28">
        <f>1/COUNTIF(Tableau6[LAT],B541)</f>
        <v>1</v>
      </c>
      <c r="AM541" s="60" t="b">
        <f t="shared" si="61"/>
        <v>0</v>
      </c>
      <c r="AN541" s="60" t="b">
        <f t="shared" si="62"/>
        <v>0</v>
      </c>
      <c r="AO541" s="60" t="b">
        <f t="shared" si="63"/>
        <v>0</v>
      </c>
      <c r="AP541" s="60" t="b">
        <f t="shared" si="64"/>
        <v>0</v>
      </c>
      <c r="AQ541" s="60" t="b">
        <f t="shared" si="65"/>
        <v>0</v>
      </c>
      <c r="AR541" s="60" t="str">
        <f t="shared" si="59"/>
        <v>No</v>
      </c>
      <c r="AS541" s="60" t="str">
        <f t="shared" si="60"/>
        <v>No</v>
      </c>
    </row>
    <row r="542" spans="1:45" hidden="1">
      <c r="A542" s="103">
        <v>45243</v>
      </c>
      <c r="B542" s="117" t="s">
        <v>2639</v>
      </c>
      <c r="C542" s="28" t="s">
        <v>511</v>
      </c>
      <c r="D542" s="28" t="s">
        <v>2640</v>
      </c>
      <c r="F542" s="28" t="s">
        <v>2641</v>
      </c>
      <c r="G542" s="28" t="s">
        <v>958</v>
      </c>
      <c r="H542" s="28" t="s">
        <v>2642</v>
      </c>
      <c r="I542" s="28" t="s">
        <v>516</v>
      </c>
      <c r="J542" s="28" t="s">
        <v>517</v>
      </c>
      <c r="K542" s="28" t="s">
        <v>518</v>
      </c>
      <c r="L542" s="28" t="s">
        <v>1097</v>
      </c>
      <c r="M542" s="28" t="s">
        <v>520</v>
      </c>
      <c r="N542" s="28" t="s">
        <v>557</v>
      </c>
      <c r="O542" s="28" t="s">
        <v>544</v>
      </c>
      <c r="P542" s="28" t="s">
        <v>559</v>
      </c>
      <c r="S542" s="28" t="s">
        <v>1402</v>
      </c>
      <c r="T542" s="28" t="s">
        <v>1098</v>
      </c>
      <c r="U542" s="28" t="s">
        <v>1098</v>
      </c>
      <c r="V542" s="28" t="s">
        <v>517</v>
      </c>
      <c r="W542" s="28" t="s">
        <v>2643</v>
      </c>
      <c r="Z542" s="28" t="s">
        <v>563</v>
      </c>
      <c r="AB542" s="28" t="s">
        <v>527</v>
      </c>
      <c r="AD542" s="28" t="s">
        <v>528</v>
      </c>
      <c r="AF542" s="117" t="s">
        <v>2640</v>
      </c>
      <c r="AG542" s="28" t="s">
        <v>563</v>
      </c>
      <c r="AK542" s="60">
        <v>2</v>
      </c>
      <c r="AL542" s="28">
        <f>1/COUNTIF(Tableau6[LAT],B542)</f>
        <v>0.5</v>
      </c>
      <c r="AM542" s="60" t="b">
        <f t="shared" si="61"/>
        <v>0</v>
      </c>
      <c r="AN542" s="60" t="b">
        <f t="shared" si="62"/>
        <v>0</v>
      </c>
      <c r="AO542" s="60" t="b">
        <f t="shared" si="63"/>
        <v>0</v>
      </c>
      <c r="AP542" s="60" t="b">
        <f t="shared" si="64"/>
        <v>0</v>
      </c>
      <c r="AQ542" s="60" t="b">
        <f t="shared" si="65"/>
        <v>0</v>
      </c>
      <c r="AR542" s="60" t="str">
        <f t="shared" si="59"/>
        <v>No</v>
      </c>
      <c r="AS542" s="60" t="str">
        <f t="shared" si="60"/>
        <v>No</v>
      </c>
    </row>
    <row r="543" spans="1:45" hidden="1">
      <c r="A543" s="103">
        <v>45243</v>
      </c>
      <c r="B543" s="117" t="s">
        <v>2639</v>
      </c>
      <c r="C543" s="28" t="s">
        <v>548</v>
      </c>
      <c r="D543" s="28" t="s">
        <v>2644</v>
      </c>
      <c r="E543" s="28" t="s">
        <v>2645</v>
      </c>
      <c r="F543" s="28" t="s">
        <v>2641</v>
      </c>
      <c r="G543" s="28" t="s">
        <v>958</v>
      </c>
      <c r="H543" s="28" t="s">
        <v>2642</v>
      </c>
      <c r="I543" s="28" t="s">
        <v>516</v>
      </c>
      <c r="J543" s="28" t="s">
        <v>517</v>
      </c>
      <c r="K543" s="28" t="s">
        <v>518</v>
      </c>
      <c r="L543" s="28" t="s">
        <v>1097</v>
      </c>
      <c r="M543" s="28" t="s">
        <v>520</v>
      </c>
      <c r="N543" s="28" t="s">
        <v>557</v>
      </c>
      <c r="O543" s="28" t="s">
        <v>544</v>
      </c>
      <c r="P543" s="28" t="s">
        <v>559</v>
      </c>
      <c r="S543" s="28" t="s">
        <v>1402</v>
      </c>
      <c r="T543" s="28" t="s">
        <v>1098</v>
      </c>
      <c r="U543" s="28" t="s">
        <v>1098</v>
      </c>
      <c r="V543" s="28" t="s">
        <v>517</v>
      </c>
      <c r="W543" s="28" t="s">
        <v>2646</v>
      </c>
      <c r="X543" s="28" t="s">
        <v>670</v>
      </c>
      <c r="Z543" s="28" t="s">
        <v>563</v>
      </c>
      <c r="AB543" s="28" t="s">
        <v>527</v>
      </c>
      <c r="AD543" s="28" t="s">
        <v>528</v>
      </c>
      <c r="AF543" s="117" t="s">
        <v>2644</v>
      </c>
      <c r="AG543" s="28" t="s">
        <v>563</v>
      </c>
      <c r="AK543" s="60">
        <v>2</v>
      </c>
      <c r="AL543" s="28">
        <f>1/COUNTIF(Tableau6[LAT],B543)</f>
        <v>0.5</v>
      </c>
      <c r="AM543" s="60" t="b">
        <f t="shared" si="61"/>
        <v>0</v>
      </c>
      <c r="AN543" s="60" t="b">
        <f t="shared" si="62"/>
        <v>0</v>
      </c>
      <c r="AO543" s="60" t="b">
        <f t="shared" si="63"/>
        <v>0</v>
      </c>
      <c r="AP543" s="60" t="b">
        <f t="shared" si="64"/>
        <v>0</v>
      </c>
      <c r="AQ543" s="60" t="b">
        <f t="shared" si="65"/>
        <v>0</v>
      </c>
      <c r="AR543" s="60" t="str">
        <f t="shared" si="59"/>
        <v>No</v>
      </c>
      <c r="AS543" s="60" t="str">
        <f t="shared" si="60"/>
        <v>No</v>
      </c>
    </row>
    <row r="544" spans="1:45" hidden="1">
      <c r="A544" s="103">
        <v>45243</v>
      </c>
      <c r="B544" s="117" t="s">
        <v>2647</v>
      </c>
      <c r="C544" s="28" t="s">
        <v>511</v>
      </c>
      <c r="D544" s="28" t="s">
        <v>2648</v>
      </c>
      <c r="E544" s="28" t="s">
        <v>2645</v>
      </c>
      <c r="F544" s="28" t="s">
        <v>2649</v>
      </c>
      <c r="G544" s="28" t="s">
        <v>514</v>
      </c>
      <c r="H544" s="28" t="s">
        <v>808</v>
      </c>
      <c r="I544" s="28" t="s">
        <v>516</v>
      </c>
      <c r="J544" s="28" t="s">
        <v>517</v>
      </c>
      <c r="K544" s="28" t="s">
        <v>518</v>
      </c>
      <c r="L544" s="28" t="s">
        <v>1097</v>
      </c>
      <c r="M544" s="28" t="s">
        <v>520</v>
      </c>
      <c r="N544" s="28" t="s">
        <v>544</v>
      </c>
      <c r="O544" s="28" t="s">
        <v>559</v>
      </c>
      <c r="S544" s="28" t="s">
        <v>928</v>
      </c>
      <c r="T544" s="28" t="s">
        <v>1098</v>
      </c>
      <c r="U544" s="28" t="s">
        <v>1098</v>
      </c>
      <c r="V544" s="28" t="s">
        <v>517</v>
      </c>
      <c r="W544" s="28" t="s">
        <v>2646</v>
      </c>
      <c r="X544" s="28" t="s">
        <v>670</v>
      </c>
      <c r="Z544" s="28" t="s">
        <v>563</v>
      </c>
      <c r="AB544" s="28" t="s">
        <v>527</v>
      </c>
      <c r="AD544" s="28" t="s">
        <v>528</v>
      </c>
      <c r="AF544" s="117" t="s">
        <v>2648</v>
      </c>
      <c r="AG544" s="28" t="s">
        <v>563</v>
      </c>
      <c r="AK544" s="60">
        <v>2</v>
      </c>
      <c r="AL544" s="28">
        <f>1/COUNTIF(Tableau6[LAT],B544)</f>
        <v>0.2</v>
      </c>
      <c r="AM544" s="60" t="b">
        <f t="shared" si="61"/>
        <v>0</v>
      </c>
      <c r="AN544" s="60" t="b">
        <f t="shared" si="62"/>
        <v>0</v>
      </c>
      <c r="AO544" s="60" t="b">
        <f t="shared" si="63"/>
        <v>0</v>
      </c>
      <c r="AP544" s="60" t="b">
        <f t="shared" si="64"/>
        <v>0</v>
      </c>
      <c r="AQ544" s="60" t="b">
        <f t="shared" si="65"/>
        <v>0</v>
      </c>
      <c r="AR544" s="60" t="str">
        <f t="shared" si="59"/>
        <v>No</v>
      </c>
      <c r="AS544" s="60" t="str">
        <f t="shared" si="60"/>
        <v>No</v>
      </c>
    </row>
    <row r="545" spans="1:45" hidden="1">
      <c r="A545" s="103">
        <v>45243</v>
      </c>
      <c r="B545" s="117" t="s">
        <v>2647</v>
      </c>
      <c r="C545" s="28" t="s">
        <v>548</v>
      </c>
      <c r="D545" s="28" t="s">
        <v>2650</v>
      </c>
      <c r="F545" s="28" t="s">
        <v>2649</v>
      </c>
      <c r="G545" s="28" t="s">
        <v>514</v>
      </c>
      <c r="H545" s="28" t="s">
        <v>2119</v>
      </c>
      <c r="I545" s="28" t="s">
        <v>516</v>
      </c>
      <c r="J545" s="28" t="s">
        <v>517</v>
      </c>
      <c r="K545" s="28" t="s">
        <v>518</v>
      </c>
      <c r="L545" s="28" t="s">
        <v>1097</v>
      </c>
      <c r="M545" s="28" t="s">
        <v>520</v>
      </c>
      <c r="N545" s="28" t="s">
        <v>544</v>
      </c>
      <c r="O545" s="28" t="s">
        <v>559</v>
      </c>
      <c r="S545" s="28" t="s">
        <v>928</v>
      </c>
      <c r="T545" s="28" t="s">
        <v>1098</v>
      </c>
      <c r="U545" s="28" t="s">
        <v>1098</v>
      </c>
      <c r="V545" s="28" t="s">
        <v>517</v>
      </c>
      <c r="W545" s="28" t="s">
        <v>2651</v>
      </c>
      <c r="Z545" s="28" t="s">
        <v>563</v>
      </c>
      <c r="AB545" s="28" t="s">
        <v>527</v>
      </c>
      <c r="AD545" s="28" t="s">
        <v>528</v>
      </c>
      <c r="AF545" s="117" t="s">
        <v>2650</v>
      </c>
      <c r="AG545" s="28" t="s">
        <v>563</v>
      </c>
      <c r="AK545" s="60">
        <v>2</v>
      </c>
      <c r="AL545" s="28">
        <f>1/COUNTIF(Tableau6[LAT],B545)</f>
        <v>0.2</v>
      </c>
      <c r="AM545" s="60" t="b">
        <f t="shared" si="61"/>
        <v>0</v>
      </c>
      <c r="AN545" s="60" t="b">
        <f t="shared" si="62"/>
        <v>0</v>
      </c>
      <c r="AO545" s="60" t="b">
        <f t="shared" si="63"/>
        <v>0</v>
      </c>
      <c r="AP545" s="60" t="b">
        <f t="shared" si="64"/>
        <v>0</v>
      </c>
      <c r="AQ545" s="60" t="b">
        <f t="shared" si="65"/>
        <v>0</v>
      </c>
      <c r="AR545" s="60" t="str">
        <f t="shared" si="59"/>
        <v>No</v>
      </c>
      <c r="AS545" s="60" t="str">
        <f t="shared" si="60"/>
        <v>No</v>
      </c>
    </row>
    <row r="546" spans="1:45" hidden="1">
      <c r="A546" s="103">
        <v>45243</v>
      </c>
      <c r="B546" s="117" t="s">
        <v>2647</v>
      </c>
      <c r="C546" s="28" t="s">
        <v>612</v>
      </c>
      <c r="D546" s="28" t="s">
        <v>2652</v>
      </c>
      <c r="E546" s="28" t="s">
        <v>2645</v>
      </c>
      <c r="F546" s="28" t="s">
        <v>2649</v>
      </c>
      <c r="G546" s="28" t="s">
        <v>514</v>
      </c>
      <c r="H546" s="28" t="s">
        <v>808</v>
      </c>
      <c r="I546" s="28" t="s">
        <v>516</v>
      </c>
      <c r="J546" s="28" t="s">
        <v>517</v>
      </c>
      <c r="K546" s="28" t="s">
        <v>518</v>
      </c>
      <c r="L546" s="28" t="s">
        <v>1097</v>
      </c>
      <c r="M546" s="28" t="s">
        <v>520</v>
      </c>
      <c r="N546" s="28" t="s">
        <v>544</v>
      </c>
      <c r="O546" s="28" t="s">
        <v>559</v>
      </c>
      <c r="S546" s="28" t="s">
        <v>928</v>
      </c>
      <c r="T546" s="28" t="s">
        <v>1098</v>
      </c>
      <c r="U546" s="28" t="s">
        <v>1098</v>
      </c>
      <c r="V546" s="28" t="s">
        <v>517</v>
      </c>
      <c r="W546" s="28" t="s">
        <v>2646</v>
      </c>
      <c r="X546" s="28" t="s">
        <v>670</v>
      </c>
      <c r="Z546" s="28" t="s">
        <v>563</v>
      </c>
      <c r="AB546" s="28" t="s">
        <v>527</v>
      </c>
      <c r="AD546" s="28" t="s">
        <v>528</v>
      </c>
      <c r="AF546" s="117" t="s">
        <v>2652</v>
      </c>
      <c r="AG546" s="28" t="s">
        <v>563</v>
      </c>
      <c r="AK546" s="60">
        <v>2</v>
      </c>
      <c r="AL546" s="28">
        <f>1/COUNTIF(Tableau6[LAT],B546)</f>
        <v>0.2</v>
      </c>
      <c r="AM546" s="60" t="b">
        <f t="shared" si="61"/>
        <v>0</v>
      </c>
      <c r="AN546" s="60" t="b">
        <f t="shared" si="62"/>
        <v>0</v>
      </c>
      <c r="AO546" s="60" t="b">
        <f t="shared" si="63"/>
        <v>0</v>
      </c>
      <c r="AP546" s="60" t="b">
        <f t="shared" si="64"/>
        <v>0</v>
      </c>
      <c r="AQ546" s="60" t="b">
        <f t="shared" si="65"/>
        <v>0</v>
      </c>
      <c r="AR546" s="60" t="str">
        <f t="shared" si="59"/>
        <v>No</v>
      </c>
      <c r="AS546" s="60" t="str">
        <f t="shared" si="60"/>
        <v>No</v>
      </c>
    </row>
    <row r="547" spans="1:45" hidden="1">
      <c r="A547" s="103">
        <v>45243</v>
      </c>
      <c r="B547" s="117" t="s">
        <v>2647</v>
      </c>
      <c r="C547" s="28" t="s">
        <v>691</v>
      </c>
      <c r="D547" s="28" t="s">
        <v>2653</v>
      </c>
      <c r="E547" s="28" t="s">
        <v>2645</v>
      </c>
      <c r="F547" s="28" t="s">
        <v>2649</v>
      </c>
      <c r="G547" s="28" t="s">
        <v>514</v>
      </c>
      <c r="H547" s="28" t="s">
        <v>808</v>
      </c>
      <c r="I547" s="28" t="s">
        <v>516</v>
      </c>
      <c r="J547" s="28" t="s">
        <v>517</v>
      </c>
      <c r="K547" s="28" t="s">
        <v>518</v>
      </c>
      <c r="L547" s="28" t="s">
        <v>1097</v>
      </c>
      <c r="M547" s="28" t="s">
        <v>520</v>
      </c>
      <c r="N547" s="28" t="s">
        <v>544</v>
      </c>
      <c r="O547" s="28" t="s">
        <v>559</v>
      </c>
      <c r="S547" s="28" t="s">
        <v>928</v>
      </c>
      <c r="T547" s="28" t="s">
        <v>1098</v>
      </c>
      <c r="U547" s="28" t="s">
        <v>1098</v>
      </c>
      <c r="V547" s="28" t="s">
        <v>517</v>
      </c>
      <c r="W547" s="28" t="s">
        <v>2646</v>
      </c>
      <c r="X547" s="28" t="s">
        <v>670</v>
      </c>
      <c r="Z547" s="28" t="s">
        <v>563</v>
      </c>
      <c r="AB547" s="28" t="s">
        <v>527</v>
      </c>
      <c r="AD547" s="28" t="s">
        <v>528</v>
      </c>
      <c r="AF547" s="117" t="s">
        <v>2653</v>
      </c>
      <c r="AG547" s="28" t="s">
        <v>563</v>
      </c>
      <c r="AK547" s="60">
        <v>2</v>
      </c>
      <c r="AL547" s="28">
        <f>1/COUNTIF(Tableau6[LAT],B547)</f>
        <v>0.2</v>
      </c>
      <c r="AM547" s="60" t="b">
        <f t="shared" si="61"/>
        <v>0</v>
      </c>
      <c r="AN547" s="60" t="b">
        <f t="shared" si="62"/>
        <v>0</v>
      </c>
      <c r="AO547" s="60" t="b">
        <f t="shared" si="63"/>
        <v>0</v>
      </c>
      <c r="AP547" s="60" t="b">
        <f t="shared" si="64"/>
        <v>0</v>
      </c>
      <c r="AQ547" s="60" t="b">
        <f t="shared" si="65"/>
        <v>0</v>
      </c>
      <c r="AR547" s="60" t="str">
        <f t="shared" si="59"/>
        <v>No</v>
      </c>
      <c r="AS547" s="60" t="str">
        <f t="shared" si="60"/>
        <v>No</v>
      </c>
    </row>
    <row r="548" spans="1:45" hidden="1">
      <c r="A548" s="103">
        <v>45243</v>
      </c>
      <c r="B548" s="117" t="s">
        <v>2647</v>
      </c>
      <c r="C548" s="28" t="s">
        <v>859</v>
      </c>
      <c r="D548" s="28" t="s">
        <v>2654</v>
      </c>
      <c r="E548" s="28" t="s">
        <v>2645</v>
      </c>
      <c r="F548" s="28" t="s">
        <v>2649</v>
      </c>
      <c r="G548" s="28" t="s">
        <v>514</v>
      </c>
      <c r="H548" s="28" t="s">
        <v>808</v>
      </c>
      <c r="I548" s="28" t="s">
        <v>516</v>
      </c>
      <c r="J548" s="28" t="s">
        <v>517</v>
      </c>
      <c r="K548" s="28" t="s">
        <v>518</v>
      </c>
      <c r="L548" s="28" t="s">
        <v>1097</v>
      </c>
      <c r="M548" s="28" t="s">
        <v>520</v>
      </c>
      <c r="N548" s="28" t="s">
        <v>544</v>
      </c>
      <c r="O548" s="28" t="s">
        <v>559</v>
      </c>
      <c r="S548" s="28" t="s">
        <v>928</v>
      </c>
      <c r="T548" s="28" t="s">
        <v>1098</v>
      </c>
      <c r="U548" s="28" t="s">
        <v>1098</v>
      </c>
      <c r="V548" s="28" t="s">
        <v>517</v>
      </c>
      <c r="W548" s="28" t="s">
        <v>2646</v>
      </c>
      <c r="X548" s="28" t="s">
        <v>670</v>
      </c>
      <c r="Z548" s="28" t="s">
        <v>563</v>
      </c>
      <c r="AB548" s="28" t="s">
        <v>527</v>
      </c>
      <c r="AD548" s="28" t="s">
        <v>528</v>
      </c>
      <c r="AF548" s="117" t="s">
        <v>2654</v>
      </c>
      <c r="AG548" s="28" t="s">
        <v>563</v>
      </c>
      <c r="AK548" s="60">
        <v>2</v>
      </c>
      <c r="AL548" s="28">
        <f>1/COUNTIF(Tableau6[LAT],B548)</f>
        <v>0.2</v>
      </c>
      <c r="AM548" s="60" t="b">
        <f t="shared" si="61"/>
        <v>0</v>
      </c>
      <c r="AN548" s="60" t="b">
        <f t="shared" si="62"/>
        <v>0</v>
      </c>
      <c r="AO548" s="60" t="b">
        <f t="shared" si="63"/>
        <v>0</v>
      </c>
      <c r="AP548" s="60" t="b">
        <f t="shared" si="64"/>
        <v>0</v>
      </c>
      <c r="AQ548" s="60" t="b">
        <f t="shared" si="65"/>
        <v>0</v>
      </c>
      <c r="AR548" s="60" t="str">
        <f t="shared" si="59"/>
        <v>No</v>
      </c>
      <c r="AS548" s="60" t="str">
        <f t="shared" si="60"/>
        <v>No</v>
      </c>
    </row>
    <row r="549" spans="1:45" hidden="1">
      <c r="A549" s="103">
        <v>45243</v>
      </c>
      <c r="B549" s="117" t="s">
        <v>2655</v>
      </c>
      <c r="C549" s="28" t="s">
        <v>511</v>
      </c>
      <c r="D549" s="28" t="s">
        <v>2656</v>
      </c>
      <c r="F549" s="28" t="s">
        <v>2657</v>
      </c>
      <c r="G549" s="28" t="s">
        <v>514</v>
      </c>
      <c r="H549" s="28" t="s">
        <v>725</v>
      </c>
      <c r="I549" s="28" t="s">
        <v>516</v>
      </c>
      <c r="J549" s="28" t="s">
        <v>517</v>
      </c>
      <c r="K549" s="28" t="s">
        <v>518</v>
      </c>
      <c r="L549" s="28" t="s">
        <v>731</v>
      </c>
      <c r="M549" s="28" t="s">
        <v>535</v>
      </c>
      <c r="N549" s="28" t="s">
        <v>557</v>
      </c>
      <c r="O549" s="28" t="s">
        <v>544</v>
      </c>
      <c r="P549" s="28" t="s">
        <v>522</v>
      </c>
      <c r="S549" s="28" t="s">
        <v>1402</v>
      </c>
      <c r="T549" s="28" t="s">
        <v>733</v>
      </c>
      <c r="U549" s="28" t="s">
        <v>733</v>
      </c>
      <c r="V549" s="28" t="s">
        <v>517</v>
      </c>
      <c r="W549" s="28" t="s">
        <v>2658</v>
      </c>
      <c r="Z549" s="28" t="s">
        <v>563</v>
      </c>
      <c r="AB549" s="28" t="s">
        <v>527</v>
      </c>
      <c r="AD549" s="28" t="s">
        <v>528</v>
      </c>
      <c r="AF549" s="117" t="s">
        <v>2656</v>
      </c>
      <c r="AG549" s="28" t="s">
        <v>563</v>
      </c>
      <c r="AK549" s="60">
        <v>2</v>
      </c>
      <c r="AL549" s="28">
        <f>1/COUNTIF(Tableau6[LAT],B549)</f>
        <v>1</v>
      </c>
      <c r="AM549" s="60" t="b">
        <f t="shared" si="61"/>
        <v>0</v>
      </c>
      <c r="AN549" s="60" t="b">
        <f t="shared" si="62"/>
        <v>0</v>
      </c>
      <c r="AO549" s="60" t="b">
        <f t="shared" si="63"/>
        <v>0</v>
      </c>
      <c r="AP549" s="60" t="b">
        <f t="shared" si="64"/>
        <v>0</v>
      </c>
      <c r="AQ549" s="60" t="b">
        <f t="shared" si="65"/>
        <v>0</v>
      </c>
      <c r="AR549" s="60" t="str">
        <f t="shared" si="59"/>
        <v>No</v>
      </c>
      <c r="AS549" s="60" t="str">
        <f t="shared" si="60"/>
        <v>No</v>
      </c>
    </row>
    <row r="550" spans="1:45" hidden="1">
      <c r="A550" s="103">
        <v>45243</v>
      </c>
      <c r="B550" s="117" t="s">
        <v>2659</v>
      </c>
      <c r="C550" s="28" t="s">
        <v>511</v>
      </c>
      <c r="D550" s="28" t="s">
        <v>2660</v>
      </c>
      <c r="F550" s="28" t="s">
        <v>2661</v>
      </c>
      <c r="G550" s="28" t="s">
        <v>514</v>
      </c>
      <c r="H550" s="28" t="s">
        <v>624</v>
      </c>
      <c r="I550" s="28" t="s">
        <v>516</v>
      </c>
      <c r="J550" s="28" t="s">
        <v>517</v>
      </c>
      <c r="K550" s="28" t="s">
        <v>518</v>
      </c>
      <c r="L550" s="28" t="s">
        <v>2662</v>
      </c>
      <c r="M550" s="28" t="s">
        <v>535</v>
      </c>
      <c r="N550" s="28" t="s">
        <v>521</v>
      </c>
      <c r="O550" s="28" t="s">
        <v>544</v>
      </c>
      <c r="P550" s="28" t="s">
        <v>522</v>
      </c>
      <c r="S550" s="28" t="s">
        <v>1158</v>
      </c>
      <c r="T550" s="28" t="s">
        <v>2663</v>
      </c>
      <c r="U550" s="28" t="s">
        <v>2663</v>
      </c>
      <c r="V550" s="28" t="s">
        <v>517</v>
      </c>
      <c r="W550" s="28" t="s">
        <v>2664</v>
      </c>
      <c r="Z550" s="28" t="s">
        <v>563</v>
      </c>
      <c r="AB550" s="28" t="s">
        <v>527</v>
      </c>
      <c r="AD550" s="28" t="s">
        <v>528</v>
      </c>
      <c r="AF550" s="117" t="s">
        <v>2660</v>
      </c>
      <c r="AG550" s="28" t="s">
        <v>563</v>
      </c>
      <c r="AK550" s="60">
        <v>2</v>
      </c>
      <c r="AL550" s="28">
        <f>1/COUNTIF(Tableau6[LAT],B550)</f>
        <v>1</v>
      </c>
      <c r="AM550" s="60" t="b">
        <f t="shared" si="61"/>
        <v>0</v>
      </c>
      <c r="AN550" s="60" t="b">
        <f t="shared" si="62"/>
        <v>0</v>
      </c>
      <c r="AO550" s="60" t="b">
        <f t="shared" si="63"/>
        <v>0</v>
      </c>
      <c r="AP550" s="60" t="b">
        <f t="shared" si="64"/>
        <v>0</v>
      </c>
      <c r="AQ550" s="60" t="b">
        <f t="shared" si="65"/>
        <v>0</v>
      </c>
      <c r="AR550" s="60" t="str">
        <f t="shared" si="59"/>
        <v>No</v>
      </c>
      <c r="AS550" s="60" t="str">
        <f t="shared" si="60"/>
        <v>No</v>
      </c>
    </row>
    <row r="551" spans="1:45" hidden="1">
      <c r="A551" s="103">
        <v>45243</v>
      </c>
      <c r="B551" s="117" t="s">
        <v>2665</v>
      </c>
      <c r="C551" s="28" t="s">
        <v>511</v>
      </c>
      <c r="D551" s="28" t="s">
        <v>2666</v>
      </c>
      <c r="F551" s="28" t="s">
        <v>2667</v>
      </c>
      <c r="G551" s="28" t="s">
        <v>514</v>
      </c>
      <c r="H551" s="28" t="s">
        <v>2668</v>
      </c>
      <c r="I551" s="28" t="s">
        <v>516</v>
      </c>
      <c r="J551" s="28" t="s">
        <v>517</v>
      </c>
      <c r="K551" s="28" t="s">
        <v>518</v>
      </c>
      <c r="L551" s="28" t="s">
        <v>2272</v>
      </c>
      <c r="M551" s="28" t="s">
        <v>535</v>
      </c>
      <c r="N551" s="28" t="s">
        <v>557</v>
      </c>
      <c r="O551" s="28" t="s">
        <v>559</v>
      </c>
      <c r="S551" s="28" t="s">
        <v>1402</v>
      </c>
      <c r="T551" s="28" t="s">
        <v>733</v>
      </c>
      <c r="U551" s="28" t="s">
        <v>733</v>
      </c>
      <c r="V551" s="28" t="s">
        <v>517</v>
      </c>
      <c r="W551" s="28" t="s">
        <v>821</v>
      </c>
      <c r="Z551" s="28" t="s">
        <v>563</v>
      </c>
      <c r="AB551" s="28" t="s">
        <v>527</v>
      </c>
      <c r="AD551" s="28" t="s">
        <v>528</v>
      </c>
      <c r="AF551" s="117" t="s">
        <v>2666</v>
      </c>
      <c r="AG551" s="28" t="s">
        <v>563</v>
      </c>
      <c r="AK551" s="60">
        <v>2</v>
      </c>
      <c r="AL551" s="28">
        <f>1/COUNTIF(Tableau6[LAT],B551)</f>
        <v>0.14285714285714285</v>
      </c>
      <c r="AM551" s="60" t="b">
        <f t="shared" si="61"/>
        <v>0</v>
      </c>
      <c r="AN551" s="60" t="b">
        <f t="shared" si="62"/>
        <v>0</v>
      </c>
      <c r="AO551" s="60" t="b">
        <f t="shared" si="63"/>
        <v>0</v>
      </c>
      <c r="AP551" s="60" t="b">
        <f t="shared" si="64"/>
        <v>0</v>
      </c>
      <c r="AQ551" s="60" t="b">
        <f t="shared" si="65"/>
        <v>0</v>
      </c>
      <c r="AR551" s="60" t="str">
        <f t="shared" si="59"/>
        <v>No</v>
      </c>
      <c r="AS551" s="60" t="str">
        <f t="shared" si="60"/>
        <v>No</v>
      </c>
    </row>
    <row r="552" spans="1:45" hidden="1">
      <c r="A552" s="103">
        <v>45243</v>
      </c>
      <c r="B552" s="117" t="s">
        <v>2665</v>
      </c>
      <c r="C552" s="28" t="s">
        <v>548</v>
      </c>
      <c r="D552" s="28" t="s">
        <v>2669</v>
      </c>
      <c r="F552" s="28" t="s">
        <v>2667</v>
      </c>
      <c r="G552" s="28" t="s">
        <v>514</v>
      </c>
      <c r="H552" s="28" t="s">
        <v>2668</v>
      </c>
      <c r="I552" s="28" t="s">
        <v>516</v>
      </c>
      <c r="J552" s="28" t="s">
        <v>517</v>
      </c>
      <c r="K552" s="28" t="s">
        <v>518</v>
      </c>
      <c r="L552" s="28" t="s">
        <v>2272</v>
      </c>
      <c r="M552" s="28" t="s">
        <v>535</v>
      </c>
      <c r="N552" s="28" t="s">
        <v>557</v>
      </c>
      <c r="O552" s="28" t="s">
        <v>559</v>
      </c>
      <c r="S552" s="28" t="s">
        <v>1402</v>
      </c>
      <c r="T552" s="28" t="s">
        <v>733</v>
      </c>
      <c r="U552" s="28" t="s">
        <v>733</v>
      </c>
      <c r="V552" s="28" t="s">
        <v>517</v>
      </c>
      <c r="W552" s="28" t="s">
        <v>821</v>
      </c>
      <c r="Z552" s="28" t="s">
        <v>563</v>
      </c>
      <c r="AB552" s="28" t="s">
        <v>527</v>
      </c>
      <c r="AD552" s="28" t="s">
        <v>528</v>
      </c>
      <c r="AF552" s="117" t="s">
        <v>2669</v>
      </c>
      <c r="AG552" s="28" t="s">
        <v>563</v>
      </c>
      <c r="AK552" s="60">
        <v>2</v>
      </c>
      <c r="AL552" s="28">
        <f>1/COUNTIF(Tableau6[LAT],B552)</f>
        <v>0.14285714285714285</v>
      </c>
      <c r="AM552" s="60" t="b">
        <f t="shared" si="61"/>
        <v>0</v>
      </c>
      <c r="AN552" s="60" t="b">
        <f t="shared" si="62"/>
        <v>0</v>
      </c>
      <c r="AO552" s="60" t="b">
        <f t="shared" si="63"/>
        <v>0</v>
      </c>
      <c r="AP552" s="60" t="b">
        <f t="shared" si="64"/>
        <v>0</v>
      </c>
      <c r="AQ552" s="60" t="b">
        <f t="shared" si="65"/>
        <v>0</v>
      </c>
      <c r="AR552" s="60" t="str">
        <f t="shared" si="59"/>
        <v>No</v>
      </c>
      <c r="AS552" s="60" t="str">
        <f t="shared" si="60"/>
        <v>No</v>
      </c>
    </row>
    <row r="553" spans="1:45" hidden="1">
      <c r="A553" s="103">
        <v>45243</v>
      </c>
      <c r="B553" s="117" t="s">
        <v>2665</v>
      </c>
      <c r="C553" s="28" t="s">
        <v>612</v>
      </c>
      <c r="D553" s="28" t="s">
        <v>2670</v>
      </c>
      <c r="F553" s="28" t="s">
        <v>2671</v>
      </c>
      <c r="G553" s="28" t="s">
        <v>1456</v>
      </c>
      <c r="H553" s="28" t="s">
        <v>2672</v>
      </c>
      <c r="I553" s="28" t="s">
        <v>516</v>
      </c>
      <c r="J553" s="28" t="s">
        <v>517</v>
      </c>
      <c r="K553" s="28" t="s">
        <v>518</v>
      </c>
      <c r="L553" s="28" t="s">
        <v>2272</v>
      </c>
      <c r="M553" s="28" t="s">
        <v>535</v>
      </c>
      <c r="N553" s="28" t="s">
        <v>557</v>
      </c>
      <c r="O553" s="28" t="s">
        <v>559</v>
      </c>
      <c r="S553" s="28" t="s">
        <v>1402</v>
      </c>
      <c r="T553" s="28" t="s">
        <v>733</v>
      </c>
      <c r="U553" s="28" t="s">
        <v>733</v>
      </c>
      <c r="V553" s="28" t="s">
        <v>517</v>
      </c>
      <c r="W553" s="28" t="s">
        <v>821</v>
      </c>
      <c r="Z553" s="28" t="s">
        <v>563</v>
      </c>
      <c r="AB553" s="28" t="s">
        <v>527</v>
      </c>
      <c r="AD553" s="28" t="s">
        <v>528</v>
      </c>
      <c r="AF553" s="117" t="s">
        <v>2670</v>
      </c>
      <c r="AG553" s="28" t="s">
        <v>563</v>
      </c>
      <c r="AK553" s="60">
        <v>2</v>
      </c>
      <c r="AL553" s="28">
        <f>1/COUNTIF(Tableau6[LAT],B553)</f>
        <v>0.14285714285714285</v>
      </c>
      <c r="AM553" s="60" t="b">
        <f t="shared" si="61"/>
        <v>0</v>
      </c>
      <c r="AN553" s="60" t="b">
        <f t="shared" si="62"/>
        <v>0</v>
      </c>
      <c r="AO553" s="60" t="b">
        <f t="shared" si="63"/>
        <v>0</v>
      </c>
      <c r="AP553" s="60" t="b">
        <f t="shared" si="64"/>
        <v>0</v>
      </c>
      <c r="AQ553" s="60" t="b">
        <f t="shared" si="65"/>
        <v>0</v>
      </c>
      <c r="AR553" s="60" t="str">
        <f t="shared" si="59"/>
        <v>No</v>
      </c>
      <c r="AS553" s="60" t="str">
        <f t="shared" si="60"/>
        <v>No</v>
      </c>
    </row>
    <row r="554" spans="1:45" hidden="1">
      <c r="A554" s="103">
        <v>45243</v>
      </c>
      <c r="B554" s="117" t="s">
        <v>2665</v>
      </c>
      <c r="C554" s="28" t="s">
        <v>691</v>
      </c>
      <c r="D554" s="28" t="s">
        <v>2673</v>
      </c>
      <c r="F554" s="28" t="s">
        <v>2674</v>
      </c>
      <c r="G554" s="28" t="s">
        <v>2675</v>
      </c>
      <c r="H554" s="28" t="s">
        <v>2676</v>
      </c>
      <c r="I554" s="28" t="s">
        <v>516</v>
      </c>
      <c r="J554" s="28" t="s">
        <v>517</v>
      </c>
      <c r="K554" s="28" t="s">
        <v>518</v>
      </c>
      <c r="L554" s="28" t="s">
        <v>2272</v>
      </c>
      <c r="M554" s="28" t="s">
        <v>535</v>
      </c>
      <c r="N554" s="28" t="s">
        <v>557</v>
      </c>
      <c r="O554" s="28" t="s">
        <v>559</v>
      </c>
      <c r="S554" s="28" t="s">
        <v>1402</v>
      </c>
      <c r="T554" s="28" t="s">
        <v>733</v>
      </c>
      <c r="U554" s="28" t="s">
        <v>733</v>
      </c>
      <c r="V554" s="28" t="s">
        <v>517</v>
      </c>
      <c r="W554" s="28" t="s">
        <v>821</v>
      </c>
      <c r="Z554" s="28" t="s">
        <v>563</v>
      </c>
      <c r="AB554" s="28" t="s">
        <v>527</v>
      </c>
      <c r="AD554" s="28" t="s">
        <v>528</v>
      </c>
      <c r="AF554" s="117" t="s">
        <v>2673</v>
      </c>
      <c r="AG554" s="28" t="s">
        <v>563</v>
      </c>
      <c r="AK554" s="60">
        <v>2</v>
      </c>
      <c r="AL554" s="28">
        <f>1/COUNTIF(Tableau6[LAT],B554)</f>
        <v>0.14285714285714285</v>
      </c>
      <c r="AM554" s="60" t="b">
        <f t="shared" si="61"/>
        <v>0</v>
      </c>
      <c r="AN554" s="60" t="b">
        <f t="shared" si="62"/>
        <v>0</v>
      </c>
      <c r="AO554" s="60" t="b">
        <f t="shared" si="63"/>
        <v>0</v>
      </c>
      <c r="AP554" s="60" t="b">
        <f t="shared" si="64"/>
        <v>0</v>
      </c>
      <c r="AQ554" s="60" t="b">
        <f t="shared" si="65"/>
        <v>0</v>
      </c>
      <c r="AR554" s="60" t="str">
        <f t="shared" si="59"/>
        <v>No</v>
      </c>
      <c r="AS554" s="60" t="str">
        <f t="shared" si="60"/>
        <v>No</v>
      </c>
    </row>
    <row r="555" spans="1:45" hidden="1">
      <c r="A555" s="103">
        <v>45243</v>
      </c>
      <c r="B555" s="117" t="s">
        <v>2665</v>
      </c>
      <c r="C555" s="28" t="s">
        <v>859</v>
      </c>
      <c r="D555" s="28" t="s">
        <v>2677</v>
      </c>
      <c r="F555" s="28" t="s">
        <v>2678</v>
      </c>
      <c r="G555" s="28" t="s">
        <v>958</v>
      </c>
      <c r="H555" s="28" t="s">
        <v>2679</v>
      </c>
      <c r="I555" s="28" t="s">
        <v>516</v>
      </c>
      <c r="J555" s="28" t="s">
        <v>517</v>
      </c>
      <c r="K555" s="28" t="s">
        <v>518</v>
      </c>
      <c r="L555" s="28" t="s">
        <v>2272</v>
      </c>
      <c r="M555" s="28" t="s">
        <v>535</v>
      </c>
      <c r="N555" s="28" t="s">
        <v>557</v>
      </c>
      <c r="O555" s="28" t="s">
        <v>559</v>
      </c>
      <c r="S555" s="28" t="s">
        <v>1402</v>
      </c>
      <c r="T555" s="28" t="s">
        <v>733</v>
      </c>
      <c r="U555" s="28" t="s">
        <v>733</v>
      </c>
      <c r="V555" s="28" t="s">
        <v>517</v>
      </c>
      <c r="W555" s="28" t="s">
        <v>821</v>
      </c>
      <c r="Z555" s="28" t="s">
        <v>563</v>
      </c>
      <c r="AB555" s="28" t="s">
        <v>527</v>
      </c>
      <c r="AD555" s="28" t="s">
        <v>528</v>
      </c>
      <c r="AF555" s="117" t="s">
        <v>2677</v>
      </c>
      <c r="AG555" s="28" t="s">
        <v>563</v>
      </c>
      <c r="AK555" s="60">
        <v>2</v>
      </c>
      <c r="AL555" s="28">
        <f>1/COUNTIF(Tableau6[LAT],B555)</f>
        <v>0.14285714285714285</v>
      </c>
      <c r="AM555" s="60" t="b">
        <f t="shared" si="61"/>
        <v>0</v>
      </c>
      <c r="AN555" s="60" t="b">
        <f t="shared" si="62"/>
        <v>0</v>
      </c>
      <c r="AO555" s="60" t="b">
        <f t="shared" si="63"/>
        <v>0</v>
      </c>
      <c r="AP555" s="60" t="b">
        <f t="shared" si="64"/>
        <v>0</v>
      </c>
      <c r="AQ555" s="60" t="b">
        <f t="shared" si="65"/>
        <v>0</v>
      </c>
      <c r="AR555" s="60" t="str">
        <f t="shared" si="59"/>
        <v>No</v>
      </c>
      <c r="AS555" s="60" t="str">
        <f t="shared" si="60"/>
        <v>No</v>
      </c>
    </row>
    <row r="556" spans="1:45" hidden="1">
      <c r="A556" s="103">
        <v>45243</v>
      </c>
      <c r="B556" s="117" t="s">
        <v>2665</v>
      </c>
      <c r="C556" s="28" t="s">
        <v>861</v>
      </c>
      <c r="D556" s="28" t="s">
        <v>2680</v>
      </c>
      <c r="F556" s="28" t="s">
        <v>2667</v>
      </c>
      <c r="G556" s="28" t="s">
        <v>514</v>
      </c>
      <c r="H556" s="28" t="s">
        <v>2668</v>
      </c>
      <c r="I556" s="28" t="s">
        <v>516</v>
      </c>
      <c r="J556" s="28" t="s">
        <v>517</v>
      </c>
      <c r="K556" s="28" t="s">
        <v>518</v>
      </c>
      <c r="L556" s="28" t="s">
        <v>2272</v>
      </c>
      <c r="M556" s="28" t="s">
        <v>535</v>
      </c>
      <c r="N556" s="28" t="s">
        <v>557</v>
      </c>
      <c r="O556" s="28" t="s">
        <v>559</v>
      </c>
      <c r="S556" s="28" t="s">
        <v>1402</v>
      </c>
      <c r="T556" s="28" t="s">
        <v>733</v>
      </c>
      <c r="U556" s="28" t="s">
        <v>733</v>
      </c>
      <c r="V556" s="28" t="s">
        <v>517</v>
      </c>
      <c r="W556" s="28" t="s">
        <v>821</v>
      </c>
      <c r="Z556" s="28" t="s">
        <v>563</v>
      </c>
      <c r="AB556" s="28" t="s">
        <v>527</v>
      </c>
      <c r="AD556" s="28" t="s">
        <v>528</v>
      </c>
      <c r="AF556" s="117" t="s">
        <v>2680</v>
      </c>
      <c r="AG556" s="28" t="s">
        <v>563</v>
      </c>
      <c r="AK556" s="60">
        <v>2</v>
      </c>
      <c r="AL556" s="28">
        <f>1/COUNTIF(Tableau6[LAT],B556)</f>
        <v>0.14285714285714285</v>
      </c>
      <c r="AM556" s="60" t="b">
        <f t="shared" si="61"/>
        <v>0</v>
      </c>
      <c r="AN556" s="60" t="b">
        <f t="shared" si="62"/>
        <v>0</v>
      </c>
      <c r="AO556" s="60" t="b">
        <f t="shared" si="63"/>
        <v>0</v>
      </c>
      <c r="AP556" s="60" t="b">
        <f t="shared" si="64"/>
        <v>0</v>
      </c>
      <c r="AQ556" s="60" t="b">
        <f t="shared" si="65"/>
        <v>0</v>
      </c>
      <c r="AR556" s="60" t="str">
        <f t="shared" si="59"/>
        <v>No</v>
      </c>
      <c r="AS556" s="60" t="str">
        <f t="shared" si="60"/>
        <v>No</v>
      </c>
    </row>
    <row r="557" spans="1:45" hidden="1">
      <c r="A557" s="103">
        <v>45243</v>
      </c>
      <c r="B557" s="117" t="s">
        <v>2665</v>
      </c>
      <c r="D557" s="28" t="s">
        <v>2681</v>
      </c>
      <c r="F557" s="28" t="s">
        <v>2667</v>
      </c>
      <c r="G557" s="28" t="s">
        <v>514</v>
      </c>
      <c r="H557" s="28" t="s">
        <v>2668</v>
      </c>
      <c r="I557" s="28" t="s">
        <v>516</v>
      </c>
      <c r="J557" s="28" t="s">
        <v>517</v>
      </c>
      <c r="K557" s="28" t="s">
        <v>518</v>
      </c>
      <c r="L557" s="28" t="s">
        <v>2272</v>
      </c>
      <c r="M557" s="28" t="s">
        <v>535</v>
      </c>
      <c r="N557" s="28" t="s">
        <v>557</v>
      </c>
      <c r="O557" s="28" t="s">
        <v>559</v>
      </c>
      <c r="S557" s="28" t="s">
        <v>1402</v>
      </c>
      <c r="T557" s="28" t="s">
        <v>733</v>
      </c>
      <c r="U557" s="28" t="s">
        <v>733</v>
      </c>
      <c r="V557" s="28" t="s">
        <v>517</v>
      </c>
      <c r="W557" s="28" t="s">
        <v>821</v>
      </c>
      <c r="Z557" s="28" t="s">
        <v>563</v>
      </c>
      <c r="AB557" s="28" t="s">
        <v>527</v>
      </c>
      <c r="AD557" s="28" t="s">
        <v>528</v>
      </c>
      <c r="AF557" s="117" t="s">
        <v>2681</v>
      </c>
      <c r="AG557" s="28" t="s">
        <v>563</v>
      </c>
      <c r="AK557" s="60">
        <v>2</v>
      </c>
      <c r="AL557" s="28">
        <f>1/COUNTIF(Tableau6[LAT],B557)</f>
        <v>0.14285714285714285</v>
      </c>
      <c r="AM557" s="60" t="b">
        <f t="shared" si="61"/>
        <v>0</v>
      </c>
      <c r="AN557" s="60" t="b">
        <f t="shared" si="62"/>
        <v>0</v>
      </c>
      <c r="AO557" s="60" t="b">
        <f t="shared" si="63"/>
        <v>0</v>
      </c>
      <c r="AP557" s="60" t="b">
        <f t="shared" si="64"/>
        <v>0</v>
      </c>
      <c r="AQ557" s="60" t="b">
        <f t="shared" si="65"/>
        <v>0</v>
      </c>
      <c r="AR557" s="60" t="str">
        <f t="shared" si="59"/>
        <v>No</v>
      </c>
      <c r="AS557" s="60" t="str">
        <f t="shared" si="60"/>
        <v>No</v>
      </c>
    </row>
    <row r="558" spans="1:45" hidden="1">
      <c r="A558" s="103">
        <v>45243</v>
      </c>
      <c r="B558" s="117" t="s">
        <v>2682</v>
      </c>
      <c r="C558" s="28" t="s">
        <v>511</v>
      </c>
      <c r="D558" s="28" t="s">
        <v>2683</v>
      </c>
      <c r="F558" s="28" t="s">
        <v>2684</v>
      </c>
      <c r="G558" s="28" t="s">
        <v>2675</v>
      </c>
      <c r="H558" s="28" t="s">
        <v>2685</v>
      </c>
      <c r="I558" s="28" t="s">
        <v>516</v>
      </c>
      <c r="J558" s="28" t="s">
        <v>517</v>
      </c>
      <c r="K558" s="28" t="s">
        <v>518</v>
      </c>
      <c r="L558" s="28" t="s">
        <v>839</v>
      </c>
      <c r="M558" s="28" t="s">
        <v>520</v>
      </c>
      <c r="N558" s="28" t="s">
        <v>557</v>
      </c>
      <c r="O558" s="28" t="s">
        <v>559</v>
      </c>
      <c r="S558" s="28" t="s">
        <v>928</v>
      </c>
      <c r="T558" s="28" t="s">
        <v>840</v>
      </c>
      <c r="U558" s="28" t="s">
        <v>840</v>
      </c>
      <c r="V558" s="28" t="s">
        <v>517</v>
      </c>
      <c r="W558" s="28" t="s">
        <v>2686</v>
      </c>
      <c r="Z558" s="28" t="s">
        <v>563</v>
      </c>
      <c r="AB558" s="28" t="s">
        <v>527</v>
      </c>
      <c r="AD558" s="28" t="s">
        <v>528</v>
      </c>
      <c r="AF558" s="117"/>
      <c r="AG558" s="28" t="s">
        <v>563</v>
      </c>
      <c r="AK558" s="60">
        <v>2</v>
      </c>
      <c r="AL558" s="28">
        <f>1/COUNTIF(Tableau6[LAT],B558)</f>
        <v>0.33333333333333331</v>
      </c>
      <c r="AM558" s="60" t="b">
        <f t="shared" si="61"/>
        <v>0</v>
      </c>
      <c r="AN558" s="60" t="b">
        <f t="shared" si="62"/>
        <v>0</v>
      </c>
      <c r="AO558" s="60" t="b">
        <f t="shared" si="63"/>
        <v>0</v>
      </c>
      <c r="AP558" s="60" t="b">
        <f t="shared" si="64"/>
        <v>0</v>
      </c>
      <c r="AQ558" s="60" t="b">
        <f t="shared" si="65"/>
        <v>0</v>
      </c>
      <c r="AR558" s="60" t="str">
        <f t="shared" si="59"/>
        <v>No</v>
      </c>
      <c r="AS558" s="60" t="str">
        <f t="shared" si="60"/>
        <v>No</v>
      </c>
    </row>
    <row r="559" spans="1:45" hidden="1">
      <c r="A559" s="103">
        <v>45243</v>
      </c>
      <c r="B559" s="117" t="s">
        <v>2682</v>
      </c>
      <c r="C559" s="28" t="s">
        <v>548</v>
      </c>
      <c r="D559" s="28" t="s">
        <v>2687</v>
      </c>
      <c r="F559" s="28" t="s">
        <v>2688</v>
      </c>
      <c r="G559" s="28" t="s">
        <v>514</v>
      </c>
      <c r="H559" s="28" t="s">
        <v>1610</v>
      </c>
      <c r="I559" s="28" t="s">
        <v>516</v>
      </c>
      <c r="J559" s="28" t="s">
        <v>517</v>
      </c>
      <c r="K559" s="28" t="s">
        <v>518</v>
      </c>
      <c r="L559" s="28" t="s">
        <v>839</v>
      </c>
      <c r="M559" s="28" t="s">
        <v>520</v>
      </c>
      <c r="N559" s="28" t="s">
        <v>557</v>
      </c>
      <c r="O559" s="28" t="s">
        <v>559</v>
      </c>
      <c r="S559" s="28" t="s">
        <v>928</v>
      </c>
      <c r="T559" s="28" t="s">
        <v>840</v>
      </c>
      <c r="U559" s="28" t="s">
        <v>840</v>
      </c>
      <c r="V559" s="28" t="s">
        <v>517</v>
      </c>
      <c r="W559" s="28" t="s">
        <v>2689</v>
      </c>
      <c r="Z559" s="28" t="s">
        <v>563</v>
      </c>
      <c r="AB559" s="28" t="s">
        <v>527</v>
      </c>
      <c r="AD559" s="28" t="s">
        <v>528</v>
      </c>
      <c r="AF559" s="117" t="s">
        <v>2687</v>
      </c>
      <c r="AG559" s="28" t="s">
        <v>563</v>
      </c>
      <c r="AK559" s="60">
        <v>2</v>
      </c>
      <c r="AL559" s="28">
        <f>1/COUNTIF(Tableau6[LAT],B559)</f>
        <v>0.33333333333333331</v>
      </c>
      <c r="AM559" s="60" t="b">
        <f t="shared" si="61"/>
        <v>0</v>
      </c>
      <c r="AN559" s="60" t="b">
        <f t="shared" si="62"/>
        <v>0</v>
      </c>
      <c r="AO559" s="60" t="b">
        <f t="shared" si="63"/>
        <v>0</v>
      </c>
      <c r="AP559" s="60" t="b">
        <f t="shared" si="64"/>
        <v>0</v>
      </c>
      <c r="AQ559" s="60" t="b">
        <f t="shared" si="65"/>
        <v>0</v>
      </c>
      <c r="AR559" s="60" t="str">
        <f t="shared" si="59"/>
        <v>No</v>
      </c>
      <c r="AS559" s="60" t="str">
        <f t="shared" si="60"/>
        <v>No</v>
      </c>
    </row>
    <row r="560" spans="1:45" hidden="1">
      <c r="A560" s="103">
        <v>45243</v>
      </c>
      <c r="B560" s="117" t="s">
        <v>2682</v>
      </c>
      <c r="C560" s="28" t="s">
        <v>612</v>
      </c>
      <c r="D560" s="28" t="s">
        <v>2690</v>
      </c>
      <c r="F560" s="28" t="s">
        <v>2688</v>
      </c>
      <c r="G560" s="28" t="s">
        <v>514</v>
      </c>
      <c r="H560" s="28" t="s">
        <v>1610</v>
      </c>
      <c r="I560" s="28" t="s">
        <v>516</v>
      </c>
      <c r="J560" s="28" t="s">
        <v>517</v>
      </c>
      <c r="K560" s="28" t="s">
        <v>518</v>
      </c>
      <c r="L560" s="28" t="s">
        <v>839</v>
      </c>
      <c r="M560" s="28" t="s">
        <v>520</v>
      </c>
      <c r="N560" s="28" t="s">
        <v>557</v>
      </c>
      <c r="O560" s="28" t="s">
        <v>559</v>
      </c>
      <c r="S560" s="28" t="s">
        <v>928</v>
      </c>
      <c r="T560" s="28" t="s">
        <v>840</v>
      </c>
      <c r="U560" s="28" t="s">
        <v>840</v>
      </c>
      <c r="V560" s="28" t="s">
        <v>517</v>
      </c>
      <c r="W560" s="28" t="s">
        <v>2691</v>
      </c>
      <c r="Z560" s="28" t="s">
        <v>563</v>
      </c>
      <c r="AB560" s="28" t="s">
        <v>527</v>
      </c>
      <c r="AD560" s="28" t="s">
        <v>528</v>
      </c>
      <c r="AF560" s="117" t="s">
        <v>2690</v>
      </c>
      <c r="AG560" s="28" t="s">
        <v>563</v>
      </c>
      <c r="AK560" s="60">
        <v>2</v>
      </c>
      <c r="AL560" s="28">
        <f>1/COUNTIF(Tableau6[LAT],B560)</f>
        <v>0.33333333333333331</v>
      </c>
      <c r="AM560" s="60" t="b">
        <f t="shared" si="61"/>
        <v>0</v>
      </c>
      <c r="AN560" s="60" t="b">
        <f t="shared" si="62"/>
        <v>0</v>
      </c>
      <c r="AO560" s="60" t="b">
        <f t="shared" si="63"/>
        <v>0</v>
      </c>
      <c r="AP560" s="60" t="b">
        <f t="shared" si="64"/>
        <v>0</v>
      </c>
      <c r="AQ560" s="60" t="b">
        <f t="shared" si="65"/>
        <v>0</v>
      </c>
      <c r="AR560" s="60" t="str">
        <f t="shared" si="59"/>
        <v>No</v>
      </c>
      <c r="AS560" s="60" t="str">
        <f t="shared" si="60"/>
        <v>No</v>
      </c>
    </row>
    <row r="561" spans="1:45" hidden="1">
      <c r="A561" s="103">
        <v>45243</v>
      </c>
      <c r="B561" s="117" t="s">
        <v>2692</v>
      </c>
      <c r="C561" s="28" t="s">
        <v>511</v>
      </c>
      <c r="D561" s="28" t="s">
        <v>2693</v>
      </c>
      <c r="F561" s="28" t="s">
        <v>2694</v>
      </c>
      <c r="G561" s="28" t="s">
        <v>514</v>
      </c>
      <c r="H561" s="28" t="s">
        <v>819</v>
      </c>
      <c r="I561" s="28" t="s">
        <v>516</v>
      </c>
      <c r="J561" s="28" t="s">
        <v>517</v>
      </c>
      <c r="K561" s="28" t="s">
        <v>518</v>
      </c>
      <c r="L561" s="28" t="s">
        <v>697</v>
      </c>
      <c r="M561" s="28" t="s">
        <v>535</v>
      </c>
      <c r="N561" s="28" t="s">
        <v>557</v>
      </c>
      <c r="O561" s="28" t="s">
        <v>544</v>
      </c>
      <c r="P561" s="28" t="s">
        <v>522</v>
      </c>
      <c r="S561" s="28" t="s">
        <v>928</v>
      </c>
      <c r="T561" s="28" t="s">
        <v>699</v>
      </c>
      <c r="U561" s="28" t="s">
        <v>699</v>
      </c>
      <c r="V561" s="28" t="s">
        <v>517</v>
      </c>
      <c r="W561" s="28" t="s">
        <v>2695</v>
      </c>
      <c r="Z561" s="28" t="s">
        <v>563</v>
      </c>
      <c r="AB561" s="28" t="s">
        <v>527</v>
      </c>
      <c r="AD561" s="28" t="s">
        <v>528</v>
      </c>
      <c r="AF561" s="117" t="s">
        <v>2693</v>
      </c>
      <c r="AG561" s="28" t="s">
        <v>563</v>
      </c>
      <c r="AK561" s="60">
        <v>2</v>
      </c>
      <c r="AL561" s="28">
        <f>1/COUNTIF(Tableau6[LAT],B561)</f>
        <v>1</v>
      </c>
      <c r="AM561" s="60" t="b">
        <f t="shared" si="61"/>
        <v>0</v>
      </c>
      <c r="AN561" s="60" t="b">
        <f t="shared" si="62"/>
        <v>0</v>
      </c>
      <c r="AO561" s="60" t="b">
        <f t="shared" si="63"/>
        <v>0</v>
      </c>
      <c r="AP561" s="60" t="b">
        <f t="shared" si="64"/>
        <v>0</v>
      </c>
      <c r="AQ561" s="60" t="b">
        <f t="shared" si="65"/>
        <v>0</v>
      </c>
      <c r="AR561" s="60" t="str">
        <f t="shared" si="59"/>
        <v>No</v>
      </c>
      <c r="AS561" s="60" t="str">
        <f t="shared" si="60"/>
        <v>No</v>
      </c>
    </row>
    <row r="562" spans="1:45" ht="15" hidden="1">
      <c r="A562" s="103">
        <v>45243</v>
      </c>
      <c r="B562" s="117" t="s">
        <v>2696</v>
      </c>
      <c r="C562" s="28" t="s">
        <v>511</v>
      </c>
      <c r="D562" s="28" t="s">
        <v>2697</v>
      </c>
      <c r="E562" s="28" t="s">
        <v>1802</v>
      </c>
      <c r="F562" s="28" t="s">
        <v>2698</v>
      </c>
      <c r="G562" s="28" t="s">
        <v>514</v>
      </c>
      <c r="H562" s="28" t="s">
        <v>2699</v>
      </c>
      <c r="I562" s="28" t="s">
        <v>516</v>
      </c>
      <c r="J562" s="28" t="s">
        <v>517</v>
      </c>
      <c r="K562" s="28" t="s">
        <v>518</v>
      </c>
      <c r="L562" s="28" t="s">
        <v>1097</v>
      </c>
      <c r="M562" s="28" t="s">
        <v>535</v>
      </c>
      <c r="N562" s="28" t="s">
        <v>544</v>
      </c>
      <c r="S562" s="28" t="s">
        <v>928</v>
      </c>
      <c r="T562" s="28" t="s">
        <v>1098</v>
      </c>
      <c r="U562" s="28" t="s">
        <v>1098</v>
      </c>
      <c r="V562" s="28" t="s">
        <v>517</v>
      </c>
      <c r="W562" s="28" t="s">
        <v>1804</v>
      </c>
      <c r="X562" s="28" t="s">
        <v>670</v>
      </c>
      <c r="Z562" s="28" t="s">
        <v>563</v>
      </c>
      <c r="AB562" s="28" t="s">
        <v>527</v>
      </c>
      <c r="AD562" s="118" t="s">
        <v>528</v>
      </c>
      <c r="AE562" s="28" t="s">
        <v>563</v>
      </c>
      <c r="AF562" s="117" t="s">
        <v>2697</v>
      </c>
      <c r="AG562" s="28" t="s">
        <v>563</v>
      </c>
      <c r="AK562" s="60">
        <v>2</v>
      </c>
      <c r="AL562" s="28">
        <f>1/COUNTIF(Tableau6[LAT],B562)</f>
        <v>0.5</v>
      </c>
      <c r="AM562" s="60" t="b">
        <f t="shared" si="61"/>
        <v>0</v>
      </c>
      <c r="AN562" s="60" t="b">
        <f t="shared" si="62"/>
        <v>0</v>
      </c>
      <c r="AO562" s="60" t="b">
        <f t="shared" si="63"/>
        <v>0</v>
      </c>
      <c r="AP562" s="60" t="b">
        <f t="shared" si="64"/>
        <v>0</v>
      </c>
      <c r="AQ562" s="60" t="b">
        <f t="shared" si="65"/>
        <v>0</v>
      </c>
      <c r="AR562" s="60" t="str">
        <f t="shared" si="59"/>
        <v>No</v>
      </c>
      <c r="AS562" s="60" t="str">
        <f t="shared" si="60"/>
        <v>No</v>
      </c>
    </row>
    <row r="563" spans="1:45" ht="15" hidden="1">
      <c r="A563" s="103">
        <v>45243</v>
      </c>
      <c r="B563" s="117" t="s">
        <v>2696</v>
      </c>
      <c r="C563" s="28" t="s">
        <v>548</v>
      </c>
      <c r="D563" s="28" t="s">
        <v>2700</v>
      </c>
      <c r="E563" s="28" t="s">
        <v>1802</v>
      </c>
      <c r="F563" s="28" t="s">
        <v>2698</v>
      </c>
      <c r="G563" s="28" t="s">
        <v>514</v>
      </c>
      <c r="H563" s="28" t="s">
        <v>2701</v>
      </c>
      <c r="I563" s="28" t="s">
        <v>516</v>
      </c>
      <c r="J563" s="28" t="s">
        <v>517</v>
      </c>
      <c r="K563" s="28" t="s">
        <v>518</v>
      </c>
      <c r="L563" s="28" t="s">
        <v>1097</v>
      </c>
      <c r="M563" s="28" t="s">
        <v>535</v>
      </c>
      <c r="N563" s="28" t="s">
        <v>544</v>
      </c>
      <c r="S563" s="28" t="s">
        <v>928</v>
      </c>
      <c r="T563" s="28" t="s">
        <v>1098</v>
      </c>
      <c r="U563" s="28" t="s">
        <v>1098</v>
      </c>
      <c r="V563" s="28" t="s">
        <v>517</v>
      </c>
      <c r="W563" s="28" t="s">
        <v>1804</v>
      </c>
      <c r="X563" s="28" t="s">
        <v>670</v>
      </c>
      <c r="Z563" s="28" t="s">
        <v>563</v>
      </c>
      <c r="AB563" s="28" t="s">
        <v>527</v>
      </c>
      <c r="AD563" s="118" t="s">
        <v>528</v>
      </c>
      <c r="AE563" s="28" t="s">
        <v>563</v>
      </c>
      <c r="AF563" s="117" t="s">
        <v>2700</v>
      </c>
      <c r="AG563" s="28" t="s">
        <v>563</v>
      </c>
      <c r="AK563" s="60">
        <v>2</v>
      </c>
      <c r="AL563" s="28">
        <f>1/COUNTIF(Tableau6[LAT],B563)</f>
        <v>0.5</v>
      </c>
      <c r="AM563" s="60" t="b">
        <f t="shared" si="61"/>
        <v>0</v>
      </c>
      <c r="AN563" s="60" t="b">
        <f t="shared" si="62"/>
        <v>0</v>
      </c>
      <c r="AO563" s="60" t="b">
        <f t="shared" si="63"/>
        <v>0</v>
      </c>
      <c r="AP563" s="60" t="b">
        <f t="shared" si="64"/>
        <v>0</v>
      </c>
      <c r="AQ563" s="60" t="b">
        <f t="shared" si="65"/>
        <v>0</v>
      </c>
      <c r="AR563" s="60" t="str">
        <f t="shared" si="59"/>
        <v>No</v>
      </c>
      <c r="AS563" s="60" t="str">
        <f t="shared" si="60"/>
        <v>No</v>
      </c>
    </row>
    <row r="564" spans="1:45" ht="15" hidden="1">
      <c r="A564" s="103">
        <v>45243</v>
      </c>
      <c r="B564" s="117" t="s">
        <v>2702</v>
      </c>
      <c r="C564" s="28" t="s">
        <v>511</v>
      </c>
      <c r="D564" s="28" t="s">
        <v>2703</v>
      </c>
      <c r="F564" s="28" t="s">
        <v>2704</v>
      </c>
      <c r="G564" s="28" t="s">
        <v>514</v>
      </c>
      <c r="H564" s="28" t="s">
        <v>2699</v>
      </c>
      <c r="I564" s="28" t="s">
        <v>516</v>
      </c>
      <c r="J564" s="28" t="s">
        <v>517</v>
      </c>
      <c r="K564" s="28" t="s">
        <v>518</v>
      </c>
      <c r="L564" s="28" t="s">
        <v>596</v>
      </c>
      <c r="M564" s="28" t="s">
        <v>535</v>
      </c>
      <c r="N564" s="28" t="s">
        <v>544</v>
      </c>
      <c r="S564" s="28" t="s">
        <v>928</v>
      </c>
      <c r="T564" s="28" t="s">
        <v>597</v>
      </c>
      <c r="U564" s="28" t="s">
        <v>597</v>
      </c>
      <c r="V564" s="28" t="s">
        <v>517</v>
      </c>
      <c r="W564" s="28" t="s">
        <v>2705</v>
      </c>
      <c r="Z564" s="28" t="s">
        <v>563</v>
      </c>
      <c r="AB564" s="28" t="s">
        <v>527</v>
      </c>
      <c r="AD564" s="118" t="s">
        <v>528</v>
      </c>
      <c r="AE564" s="28" t="s">
        <v>563</v>
      </c>
      <c r="AF564" s="117" t="s">
        <v>2703</v>
      </c>
      <c r="AG564" s="28" t="s">
        <v>563</v>
      </c>
      <c r="AK564" s="60">
        <v>2</v>
      </c>
      <c r="AL564" s="28">
        <f>1/COUNTIF(Tableau6[LAT],B564)</f>
        <v>1</v>
      </c>
      <c r="AM564" s="60" t="b">
        <f t="shared" si="61"/>
        <v>0</v>
      </c>
      <c r="AN564" s="60" t="b">
        <f t="shared" si="62"/>
        <v>0</v>
      </c>
      <c r="AO564" s="60" t="b">
        <f t="shared" si="63"/>
        <v>0</v>
      </c>
      <c r="AP564" s="60" t="b">
        <f t="shared" si="64"/>
        <v>0</v>
      </c>
      <c r="AQ564" s="60" t="b">
        <f t="shared" si="65"/>
        <v>0</v>
      </c>
      <c r="AR564" s="60" t="str">
        <f t="shared" si="59"/>
        <v>No</v>
      </c>
      <c r="AS564" s="60" t="str">
        <f t="shared" si="60"/>
        <v>No</v>
      </c>
    </row>
    <row r="565" spans="1:45" ht="15" hidden="1">
      <c r="A565" s="103">
        <v>45243</v>
      </c>
      <c r="B565" s="117" t="s">
        <v>2706</v>
      </c>
      <c r="C565" s="28" t="s">
        <v>511</v>
      </c>
      <c r="D565" s="28" t="s">
        <v>2707</v>
      </c>
      <c r="F565" s="28" t="s">
        <v>2708</v>
      </c>
      <c r="G565" s="28" t="s">
        <v>514</v>
      </c>
      <c r="H565" s="28" t="s">
        <v>1610</v>
      </c>
      <c r="I565" s="28" t="s">
        <v>516</v>
      </c>
      <c r="J565" s="28" t="s">
        <v>517</v>
      </c>
      <c r="K565" s="28" t="s">
        <v>518</v>
      </c>
      <c r="L565" s="28" t="s">
        <v>596</v>
      </c>
      <c r="M565" s="28" t="s">
        <v>535</v>
      </c>
      <c r="N565" s="28" t="s">
        <v>557</v>
      </c>
      <c r="O565" s="28" t="s">
        <v>522</v>
      </c>
      <c r="S565" s="28" t="s">
        <v>928</v>
      </c>
      <c r="T565" s="28" t="s">
        <v>597</v>
      </c>
      <c r="U565" s="28" t="s">
        <v>597</v>
      </c>
      <c r="V565" s="28" t="s">
        <v>517</v>
      </c>
      <c r="W565" s="28" t="s">
        <v>2709</v>
      </c>
      <c r="Z565" s="28" t="s">
        <v>563</v>
      </c>
      <c r="AB565" s="28" t="s">
        <v>527</v>
      </c>
      <c r="AD565" s="118" t="s">
        <v>954</v>
      </c>
      <c r="AE565" s="28" t="s">
        <v>563</v>
      </c>
      <c r="AF565" s="117" t="s">
        <v>2707</v>
      </c>
      <c r="AG565" s="28" t="s">
        <v>563</v>
      </c>
      <c r="AK565" s="60">
        <v>2</v>
      </c>
      <c r="AL565" s="28">
        <f>1/COUNTIF(Tableau6[LAT],B565)</f>
        <v>1</v>
      </c>
      <c r="AM565" s="60" t="b">
        <f t="shared" si="61"/>
        <v>0</v>
      </c>
      <c r="AN565" s="60" t="b">
        <f t="shared" si="62"/>
        <v>0</v>
      </c>
      <c r="AO565" s="60" t="b">
        <f t="shared" si="63"/>
        <v>0</v>
      </c>
      <c r="AP565" s="60" t="b">
        <f t="shared" si="64"/>
        <v>0</v>
      </c>
      <c r="AQ565" s="60" t="b">
        <f t="shared" si="65"/>
        <v>0</v>
      </c>
      <c r="AR565" s="60" t="str">
        <f t="shared" si="59"/>
        <v>No</v>
      </c>
      <c r="AS565" s="60" t="str">
        <f t="shared" si="60"/>
        <v>No</v>
      </c>
    </row>
    <row r="566" spans="1:45" ht="15" hidden="1">
      <c r="A566" s="103">
        <v>45243</v>
      </c>
      <c r="B566" s="117" t="s">
        <v>2710</v>
      </c>
      <c r="C566" s="28" t="s">
        <v>511</v>
      </c>
      <c r="D566" s="28" t="s">
        <v>2711</v>
      </c>
      <c r="F566" s="28" t="s">
        <v>2712</v>
      </c>
      <c r="G566" s="28" t="s">
        <v>514</v>
      </c>
      <c r="H566" s="28" t="s">
        <v>1896</v>
      </c>
      <c r="I566" s="28" t="s">
        <v>516</v>
      </c>
      <c r="J566" s="28" t="s">
        <v>517</v>
      </c>
      <c r="K566" s="28" t="s">
        <v>518</v>
      </c>
      <c r="L566" s="28" t="s">
        <v>649</v>
      </c>
      <c r="M566" s="28" t="s">
        <v>535</v>
      </c>
      <c r="N566" s="28" t="s">
        <v>557</v>
      </c>
      <c r="O566" s="28" t="s">
        <v>522</v>
      </c>
      <c r="S566" s="28" t="s">
        <v>928</v>
      </c>
      <c r="T566" s="28" t="s">
        <v>651</v>
      </c>
      <c r="U566" s="28" t="s">
        <v>651</v>
      </c>
      <c r="V566" s="28" t="s">
        <v>517</v>
      </c>
      <c r="W566" s="28" t="s">
        <v>889</v>
      </c>
      <c r="Z566" s="28" t="s">
        <v>563</v>
      </c>
      <c r="AB566" s="28" t="s">
        <v>527</v>
      </c>
      <c r="AD566" s="118" t="s">
        <v>528</v>
      </c>
      <c r="AE566" s="28" t="s">
        <v>563</v>
      </c>
      <c r="AF566" s="117" t="s">
        <v>2711</v>
      </c>
      <c r="AG566" s="28" t="s">
        <v>563</v>
      </c>
      <c r="AK566" s="60">
        <v>2</v>
      </c>
      <c r="AL566" s="28">
        <f>1/COUNTIF(Tableau6[LAT],B566)</f>
        <v>1</v>
      </c>
      <c r="AM566" s="60" t="b">
        <f t="shared" si="61"/>
        <v>0</v>
      </c>
      <c r="AN566" s="60" t="b">
        <f t="shared" si="62"/>
        <v>0</v>
      </c>
      <c r="AO566" s="60" t="b">
        <f t="shared" si="63"/>
        <v>0</v>
      </c>
      <c r="AP566" s="60" t="b">
        <f t="shared" si="64"/>
        <v>0</v>
      </c>
      <c r="AQ566" s="60" t="b">
        <f t="shared" si="65"/>
        <v>0</v>
      </c>
      <c r="AR566" s="60" t="str">
        <f t="shared" si="59"/>
        <v>No</v>
      </c>
      <c r="AS566" s="60" t="str">
        <f t="shared" si="60"/>
        <v>No</v>
      </c>
    </row>
    <row r="567" spans="1:45" ht="15" hidden="1">
      <c r="A567" s="103">
        <v>45243</v>
      </c>
      <c r="B567" s="117" t="s">
        <v>2713</v>
      </c>
      <c r="C567" s="28" t="s">
        <v>511</v>
      </c>
      <c r="D567" s="28" t="s">
        <v>2714</v>
      </c>
      <c r="F567" s="28" t="s">
        <v>2715</v>
      </c>
      <c r="G567" s="28" t="s">
        <v>514</v>
      </c>
      <c r="H567" s="28" t="s">
        <v>738</v>
      </c>
      <c r="I567" s="28" t="s">
        <v>516</v>
      </c>
      <c r="J567" s="28" t="s">
        <v>517</v>
      </c>
      <c r="K567" s="28" t="s">
        <v>518</v>
      </c>
      <c r="L567" s="28" t="s">
        <v>1032</v>
      </c>
      <c r="M567" s="28" t="s">
        <v>535</v>
      </c>
      <c r="N567" s="28" t="s">
        <v>544</v>
      </c>
      <c r="O567" s="28" t="s">
        <v>559</v>
      </c>
      <c r="S567" s="28" t="s">
        <v>928</v>
      </c>
      <c r="T567" s="28" t="s">
        <v>545</v>
      </c>
      <c r="U567" s="28" t="s">
        <v>545</v>
      </c>
      <c r="V567" s="28" t="s">
        <v>517</v>
      </c>
      <c r="W567" s="28" t="s">
        <v>2716</v>
      </c>
      <c r="Z567" s="28" t="s">
        <v>563</v>
      </c>
      <c r="AB567" s="28" t="s">
        <v>527</v>
      </c>
      <c r="AD567" s="118"/>
      <c r="AE567" s="28" t="s">
        <v>563</v>
      </c>
      <c r="AF567" s="117" t="s">
        <v>1083</v>
      </c>
      <c r="AK567" s="60">
        <v>2</v>
      </c>
      <c r="AL567" s="28">
        <f>1/COUNTIF(Tableau6[LAT],B567)</f>
        <v>1</v>
      </c>
      <c r="AM567" s="60" t="b">
        <f t="shared" si="61"/>
        <v>0</v>
      </c>
      <c r="AN567" s="60" t="b">
        <f t="shared" si="62"/>
        <v>0</v>
      </c>
      <c r="AO567" s="60" t="b">
        <f t="shared" si="63"/>
        <v>0</v>
      </c>
      <c r="AP567" s="60" t="b">
        <f t="shared" si="64"/>
        <v>0</v>
      </c>
      <c r="AQ567" s="60" t="b">
        <f t="shared" si="65"/>
        <v>0</v>
      </c>
      <c r="AR567" s="60" t="str">
        <f t="shared" si="59"/>
        <v>No</v>
      </c>
      <c r="AS567" s="60" t="str">
        <f t="shared" si="60"/>
        <v>No</v>
      </c>
    </row>
    <row r="568" spans="1:45" ht="15" hidden="1">
      <c r="A568" s="103">
        <v>45243</v>
      </c>
      <c r="B568" s="117" t="s">
        <v>2717</v>
      </c>
      <c r="C568" s="28" t="s">
        <v>511</v>
      </c>
      <c r="D568" s="28" t="s">
        <v>2718</v>
      </c>
      <c r="E568" s="28" t="s">
        <v>1802</v>
      </c>
      <c r="F568" s="28" t="s">
        <v>2719</v>
      </c>
      <c r="G568" s="28" t="s">
        <v>514</v>
      </c>
      <c r="H568" s="28" t="s">
        <v>738</v>
      </c>
      <c r="I568" s="28" t="s">
        <v>516</v>
      </c>
      <c r="J568" s="28" t="s">
        <v>517</v>
      </c>
      <c r="K568" s="28" t="s">
        <v>518</v>
      </c>
      <c r="L568" s="28" t="s">
        <v>1097</v>
      </c>
      <c r="M568" s="28" t="s">
        <v>535</v>
      </c>
      <c r="N568" s="28" t="s">
        <v>544</v>
      </c>
      <c r="S568" s="28" t="s">
        <v>928</v>
      </c>
      <c r="T568" s="28" t="s">
        <v>1098</v>
      </c>
      <c r="U568" s="28" t="s">
        <v>1098</v>
      </c>
      <c r="V568" s="28" t="s">
        <v>517</v>
      </c>
      <c r="W568" s="28" t="s">
        <v>1804</v>
      </c>
      <c r="X568" s="28" t="s">
        <v>670</v>
      </c>
      <c r="Z568" s="28" t="s">
        <v>563</v>
      </c>
      <c r="AB568" s="28" t="s">
        <v>527</v>
      </c>
      <c r="AD568" s="118" t="s">
        <v>528</v>
      </c>
      <c r="AE568" s="28" t="s">
        <v>563</v>
      </c>
      <c r="AF568" s="117" t="s">
        <v>2718</v>
      </c>
      <c r="AG568" s="28" t="s">
        <v>563</v>
      </c>
      <c r="AK568" s="60">
        <v>2</v>
      </c>
      <c r="AL568" s="28">
        <f>1/COUNTIF(Tableau6[LAT],B568)</f>
        <v>1</v>
      </c>
      <c r="AM568" s="60" t="b">
        <f t="shared" si="61"/>
        <v>0</v>
      </c>
      <c r="AN568" s="60" t="b">
        <f t="shared" si="62"/>
        <v>0</v>
      </c>
      <c r="AO568" s="60" t="b">
        <f t="shared" si="63"/>
        <v>0</v>
      </c>
      <c r="AP568" s="60" t="b">
        <f t="shared" si="64"/>
        <v>0</v>
      </c>
      <c r="AQ568" s="60" t="b">
        <f t="shared" si="65"/>
        <v>0</v>
      </c>
      <c r="AR568" s="60" t="str">
        <f t="shared" si="59"/>
        <v>No</v>
      </c>
      <c r="AS568" s="60" t="str">
        <f t="shared" si="60"/>
        <v>No</v>
      </c>
    </row>
    <row r="569" spans="1:45" ht="15" hidden="1">
      <c r="A569" s="103">
        <v>45243</v>
      </c>
      <c r="B569" s="117" t="s">
        <v>2720</v>
      </c>
      <c r="C569" s="28" t="s">
        <v>511</v>
      </c>
      <c r="D569" s="28" t="s">
        <v>2721</v>
      </c>
      <c r="F569" s="28" t="s">
        <v>2722</v>
      </c>
      <c r="G569" s="28" t="s">
        <v>514</v>
      </c>
      <c r="H569" s="28" t="s">
        <v>2723</v>
      </c>
      <c r="I569" s="28" t="s">
        <v>516</v>
      </c>
      <c r="J569" s="28" t="s">
        <v>517</v>
      </c>
      <c r="K569" s="28" t="s">
        <v>518</v>
      </c>
      <c r="L569" s="28" t="s">
        <v>731</v>
      </c>
      <c r="M569" s="28" t="s">
        <v>535</v>
      </c>
      <c r="N569" s="28" t="s">
        <v>2724</v>
      </c>
      <c r="O569" s="28" t="s">
        <v>544</v>
      </c>
      <c r="S569" s="28" t="s">
        <v>928</v>
      </c>
      <c r="T569" s="28" t="s">
        <v>733</v>
      </c>
      <c r="U569" s="28" t="s">
        <v>733</v>
      </c>
      <c r="V569" s="28" t="s">
        <v>517</v>
      </c>
      <c r="W569" s="28" t="s">
        <v>2725</v>
      </c>
      <c r="Y569" s="28" t="s">
        <v>2726</v>
      </c>
      <c r="Z569" s="28" t="s">
        <v>563</v>
      </c>
      <c r="AB569" s="28" t="s">
        <v>527</v>
      </c>
      <c r="AD569" s="118" t="s">
        <v>528</v>
      </c>
      <c r="AE569" s="28" t="s">
        <v>563</v>
      </c>
      <c r="AF569" s="117" t="s">
        <v>2721</v>
      </c>
      <c r="AG569" s="28" t="s">
        <v>563</v>
      </c>
      <c r="AK569" s="60">
        <v>2</v>
      </c>
      <c r="AL569" s="28">
        <f>1/COUNTIF(Tableau6[LAT],B569)</f>
        <v>0.5</v>
      </c>
      <c r="AM569" s="60" t="str">
        <f t="shared" si="61"/>
        <v>Yes</v>
      </c>
      <c r="AN569" s="60" t="b">
        <f t="shared" si="62"/>
        <v>0</v>
      </c>
      <c r="AO569" s="60" t="b">
        <f t="shared" si="63"/>
        <v>0</v>
      </c>
      <c r="AP569" s="60" t="b">
        <f t="shared" si="64"/>
        <v>0</v>
      </c>
      <c r="AQ569" s="60" t="b">
        <f t="shared" si="65"/>
        <v>0</v>
      </c>
      <c r="AR569" s="60" t="str">
        <f t="shared" si="59"/>
        <v>Yes</v>
      </c>
      <c r="AS569" s="60" t="str">
        <f t="shared" si="60"/>
        <v>No</v>
      </c>
    </row>
    <row r="570" spans="1:45" ht="15" hidden="1">
      <c r="A570" s="103">
        <v>45243</v>
      </c>
      <c r="B570" s="117" t="s">
        <v>2720</v>
      </c>
      <c r="C570" s="28" t="s">
        <v>548</v>
      </c>
      <c r="D570" s="28" t="s">
        <v>2727</v>
      </c>
      <c r="F570" s="28" t="s">
        <v>2722</v>
      </c>
      <c r="G570" s="28" t="s">
        <v>514</v>
      </c>
      <c r="H570" s="28" t="s">
        <v>2723</v>
      </c>
      <c r="I570" s="28" t="s">
        <v>516</v>
      </c>
      <c r="J570" s="28" t="s">
        <v>517</v>
      </c>
      <c r="K570" s="28" t="s">
        <v>518</v>
      </c>
      <c r="L570" s="28" t="s">
        <v>731</v>
      </c>
      <c r="M570" s="28" t="s">
        <v>535</v>
      </c>
      <c r="N570" s="28" t="s">
        <v>2724</v>
      </c>
      <c r="O570" s="28" t="s">
        <v>544</v>
      </c>
      <c r="S570" s="28" t="s">
        <v>928</v>
      </c>
      <c r="T570" s="28" t="s">
        <v>733</v>
      </c>
      <c r="U570" s="28" t="s">
        <v>733</v>
      </c>
      <c r="V570" s="28" t="s">
        <v>517</v>
      </c>
      <c r="W570" s="28" t="s">
        <v>2728</v>
      </c>
      <c r="Y570" s="28" t="s">
        <v>2726</v>
      </c>
      <c r="Z570" s="28" t="s">
        <v>563</v>
      </c>
      <c r="AB570" s="28" t="s">
        <v>527</v>
      </c>
      <c r="AD570" s="118" t="s">
        <v>528</v>
      </c>
      <c r="AF570" s="117" t="s">
        <v>2727</v>
      </c>
      <c r="AG570" s="28" t="s">
        <v>563</v>
      </c>
      <c r="AK570" s="60">
        <v>2</v>
      </c>
      <c r="AL570" s="28">
        <f>1/COUNTIF(Tableau6[LAT],B570)</f>
        <v>0.5</v>
      </c>
      <c r="AM570" s="60" t="str">
        <f t="shared" si="61"/>
        <v>Yes</v>
      </c>
      <c r="AN570" s="60" t="b">
        <f t="shared" si="62"/>
        <v>0</v>
      </c>
      <c r="AO570" s="60" t="b">
        <f t="shared" si="63"/>
        <v>0</v>
      </c>
      <c r="AP570" s="60" t="b">
        <f t="shared" si="64"/>
        <v>0</v>
      </c>
      <c r="AQ570" s="60" t="b">
        <f t="shared" si="65"/>
        <v>0</v>
      </c>
      <c r="AR570" s="60" t="str">
        <f t="shared" si="59"/>
        <v>Yes</v>
      </c>
      <c r="AS570" s="60" t="str">
        <f t="shared" si="60"/>
        <v>No</v>
      </c>
    </row>
    <row r="571" spans="1:45" ht="15" hidden="1">
      <c r="A571" s="103">
        <v>45243</v>
      </c>
      <c r="B571" s="117" t="s">
        <v>2729</v>
      </c>
      <c r="C571" s="28" t="s">
        <v>511</v>
      </c>
      <c r="D571" s="28" t="s">
        <v>2730</v>
      </c>
      <c r="F571" s="28" t="s">
        <v>2731</v>
      </c>
      <c r="G571" s="28" t="s">
        <v>958</v>
      </c>
      <c r="H571" s="28" t="s">
        <v>2732</v>
      </c>
      <c r="I571" s="28" t="s">
        <v>516</v>
      </c>
      <c r="J571" s="28" t="s">
        <v>517</v>
      </c>
      <c r="K571" s="28" t="s">
        <v>518</v>
      </c>
      <c r="L571" s="28" t="s">
        <v>534</v>
      </c>
      <c r="M571" s="28" t="s">
        <v>535</v>
      </c>
      <c r="N571" s="28" t="s">
        <v>521</v>
      </c>
      <c r="O571" s="28" t="s">
        <v>522</v>
      </c>
      <c r="S571" s="28" t="s">
        <v>928</v>
      </c>
      <c r="T571" s="28" t="s">
        <v>537</v>
      </c>
      <c r="U571" s="28" t="s">
        <v>537</v>
      </c>
      <c r="V571" s="28" t="s">
        <v>517</v>
      </c>
      <c r="W571" s="28" t="s">
        <v>2733</v>
      </c>
      <c r="Z571" s="28" t="s">
        <v>526</v>
      </c>
      <c r="AD571" s="118" t="s">
        <v>528</v>
      </c>
      <c r="AE571" s="28" t="s">
        <v>529</v>
      </c>
      <c r="AF571" s="117" t="s">
        <v>2730</v>
      </c>
      <c r="AG571" s="28" t="s">
        <v>529</v>
      </c>
      <c r="AK571" s="60">
        <v>2</v>
      </c>
      <c r="AL571" s="28">
        <f>1/COUNTIF(Tableau6[LAT],B571)</f>
        <v>1</v>
      </c>
      <c r="AM571" s="60" t="b">
        <f t="shared" si="61"/>
        <v>0</v>
      </c>
      <c r="AN571" s="60" t="b">
        <f t="shared" si="62"/>
        <v>0</v>
      </c>
      <c r="AO571" s="60" t="b">
        <f t="shared" si="63"/>
        <v>0</v>
      </c>
      <c r="AP571" s="60" t="b">
        <f t="shared" si="64"/>
        <v>0</v>
      </c>
      <c r="AQ571" s="60" t="b">
        <f t="shared" si="65"/>
        <v>0</v>
      </c>
      <c r="AR571" s="60" t="str">
        <f t="shared" si="59"/>
        <v>No</v>
      </c>
      <c r="AS571" s="60" t="str">
        <f t="shared" si="60"/>
        <v>No</v>
      </c>
    </row>
    <row r="572" spans="1:45" ht="15" hidden="1">
      <c r="A572" s="103">
        <v>45243</v>
      </c>
      <c r="B572" s="117" t="s">
        <v>2734</v>
      </c>
      <c r="C572" s="28" t="s">
        <v>511</v>
      </c>
      <c r="D572" s="28" t="s">
        <v>2735</v>
      </c>
      <c r="F572" s="28" t="s">
        <v>2736</v>
      </c>
      <c r="G572" s="28" t="s">
        <v>958</v>
      </c>
      <c r="H572" s="28" t="s">
        <v>1187</v>
      </c>
      <c r="I572" s="28" t="s">
        <v>516</v>
      </c>
      <c r="J572" s="28" t="s">
        <v>517</v>
      </c>
      <c r="K572" s="28" t="s">
        <v>518</v>
      </c>
      <c r="L572" s="28" t="s">
        <v>1032</v>
      </c>
      <c r="M572" s="28" t="s">
        <v>535</v>
      </c>
      <c r="N572" s="28" t="s">
        <v>557</v>
      </c>
      <c r="O572" s="28" t="s">
        <v>544</v>
      </c>
      <c r="P572" s="28" t="s">
        <v>522</v>
      </c>
      <c r="S572" s="28" t="s">
        <v>928</v>
      </c>
      <c r="T572" s="28" t="s">
        <v>545</v>
      </c>
      <c r="U572" s="28" t="s">
        <v>545</v>
      </c>
      <c r="V572" s="28" t="s">
        <v>517</v>
      </c>
      <c r="W572" s="28" t="s">
        <v>2737</v>
      </c>
      <c r="Z572" s="28" t="s">
        <v>563</v>
      </c>
      <c r="AB572" s="28" t="s">
        <v>527</v>
      </c>
      <c r="AD572" s="118" t="s">
        <v>528</v>
      </c>
      <c r="AE572" s="28" t="s">
        <v>563</v>
      </c>
      <c r="AF572" s="117" t="s">
        <v>2735</v>
      </c>
      <c r="AG572" s="28" t="s">
        <v>563</v>
      </c>
      <c r="AK572" s="60">
        <v>2</v>
      </c>
      <c r="AL572" s="28">
        <f>1/COUNTIF(Tableau6[LAT],B572)</f>
        <v>1</v>
      </c>
      <c r="AM572" s="60" t="b">
        <f t="shared" si="61"/>
        <v>0</v>
      </c>
      <c r="AN572" s="60" t="b">
        <f t="shared" si="62"/>
        <v>0</v>
      </c>
      <c r="AO572" s="60" t="b">
        <f t="shared" si="63"/>
        <v>0</v>
      </c>
      <c r="AP572" s="60" t="b">
        <f t="shared" si="64"/>
        <v>0</v>
      </c>
      <c r="AQ572" s="60" t="b">
        <f t="shared" si="65"/>
        <v>0</v>
      </c>
      <c r="AR572" s="60" t="str">
        <f t="shared" si="59"/>
        <v>No</v>
      </c>
      <c r="AS572" s="60" t="str">
        <f t="shared" si="60"/>
        <v>No</v>
      </c>
    </row>
    <row r="573" spans="1:45" ht="15" hidden="1">
      <c r="A573" s="103">
        <v>45243</v>
      </c>
      <c r="B573" s="117" t="s">
        <v>2738</v>
      </c>
      <c r="C573" s="28" t="s">
        <v>511</v>
      </c>
      <c r="D573" s="28" t="s">
        <v>2739</v>
      </c>
      <c r="F573" s="28" t="s">
        <v>2740</v>
      </c>
      <c r="G573" s="28" t="s">
        <v>514</v>
      </c>
      <c r="H573" s="28" t="s">
        <v>2741</v>
      </c>
      <c r="I573" s="28" t="s">
        <v>516</v>
      </c>
      <c r="J573" s="28" t="s">
        <v>517</v>
      </c>
      <c r="K573" s="28" t="s">
        <v>518</v>
      </c>
      <c r="L573" s="28" t="s">
        <v>751</v>
      </c>
      <c r="M573" s="28" t="s">
        <v>535</v>
      </c>
      <c r="N573" s="28" t="s">
        <v>557</v>
      </c>
      <c r="O573" s="28" t="s">
        <v>544</v>
      </c>
      <c r="P573" s="28" t="s">
        <v>522</v>
      </c>
      <c r="S573" s="28" t="s">
        <v>928</v>
      </c>
      <c r="T573" s="28" t="s">
        <v>753</v>
      </c>
      <c r="U573" s="28" t="s">
        <v>753</v>
      </c>
      <c r="V573" s="28" t="s">
        <v>517</v>
      </c>
      <c r="W573" s="28" t="s">
        <v>2742</v>
      </c>
      <c r="Z573" s="28" t="s">
        <v>563</v>
      </c>
      <c r="AB573" s="28" t="s">
        <v>527</v>
      </c>
      <c r="AD573" s="118"/>
      <c r="AF573" s="117" t="s">
        <v>1083</v>
      </c>
      <c r="AK573" s="60">
        <v>2</v>
      </c>
      <c r="AL573" s="28">
        <f>1/COUNTIF(Tableau6[LAT],B573)</f>
        <v>1</v>
      </c>
      <c r="AM573" s="60" t="b">
        <f t="shared" si="61"/>
        <v>0</v>
      </c>
      <c r="AN573" s="60" t="b">
        <f t="shared" si="62"/>
        <v>0</v>
      </c>
      <c r="AO573" s="60" t="b">
        <f t="shared" si="63"/>
        <v>0</v>
      </c>
      <c r="AP573" s="60" t="b">
        <f t="shared" si="64"/>
        <v>0</v>
      </c>
      <c r="AQ573" s="60" t="b">
        <f t="shared" si="65"/>
        <v>0</v>
      </c>
      <c r="AR573" s="60" t="str">
        <f t="shared" si="59"/>
        <v>No</v>
      </c>
      <c r="AS573" s="60" t="str">
        <f t="shared" si="60"/>
        <v>No</v>
      </c>
    </row>
    <row r="574" spans="1:45" ht="15" hidden="1">
      <c r="A574" s="103">
        <v>45243</v>
      </c>
      <c r="B574" s="117" t="s">
        <v>2743</v>
      </c>
      <c r="C574" s="28" t="s">
        <v>511</v>
      </c>
      <c r="D574" s="28" t="s">
        <v>2744</v>
      </c>
      <c r="F574" s="28" t="s">
        <v>2745</v>
      </c>
      <c r="G574" s="28" t="s">
        <v>958</v>
      </c>
      <c r="H574" s="28" t="s">
        <v>1123</v>
      </c>
      <c r="I574" s="28" t="s">
        <v>516</v>
      </c>
      <c r="J574" s="28" t="s">
        <v>517</v>
      </c>
      <c r="K574" s="28" t="s">
        <v>518</v>
      </c>
      <c r="L574" s="28" t="s">
        <v>726</v>
      </c>
      <c r="M574" s="28" t="s">
        <v>535</v>
      </c>
      <c r="S574" s="28" t="s">
        <v>928</v>
      </c>
      <c r="T574" s="28" t="s">
        <v>589</v>
      </c>
      <c r="U574" s="28" t="s">
        <v>589</v>
      </c>
      <c r="V574" s="28" t="s">
        <v>517</v>
      </c>
      <c r="W574" s="28" t="s">
        <v>2746</v>
      </c>
      <c r="Z574" s="28" t="s">
        <v>526</v>
      </c>
      <c r="AD574" s="118" t="s">
        <v>528</v>
      </c>
      <c r="AE574" s="28" t="s">
        <v>529</v>
      </c>
      <c r="AF574" s="117" t="s">
        <v>2744</v>
      </c>
      <c r="AG574" s="28" t="s">
        <v>529</v>
      </c>
      <c r="AK574" s="60">
        <v>2</v>
      </c>
      <c r="AL574" s="28">
        <f>1/COUNTIF(Tableau6[LAT],B574)</f>
        <v>0.33333333333333331</v>
      </c>
      <c r="AM574" s="60" t="b">
        <f t="shared" si="61"/>
        <v>0</v>
      </c>
      <c r="AN574" s="60" t="b">
        <f t="shared" si="62"/>
        <v>0</v>
      </c>
      <c r="AO574" s="60" t="b">
        <f t="shared" si="63"/>
        <v>0</v>
      </c>
      <c r="AP574" s="60" t="b">
        <f t="shared" si="64"/>
        <v>0</v>
      </c>
      <c r="AQ574" s="60" t="b">
        <f t="shared" si="65"/>
        <v>0</v>
      </c>
      <c r="AR574" s="60" t="str">
        <f t="shared" si="59"/>
        <v>No</v>
      </c>
      <c r="AS574" s="60" t="str">
        <f t="shared" si="60"/>
        <v>No</v>
      </c>
    </row>
    <row r="575" spans="1:45" ht="15" hidden="1">
      <c r="A575" s="103">
        <v>45243</v>
      </c>
      <c r="B575" s="117" t="s">
        <v>2743</v>
      </c>
      <c r="C575" s="28" t="s">
        <v>548</v>
      </c>
      <c r="D575" s="28" t="s">
        <v>2747</v>
      </c>
      <c r="F575" s="28" t="s">
        <v>2263</v>
      </c>
      <c r="G575" s="28" t="s">
        <v>514</v>
      </c>
      <c r="H575" s="28" t="s">
        <v>1428</v>
      </c>
      <c r="I575" s="28" t="s">
        <v>516</v>
      </c>
      <c r="J575" s="28" t="s">
        <v>517</v>
      </c>
      <c r="K575" s="28" t="s">
        <v>518</v>
      </c>
      <c r="L575" s="28" t="s">
        <v>726</v>
      </c>
      <c r="M575" s="28" t="s">
        <v>535</v>
      </c>
      <c r="S575" s="28" t="s">
        <v>928</v>
      </c>
      <c r="T575" s="28" t="s">
        <v>589</v>
      </c>
      <c r="U575" s="28" t="s">
        <v>589</v>
      </c>
      <c r="V575" s="28" t="s">
        <v>517</v>
      </c>
      <c r="W575" s="28" t="s">
        <v>2748</v>
      </c>
      <c r="Z575" s="28" t="s">
        <v>526</v>
      </c>
      <c r="AD575" s="118" t="s">
        <v>528</v>
      </c>
      <c r="AE575" s="28" t="s">
        <v>529</v>
      </c>
      <c r="AF575" s="117" t="s">
        <v>2747</v>
      </c>
      <c r="AG575" s="28" t="s">
        <v>529</v>
      </c>
      <c r="AK575" s="60">
        <v>2</v>
      </c>
      <c r="AL575" s="28">
        <f>1/COUNTIF(Tableau6[LAT],B575)</f>
        <v>0.33333333333333331</v>
      </c>
      <c r="AM575" s="60" t="b">
        <f t="shared" si="61"/>
        <v>0</v>
      </c>
      <c r="AN575" s="60" t="b">
        <f t="shared" si="62"/>
        <v>0</v>
      </c>
      <c r="AO575" s="60" t="b">
        <f t="shared" si="63"/>
        <v>0</v>
      </c>
      <c r="AP575" s="60" t="b">
        <f t="shared" si="64"/>
        <v>0</v>
      </c>
      <c r="AQ575" s="60" t="b">
        <f t="shared" si="65"/>
        <v>0</v>
      </c>
      <c r="AR575" s="60" t="str">
        <f t="shared" si="59"/>
        <v>No</v>
      </c>
      <c r="AS575" s="60" t="str">
        <f t="shared" si="60"/>
        <v>No</v>
      </c>
    </row>
    <row r="576" spans="1:45" ht="15" hidden="1">
      <c r="A576" s="103">
        <v>45243</v>
      </c>
      <c r="B576" s="117" t="s">
        <v>2743</v>
      </c>
      <c r="C576" s="28" t="s">
        <v>612</v>
      </c>
      <c r="D576" s="28" t="s">
        <v>2749</v>
      </c>
      <c r="F576" s="28" t="s">
        <v>2263</v>
      </c>
      <c r="G576" s="28" t="s">
        <v>514</v>
      </c>
      <c r="H576" s="28" t="s">
        <v>1428</v>
      </c>
      <c r="I576" s="28" t="s">
        <v>516</v>
      </c>
      <c r="J576" s="28" t="s">
        <v>517</v>
      </c>
      <c r="K576" s="28" t="s">
        <v>518</v>
      </c>
      <c r="L576" s="28" t="s">
        <v>726</v>
      </c>
      <c r="M576" s="28" t="s">
        <v>535</v>
      </c>
      <c r="S576" s="28" t="s">
        <v>928</v>
      </c>
      <c r="T576" s="28" t="s">
        <v>589</v>
      </c>
      <c r="U576" s="28" t="s">
        <v>589</v>
      </c>
      <c r="V576" s="28" t="s">
        <v>517</v>
      </c>
      <c r="W576" s="28" t="s">
        <v>2750</v>
      </c>
      <c r="Z576" s="28" t="s">
        <v>526</v>
      </c>
      <c r="AD576" s="118" t="s">
        <v>528</v>
      </c>
      <c r="AE576" s="28" t="s">
        <v>529</v>
      </c>
      <c r="AF576" s="117" t="s">
        <v>2749</v>
      </c>
      <c r="AG576" s="28" t="s">
        <v>529</v>
      </c>
      <c r="AK576" s="60">
        <v>2</v>
      </c>
      <c r="AL576" s="28">
        <f>1/COUNTIF(Tableau6[LAT],B576)</f>
        <v>0.33333333333333331</v>
      </c>
      <c r="AM576" s="60" t="b">
        <f t="shared" si="61"/>
        <v>0</v>
      </c>
      <c r="AN576" s="60" t="b">
        <f t="shared" si="62"/>
        <v>0</v>
      </c>
      <c r="AO576" s="60" t="b">
        <f t="shared" si="63"/>
        <v>0</v>
      </c>
      <c r="AP576" s="60" t="b">
        <f t="shared" si="64"/>
        <v>0</v>
      </c>
      <c r="AQ576" s="60" t="b">
        <f t="shared" si="65"/>
        <v>0</v>
      </c>
      <c r="AR576" s="60" t="str">
        <f t="shared" si="59"/>
        <v>No</v>
      </c>
      <c r="AS576" s="60" t="str">
        <f t="shared" si="60"/>
        <v>No</v>
      </c>
    </row>
    <row r="577" spans="1:45" ht="15" hidden="1">
      <c r="A577" s="103">
        <v>45243</v>
      </c>
      <c r="B577" s="117" t="s">
        <v>2751</v>
      </c>
      <c r="C577" s="28" t="s">
        <v>511</v>
      </c>
      <c r="D577" s="28" t="s">
        <v>2752</v>
      </c>
      <c r="F577" s="28" t="s">
        <v>1050</v>
      </c>
      <c r="G577" s="28" t="s">
        <v>514</v>
      </c>
      <c r="H577" s="28" t="s">
        <v>2227</v>
      </c>
      <c r="I577" s="28" t="s">
        <v>516</v>
      </c>
      <c r="J577" s="28" t="s">
        <v>517</v>
      </c>
      <c r="K577" s="28" t="s">
        <v>518</v>
      </c>
      <c r="L577" s="28" t="s">
        <v>596</v>
      </c>
      <c r="M577" s="28" t="s">
        <v>535</v>
      </c>
      <c r="N577" s="28" t="s">
        <v>557</v>
      </c>
      <c r="O577" s="28" t="s">
        <v>522</v>
      </c>
      <c r="S577" s="28" t="s">
        <v>928</v>
      </c>
      <c r="T577" s="28" t="s">
        <v>597</v>
      </c>
      <c r="U577" s="28" t="s">
        <v>597</v>
      </c>
      <c r="V577" s="28" t="s">
        <v>517</v>
      </c>
      <c r="W577" s="28" t="s">
        <v>2753</v>
      </c>
      <c r="Z577" s="28" t="s">
        <v>563</v>
      </c>
      <c r="AB577" s="28" t="s">
        <v>527</v>
      </c>
      <c r="AD577" s="118" t="s">
        <v>528</v>
      </c>
      <c r="AE577" s="28" t="s">
        <v>563</v>
      </c>
      <c r="AF577" s="117" t="s">
        <v>2752</v>
      </c>
      <c r="AG577" s="28" t="s">
        <v>563</v>
      </c>
      <c r="AK577" s="60">
        <v>2</v>
      </c>
      <c r="AL577" s="28">
        <f>1/COUNTIF(Tableau6[LAT],B577)</f>
        <v>1</v>
      </c>
      <c r="AM577" s="60" t="b">
        <f t="shared" si="61"/>
        <v>0</v>
      </c>
      <c r="AN577" s="60" t="b">
        <f t="shared" si="62"/>
        <v>0</v>
      </c>
      <c r="AO577" s="60" t="b">
        <f t="shared" si="63"/>
        <v>0</v>
      </c>
      <c r="AP577" s="60" t="b">
        <f t="shared" si="64"/>
        <v>0</v>
      </c>
      <c r="AQ577" s="60" t="b">
        <f t="shared" si="65"/>
        <v>0</v>
      </c>
      <c r="AR577" s="60" t="str">
        <f t="shared" si="59"/>
        <v>No</v>
      </c>
      <c r="AS577" s="60" t="str">
        <f t="shared" si="60"/>
        <v>No</v>
      </c>
    </row>
    <row r="578" spans="1:45" ht="15" hidden="1">
      <c r="A578" s="103">
        <v>45243</v>
      </c>
      <c r="B578" s="117" t="s">
        <v>2754</v>
      </c>
      <c r="C578" s="28" t="s">
        <v>548</v>
      </c>
      <c r="D578" s="28" t="s">
        <v>2755</v>
      </c>
      <c r="F578" s="28" t="s">
        <v>2271</v>
      </c>
      <c r="G578" s="28" t="s">
        <v>514</v>
      </c>
      <c r="H578" s="28" t="s">
        <v>1129</v>
      </c>
      <c r="I578" s="28" t="s">
        <v>516</v>
      </c>
      <c r="J578" s="28" t="s">
        <v>517</v>
      </c>
      <c r="K578" s="28" t="s">
        <v>518</v>
      </c>
      <c r="L578" s="28" t="s">
        <v>751</v>
      </c>
      <c r="M578" s="28" t="s">
        <v>535</v>
      </c>
      <c r="N578" s="28" t="s">
        <v>557</v>
      </c>
      <c r="O578" s="28" t="s">
        <v>559</v>
      </c>
      <c r="S578" s="28" t="s">
        <v>590</v>
      </c>
      <c r="T578" s="28" t="s">
        <v>753</v>
      </c>
      <c r="U578" s="28" t="s">
        <v>753</v>
      </c>
      <c r="V578" s="28" t="s">
        <v>517</v>
      </c>
      <c r="W578" s="28" t="s">
        <v>2756</v>
      </c>
      <c r="Z578" s="28" t="s">
        <v>563</v>
      </c>
      <c r="AB578" s="28" t="s">
        <v>527</v>
      </c>
      <c r="AD578" s="118" t="s">
        <v>954</v>
      </c>
      <c r="AE578" s="28" t="s">
        <v>563</v>
      </c>
      <c r="AF578" s="117" t="s">
        <v>2757</v>
      </c>
      <c r="AG578" s="28" t="s">
        <v>563</v>
      </c>
      <c r="AK578" s="60">
        <v>2</v>
      </c>
      <c r="AL578" s="28">
        <f>1/COUNTIF(Tableau6[LAT],B578)</f>
        <v>1</v>
      </c>
      <c r="AM578" s="60" t="b">
        <f t="shared" si="61"/>
        <v>0</v>
      </c>
      <c r="AN578" s="60" t="b">
        <f t="shared" si="62"/>
        <v>0</v>
      </c>
      <c r="AO578" s="60" t="b">
        <f t="shared" si="63"/>
        <v>0</v>
      </c>
      <c r="AP578" s="60" t="b">
        <f t="shared" si="64"/>
        <v>0</v>
      </c>
      <c r="AQ578" s="60" t="b">
        <f t="shared" si="65"/>
        <v>0</v>
      </c>
      <c r="AR578" s="60" t="str">
        <f t="shared" si="59"/>
        <v>No</v>
      </c>
      <c r="AS578" s="60" t="str">
        <f t="shared" si="60"/>
        <v>No</v>
      </c>
    </row>
    <row r="579" spans="1:45" ht="15" hidden="1">
      <c r="A579" s="103">
        <v>45243</v>
      </c>
      <c r="B579" s="117" t="s">
        <v>2758</v>
      </c>
      <c r="C579" s="28" t="s">
        <v>511</v>
      </c>
      <c r="D579" s="28" t="s">
        <v>2759</v>
      </c>
      <c r="F579" s="28" t="s">
        <v>2339</v>
      </c>
      <c r="G579" s="28" t="s">
        <v>514</v>
      </c>
      <c r="H579" s="28" t="s">
        <v>1715</v>
      </c>
      <c r="I579" s="28" t="s">
        <v>516</v>
      </c>
      <c r="J579" s="28" t="s">
        <v>517</v>
      </c>
      <c r="K579" s="28" t="s">
        <v>518</v>
      </c>
      <c r="L579" s="28" t="s">
        <v>1149</v>
      </c>
      <c r="M579" s="28" t="s">
        <v>535</v>
      </c>
      <c r="N579" s="28" t="s">
        <v>1382</v>
      </c>
      <c r="O579" s="28" t="s">
        <v>1383</v>
      </c>
      <c r="P579" s="28" t="s">
        <v>557</v>
      </c>
      <c r="Q579" s="28" t="s">
        <v>522</v>
      </c>
      <c r="R579" s="28" t="s">
        <v>559</v>
      </c>
      <c r="S579" s="28" t="s">
        <v>733</v>
      </c>
      <c r="T579" s="28" t="s">
        <v>820</v>
      </c>
      <c r="U579" s="28" t="s">
        <v>820</v>
      </c>
      <c r="V579" s="28" t="s">
        <v>517</v>
      </c>
      <c r="W579" s="28" t="s">
        <v>2760</v>
      </c>
      <c r="Z579" s="28" t="s">
        <v>526</v>
      </c>
      <c r="AD579" s="118" t="s">
        <v>528</v>
      </c>
      <c r="AE579" s="28" t="s">
        <v>529</v>
      </c>
      <c r="AF579" s="117" t="s">
        <v>2759</v>
      </c>
      <c r="AG579" s="28" t="s">
        <v>529</v>
      </c>
      <c r="AK579" s="60">
        <v>2</v>
      </c>
      <c r="AL579" s="28">
        <f>1/COUNTIF(Tableau6[LAT],B579)</f>
        <v>1</v>
      </c>
      <c r="AM579" s="60" t="b">
        <f t="shared" si="61"/>
        <v>0</v>
      </c>
      <c r="AN579" s="60" t="b">
        <f t="shared" si="62"/>
        <v>0</v>
      </c>
      <c r="AO579" s="60" t="b">
        <f t="shared" si="63"/>
        <v>0</v>
      </c>
      <c r="AP579" s="60" t="b">
        <f t="shared" si="64"/>
        <v>0</v>
      </c>
      <c r="AQ579" s="60" t="b">
        <f t="shared" si="65"/>
        <v>0</v>
      </c>
      <c r="AR579" s="60" t="str">
        <f t="shared" si="59"/>
        <v>No</v>
      </c>
      <c r="AS579" s="60" t="str">
        <f t="shared" si="60"/>
        <v>Yes</v>
      </c>
    </row>
    <row r="580" spans="1:45" ht="15" hidden="1">
      <c r="A580" s="103">
        <v>45243</v>
      </c>
      <c r="B580" s="117" t="s">
        <v>2761</v>
      </c>
      <c r="C580" s="28" t="s">
        <v>511</v>
      </c>
      <c r="D580" s="28" t="s">
        <v>2762</v>
      </c>
      <c r="F580" s="28" t="s">
        <v>2763</v>
      </c>
      <c r="G580" s="28" t="s">
        <v>514</v>
      </c>
      <c r="H580" s="28" t="s">
        <v>2764</v>
      </c>
      <c r="I580" s="28" t="s">
        <v>516</v>
      </c>
      <c r="J580" s="28" t="s">
        <v>517</v>
      </c>
      <c r="K580" s="28" t="s">
        <v>518</v>
      </c>
      <c r="L580" s="28" t="s">
        <v>751</v>
      </c>
      <c r="M580" s="28" t="s">
        <v>535</v>
      </c>
      <c r="N580" s="28" t="s">
        <v>557</v>
      </c>
      <c r="O580" s="28" t="s">
        <v>559</v>
      </c>
      <c r="S580" s="28" t="s">
        <v>1857</v>
      </c>
      <c r="T580" s="28" t="s">
        <v>753</v>
      </c>
      <c r="U580" s="28" t="s">
        <v>753</v>
      </c>
      <c r="V580" s="28" t="s">
        <v>517</v>
      </c>
      <c r="W580" s="28" t="s">
        <v>821</v>
      </c>
      <c r="Z580" s="28" t="s">
        <v>563</v>
      </c>
      <c r="AB580" s="28" t="s">
        <v>527</v>
      </c>
      <c r="AD580" s="118" t="s">
        <v>528</v>
      </c>
      <c r="AE580" s="28" t="s">
        <v>563</v>
      </c>
      <c r="AF580" s="117" t="s">
        <v>2762</v>
      </c>
      <c r="AG580" s="28" t="s">
        <v>563</v>
      </c>
      <c r="AK580" s="60">
        <v>2</v>
      </c>
      <c r="AL580" s="28">
        <f>1/COUNTIF(Tableau6[LAT],B580)</f>
        <v>0.25</v>
      </c>
      <c r="AM580" s="60" t="b">
        <f t="shared" si="61"/>
        <v>0</v>
      </c>
      <c r="AN580" s="60" t="b">
        <f t="shared" si="62"/>
        <v>0</v>
      </c>
      <c r="AO580" s="60" t="b">
        <f t="shared" si="63"/>
        <v>0</v>
      </c>
      <c r="AP580" s="60" t="b">
        <f t="shared" si="64"/>
        <v>0</v>
      </c>
      <c r="AQ580" s="60" t="b">
        <f t="shared" si="65"/>
        <v>0</v>
      </c>
      <c r="AR580" s="60" t="str">
        <f t="shared" ref="AR580:AR627" si="66">IF(AM580="Yes","Yes",IF(AN580="Yes","Yes",IF(AO580="yes","Yes",IF(AP580="Yes","Yes","No"))))</f>
        <v>No</v>
      </c>
      <c r="AS580" s="60" t="str">
        <f t="shared" ref="AS580:AS627" si="67">IF(S580="QFA","Yes",IF(S580="LCJ","Yes",IF(S580="CAJ","Yes",IF(S580="WRO","Yes",IF(S580="BEY","Yes",IF(S580="TUN","Yes",IF(S580="LFW","Yes",IF(S580="DLA","Yes",IF(S580="NSI","Yes",IF(S580="OUA","Yes",IF(S580="IAH","Yes",IF(S580="LYS","Yes",IF(S580="DSS","Yes",IF(S580="BKO","Yes",IF(S580="BZV","Yes",IF(S580="COO","Yes",IF(S580="EZE","Yes",IF(S580="CKY","Yes",IF(S580="PTP","Yes",IF(S580="ORD","Yes",IF(S580="CFE","Yes",IF(S580="NKC","Yes",IF(S580="FDF","Yes",IF(S580="SDQ","Yes",IF(S580="PNR","Yes",IF(S580="ICAY","Yes",IF(S580="DTW","Yes",IF(S580="TNR","Yes",IF(S580="RUN","Yes",IF(S580="NIM","Yes","No"))))))))))))))))))))))))))))))</f>
        <v>No</v>
      </c>
    </row>
    <row r="581" spans="1:45" ht="15" hidden="1">
      <c r="A581" s="103">
        <v>45243</v>
      </c>
      <c r="B581" s="117" t="s">
        <v>2761</v>
      </c>
      <c r="C581" s="28" t="s">
        <v>548</v>
      </c>
      <c r="D581" s="28" t="s">
        <v>2765</v>
      </c>
      <c r="F581" s="28" t="s">
        <v>2763</v>
      </c>
      <c r="G581" s="28" t="s">
        <v>514</v>
      </c>
      <c r="H581" s="28" t="s">
        <v>2764</v>
      </c>
      <c r="I581" s="28" t="s">
        <v>516</v>
      </c>
      <c r="J581" s="28" t="s">
        <v>517</v>
      </c>
      <c r="K581" s="28" t="s">
        <v>518</v>
      </c>
      <c r="L581" s="28" t="s">
        <v>751</v>
      </c>
      <c r="M581" s="28" t="s">
        <v>535</v>
      </c>
      <c r="N581" s="28" t="s">
        <v>557</v>
      </c>
      <c r="O581" s="28" t="s">
        <v>559</v>
      </c>
      <c r="S581" s="28" t="s">
        <v>1857</v>
      </c>
      <c r="T581" s="28" t="s">
        <v>753</v>
      </c>
      <c r="U581" s="28" t="s">
        <v>753</v>
      </c>
      <c r="V581" s="28" t="s">
        <v>517</v>
      </c>
      <c r="W581" s="28" t="s">
        <v>821</v>
      </c>
      <c r="Z581" s="28" t="s">
        <v>563</v>
      </c>
      <c r="AB581" s="28" t="s">
        <v>527</v>
      </c>
      <c r="AD581" s="118" t="s">
        <v>528</v>
      </c>
      <c r="AE581" s="28" t="s">
        <v>563</v>
      </c>
      <c r="AF581" s="117" t="s">
        <v>2765</v>
      </c>
      <c r="AG581" s="28" t="s">
        <v>563</v>
      </c>
      <c r="AK581" s="60">
        <v>2</v>
      </c>
      <c r="AL581" s="28">
        <f>1/COUNTIF(Tableau6[LAT],B581)</f>
        <v>0.25</v>
      </c>
      <c r="AM581" s="60" t="b">
        <f t="shared" si="61"/>
        <v>0</v>
      </c>
      <c r="AN581" s="60" t="b">
        <f t="shared" si="62"/>
        <v>0</v>
      </c>
      <c r="AO581" s="60" t="b">
        <f t="shared" si="63"/>
        <v>0</v>
      </c>
      <c r="AP581" s="60" t="b">
        <f t="shared" si="64"/>
        <v>0</v>
      </c>
      <c r="AQ581" s="60" t="b">
        <f t="shared" si="65"/>
        <v>0</v>
      </c>
      <c r="AR581" s="60" t="str">
        <f t="shared" si="66"/>
        <v>No</v>
      </c>
      <c r="AS581" s="60" t="str">
        <f t="shared" si="67"/>
        <v>No</v>
      </c>
    </row>
    <row r="582" spans="1:45" ht="15" hidden="1">
      <c r="A582" s="103">
        <v>45243</v>
      </c>
      <c r="B582" s="117" t="s">
        <v>2761</v>
      </c>
      <c r="C582" s="28" t="s">
        <v>612</v>
      </c>
      <c r="D582" s="28" t="s">
        <v>2766</v>
      </c>
      <c r="F582" s="28" t="s">
        <v>2763</v>
      </c>
      <c r="G582" s="28" t="s">
        <v>514</v>
      </c>
      <c r="H582" s="28" t="s">
        <v>2764</v>
      </c>
      <c r="I582" s="28" t="s">
        <v>516</v>
      </c>
      <c r="J582" s="28" t="s">
        <v>517</v>
      </c>
      <c r="K582" s="28" t="s">
        <v>518</v>
      </c>
      <c r="L582" s="28" t="s">
        <v>751</v>
      </c>
      <c r="M582" s="28" t="s">
        <v>535</v>
      </c>
      <c r="N582" s="28" t="s">
        <v>557</v>
      </c>
      <c r="O582" s="28" t="s">
        <v>559</v>
      </c>
      <c r="S582" s="28" t="s">
        <v>1857</v>
      </c>
      <c r="T582" s="28" t="s">
        <v>753</v>
      </c>
      <c r="U582" s="28" t="s">
        <v>753</v>
      </c>
      <c r="V582" s="28" t="s">
        <v>517</v>
      </c>
      <c r="W582" s="28" t="s">
        <v>821</v>
      </c>
      <c r="Z582" s="28" t="s">
        <v>563</v>
      </c>
      <c r="AB582" s="28" t="s">
        <v>527</v>
      </c>
      <c r="AD582" s="118" t="s">
        <v>954</v>
      </c>
      <c r="AE582" s="28" t="s">
        <v>563</v>
      </c>
      <c r="AF582" s="117" t="s">
        <v>2767</v>
      </c>
      <c r="AG582" s="28" t="s">
        <v>563</v>
      </c>
      <c r="AK582" s="60">
        <v>2</v>
      </c>
      <c r="AL582" s="28">
        <f>1/COUNTIF(Tableau6[LAT],B582)</f>
        <v>0.25</v>
      </c>
      <c r="AM582" s="60" t="b">
        <f t="shared" si="61"/>
        <v>0</v>
      </c>
      <c r="AN582" s="60" t="b">
        <f t="shared" si="62"/>
        <v>0</v>
      </c>
      <c r="AO582" s="60" t="b">
        <f t="shared" si="63"/>
        <v>0</v>
      </c>
      <c r="AP582" s="60" t="b">
        <f t="shared" si="64"/>
        <v>0</v>
      </c>
      <c r="AQ582" s="60" t="b">
        <f t="shared" si="65"/>
        <v>0</v>
      </c>
      <c r="AR582" s="60" t="str">
        <f t="shared" si="66"/>
        <v>No</v>
      </c>
      <c r="AS582" s="60" t="str">
        <f t="shared" si="67"/>
        <v>No</v>
      </c>
    </row>
    <row r="583" spans="1:45" ht="15" hidden="1">
      <c r="A583" s="103">
        <v>45243</v>
      </c>
      <c r="B583" s="117" t="s">
        <v>2761</v>
      </c>
      <c r="C583" s="28" t="s">
        <v>691</v>
      </c>
      <c r="D583" s="28" t="s">
        <v>2768</v>
      </c>
      <c r="F583" s="28" t="s">
        <v>2763</v>
      </c>
      <c r="G583" s="28" t="s">
        <v>514</v>
      </c>
      <c r="H583" s="28" t="s">
        <v>2764</v>
      </c>
      <c r="I583" s="28" t="s">
        <v>516</v>
      </c>
      <c r="J583" s="28" t="s">
        <v>517</v>
      </c>
      <c r="K583" s="28" t="s">
        <v>518</v>
      </c>
      <c r="L583" s="28" t="s">
        <v>751</v>
      </c>
      <c r="M583" s="28" t="s">
        <v>535</v>
      </c>
      <c r="N583" s="28" t="s">
        <v>557</v>
      </c>
      <c r="O583" s="28" t="s">
        <v>559</v>
      </c>
      <c r="S583" s="28" t="s">
        <v>1857</v>
      </c>
      <c r="T583" s="28" t="s">
        <v>753</v>
      </c>
      <c r="U583" s="28" t="s">
        <v>753</v>
      </c>
      <c r="V583" s="28" t="s">
        <v>517</v>
      </c>
      <c r="W583" s="28" t="s">
        <v>821</v>
      </c>
      <c r="Z583" s="28" t="s">
        <v>563</v>
      </c>
      <c r="AB583" s="28" t="s">
        <v>527</v>
      </c>
      <c r="AD583" s="118"/>
      <c r="AF583" s="117" t="s">
        <v>2767</v>
      </c>
      <c r="AK583" s="60">
        <v>2</v>
      </c>
      <c r="AL583" s="28">
        <f>1/COUNTIF(Tableau6[LAT],B583)</f>
        <v>0.25</v>
      </c>
      <c r="AM583" s="60" t="b">
        <f t="shared" si="61"/>
        <v>0</v>
      </c>
      <c r="AN583" s="60" t="b">
        <f t="shared" si="62"/>
        <v>0</v>
      </c>
      <c r="AO583" s="60" t="b">
        <f t="shared" si="63"/>
        <v>0</v>
      </c>
      <c r="AP583" s="60" t="b">
        <f t="shared" si="64"/>
        <v>0</v>
      </c>
      <c r="AQ583" s="60" t="b">
        <f t="shared" si="65"/>
        <v>0</v>
      </c>
      <c r="AR583" s="60" t="str">
        <f t="shared" si="66"/>
        <v>No</v>
      </c>
      <c r="AS583" s="60" t="str">
        <f t="shared" si="67"/>
        <v>No</v>
      </c>
    </row>
    <row r="584" spans="1:45" ht="15" hidden="1">
      <c r="A584" s="103">
        <v>45243</v>
      </c>
      <c r="B584" s="117" t="s">
        <v>2769</v>
      </c>
      <c r="C584" s="28" t="s">
        <v>511</v>
      </c>
      <c r="D584" s="28" t="s">
        <v>2770</v>
      </c>
      <c r="E584" s="28" t="s">
        <v>945</v>
      </c>
      <c r="F584" s="28" t="s">
        <v>2771</v>
      </c>
      <c r="G584" s="28" t="s">
        <v>665</v>
      </c>
      <c r="H584" s="28" t="s">
        <v>2772</v>
      </c>
      <c r="I584" s="28" t="s">
        <v>516</v>
      </c>
      <c r="J584" s="28" t="s">
        <v>517</v>
      </c>
      <c r="K584" s="28" t="s">
        <v>518</v>
      </c>
      <c r="L584" s="28" t="s">
        <v>809</v>
      </c>
      <c r="M584" s="28" t="s">
        <v>535</v>
      </c>
      <c r="N584" s="28" t="s">
        <v>544</v>
      </c>
      <c r="O584" s="28" t="s">
        <v>522</v>
      </c>
      <c r="S584" s="28" t="s">
        <v>740</v>
      </c>
      <c r="T584" s="28" t="s">
        <v>811</v>
      </c>
      <c r="U584" s="28" t="s">
        <v>811</v>
      </c>
      <c r="V584" s="28" t="s">
        <v>517</v>
      </c>
      <c r="W584" s="28" t="s">
        <v>948</v>
      </c>
      <c r="X584" s="28" t="s">
        <v>670</v>
      </c>
      <c r="Z584" s="28" t="s">
        <v>563</v>
      </c>
      <c r="AB584" s="28" t="s">
        <v>527</v>
      </c>
      <c r="AD584" s="118"/>
      <c r="AF584" s="117" t="s">
        <v>2770</v>
      </c>
      <c r="AK584" s="60">
        <v>2</v>
      </c>
      <c r="AL584" s="28">
        <f>1/COUNTIF(Tableau6[LAT],B584)</f>
        <v>1</v>
      </c>
      <c r="AM584" s="60" t="b">
        <f t="shared" si="61"/>
        <v>0</v>
      </c>
      <c r="AN584" s="60" t="b">
        <f t="shared" si="62"/>
        <v>0</v>
      </c>
      <c r="AO584" s="60" t="b">
        <f t="shared" si="63"/>
        <v>0</v>
      </c>
      <c r="AP584" s="60" t="b">
        <f t="shared" si="64"/>
        <v>0</v>
      </c>
      <c r="AQ584" s="60" t="b">
        <f t="shared" si="65"/>
        <v>0</v>
      </c>
      <c r="AR584" s="60" t="str">
        <f t="shared" si="66"/>
        <v>No</v>
      </c>
      <c r="AS584" s="60" t="str">
        <f t="shared" si="67"/>
        <v>No</v>
      </c>
    </row>
    <row r="585" spans="1:45" ht="15" hidden="1">
      <c r="A585" s="103">
        <v>45243</v>
      </c>
      <c r="B585" s="117" t="s">
        <v>2773</v>
      </c>
      <c r="C585" s="28" t="s">
        <v>511</v>
      </c>
      <c r="D585" s="28" t="s">
        <v>2774</v>
      </c>
      <c r="F585" s="28" t="s">
        <v>1391</v>
      </c>
      <c r="G585" s="28" t="s">
        <v>514</v>
      </c>
      <c r="H585" s="28" t="s">
        <v>952</v>
      </c>
      <c r="I585" s="28" t="s">
        <v>516</v>
      </c>
      <c r="J585" s="28" t="s">
        <v>517</v>
      </c>
      <c r="K585" s="28" t="s">
        <v>518</v>
      </c>
      <c r="L585" s="28" t="s">
        <v>1157</v>
      </c>
      <c r="M585" s="28" t="s">
        <v>535</v>
      </c>
      <c r="N585" s="28" t="s">
        <v>521</v>
      </c>
      <c r="O585" s="28" t="s">
        <v>1107</v>
      </c>
      <c r="S585" s="28" t="s">
        <v>786</v>
      </c>
      <c r="T585" s="28" t="s">
        <v>1159</v>
      </c>
      <c r="U585" s="28" t="s">
        <v>1159</v>
      </c>
      <c r="V585" s="28" t="s">
        <v>517</v>
      </c>
      <c r="W585" s="28" t="s">
        <v>889</v>
      </c>
      <c r="Z585" s="28" t="s">
        <v>563</v>
      </c>
      <c r="AB585" s="28" t="s">
        <v>527</v>
      </c>
      <c r="AD585" s="118" t="s">
        <v>954</v>
      </c>
      <c r="AE585" s="28" t="s">
        <v>563</v>
      </c>
      <c r="AF585" s="117" t="s">
        <v>2774</v>
      </c>
      <c r="AG585" s="28" t="s">
        <v>563</v>
      </c>
      <c r="AK585" s="60">
        <v>2</v>
      </c>
      <c r="AL585" s="28">
        <f>1/COUNTIF(Tableau6[LAT],B585)</f>
        <v>1</v>
      </c>
      <c r="AM585" s="60" t="b">
        <f t="shared" si="61"/>
        <v>0</v>
      </c>
      <c r="AN585" s="60" t="b">
        <f t="shared" si="62"/>
        <v>0</v>
      </c>
      <c r="AO585" s="60" t="b">
        <f t="shared" si="63"/>
        <v>0</v>
      </c>
      <c r="AP585" s="60" t="b">
        <f t="shared" si="64"/>
        <v>0</v>
      </c>
      <c r="AQ585" s="60" t="b">
        <f t="shared" si="65"/>
        <v>0</v>
      </c>
      <c r="AR585" s="60" t="str">
        <f t="shared" si="66"/>
        <v>No</v>
      </c>
      <c r="AS585" s="60" t="str">
        <f t="shared" si="67"/>
        <v>No</v>
      </c>
    </row>
    <row r="586" spans="1:45" ht="15" hidden="1">
      <c r="A586" s="103">
        <v>45243</v>
      </c>
      <c r="B586" s="117" t="s">
        <v>2775</v>
      </c>
      <c r="C586" s="28" t="s">
        <v>548</v>
      </c>
      <c r="D586" s="28" t="s">
        <v>2776</v>
      </c>
      <c r="F586" s="28" t="s">
        <v>2777</v>
      </c>
      <c r="G586" s="28" t="s">
        <v>514</v>
      </c>
      <c r="H586" s="28" t="s">
        <v>1261</v>
      </c>
      <c r="I586" s="28" t="s">
        <v>516</v>
      </c>
      <c r="J586" s="28" t="s">
        <v>517</v>
      </c>
      <c r="K586" s="28" t="s">
        <v>518</v>
      </c>
      <c r="L586" s="28" t="s">
        <v>809</v>
      </c>
      <c r="M586" s="28" t="s">
        <v>535</v>
      </c>
      <c r="N586" s="28" t="s">
        <v>2724</v>
      </c>
      <c r="O586" s="28" t="s">
        <v>557</v>
      </c>
      <c r="P586" s="28" t="s">
        <v>544</v>
      </c>
      <c r="Q586" s="28" t="s">
        <v>427</v>
      </c>
      <c r="S586" s="28" t="s">
        <v>2778</v>
      </c>
      <c r="T586" s="28" t="s">
        <v>811</v>
      </c>
      <c r="U586" s="28" t="s">
        <v>811</v>
      </c>
      <c r="V586" s="28" t="s">
        <v>517</v>
      </c>
      <c r="W586" s="28" t="s">
        <v>2779</v>
      </c>
      <c r="Y586" s="28" t="s">
        <v>2726</v>
      </c>
      <c r="Z586" s="28" t="s">
        <v>526</v>
      </c>
      <c r="AD586" s="118" t="s">
        <v>954</v>
      </c>
      <c r="AE586" s="28" t="s">
        <v>563</v>
      </c>
      <c r="AF586" s="117" t="s">
        <v>2780</v>
      </c>
      <c r="AG586" s="28" t="s">
        <v>563</v>
      </c>
      <c r="AK586" s="60">
        <v>2</v>
      </c>
      <c r="AL586" s="28">
        <f>1/COUNTIF(Tableau6[LAT],B586)</f>
        <v>0.33333333333333331</v>
      </c>
      <c r="AM586" s="60" t="str">
        <f t="shared" si="61"/>
        <v>Yes</v>
      </c>
      <c r="AN586" s="60" t="b">
        <f t="shared" si="62"/>
        <v>0</v>
      </c>
      <c r="AO586" s="60" t="b">
        <f t="shared" si="63"/>
        <v>0</v>
      </c>
      <c r="AP586" s="60" t="b">
        <f t="shared" si="64"/>
        <v>0</v>
      </c>
      <c r="AQ586" s="60" t="b">
        <f t="shared" si="65"/>
        <v>0</v>
      </c>
      <c r="AR586" s="60" t="str">
        <f t="shared" si="66"/>
        <v>Yes</v>
      </c>
      <c r="AS586" s="60" t="str">
        <f t="shared" si="67"/>
        <v>No</v>
      </c>
    </row>
    <row r="587" spans="1:45" ht="15" hidden="1">
      <c r="A587" s="103">
        <v>45243</v>
      </c>
      <c r="B587" s="117" t="s">
        <v>2775</v>
      </c>
      <c r="C587" s="28" t="s">
        <v>612</v>
      </c>
      <c r="D587" s="28" t="s">
        <v>2781</v>
      </c>
      <c r="F587" s="28" t="s">
        <v>2777</v>
      </c>
      <c r="G587" s="28" t="s">
        <v>514</v>
      </c>
      <c r="H587" s="28" t="s">
        <v>1261</v>
      </c>
      <c r="I587" s="28" t="s">
        <v>516</v>
      </c>
      <c r="J587" s="28" t="s">
        <v>517</v>
      </c>
      <c r="K587" s="28" t="s">
        <v>518</v>
      </c>
      <c r="L587" s="28" t="s">
        <v>809</v>
      </c>
      <c r="M587" s="28" t="s">
        <v>535</v>
      </c>
      <c r="N587" s="28" t="s">
        <v>2724</v>
      </c>
      <c r="O587" s="28" t="s">
        <v>557</v>
      </c>
      <c r="P587" s="28" t="s">
        <v>544</v>
      </c>
      <c r="Q587" s="28" t="s">
        <v>427</v>
      </c>
      <c r="S587" s="28" t="s">
        <v>2778</v>
      </c>
      <c r="T587" s="28" t="s">
        <v>811</v>
      </c>
      <c r="U587" s="28" t="s">
        <v>811</v>
      </c>
      <c r="V587" s="28" t="s">
        <v>517</v>
      </c>
      <c r="W587" s="28" t="s">
        <v>835</v>
      </c>
      <c r="Y587" s="28" t="s">
        <v>2726</v>
      </c>
      <c r="Z587" s="28" t="s">
        <v>526</v>
      </c>
      <c r="AD587" s="118" t="s">
        <v>954</v>
      </c>
      <c r="AE587" s="28" t="s">
        <v>563</v>
      </c>
      <c r="AF587" s="117" t="s">
        <v>2776</v>
      </c>
      <c r="AG587" s="28" t="s">
        <v>563</v>
      </c>
      <c r="AK587" s="60">
        <v>2</v>
      </c>
      <c r="AL587" s="28">
        <f>1/COUNTIF(Tableau6[LAT],B587)</f>
        <v>0.33333333333333331</v>
      </c>
      <c r="AM587" s="60" t="str">
        <f t="shared" si="61"/>
        <v>Yes</v>
      </c>
      <c r="AN587" s="60" t="b">
        <f t="shared" si="62"/>
        <v>0</v>
      </c>
      <c r="AO587" s="60" t="b">
        <f t="shared" si="63"/>
        <v>0</v>
      </c>
      <c r="AP587" s="60" t="b">
        <f t="shared" si="64"/>
        <v>0</v>
      </c>
      <c r="AQ587" s="60" t="b">
        <f t="shared" si="65"/>
        <v>0</v>
      </c>
      <c r="AR587" s="60" t="str">
        <f t="shared" si="66"/>
        <v>Yes</v>
      </c>
      <c r="AS587" s="60" t="str">
        <f t="shared" si="67"/>
        <v>No</v>
      </c>
    </row>
    <row r="588" spans="1:45" ht="15" hidden="1">
      <c r="A588" s="103">
        <v>45243</v>
      </c>
      <c r="B588" s="117" t="s">
        <v>2775</v>
      </c>
      <c r="C588" s="28" t="s">
        <v>691</v>
      </c>
      <c r="D588" s="28" t="s">
        <v>2782</v>
      </c>
      <c r="F588" s="28" t="s">
        <v>2777</v>
      </c>
      <c r="G588" s="28" t="s">
        <v>514</v>
      </c>
      <c r="H588" s="28" t="s">
        <v>1261</v>
      </c>
      <c r="I588" s="28" t="s">
        <v>516</v>
      </c>
      <c r="J588" s="28" t="s">
        <v>517</v>
      </c>
      <c r="K588" s="28" t="s">
        <v>518</v>
      </c>
      <c r="L588" s="28" t="s">
        <v>809</v>
      </c>
      <c r="M588" s="28" t="s">
        <v>535</v>
      </c>
      <c r="N588" s="28" t="s">
        <v>2724</v>
      </c>
      <c r="O588" s="28" t="s">
        <v>557</v>
      </c>
      <c r="P588" s="28" t="s">
        <v>544</v>
      </c>
      <c r="Q588" s="28" t="s">
        <v>427</v>
      </c>
      <c r="S588" s="28" t="s">
        <v>2778</v>
      </c>
      <c r="T588" s="28" t="s">
        <v>811</v>
      </c>
      <c r="U588" s="28" t="s">
        <v>811</v>
      </c>
      <c r="V588" s="28" t="s">
        <v>517</v>
      </c>
      <c r="W588" s="28" t="s">
        <v>2783</v>
      </c>
      <c r="Y588" s="28" t="s">
        <v>2726</v>
      </c>
      <c r="Z588" s="28" t="s">
        <v>526</v>
      </c>
      <c r="AD588" s="118" t="s">
        <v>954</v>
      </c>
      <c r="AE588" s="28" t="s">
        <v>563</v>
      </c>
      <c r="AF588" s="117" t="s">
        <v>2781</v>
      </c>
      <c r="AG588" s="28" t="s">
        <v>563</v>
      </c>
      <c r="AK588" s="60">
        <v>2</v>
      </c>
      <c r="AL588" s="28">
        <f>1/COUNTIF(Tableau6[LAT],B588)</f>
        <v>0.33333333333333331</v>
      </c>
      <c r="AM588" s="60" t="str">
        <f t="shared" si="61"/>
        <v>Yes</v>
      </c>
      <c r="AN588" s="60" t="b">
        <f t="shared" si="62"/>
        <v>0</v>
      </c>
      <c r="AO588" s="60" t="b">
        <f t="shared" si="63"/>
        <v>0</v>
      </c>
      <c r="AP588" s="60" t="b">
        <f t="shared" si="64"/>
        <v>0</v>
      </c>
      <c r="AQ588" s="60" t="b">
        <f t="shared" si="65"/>
        <v>0</v>
      </c>
      <c r="AR588" s="60" t="str">
        <f t="shared" si="66"/>
        <v>Yes</v>
      </c>
      <c r="AS588" s="60" t="str">
        <f t="shared" si="67"/>
        <v>No</v>
      </c>
    </row>
    <row r="589" spans="1:45" ht="15" hidden="1">
      <c r="A589" s="103">
        <v>45243</v>
      </c>
      <c r="B589" s="117" t="s">
        <v>2784</v>
      </c>
      <c r="C589" s="28" t="s">
        <v>511</v>
      </c>
      <c r="D589" s="28" t="s">
        <v>2785</v>
      </c>
      <c r="E589" s="28" t="s">
        <v>2786</v>
      </c>
      <c r="F589" s="28" t="s">
        <v>2787</v>
      </c>
      <c r="G589" s="28" t="s">
        <v>724</v>
      </c>
      <c r="H589" s="28" t="s">
        <v>555</v>
      </c>
      <c r="I589" s="28" t="s">
        <v>516</v>
      </c>
      <c r="J589" s="28" t="s">
        <v>517</v>
      </c>
      <c r="K589" s="28" t="s">
        <v>518</v>
      </c>
      <c r="L589" s="28" t="s">
        <v>1769</v>
      </c>
      <c r="M589" s="28" t="s">
        <v>605</v>
      </c>
      <c r="N589" s="28" t="s">
        <v>557</v>
      </c>
      <c r="O589" s="28" t="s">
        <v>544</v>
      </c>
      <c r="P589" s="28" t="s">
        <v>1107</v>
      </c>
      <c r="Q589" s="28" t="s">
        <v>559</v>
      </c>
      <c r="S589" s="28" t="s">
        <v>2788</v>
      </c>
      <c r="T589" s="28" t="s">
        <v>733</v>
      </c>
      <c r="U589" s="28" t="s">
        <v>733</v>
      </c>
      <c r="V589" s="28" t="s">
        <v>517</v>
      </c>
      <c r="W589" s="28" t="s">
        <v>2789</v>
      </c>
      <c r="X589" s="28" t="s">
        <v>1418</v>
      </c>
      <c r="Z589" s="28" t="s">
        <v>526</v>
      </c>
      <c r="AD589" s="118" t="s">
        <v>528</v>
      </c>
      <c r="AE589" s="28" t="s">
        <v>529</v>
      </c>
      <c r="AF589" s="117" t="s">
        <v>2785</v>
      </c>
      <c r="AG589" s="28" t="s">
        <v>529</v>
      </c>
      <c r="AK589" s="60">
        <v>2</v>
      </c>
      <c r="AL589" s="28">
        <f>1/COUNTIF(Tableau6[LAT],B589)</f>
        <v>0.25</v>
      </c>
      <c r="AM589" s="60" t="b">
        <f t="shared" si="61"/>
        <v>0</v>
      </c>
      <c r="AN589" s="60" t="b">
        <f t="shared" si="62"/>
        <v>0</v>
      </c>
      <c r="AO589" s="60" t="b">
        <f t="shared" si="63"/>
        <v>0</v>
      </c>
      <c r="AP589" s="60" t="b">
        <f t="shared" si="64"/>
        <v>0</v>
      </c>
      <c r="AQ589" s="60" t="b">
        <f t="shared" si="65"/>
        <v>0</v>
      </c>
      <c r="AR589" s="60" t="str">
        <f t="shared" si="66"/>
        <v>No</v>
      </c>
      <c r="AS589" s="60" t="str">
        <f t="shared" si="67"/>
        <v>Yes</v>
      </c>
    </row>
    <row r="590" spans="1:45" ht="15" hidden="1">
      <c r="A590" s="103">
        <v>45243</v>
      </c>
      <c r="B590" s="117" t="s">
        <v>2784</v>
      </c>
      <c r="C590" s="28" t="s">
        <v>548</v>
      </c>
      <c r="D590" s="28" t="s">
        <v>2790</v>
      </c>
      <c r="E590" s="28" t="s">
        <v>2791</v>
      </c>
      <c r="F590" s="28" t="s">
        <v>2792</v>
      </c>
      <c r="G590" s="28" t="s">
        <v>958</v>
      </c>
      <c r="H590" s="28" t="s">
        <v>555</v>
      </c>
      <c r="I590" s="28" t="s">
        <v>516</v>
      </c>
      <c r="J590" s="28" t="s">
        <v>517</v>
      </c>
      <c r="K590" s="28" t="s">
        <v>518</v>
      </c>
      <c r="L590" s="28" t="s">
        <v>1769</v>
      </c>
      <c r="M590" s="28" t="s">
        <v>605</v>
      </c>
      <c r="N590" s="28" t="s">
        <v>557</v>
      </c>
      <c r="O590" s="28" t="s">
        <v>544</v>
      </c>
      <c r="P590" s="28" t="s">
        <v>1107</v>
      </c>
      <c r="Q590" s="28" t="s">
        <v>559</v>
      </c>
      <c r="S590" s="28" t="s">
        <v>2788</v>
      </c>
      <c r="T590" s="28" t="s">
        <v>733</v>
      </c>
      <c r="U590" s="28" t="s">
        <v>733</v>
      </c>
      <c r="V590" s="28" t="s">
        <v>517</v>
      </c>
      <c r="W590" s="28" t="s">
        <v>2793</v>
      </c>
      <c r="X590" s="28" t="s">
        <v>1418</v>
      </c>
      <c r="Z590" s="28" t="s">
        <v>526</v>
      </c>
      <c r="AD590" s="118" t="s">
        <v>528</v>
      </c>
      <c r="AE590" s="28" t="s">
        <v>529</v>
      </c>
      <c r="AF590" s="117" t="s">
        <v>2790</v>
      </c>
      <c r="AG590" s="28" t="s">
        <v>529</v>
      </c>
      <c r="AK590" s="60">
        <v>2</v>
      </c>
      <c r="AL590" s="28">
        <f>1/COUNTIF(Tableau6[LAT],B590)</f>
        <v>0.25</v>
      </c>
      <c r="AM590" s="60" t="b">
        <f t="shared" si="61"/>
        <v>0</v>
      </c>
      <c r="AN590" s="60" t="b">
        <f t="shared" si="62"/>
        <v>0</v>
      </c>
      <c r="AO590" s="60" t="b">
        <f t="shared" si="63"/>
        <v>0</v>
      </c>
      <c r="AP590" s="60" t="b">
        <f t="shared" si="64"/>
        <v>0</v>
      </c>
      <c r="AQ590" s="60" t="b">
        <f t="shared" si="65"/>
        <v>0</v>
      </c>
      <c r="AR590" s="60" t="str">
        <f t="shared" si="66"/>
        <v>No</v>
      </c>
      <c r="AS590" s="60" t="str">
        <f t="shared" si="67"/>
        <v>Yes</v>
      </c>
    </row>
    <row r="591" spans="1:45" ht="15" hidden="1">
      <c r="A591" s="103">
        <v>45243</v>
      </c>
      <c r="B591" s="117" t="s">
        <v>2784</v>
      </c>
      <c r="C591" s="28" t="s">
        <v>612</v>
      </c>
      <c r="D591" s="28" t="s">
        <v>2794</v>
      </c>
      <c r="E591" s="28" t="s">
        <v>2795</v>
      </c>
      <c r="F591" s="28" t="s">
        <v>2796</v>
      </c>
      <c r="G591" s="28" t="s">
        <v>514</v>
      </c>
      <c r="H591" s="28" t="s">
        <v>555</v>
      </c>
      <c r="I591" s="28" t="s">
        <v>516</v>
      </c>
      <c r="J591" s="28" t="s">
        <v>517</v>
      </c>
      <c r="K591" s="28" t="s">
        <v>518</v>
      </c>
      <c r="L591" s="28" t="s">
        <v>1769</v>
      </c>
      <c r="M591" s="28" t="s">
        <v>605</v>
      </c>
      <c r="N591" s="28" t="s">
        <v>557</v>
      </c>
      <c r="O591" s="28" t="s">
        <v>544</v>
      </c>
      <c r="P591" s="28" t="s">
        <v>1107</v>
      </c>
      <c r="Q591" s="28" t="s">
        <v>559</v>
      </c>
      <c r="S591" s="28" t="s">
        <v>2788</v>
      </c>
      <c r="T591" s="28" t="s">
        <v>733</v>
      </c>
      <c r="U591" s="28" t="s">
        <v>733</v>
      </c>
      <c r="V591" s="28" t="s">
        <v>517</v>
      </c>
      <c r="W591" s="28" t="s">
        <v>2797</v>
      </c>
      <c r="X591" s="28" t="s">
        <v>1418</v>
      </c>
      <c r="Z591" s="28" t="s">
        <v>526</v>
      </c>
      <c r="AD591" s="118" t="s">
        <v>528</v>
      </c>
      <c r="AE591" s="28" t="s">
        <v>529</v>
      </c>
      <c r="AF591" s="117" t="s">
        <v>2794</v>
      </c>
      <c r="AG591" s="28" t="s">
        <v>529</v>
      </c>
      <c r="AK591" s="60">
        <v>2</v>
      </c>
      <c r="AL591" s="28">
        <f>1/COUNTIF(Tableau6[LAT],B591)</f>
        <v>0.25</v>
      </c>
      <c r="AM591" s="60" t="b">
        <f t="shared" si="61"/>
        <v>0</v>
      </c>
      <c r="AN591" s="60" t="b">
        <f t="shared" si="62"/>
        <v>0</v>
      </c>
      <c r="AO591" s="60" t="b">
        <f t="shared" si="63"/>
        <v>0</v>
      </c>
      <c r="AP591" s="60" t="b">
        <f t="shared" si="64"/>
        <v>0</v>
      </c>
      <c r="AQ591" s="60" t="b">
        <f t="shared" si="65"/>
        <v>0</v>
      </c>
      <c r="AR591" s="60" t="str">
        <f t="shared" si="66"/>
        <v>No</v>
      </c>
      <c r="AS591" s="60" t="str">
        <f t="shared" si="67"/>
        <v>Yes</v>
      </c>
    </row>
    <row r="592" spans="1:45" ht="15" hidden="1">
      <c r="A592" s="103">
        <v>45243</v>
      </c>
      <c r="B592" s="117" t="s">
        <v>2784</v>
      </c>
      <c r="C592" s="28" t="s">
        <v>691</v>
      </c>
      <c r="D592" s="28" t="s">
        <v>2798</v>
      </c>
      <c r="E592" s="28" t="s">
        <v>2799</v>
      </c>
      <c r="F592" s="28" t="s">
        <v>2800</v>
      </c>
      <c r="G592" s="28" t="s">
        <v>958</v>
      </c>
      <c r="H592" s="28" t="s">
        <v>555</v>
      </c>
      <c r="I592" s="28" t="s">
        <v>516</v>
      </c>
      <c r="J592" s="28" t="s">
        <v>517</v>
      </c>
      <c r="K592" s="28" t="s">
        <v>518</v>
      </c>
      <c r="L592" s="28" t="s">
        <v>1769</v>
      </c>
      <c r="M592" s="28" t="s">
        <v>605</v>
      </c>
      <c r="N592" s="28" t="s">
        <v>557</v>
      </c>
      <c r="O592" s="28" t="s">
        <v>544</v>
      </c>
      <c r="P592" s="28" t="s">
        <v>1107</v>
      </c>
      <c r="Q592" s="28" t="s">
        <v>559</v>
      </c>
      <c r="S592" s="28" t="s">
        <v>2788</v>
      </c>
      <c r="T592" s="28" t="s">
        <v>733</v>
      </c>
      <c r="U592" s="28" t="s">
        <v>733</v>
      </c>
      <c r="V592" s="28" t="s">
        <v>517</v>
      </c>
      <c r="W592" s="28" t="s">
        <v>2801</v>
      </c>
      <c r="X592" s="28" t="s">
        <v>1418</v>
      </c>
      <c r="Z592" s="28" t="s">
        <v>526</v>
      </c>
      <c r="AD592" s="118" t="s">
        <v>528</v>
      </c>
      <c r="AE592" s="28" t="s">
        <v>529</v>
      </c>
      <c r="AF592" s="117" t="s">
        <v>2798</v>
      </c>
      <c r="AG592" s="28" t="s">
        <v>529</v>
      </c>
      <c r="AK592" s="60">
        <v>2</v>
      </c>
      <c r="AL592" s="28">
        <f>1/COUNTIF(Tableau6[LAT],B592)</f>
        <v>0.25</v>
      </c>
      <c r="AM592" s="60" t="b">
        <f t="shared" si="61"/>
        <v>0</v>
      </c>
      <c r="AN592" s="60" t="b">
        <f t="shared" si="62"/>
        <v>0</v>
      </c>
      <c r="AO592" s="60" t="b">
        <f t="shared" si="63"/>
        <v>0</v>
      </c>
      <c r="AP592" s="60" t="b">
        <f t="shared" si="64"/>
        <v>0</v>
      </c>
      <c r="AQ592" s="60" t="b">
        <f t="shared" si="65"/>
        <v>0</v>
      </c>
      <c r="AR592" s="60" t="str">
        <f t="shared" si="66"/>
        <v>No</v>
      </c>
      <c r="AS592" s="60" t="str">
        <f t="shared" si="67"/>
        <v>Yes</v>
      </c>
    </row>
    <row r="593" spans="1:45" ht="15" hidden="1">
      <c r="A593" s="103">
        <v>45243</v>
      </c>
      <c r="B593" s="117" t="s">
        <v>2802</v>
      </c>
      <c r="C593" s="28" t="s">
        <v>511</v>
      </c>
      <c r="D593" s="28" t="s">
        <v>2803</v>
      </c>
      <c r="F593" s="28" t="s">
        <v>2804</v>
      </c>
      <c r="G593" s="28" t="s">
        <v>514</v>
      </c>
      <c r="H593" s="28" t="s">
        <v>1156</v>
      </c>
      <c r="I593" s="28" t="s">
        <v>516</v>
      </c>
      <c r="J593" s="28" t="s">
        <v>517</v>
      </c>
      <c r="K593" s="28" t="s">
        <v>518</v>
      </c>
      <c r="L593" s="28" t="s">
        <v>981</v>
      </c>
      <c r="M593" s="28" t="s">
        <v>535</v>
      </c>
      <c r="N593" s="28" t="s">
        <v>619</v>
      </c>
      <c r="O593" s="28" t="s">
        <v>521</v>
      </c>
      <c r="S593" s="28" t="s">
        <v>2805</v>
      </c>
      <c r="T593" s="28" t="s">
        <v>982</v>
      </c>
      <c r="U593" s="28" t="s">
        <v>982</v>
      </c>
      <c r="V593" s="28" t="s">
        <v>517</v>
      </c>
      <c r="W593" s="28" t="s">
        <v>2806</v>
      </c>
      <c r="Z593" s="28" t="s">
        <v>563</v>
      </c>
      <c r="AB593" s="28" t="s">
        <v>527</v>
      </c>
      <c r="AD593" s="118" t="s">
        <v>528</v>
      </c>
      <c r="AE593" s="28" t="s">
        <v>563</v>
      </c>
      <c r="AF593" s="117" t="s">
        <v>2803</v>
      </c>
      <c r="AG593" s="28" t="s">
        <v>563</v>
      </c>
      <c r="AK593" s="60">
        <v>2</v>
      </c>
      <c r="AL593" s="28">
        <f>1/COUNTIF(Tableau6[LAT],B593)</f>
        <v>1</v>
      </c>
      <c r="AM593" s="60" t="b">
        <f t="shared" si="61"/>
        <v>0</v>
      </c>
      <c r="AN593" s="60" t="b">
        <f t="shared" si="62"/>
        <v>0</v>
      </c>
      <c r="AO593" s="60" t="b">
        <f t="shared" si="63"/>
        <v>0</v>
      </c>
      <c r="AP593" s="60" t="b">
        <f t="shared" si="64"/>
        <v>0</v>
      </c>
      <c r="AQ593" s="60" t="b">
        <f t="shared" si="65"/>
        <v>0</v>
      </c>
      <c r="AR593" s="60" t="str">
        <f t="shared" si="66"/>
        <v>No</v>
      </c>
      <c r="AS593" s="60" t="str">
        <f t="shared" si="67"/>
        <v>No</v>
      </c>
    </row>
    <row r="594" spans="1:45" ht="15" hidden="1">
      <c r="A594" s="103">
        <v>45243</v>
      </c>
      <c r="B594" s="117" t="s">
        <v>2807</v>
      </c>
      <c r="C594" s="28" t="s">
        <v>511</v>
      </c>
      <c r="D594" s="28" t="s">
        <v>2808</v>
      </c>
      <c r="F594" s="28" t="s">
        <v>2003</v>
      </c>
      <c r="G594" s="28" t="s">
        <v>514</v>
      </c>
      <c r="H594" s="28" t="s">
        <v>2809</v>
      </c>
      <c r="I594" s="28" t="s">
        <v>516</v>
      </c>
      <c r="J594" s="28" t="s">
        <v>517</v>
      </c>
      <c r="K594" s="28" t="s">
        <v>518</v>
      </c>
      <c r="L594" s="28" t="s">
        <v>731</v>
      </c>
      <c r="M594" s="28" t="s">
        <v>535</v>
      </c>
      <c r="N594" s="28" t="s">
        <v>557</v>
      </c>
      <c r="O594" s="28" t="s">
        <v>544</v>
      </c>
      <c r="P594" s="28" t="s">
        <v>559</v>
      </c>
      <c r="S594" s="28" t="s">
        <v>1202</v>
      </c>
      <c r="T594" s="28" t="s">
        <v>733</v>
      </c>
      <c r="U594" s="28" t="s">
        <v>733</v>
      </c>
      <c r="V594" s="28" t="s">
        <v>517</v>
      </c>
      <c r="W594" s="28" t="s">
        <v>835</v>
      </c>
      <c r="Z594" s="28" t="s">
        <v>563</v>
      </c>
      <c r="AB594" s="28" t="s">
        <v>527</v>
      </c>
      <c r="AD594" s="118" t="s">
        <v>954</v>
      </c>
      <c r="AE594" s="28" t="s">
        <v>563</v>
      </c>
      <c r="AF594" s="117" t="s">
        <v>2808</v>
      </c>
      <c r="AG594" s="28" t="s">
        <v>563</v>
      </c>
      <c r="AK594" s="60">
        <v>2</v>
      </c>
      <c r="AL594" s="28">
        <f>1/COUNTIF(Tableau6[LAT],B594)</f>
        <v>1</v>
      </c>
      <c r="AM594" s="60" t="b">
        <f t="shared" si="61"/>
        <v>0</v>
      </c>
      <c r="AN594" s="60" t="b">
        <f t="shared" si="62"/>
        <v>0</v>
      </c>
      <c r="AO594" s="60" t="b">
        <f t="shared" si="63"/>
        <v>0</v>
      </c>
      <c r="AP594" s="60" t="b">
        <f t="shared" si="64"/>
        <v>0</v>
      </c>
      <c r="AQ594" s="60" t="b">
        <f t="shared" si="65"/>
        <v>0</v>
      </c>
      <c r="AR594" s="60" t="str">
        <f t="shared" si="66"/>
        <v>No</v>
      </c>
      <c r="AS594" s="60" t="str">
        <f t="shared" si="67"/>
        <v>No</v>
      </c>
    </row>
    <row r="595" spans="1:45" ht="15" hidden="1">
      <c r="A595" s="103">
        <v>45243</v>
      </c>
      <c r="B595" s="117" t="s">
        <v>2810</v>
      </c>
      <c r="C595" s="28" t="s">
        <v>511</v>
      </c>
      <c r="D595" s="28" t="s">
        <v>2811</v>
      </c>
      <c r="E595" s="28" t="s">
        <v>2812</v>
      </c>
      <c r="F595" s="28" t="s">
        <v>2813</v>
      </c>
      <c r="G595" s="28" t="s">
        <v>1077</v>
      </c>
      <c r="H595" s="28" t="s">
        <v>2814</v>
      </c>
      <c r="I595" s="28" t="s">
        <v>516</v>
      </c>
      <c r="J595" s="28" t="s">
        <v>517</v>
      </c>
      <c r="K595" s="28" t="s">
        <v>518</v>
      </c>
      <c r="L595" s="28" t="s">
        <v>2234</v>
      </c>
      <c r="M595" s="28" t="s">
        <v>520</v>
      </c>
      <c r="N595" s="28" t="s">
        <v>559</v>
      </c>
      <c r="S595" s="28" t="s">
        <v>740</v>
      </c>
      <c r="T595" s="28" t="s">
        <v>607</v>
      </c>
      <c r="U595" s="28" t="s">
        <v>607</v>
      </c>
      <c r="V595" s="28" t="s">
        <v>517</v>
      </c>
      <c r="W595" s="28" t="s">
        <v>2815</v>
      </c>
      <c r="X595" s="28" t="s">
        <v>670</v>
      </c>
      <c r="Z595" s="28" t="s">
        <v>563</v>
      </c>
      <c r="AB595" s="28" t="s">
        <v>527</v>
      </c>
      <c r="AD595" s="118" t="s">
        <v>528</v>
      </c>
      <c r="AE595" s="28" t="s">
        <v>563</v>
      </c>
      <c r="AF595" s="117" t="s">
        <v>2811</v>
      </c>
      <c r="AG595" s="28" t="s">
        <v>563</v>
      </c>
      <c r="AK595" s="60">
        <v>2</v>
      </c>
      <c r="AL595" s="28">
        <f>1/COUNTIF(Tableau6[LAT],B595)</f>
        <v>0.33333333333333331</v>
      </c>
      <c r="AM595" s="60" t="b">
        <f t="shared" si="61"/>
        <v>0</v>
      </c>
      <c r="AN595" s="60" t="b">
        <f t="shared" si="62"/>
        <v>0</v>
      </c>
      <c r="AO595" s="60" t="b">
        <f t="shared" si="63"/>
        <v>0</v>
      </c>
      <c r="AP595" s="60" t="b">
        <f t="shared" si="64"/>
        <v>0</v>
      </c>
      <c r="AQ595" s="60" t="b">
        <f t="shared" si="65"/>
        <v>0</v>
      </c>
      <c r="AR595" s="60" t="str">
        <f t="shared" si="66"/>
        <v>No</v>
      </c>
      <c r="AS595" s="60" t="str">
        <f t="shared" si="67"/>
        <v>No</v>
      </c>
    </row>
    <row r="596" spans="1:45" ht="15" hidden="1">
      <c r="A596" s="103">
        <v>45243</v>
      </c>
      <c r="B596" s="117" t="s">
        <v>2810</v>
      </c>
      <c r="C596" s="28" t="s">
        <v>548</v>
      </c>
      <c r="D596" s="28" t="s">
        <v>2816</v>
      </c>
      <c r="E596" s="28" t="s">
        <v>2817</v>
      </c>
      <c r="F596" s="28" t="s">
        <v>2813</v>
      </c>
      <c r="G596" s="28" t="s">
        <v>1077</v>
      </c>
      <c r="H596" s="28" t="s">
        <v>2814</v>
      </c>
      <c r="I596" s="28" t="s">
        <v>516</v>
      </c>
      <c r="J596" s="28" t="s">
        <v>517</v>
      </c>
      <c r="K596" s="28" t="s">
        <v>518</v>
      </c>
      <c r="L596" s="28" t="s">
        <v>2234</v>
      </c>
      <c r="M596" s="28" t="s">
        <v>520</v>
      </c>
      <c r="N596" s="28" t="s">
        <v>559</v>
      </c>
      <c r="S596" s="28" t="s">
        <v>740</v>
      </c>
      <c r="T596" s="28" t="s">
        <v>607</v>
      </c>
      <c r="U596" s="28" t="s">
        <v>607</v>
      </c>
      <c r="V596" s="28" t="s">
        <v>517</v>
      </c>
      <c r="W596" s="28" t="s">
        <v>2818</v>
      </c>
      <c r="X596" s="28" t="s">
        <v>670</v>
      </c>
      <c r="Z596" s="28" t="s">
        <v>563</v>
      </c>
      <c r="AB596" s="28" t="s">
        <v>527</v>
      </c>
      <c r="AD596" s="118" t="s">
        <v>528</v>
      </c>
      <c r="AE596" s="28" t="s">
        <v>563</v>
      </c>
      <c r="AF596" s="117" t="s">
        <v>2816</v>
      </c>
      <c r="AG596" s="28" t="s">
        <v>563</v>
      </c>
      <c r="AK596" s="60">
        <v>2</v>
      </c>
      <c r="AL596" s="28">
        <f>1/COUNTIF(Tableau6[LAT],B596)</f>
        <v>0.33333333333333331</v>
      </c>
      <c r="AM596" s="60" t="b">
        <f t="shared" si="61"/>
        <v>0</v>
      </c>
      <c r="AN596" s="60" t="b">
        <f t="shared" si="62"/>
        <v>0</v>
      </c>
      <c r="AO596" s="60" t="b">
        <f t="shared" si="63"/>
        <v>0</v>
      </c>
      <c r="AP596" s="60" t="b">
        <f t="shared" si="64"/>
        <v>0</v>
      </c>
      <c r="AQ596" s="60" t="b">
        <f t="shared" si="65"/>
        <v>0</v>
      </c>
      <c r="AR596" s="60" t="str">
        <f t="shared" si="66"/>
        <v>No</v>
      </c>
      <c r="AS596" s="60" t="str">
        <f t="shared" si="67"/>
        <v>No</v>
      </c>
    </row>
    <row r="597" spans="1:45" ht="15" hidden="1">
      <c r="A597" s="103">
        <v>45243</v>
      </c>
      <c r="B597" s="117" t="s">
        <v>2810</v>
      </c>
      <c r="C597" s="28" t="s">
        <v>612</v>
      </c>
      <c r="D597" s="28" t="s">
        <v>2819</v>
      </c>
      <c r="E597" s="28" t="s">
        <v>2820</v>
      </c>
      <c r="F597" s="28" t="s">
        <v>2813</v>
      </c>
      <c r="G597" s="28" t="s">
        <v>1077</v>
      </c>
      <c r="H597" s="28" t="s">
        <v>2814</v>
      </c>
      <c r="I597" s="28" t="s">
        <v>516</v>
      </c>
      <c r="J597" s="28" t="s">
        <v>517</v>
      </c>
      <c r="K597" s="28" t="s">
        <v>518</v>
      </c>
      <c r="L597" s="28" t="s">
        <v>2234</v>
      </c>
      <c r="M597" s="28" t="s">
        <v>520</v>
      </c>
      <c r="N597" s="28" t="s">
        <v>559</v>
      </c>
      <c r="S597" s="28" t="s">
        <v>740</v>
      </c>
      <c r="T597" s="28" t="s">
        <v>607</v>
      </c>
      <c r="U597" s="28" t="s">
        <v>607</v>
      </c>
      <c r="V597" s="28" t="s">
        <v>517</v>
      </c>
      <c r="W597" s="28" t="s">
        <v>2821</v>
      </c>
      <c r="X597" s="28" t="s">
        <v>670</v>
      </c>
      <c r="Z597" s="28" t="s">
        <v>563</v>
      </c>
      <c r="AB597" s="28" t="s">
        <v>527</v>
      </c>
      <c r="AD597" s="118" t="s">
        <v>528</v>
      </c>
      <c r="AE597" s="28" t="s">
        <v>563</v>
      </c>
      <c r="AF597" s="117" t="s">
        <v>2819</v>
      </c>
      <c r="AG597" s="28" t="s">
        <v>563</v>
      </c>
      <c r="AK597" s="60">
        <v>2</v>
      </c>
      <c r="AL597" s="28">
        <f>1/COUNTIF(Tableau6[LAT],B597)</f>
        <v>0.33333333333333331</v>
      </c>
      <c r="AM597" s="60" t="b">
        <f t="shared" si="61"/>
        <v>0</v>
      </c>
      <c r="AN597" s="60" t="b">
        <f t="shared" si="62"/>
        <v>0</v>
      </c>
      <c r="AO597" s="60" t="b">
        <f t="shared" si="63"/>
        <v>0</v>
      </c>
      <c r="AP597" s="60" t="b">
        <f t="shared" si="64"/>
        <v>0</v>
      </c>
      <c r="AQ597" s="60" t="b">
        <f t="shared" si="65"/>
        <v>0</v>
      </c>
      <c r="AR597" s="60" t="str">
        <f t="shared" si="66"/>
        <v>No</v>
      </c>
      <c r="AS597" s="60" t="str">
        <f t="shared" si="67"/>
        <v>No</v>
      </c>
    </row>
    <row r="598" spans="1:45" ht="15" hidden="1">
      <c r="A598" s="103">
        <v>45243</v>
      </c>
      <c r="B598" s="117" t="s">
        <v>2822</v>
      </c>
      <c r="C598" s="28" t="s">
        <v>511</v>
      </c>
      <c r="D598" s="28" t="s">
        <v>2823</v>
      </c>
      <c r="F598" s="28" t="s">
        <v>1031</v>
      </c>
      <c r="G598" s="28" t="s">
        <v>514</v>
      </c>
      <c r="H598" s="28" t="s">
        <v>2824</v>
      </c>
      <c r="I598" s="28" t="s">
        <v>516</v>
      </c>
      <c r="J598" s="28" t="s">
        <v>517</v>
      </c>
      <c r="K598" s="28" t="s">
        <v>518</v>
      </c>
      <c r="L598" s="28" t="s">
        <v>1917</v>
      </c>
      <c r="M598" s="28" t="s">
        <v>535</v>
      </c>
      <c r="N598" s="28" t="s">
        <v>557</v>
      </c>
      <c r="O598" s="28" t="s">
        <v>544</v>
      </c>
      <c r="S598" s="28" t="s">
        <v>2788</v>
      </c>
      <c r="T598" s="28" t="s">
        <v>1918</v>
      </c>
      <c r="U598" s="28" t="s">
        <v>1918</v>
      </c>
      <c r="V598" s="28" t="s">
        <v>517</v>
      </c>
      <c r="W598" s="28" t="s">
        <v>2581</v>
      </c>
      <c r="Z598" s="28" t="s">
        <v>563</v>
      </c>
      <c r="AB598" s="28" t="s">
        <v>527</v>
      </c>
      <c r="AD598" s="118" t="s">
        <v>954</v>
      </c>
      <c r="AE598" s="28" t="s">
        <v>563</v>
      </c>
      <c r="AF598" s="117" t="s">
        <v>2823</v>
      </c>
      <c r="AG598" s="28" t="s">
        <v>563</v>
      </c>
      <c r="AK598" s="60">
        <v>2</v>
      </c>
      <c r="AL598" s="28">
        <f>1/COUNTIF(Tableau6[LAT],B598)</f>
        <v>0.25</v>
      </c>
      <c r="AM598" s="60" t="b">
        <f t="shared" si="61"/>
        <v>0</v>
      </c>
      <c r="AN598" s="60" t="b">
        <f t="shared" si="62"/>
        <v>0</v>
      </c>
      <c r="AO598" s="60" t="b">
        <f t="shared" si="63"/>
        <v>0</v>
      </c>
      <c r="AP598" s="60" t="b">
        <f t="shared" si="64"/>
        <v>0</v>
      </c>
      <c r="AQ598" s="60" t="b">
        <f t="shared" si="65"/>
        <v>0</v>
      </c>
      <c r="AR598" s="60" t="str">
        <f t="shared" si="66"/>
        <v>No</v>
      </c>
      <c r="AS598" s="60" t="str">
        <f t="shared" si="67"/>
        <v>Yes</v>
      </c>
    </row>
    <row r="599" spans="1:45" ht="15" hidden="1">
      <c r="A599" s="103">
        <v>45243</v>
      </c>
      <c r="B599" s="117" t="s">
        <v>2822</v>
      </c>
      <c r="C599" s="28" t="s">
        <v>548</v>
      </c>
      <c r="D599" s="28" t="s">
        <v>2825</v>
      </c>
      <c r="F599" s="28" t="s">
        <v>1031</v>
      </c>
      <c r="G599" s="28" t="s">
        <v>514</v>
      </c>
      <c r="H599" s="28" t="s">
        <v>2826</v>
      </c>
      <c r="I599" s="28" t="s">
        <v>516</v>
      </c>
      <c r="J599" s="28" t="s">
        <v>517</v>
      </c>
      <c r="K599" s="28" t="s">
        <v>518</v>
      </c>
      <c r="L599" s="28" t="s">
        <v>1917</v>
      </c>
      <c r="M599" s="28" t="s">
        <v>535</v>
      </c>
      <c r="N599" s="28" t="s">
        <v>557</v>
      </c>
      <c r="O599" s="28" t="s">
        <v>544</v>
      </c>
      <c r="S599" s="28" t="s">
        <v>2788</v>
      </c>
      <c r="T599" s="28" t="s">
        <v>1918</v>
      </c>
      <c r="U599" s="28" t="s">
        <v>1918</v>
      </c>
      <c r="V599" s="28" t="s">
        <v>517</v>
      </c>
      <c r="W599" s="28" t="s">
        <v>2581</v>
      </c>
      <c r="Z599" s="28" t="s">
        <v>563</v>
      </c>
      <c r="AB599" s="28" t="s">
        <v>527</v>
      </c>
      <c r="AD599" s="118" t="s">
        <v>954</v>
      </c>
      <c r="AE599" s="28" t="s">
        <v>563</v>
      </c>
      <c r="AF599" s="117" t="s">
        <v>2825</v>
      </c>
      <c r="AG599" s="28" t="s">
        <v>563</v>
      </c>
      <c r="AK599" s="60">
        <v>2</v>
      </c>
      <c r="AL599" s="28">
        <f>1/COUNTIF(Tableau6[LAT],B599)</f>
        <v>0.25</v>
      </c>
      <c r="AM599" s="60" t="b">
        <f t="shared" si="61"/>
        <v>0</v>
      </c>
      <c r="AN599" s="60" t="b">
        <f t="shared" si="62"/>
        <v>0</v>
      </c>
      <c r="AO599" s="60" t="b">
        <f t="shared" si="63"/>
        <v>0</v>
      </c>
      <c r="AP599" s="60" t="b">
        <f t="shared" si="64"/>
        <v>0</v>
      </c>
      <c r="AQ599" s="60" t="b">
        <f t="shared" si="65"/>
        <v>0</v>
      </c>
      <c r="AR599" s="60" t="str">
        <f t="shared" si="66"/>
        <v>No</v>
      </c>
      <c r="AS599" s="60" t="str">
        <f t="shared" si="67"/>
        <v>Yes</v>
      </c>
    </row>
    <row r="600" spans="1:45" ht="15" hidden="1">
      <c r="A600" s="103">
        <v>45243</v>
      </c>
      <c r="B600" s="117" t="s">
        <v>2822</v>
      </c>
      <c r="C600" s="28" t="s">
        <v>612</v>
      </c>
      <c r="D600" s="28" t="s">
        <v>2827</v>
      </c>
      <c r="F600" s="28" t="s">
        <v>1031</v>
      </c>
      <c r="G600" s="28" t="s">
        <v>514</v>
      </c>
      <c r="H600" s="28" t="s">
        <v>2826</v>
      </c>
      <c r="I600" s="28" t="s">
        <v>516</v>
      </c>
      <c r="J600" s="28" t="s">
        <v>517</v>
      </c>
      <c r="K600" s="28" t="s">
        <v>518</v>
      </c>
      <c r="L600" s="28" t="s">
        <v>1917</v>
      </c>
      <c r="M600" s="28" t="s">
        <v>535</v>
      </c>
      <c r="N600" s="28" t="s">
        <v>557</v>
      </c>
      <c r="O600" s="28" t="s">
        <v>544</v>
      </c>
      <c r="S600" s="28" t="s">
        <v>2788</v>
      </c>
      <c r="T600" s="28" t="s">
        <v>1918</v>
      </c>
      <c r="U600" s="28" t="s">
        <v>1918</v>
      </c>
      <c r="V600" s="28" t="s">
        <v>517</v>
      </c>
      <c r="W600" s="28" t="s">
        <v>2581</v>
      </c>
      <c r="Z600" s="28" t="s">
        <v>563</v>
      </c>
      <c r="AB600" s="28" t="s">
        <v>527</v>
      </c>
      <c r="AD600" s="118" t="s">
        <v>954</v>
      </c>
      <c r="AE600" s="28" t="s">
        <v>563</v>
      </c>
      <c r="AF600" s="117" t="s">
        <v>2827</v>
      </c>
      <c r="AG600" s="28" t="s">
        <v>563</v>
      </c>
      <c r="AK600" s="60">
        <v>2</v>
      </c>
      <c r="AL600" s="28">
        <f>1/COUNTIF(Tableau6[LAT],B600)</f>
        <v>0.25</v>
      </c>
      <c r="AM600" s="60" t="b">
        <f t="shared" ref="AM600:AM627" si="68">IF(N600="ALM","Yes",IF(N600="ALI","Yes",IF(N600="CAO","Yes",IF(N600="ICE","Yes",IF(N600="MAG","Yes",IF(N600="MAG","Yes",IF(N600="RBI","Yes",IF(N600="RBM","Yes",IF(N600="RCL","Yes",IF(N600="RCM","Yes",IF(N600="RCX","Yes",IF(N600="RDS","Yes",IF(N600="REQ","Yes",IF(N600="REX","Yes",IF(N600="RFG","Yes",IF(N600="RFL","Yes",IF(N600="RFS","Yes",IF(N600="RFW","Yes",IF(N600="RGX","Yes",IF(N600="RIS",IF(N600="RLI","Yes",IF(N600="RLM","Yes",IF(N600="RMD","Yes",IF(N600="RNG","Yes",IF(N600="ROP","Yes",IF(N600="ROX","Yes",IF(N600="RPB","Yes",IF(N600="RPG","Yes",IF(N600="RRE","Yes",IF(N600="RRW","Yes",IF(N600="RRY","Yes",IF(N600="RSB","Yes",IF(N600="RSC","Yes",IF(N600="RXB","Yes",IF(N600="RXC","Yes",IF(N600="RXD","Yes",IF(N600="RXE","Yes",IF(N600="RXG","Yes",IF(N600="RXS","Yes",)))))))))))))))))))))))))))))))))))))))</f>
        <v>0</v>
      </c>
      <c r="AN600" s="60" t="b">
        <f t="shared" ref="AN600:AN627" si="69">IF(O600="ALM","Yes",IF(O600="ALI","Yes",IF(O600="CAO","Yes",IF(O600="ICE","Yes",IF(O600="MAG","Yes",IF(O600="MAG","Yes",IF(O600="RBI","Yes",IF(O600="RBM","Yes",IF(O600="RCL","Yes",IF(O600="RCM","Yes",IF(O600="RCX","Yes",IF(O600="RDS","Yes",IF(O600="REQ","Yes",IF(O600="REX","Yes",IF(O600="RFG","Yes",IF(O600="RFL","Yes",IF(O600="RFS","Yes",IF(O600="RFW","Yes",IF(O600="RGX","Yes",IF(O600="RIS",IF(O600="RLI","Yes",IF(O600="RLM","Yes",IF(O600="RMD","Yes",IF(O600="RNG","Yes",IF(O600="ROP","Yes",IF(O600="ROX","Yes",IF(O600="RPB","Yes",IF(O600="RPG","Yes",IF(O600="RRE","Yes",IF(O600="RRW","Yes",IF(O600="RRY","Yes",IF(O600="RSB","Yes",IF(O600="RSC","Yes",IF(O600="RXB","Yes",IF(O600="RXC","Yes",IF(O600="RXD","Yes",IF(O600="RXE","Yes",IF(O600="RXG","Yes",IF(O600="RXS","Yes",)))))))))))))))))))))))))))))))))))))))</f>
        <v>0</v>
      </c>
      <c r="AO600" s="60" t="b">
        <f t="shared" ref="AO600:AO627" si="70">IF(P600="ALM","Yes",IF(P600="ALI","Yes",IF(P600="CAO","Yes",IF(P600="ICE","Yes",IF(P600="MAG","Yes",IF(P600="MAG","Yes",IF(P600="RBI","Yes",IF(P600="RBM","Yes",IF(P600="RCL","Yes",IF(P600="RCM","Yes",IF(P600="RCX","Yes",IF(P600="RDS","Yes",IF(P600="REQ","Yes",IF(P600="REX","Yes",IF(P600="RFG","Yes",IF(P600="RFL","Yes",IF(P600="RFS","Yes",IF(P600="RFW","Yes",IF(P600="RGX","Yes",IF(P600="RIS",IF(P600="RLI","Yes",IF(P600="RLM","Yes",IF(P600="RMD","Yes",IF(P600="RNG","Yes",IF(P600="ROP","Yes",IF(P600="ROX","Yes",IF(P600="RPB","Yes",IF(P600="RPG","Yes",IF(P600="RRE","Yes",IF(P600="RRW","Yes",IF(P600="RRY","Yes",IF(P600="RSB","Yes",IF(P600="RSC","Yes",IF(P600="RXB","Yes",IF(P600="RXC","Yes",IF(P600="RXD","Yes",IF(P600="RXE","Yes",IF(P600="RXG","Yes",IF(P600="RXS","Yes",)))))))))))))))))))))))))))))))))))))))</f>
        <v>0</v>
      </c>
      <c r="AP600" s="60" t="b">
        <f t="shared" ref="AP600:AP627" si="71">IF(Q600="ALM","Yes",IF(Q600="ALI","Yes",IF(Q600="CAO","Yes",IF(Q600="ICE","Yes",IF(Q600="MAG","Yes",IF(Q600="MAG","Yes",IF(Q600="RBI","Yes",IF(Q600="RBM","Yes",IF(Q600="RCL","Yes",IF(Q600="RCM","Yes",IF(Q600="RCX","Yes",IF(Q600="RDS","Yes",IF(Q600="REQ","Yes",IF(Q600="REX","Yes",IF(Q600="RFG","Yes",IF(Q600="RFL","Yes",IF(Q600="RFS","Yes",IF(Q600="RFW","Yes",IF(Q600="RGX","Yes",IF(Q600="RIS",IF(Q600="RLI","Yes",IF(Q600="RLM","Yes",IF(Q600="RMD","Yes",IF(Q600="RNG","Yes",IF(Q600="ROP","Yes",IF(Q600="ROX","Yes",IF(Q600="RPB","Yes",IF(Q600="RPG","Yes",IF(Q600="RRE","Yes",IF(Q600="RRW","Yes",IF(Q600="RRY","Yes",IF(Q600="RSB","Yes",IF(Q600="RSC","Yes",IF(Q600="RXB","Yes",IF(Q600="RXC","Yes",IF(Q600="RXD","Yes",IF(Q600="RXE","Yes",IF(Q600="RXG","Yes",IF(Q600="RXS","Yes",)))))))))))))))))))))))))))))))))))))))</f>
        <v>0</v>
      </c>
      <c r="AQ600" s="60" t="b">
        <f t="shared" ref="AQ600:AQ627" si="72">IF(R600="ALM","Yes",IF(R600="ALI","Yes",IF(R600="CAO","Yes",IF(R600="ICE","Yes",IF(R600="MAG","Yes",IF(R600="MAG","Yes",IF(R600="RBI","Yes",IF(R600="RBM","Yes",IF(R600="RCL","Yes",IF(R600="RCM","Yes",IF(R600="RCX","Yes",IF(R600="RDS","Yes",IF(R600="REQ","Yes",IF(R600="REX","Yes",IF(R600="RFG","Yes",IF(R600="RFL","Yes",IF(R600="RFS","Yes",IF(R600="RFW","Yes",IF(R600="RGX","Yes",IF(R600="RIS",IF(R600="RLI","Yes",IF(R600="RLM","Yes",IF(R600="RMD","Yes",IF(R600="RNG","Yes",IF(R600="ROP","Yes",IF(R600="ROX","Yes",IF(R600="RPB","Yes",IF(R600="RPG","Yes",IF(R600="RRE","Yes",IF(R600="RRW","Yes",IF(R600="RRY","Yes",IF(R600="RSB","Yes",IF(R600="RSC","Yes",IF(R600="RXB","Yes",IF(R600="RXC","Yes",IF(R600="RXD","Yes",IF(R600="RXE","Yes",IF(R600="RXG","Yes",IF(R600="RXS","Yes",)))))))))))))))))))))))))))))))))))))))</f>
        <v>0</v>
      </c>
      <c r="AR600" s="60" t="str">
        <f t="shared" si="66"/>
        <v>No</v>
      </c>
      <c r="AS600" s="60" t="str">
        <f t="shared" si="67"/>
        <v>Yes</v>
      </c>
    </row>
    <row r="601" spans="1:45" ht="15" hidden="1">
      <c r="A601" s="103">
        <v>45243</v>
      </c>
      <c r="B601" s="117" t="s">
        <v>2822</v>
      </c>
      <c r="C601" s="28" t="s">
        <v>691</v>
      </c>
      <c r="D601" s="28" t="s">
        <v>2828</v>
      </c>
      <c r="F601" s="28" t="s">
        <v>1031</v>
      </c>
      <c r="G601" s="28" t="s">
        <v>514</v>
      </c>
      <c r="H601" s="28" t="s">
        <v>2826</v>
      </c>
      <c r="I601" s="28" t="s">
        <v>516</v>
      </c>
      <c r="J601" s="28" t="s">
        <v>517</v>
      </c>
      <c r="K601" s="28" t="s">
        <v>518</v>
      </c>
      <c r="L601" s="28" t="s">
        <v>1917</v>
      </c>
      <c r="M601" s="28" t="s">
        <v>535</v>
      </c>
      <c r="N601" s="28" t="s">
        <v>557</v>
      </c>
      <c r="O601" s="28" t="s">
        <v>544</v>
      </c>
      <c r="S601" s="28" t="s">
        <v>2788</v>
      </c>
      <c r="T601" s="28" t="s">
        <v>1918</v>
      </c>
      <c r="U601" s="28" t="s">
        <v>1918</v>
      </c>
      <c r="V601" s="28" t="s">
        <v>517</v>
      </c>
      <c r="W601" s="28" t="s">
        <v>2581</v>
      </c>
      <c r="Z601" s="28" t="s">
        <v>563</v>
      </c>
      <c r="AB601" s="28" t="s">
        <v>527</v>
      </c>
      <c r="AD601" s="118" t="s">
        <v>954</v>
      </c>
      <c r="AE601" s="28" t="s">
        <v>563</v>
      </c>
      <c r="AF601" s="117" t="s">
        <v>2828</v>
      </c>
      <c r="AG601" s="28" t="s">
        <v>563</v>
      </c>
      <c r="AK601" s="60">
        <v>2</v>
      </c>
      <c r="AL601" s="28">
        <f>1/COUNTIF(Tableau6[LAT],B601)</f>
        <v>0.25</v>
      </c>
      <c r="AM601" s="60" t="b">
        <f t="shared" si="68"/>
        <v>0</v>
      </c>
      <c r="AN601" s="60" t="b">
        <f t="shared" si="69"/>
        <v>0</v>
      </c>
      <c r="AO601" s="60" t="b">
        <f t="shared" si="70"/>
        <v>0</v>
      </c>
      <c r="AP601" s="60" t="b">
        <f t="shared" si="71"/>
        <v>0</v>
      </c>
      <c r="AQ601" s="60" t="b">
        <f t="shared" si="72"/>
        <v>0</v>
      </c>
      <c r="AR601" s="60" t="str">
        <f t="shared" si="66"/>
        <v>No</v>
      </c>
      <c r="AS601" s="60" t="str">
        <f t="shared" si="67"/>
        <v>Yes</v>
      </c>
    </row>
    <row r="602" spans="1:45" ht="15" hidden="1">
      <c r="A602" s="103">
        <v>45243</v>
      </c>
      <c r="B602" s="117" t="s">
        <v>2829</v>
      </c>
      <c r="C602" s="28" t="s">
        <v>511</v>
      </c>
      <c r="D602" s="28" t="s">
        <v>2830</v>
      </c>
      <c r="F602" s="28" t="s">
        <v>2831</v>
      </c>
      <c r="G602" s="28" t="s">
        <v>514</v>
      </c>
      <c r="H602" s="28" t="s">
        <v>2832</v>
      </c>
      <c r="I602" s="28" t="s">
        <v>516</v>
      </c>
      <c r="J602" s="28" t="s">
        <v>517</v>
      </c>
      <c r="K602" s="28" t="s">
        <v>518</v>
      </c>
      <c r="L602" s="28" t="s">
        <v>2833</v>
      </c>
      <c r="M602" s="28" t="s">
        <v>535</v>
      </c>
      <c r="N602" s="28" t="s">
        <v>1492</v>
      </c>
      <c r="O602" s="28" t="s">
        <v>521</v>
      </c>
      <c r="P602" s="28" t="s">
        <v>934</v>
      </c>
      <c r="Q602" s="28" t="s">
        <v>522</v>
      </c>
      <c r="S602" s="28" t="s">
        <v>560</v>
      </c>
      <c r="T602" s="28" t="s">
        <v>2834</v>
      </c>
      <c r="U602" s="28" t="s">
        <v>2834</v>
      </c>
      <c r="V602" s="28" t="s">
        <v>517</v>
      </c>
      <c r="W602" s="28" t="s">
        <v>2835</v>
      </c>
      <c r="Z602" s="28" t="s">
        <v>526</v>
      </c>
      <c r="AD602" s="118" t="s">
        <v>954</v>
      </c>
      <c r="AE602" s="28" t="s">
        <v>563</v>
      </c>
      <c r="AF602" s="117" t="s">
        <v>2830</v>
      </c>
      <c r="AG602" s="28" t="s">
        <v>563</v>
      </c>
      <c r="AK602" s="60">
        <v>2</v>
      </c>
      <c r="AL602" s="28">
        <f>1/COUNTIF(Tableau6[LAT],B602)</f>
        <v>0.5</v>
      </c>
      <c r="AM602" s="60" t="b">
        <f t="shared" si="68"/>
        <v>0</v>
      </c>
      <c r="AN602" s="60" t="b">
        <f t="shared" si="69"/>
        <v>0</v>
      </c>
      <c r="AO602" s="60" t="b">
        <f t="shared" si="70"/>
        <v>0</v>
      </c>
      <c r="AP602" s="60" t="b">
        <f t="shared" si="71"/>
        <v>0</v>
      </c>
      <c r="AQ602" s="60" t="b">
        <f t="shared" si="72"/>
        <v>0</v>
      </c>
      <c r="AR602" s="60" t="str">
        <f t="shared" si="66"/>
        <v>No</v>
      </c>
      <c r="AS602" s="60" t="str">
        <f t="shared" si="67"/>
        <v>No</v>
      </c>
    </row>
    <row r="603" spans="1:45" ht="15" hidden="1">
      <c r="A603" s="103">
        <v>45243</v>
      </c>
      <c r="B603" s="117" t="s">
        <v>2829</v>
      </c>
      <c r="C603" s="28" t="s">
        <v>548</v>
      </c>
      <c r="D603" s="28" t="s">
        <v>2836</v>
      </c>
      <c r="F603" s="28" t="s">
        <v>2831</v>
      </c>
      <c r="G603" s="28" t="s">
        <v>514</v>
      </c>
      <c r="H603" s="28" t="s">
        <v>2832</v>
      </c>
      <c r="I603" s="28" t="s">
        <v>516</v>
      </c>
      <c r="J603" s="28" t="s">
        <v>517</v>
      </c>
      <c r="K603" s="28" t="s">
        <v>518</v>
      </c>
      <c r="L603" s="28" t="s">
        <v>2833</v>
      </c>
      <c r="M603" s="28" t="s">
        <v>535</v>
      </c>
      <c r="N603" s="28" t="s">
        <v>934</v>
      </c>
      <c r="S603" s="28" t="s">
        <v>560</v>
      </c>
      <c r="T603" s="28" t="s">
        <v>2834</v>
      </c>
      <c r="U603" s="28" t="s">
        <v>2834</v>
      </c>
      <c r="V603" s="28" t="s">
        <v>517</v>
      </c>
      <c r="W603" s="28" t="s">
        <v>2835</v>
      </c>
      <c r="Z603" s="28" t="s">
        <v>526</v>
      </c>
      <c r="AD603" s="118" t="s">
        <v>954</v>
      </c>
      <c r="AE603" s="28" t="s">
        <v>563</v>
      </c>
      <c r="AF603" s="117" t="s">
        <v>2836</v>
      </c>
      <c r="AG603" s="28" t="s">
        <v>563</v>
      </c>
      <c r="AK603" s="60">
        <v>2</v>
      </c>
      <c r="AL603" s="28">
        <f>1/COUNTIF(Tableau6[LAT],B603)</f>
        <v>0.5</v>
      </c>
      <c r="AM603" s="60" t="b">
        <f t="shared" si="68"/>
        <v>0</v>
      </c>
      <c r="AN603" s="60" t="b">
        <f t="shared" si="69"/>
        <v>0</v>
      </c>
      <c r="AO603" s="60" t="b">
        <f t="shared" si="70"/>
        <v>0</v>
      </c>
      <c r="AP603" s="60" t="b">
        <f t="shared" si="71"/>
        <v>0</v>
      </c>
      <c r="AQ603" s="60" t="b">
        <f t="shared" si="72"/>
        <v>0</v>
      </c>
      <c r="AR603" s="60" t="str">
        <f t="shared" si="66"/>
        <v>No</v>
      </c>
      <c r="AS603" s="60" t="str">
        <f t="shared" si="67"/>
        <v>No</v>
      </c>
    </row>
    <row r="604" spans="1:45" ht="15" hidden="1">
      <c r="A604" s="103">
        <v>45243</v>
      </c>
      <c r="B604" s="117" t="s">
        <v>2837</v>
      </c>
      <c r="C604" s="28" t="s">
        <v>612</v>
      </c>
      <c r="D604" s="28" t="s">
        <v>2838</v>
      </c>
      <c r="F604" s="28" t="s">
        <v>2839</v>
      </c>
      <c r="G604" s="28" t="s">
        <v>2579</v>
      </c>
      <c r="H604" s="28" t="s">
        <v>921</v>
      </c>
      <c r="I604" s="28" t="s">
        <v>516</v>
      </c>
      <c r="J604" s="28" t="s">
        <v>517</v>
      </c>
      <c r="K604" s="28" t="s">
        <v>518</v>
      </c>
      <c r="L604" s="28" t="s">
        <v>1429</v>
      </c>
      <c r="M604" s="28" t="s">
        <v>535</v>
      </c>
      <c r="N604" s="28" t="s">
        <v>557</v>
      </c>
      <c r="O604" s="28" t="s">
        <v>522</v>
      </c>
      <c r="S604" s="28" t="s">
        <v>659</v>
      </c>
      <c r="T604" s="28" t="s">
        <v>1431</v>
      </c>
      <c r="U604" s="28" t="s">
        <v>1431</v>
      </c>
      <c r="V604" s="28" t="s">
        <v>517</v>
      </c>
      <c r="W604" s="28" t="s">
        <v>2840</v>
      </c>
      <c r="Z604" s="28" t="s">
        <v>563</v>
      </c>
      <c r="AB604" s="28" t="s">
        <v>527</v>
      </c>
      <c r="AD604" s="118" t="s">
        <v>954</v>
      </c>
      <c r="AE604" s="28" t="s">
        <v>563</v>
      </c>
      <c r="AF604" s="117" t="s">
        <v>2841</v>
      </c>
      <c r="AG604" s="28" t="s">
        <v>563</v>
      </c>
      <c r="AK604" s="60">
        <v>2</v>
      </c>
      <c r="AL604" s="28">
        <f>1/COUNTIF(Tableau6[LAT],B604)</f>
        <v>0.33333333333333331</v>
      </c>
      <c r="AM604" s="60" t="b">
        <f t="shared" si="68"/>
        <v>0</v>
      </c>
      <c r="AN604" s="60" t="b">
        <f t="shared" si="69"/>
        <v>0</v>
      </c>
      <c r="AO604" s="60" t="b">
        <f t="shared" si="70"/>
        <v>0</v>
      </c>
      <c r="AP604" s="60" t="b">
        <f t="shared" si="71"/>
        <v>0</v>
      </c>
      <c r="AQ604" s="60" t="b">
        <f t="shared" si="72"/>
        <v>0</v>
      </c>
      <c r="AR604" s="60" t="str">
        <f t="shared" si="66"/>
        <v>No</v>
      </c>
      <c r="AS604" s="60" t="str">
        <f t="shared" si="67"/>
        <v>No</v>
      </c>
    </row>
    <row r="605" spans="1:45" ht="15" hidden="1">
      <c r="A605" s="103">
        <v>45243</v>
      </c>
      <c r="B605" s="117" t="s">
        <v>2842</v>
      </c>
      <c r="C605" s="28" t="s">
        <v>511</v>
      </c>
      <c r="D605" s="28" t="s">
        <v>2843</v>
      </c>
      <c r="E605" s="28" t="s">
        <v>2844</v>
      </c>
      <c r="F605" s="28" t="s">
        <v>2845</v>
      </c>
      <c r="G605" s="28" t="s">
        <v>724</v>
      </c>
      <c r="H605" s="28" t="s">
        <v>2846</v>
      </c>
      <c r="I605" s="28" t="s">
        <v>516</v>
      </c>
      <c r="J605" s="28" t="s">
        <v>517</v>
      </c>
      <c r="K605" s="28" t="s">
        <v>518</v>
      </c>
      <c r="L605" s="28" t="s">
        <v>2363</v>
      </c>
      <c r="M605" s="28" t="s">
        <v>535</v>
      </c>
      <c r="N605" s="28" t="s">
        <v>557</v>
      </c>
      <c r="O605" s="28" t="s">
        <v>544</v>
      </c>
      <c r="P605" s="28" t="s">
        <v>522</v>
      </c>
      <c r="S605" s="28" t="s">
        <v>1318</v>
      </c>
      <c r="T605" s="28" t="s">
        <v>2364</v>
      </c>
      <c r="U605" s="28" t="s">
        <v>2364</v>
      </c>
      <c r="V605" s="28" t="s">
        <v>517</v>
      </c>
      <c r="W605" s="28" t="s">
        <v>2847</v>
      </c>
      <c r="X605" s="28" t="s">
        <v>670</v>
      </c>
      <c r="Z605" s="28" t="s">
        <v>563</v>
      </c>
      <c r="AB605" s="28" t="s">
        <v>527</v>
      </c>
      <c r="AD605" s="118" t="s">
        <v>528</v>
      </c>
      <c r="AE605" s="28" t="s">
        <v>529</v>
      </c>
      <c r="AF605" s="117" t="s">
        <v>2843</v>
      </c>
      <c r="AG605" s="28" t="s">
        <v>529</v>
      </c>
      <c r="AK605" s="60">
        <v>2</v>
      </c>
      <c r="AL605" s="28">
        <f>1/COUNTIF(Tableau6[LAT],B605)</f>
        <v>0.5</v>
      </c>
      <c r="AM605" s="60" t="b">
        <f t="shared" si="68"/>
        <v>0</v>
      </c>
      <c r="AN605" s="60" t="b">
        <f t="shared" si="69"/>
        <v>0</v>
      </c>
      <c r="AO605" s="60" t="b">
        <f t="shared" si="70"/>
        <v>0</v>
      </c>
      <c r="AP605" s="60" t="b">
        <f t="shared" si="71"/>
        <v>0</v>
      </c>
      <c r="AQ605" s="60" t="b">
        <f t="shared" si="72"/>
        <v>0</v>
      </c>
      <c r="AR605" s="60" t="str">
        <f t="shared" si="66"/>
        <v>No</v>
      </c>
      <c r="AS605" s="60" t="str">
        <f t="shared" si="67"/>
        <v>No</v>
      </c>
    </row>
    <row r="606" spans="1:45" ht="15" hidden="1">
      <c r="A606" s="103">
        <v>45243</v>
      </c>
      <c r="B606" s="117" t="s">
        <v>2848</v>
      </c>
      <c r="C606" s="28" t="s">
        <v>511</v>
      </c>
      <c r="D606" s="28" t="s">
        <v>2849</v>
      </c>
      <c r="F606" s="28" t="s">
        <v>2850</v>
      </c>
      <c r="G606" s="28" t="s">
        <v>514</v>
      </c>
      <c r="H606" s="28" t="s">
        <v>2851</v>
      </c>
      <c r="I606" s="28" t="s">
        <v>516</v>
      </c>
      <c r="J606" s="28" t="s">
        <v>517</v>
      </c>
      <c r="K606" s="28" t="s">
        <v>518</v>
      </c>
      <c r="L606" s="28" t="s">
        <v>2147</v>
      </c>
      <c r="M606" s="28" t="s">
        <v>520</v>
      </c>
      <c r="N606" s="28" t="s">
        <v>1140</v>
      </c>
      <c r="O606" s="28" t="s">
        <v>544</v>
      </c>
      <c r="P606" s="28" t="s">
        <v>1107</v>
      </c>
      <c r="S606" s="28" t="s">
        <v>732</v>
      </c>
      <c r="T606" s="28" t="s">
        <v>733</v>
      </c>
      <c r="U606" s="28" t="s">
        <v>733</v>
      </c>
      <c r="V606" s="28" t="s">
        <v>517</v>
      </c>
      <c r="W606" s="28" t="s">
        <v>922</v>
      </c>
      <c r="Z606" s="28" t="s">
        <v>563</v>
      </c>
      <c r="AB606" s="28" t="s">
        <v>527</v>
      </c>
      <c r="AD606" s="118" t="s">
        <v>528</v>
      </c>
      <c r="AE606" s="28" t="s">
        <v>529</v>
      </c>
      <c r="AF606" s="117" t="s">
        <v>1083</v>
      </c>
      <c r="AG606" s="28" t="s">
        <v>529</v>
      </c>
      <c r="AK606" s="60">
        <v>2</v>
      </c>
      <c r="AL606" s="28">
        <f>1/COUNTIF(Tableau6[LAT],B606)</f>
        <v>1</v>
      </c>
      <c r="AM606" s="60" t="b">
        <f t="shared" si="68"/>
        <v>0</v>
      </c>
      <c r="AN606" s="60" t="b">
        <f t="shared" si="69"/>
        <v>0</v>
      </c>
      <c r="AO606" s="60" t="b">
        <f t="shared" si="70"/>
        <v>0</v>
      </c>
      <c r="AP606" s="60" t="b">
        <f t="shared" si="71"/>
        <v>0</v>
      </c>
      <c r="AQ606" s="60" t="b">
        <f t="shared" si="72"/>
        <v>0</v>
      </c>
      <c r="AR606" s="60" t="str">
        <f t="shared" si="66"/>
        <v>No</v>
      </c>
      <c r="AS606" s="60" t="str">
        <f t="shared" si="67"/>
        <v>No</v>
      </c>
    </row>
    <row r="607" spans="1:45" ht="15" hidden="1">
      <c r="A607" s="103">
        <v>45243</v>
      </c>
      <c r="B607" s="117" t="s">
        <v>2852</v>
      </c>
      <c r="C607" s="28" t="s">
        <v>511</v>
      </c>
      <c r="D607" s="28" t="s">
        <v>2853</v>
      </c>
      <c r="E607" s="28" t="s">
        <v>2854</v>
      </c>
      <c r="F607" s="28" t="s">
        <v>2855</v>
      </c>
      <c r="G607" s="28" t="s">
        <v>724</v>
      </c>
      <c r="H607" s="28" t="s">
        <v>2856</v>
      </c>
      <c r="I607" s="28" t="s">
        <v>516</v>
      </c>
      <c r="J607" s="28" t="s">
        <v>517</v>
      </c>
      <c r="K607" s="28" t="s">
        <v>518</v>
      </c>
      <c r="L607" s="28" t="s">
        <v>1199</v>
      </c>
      <c r="M607" s="28" t="s">
        <v>535</v>
      </c>
      <c r="N607" s="28" t="s">
        <v>1637</v>
      </c>
      <c r="O607" s="28" t="s">
        <v>1383</v>
      </c>
      <c r="P607" s="28" t="s">
        <v>557</v>
      </c>
      <c r="Q607" s="28" t="s">
        <v>544</v>
      </c>
      <c r="R607" s="28" t="s">
        <v>522</v>
      </c>
      <c r="S607" s="28" t="s">
        <v>1366</v>
      </c>
      <c r="T607" s="28" t="s">
        <v>651</v>
      </c>
      <c r="U607" s="28" t="s">
        <v>651</v>
      </c>
      <c r="V607" s="28" t="s">
        <v>517</v>
      </c>
      <c r="W607" s="28" t="s">
        <v>2857</v>
      </c>
      <c r="X607" s="28" t="s">
        <v>1071</v>
      </c>
      <c r="Z607" s="28" t="s">
        <v>526</v>
      </c>
      <c r="AD607" s="118" t="s">
        <v>954</v>
      </c>
      <c r="AE607" s="28" t="s">
        <v>563</v>
      </c>
      <c r="AF607" s="117" t="s">
        <v>2853</v>
      </c>
      <c r="AG607" s="28" t="s">
        <v>563</v>
      </c>
      <c r="AK607" s="60">
        <v>2</v>
      </c>
      <c r="AL607" s="28">
        <f>1/COUNTIF(Tableau6[LAT],B607)</f>
        <v>1</v>
      </c>
      <c r="AM607" s="60" t="b">
        <f t="shared" si="68"/>
        <v>0</v>
      </c>
      <c r="AN607" s="60" t="b">
        <f t="shared" si="69"/>
        <v>0</v>
      </c>
      <c r="AO607" s="60" t="b">
        <f t="shared" si="70"/>
        <v>0</v>
      </c>
      <c r="AP607" s="60" t="b">
        <f t="shared" si="71"/>
        <v>0</v>
      </c>
      <c r="AQ607" s="60" t="b">
        <f t="shared" si="72"/>
        <v>0</v>
      </c>
      <c r="AR607" s="60" t="str">
        <f t="shared" si="66"/>
        <v>No</v>
      </c>
      <c r="AS607" s="60" t="str">
        <f t="shared" si="67"/>
        <v>No</v>
      </c>
    </row>
    <row r="608" spans="1:45" ht="15" hidden="1">
      <c r="A608" s="103">
        <v>45243</v>
      </c>
      <c r="B608" s="117" t="s">
        <v>2858</v>
      </c>
      <c r="C608" s="28" t="s">
        <v>511</v>
      </c>
      <c r="D608" s="28" t="s">
        <v>2859</v>
      </c>
      <c r="F608" s="28" t="s">
        <v>2860</v>
      </c>
      <c r="G608" s="28" t="s">
        <v>514</v>
      </c>
      <c r="H608" s="28" t="s">
        <v>2861</v>
      </c>
      <c r="I608" s="28" t="s">
        <v>516</v>
      </c>
      <c r="J608" s="28" t="s">
        <v>517</v>
      </c>
      <c r="K608" s="28" t="s">
        <v>518</v>
      </c>
      <c r="L608" s="28" t="s">
        <v>809</v>
      </c>
      <c r="M608" s="28" t="s">
        <v>535</v>
      </c>
      <c r="N608" s="28" t="s">
        <v>544</v>
      </c>
      <c r="S608" s="28" t="s">
        <v>1795</v>
      </c>
      <c r="T608" s="28" t="s">
        <v>811</v>
      </c>
      <c r="U608" s="28" t="s">
        <v>811</v>
      </c>
      <c r="V608" s="28" t="s">
        <v>517</v>
      </c>
      <c r="W608" s="28" t="s">
        <v>591</v>
      </c>
      <c r="Z608" s="28" t="s">
        <v>563</v>
      </c>
      <c r="AB608" s="28" t="s">
        <v>527</v>
      </c>
      <c r="AD608" s="118" t="s">
        <v>528</v>
      </c>
      <c r="AE608" s="28" t="s">
        <v>529</v>
      </c>
      <c r="AF608" s="117" t="s">
        <v>2859</v>
      </c>
      <c r="AG608" s="28" t="s">
        <v>529</v>
      </c>
      <c r="AK608" s="60">
        <v>2</v>
      </c>
      <c r="AL608" s="28">
        <f>1/COUNTIF(Tableau6[LAT],B608)</f>
        <v>0.5</v>
      </c>
      <c r="AM608" s="60" t="b">
        <f t="shared" si="68"/>
        <v>0</v>
      </c>
      <c r="AN608" s="60" t="b">
        <f t="shared" si="69"/>
        <v>0</v>
      </c>
      <c r="AO608" s="60" t="b">
        <f t="shared" si="70"/>
        <v>0</v>
      </c>
      <c r="AP608" s="60" t="b">
        <f t="shared" si="71"/>
        <v>0</v>
      </c>
      <c r="AQ608" s="60" t="b">
        <f t="shared" si="72"/>
        <v>0</v>
      </c>
      <c r="AR608" s="60" t="str">
        <f t="shared" si="66"/>
        <v>No</v>
      </c>
      <c r="AS608" s="60" t="str">
        <f t="shared" si="67"/>
        <v>No</v>
      </c>
    </row>
    <row r="609" spans="1:45" ht="15" hidden="1">
      <c r="A609" s="103">
        <v>45243</v>
      </c>
      <c r="B609" s="117" t="s">
        <v>2858</v>
      </c>
      <c r="C609" s="28" t="s">
        <v>548</v>
      </c>
      <c r="D609" s="28" t="s">
        <v>2862</v>
      </c>
      <c r="F609" s="28" t="s">
        <v>2860</v>
      </c>
      <c r="G609" s="28" t="s">
        <v>514</v>
      </c>
      <c r="H609" s="28" t="s">
        <v>2863</v>
      </c>
      <c r="I609" s="28" t="s">
        <v>516</v>
      </c>
      <c r="J609" s="28" t="s">
        <v>517</v>
      </c>
      <c r="K609" s="28" t="s">
        <v>518</v>
      </c>
      <c r="L609" s="28" t="s">
        <v>809</v>
      </c>
      <c r="M609" s="28" t="s">
        <v>535</v>
      </c>
      <c r="N609" s="28" t="s">
        <v>544</v>
      </c>
      <c r="S609" s="28" t="s">
        <v>1795</v>
      </c>
      <c r="T609" s="28" t="s">
        <v>811</v>
      </c>
      <c r="U609" s="28" t="s">
        <v>811</v>
      </c>
      <c r="V609" s="28" t="s">
        <v>517</v>
      </c>
      <c r="W609" s="28" t="s">
        <v>591</v>
      </c>
      <c r="Z609" s="28" t="s">
        <v>563</v>
      </c>
      <c r="AB609" s="28" t="s">
        <v>527</v>
      </c>
      <c r="AD609" s="118" t="s">
        <v>528</v>
      </c>
      <c r="AE609" s="28" t="s">
        <v>529</v>
      </c>
      <c r="AF609" s="117" t="s">
        <v>2862</v>
      </c>
      <c r="AG609" s="28" t="s">
        <v>529</v>
      </c>
      <c r="AK609" s="60">
        <v>2</v>
      </c>
      <c r="AL609" s="28">
        <f>1/COUNTIF(Tableau6[LAT],B609)</f>
        <v>0.5</v>
      </c>
      <c r="AM609" s="60" t="b">
        <f t="shared" si="68"/>
        <v>0</v>
      </c>
      <c r="AN609" s="60" t="b">
        <f t="shared" si="69"/>
        <v>0</v>
      </c>
      <c r="AO609" s="60" t="b">
        <f t="shared" si="70"/>
        <v>0</v>
      </c>
      <c r="AP609" s="60" t="b">
        <f t="shared" si="71"/>
        <v>0</v>
      </c>
      <c r="AQ609" s="60" t="b">
        <f t="shared" si="72"/>
        <v>0</v>
      </c>
      <c r="AR609" s="60" t="str">
        <f t="shared" si="66"/>
        <v>No</v>
      </c>
      <c r="AS609" s="60" t="str">
        <f t="shared" si="67"/>
        <v>No</v>
      </c>
    </row>
    <row r="610" spans="1:45" ht="15" hidden="1">
      <c r="A610" s="103">
        <v>45243</v>
      </c>
      <c r="B610" s="117" t="s">
        <v>2864</v>
      </c>
      <c r="C610" s="28" t="s">
        <v>511</v>
      </c>
      <c r="D610" s="28" t="s">
        <v>2865</v>
      </c>
      <c r="F610" s="28" t="s">
        <v>2866</v>
      </c>
      <c r="G610" s="28" t="s">
        <v>514</v>
      </c>
      <c r="H610" s="28" t="s">
        <v>624</v>
      </c>
      <c r="I610" s="28" t="s">
        <v>516</v>
      </c>
      <c r="J610" s="28" t="s">
        <v>517</v>
      </c>
      <c r="K610" s="28" t="s">
        <v>518</v>
      </c>
      <c r="L610" s="28" t="s">
        <v>1032</v>
      </c>
      <c r="M610" s="28" t="s">
        <v>520</v>
      </c>
      <c r="N610" s="28" t="s">
        <v>1430</v>
      </c>
      <c r="O610" s="28" t="s">
        <v>544</v>
      </c>
      <c r="P610" s="28" t="s">
        <v>559</v>
      </c>
      <c r="S610" s="28" t="s">
        <v>928</v>
      </c>
      <c r="T610" s="28" t="s">
        <v>545</v>
      </c>
      <c r="U610" s="28" t="s">
        <v>545</v>
      </c>
      <c r="V610" s="28" t="s">
        <v>517</v>
      </c>
      <c r="W610" s="28" t="s">
        <v>2867</v>
      </c>
      <c r="Z610" s="28" t="s">
        <v>563</v>
      </c>
      <c r="AB610" s="28" t="s">
        <v>527</v>
      </c>
      <c r="AD610" s="118" t="s">
        <v>528</v>
      </c>
      <c r="AE610" s="28" t="s">
        <v>529</v>
      </c>
      <c r="AF610" s="117" t="s">
        <v>2865</v>
      </c>
      <c r="AG610" s="28" t="s">
        <v>529</v>
      </c>
      <c r="AK610" s="60">
        <v>2</v>
      </c>
      <c r="AL610" s="28">
        <f>1/COUNTIF(Tableau6[LAT],B610)</f>
        <v>0.2</v>
      </c>
      <c r="AM610" s="60" t="b">
        <f t="shared" si="68"/>
        <v>0</v>
      </c>
      <c r="AN610" s="60" t="b">
        <f t="shared" si="69"/>
        <v>0</v>
      </c>
      <c r="AO610" s="60" t="b">
        <f t="shared" si="70"/>
        <v>0</v>
      </c>
      <c r="AP610" s="60" t="b">
        <f t="shared" si="71"/>
        <v>0</v>
      </c>
      <c r="AQ610" s="60" t="b">
        <f t="shared" si="72"/>
        <v>0</v>
      </c>
      <c r="AR610" s="60" t="str">
        <f t="shared" si="66"/>
        <v>No</v>
      </c>
      <c r="AS610" s="60" t="str">
        <f t="shared" si="67"/>
        <v>No</v>
      </c>
    </row>
    <row r="611" spans="1:45" ht="15" hidden="1">
      <c r="A611" s="103">
        <v>45243</v>
      </c>
      <c r="B611" s="117" t="s">
        <v>2864</v>
      </c>
      <c r="C611" s="28" t="s">
        <v>612</v>
      </c>
      <c r="D611" s="28" t="s">
        <v>2868</v>
      </c>
      <c r="F611" s="28" t="s">
        <v>2869</v>
      </c>
      <c r="G611" s="28" t="s">
        <v>514</v>
      </c>
      <c r="H611" s="28" t="s">
        <v>624</v>
      </c>
      <c r="I611" s="28" t="s">
        <v>516</v>
      </c>
      <c r="J611" s="28" t="s">
        <v>517</v>
      </c>
      <c r="K611" s="28" t="s">
        <v>518</v>
      </c>
      <c r="L611" s="28" t="s">
        <v>1032</v>
      </c>
      <c r="M611" s="28" t="s">
        <v>520</v>
      </c>
      <c r="N611" s="28" t="s">
        <v>1430</v>
      </c>
      <c r="O611" s="28" t="s">
        <v>544</v>
      </c>
      <c r="P611" s="28" t="s">
        <v>559</v>
      </c>
      <c r="S611" s="28" t="s">
        <v>928</v>
      </c>
      <c r="T611" s="28" t="s">
        <v>545</v>
      </c>
      <c r="U611" s="28" t="s">
        <v>545</v>
      </c>
      <c r="V611" s="28" t="s">
        <v>517</v>
      </c>
      <c r="W611" s="28" t="s">
        <v>2870</v>
      </c>
      <c r="Z611" s="28" t="s">
        <v>563</v>
      </c>
      <c r="AB611" s="28" t="s">
        <v>527</v>
      </c>
      <c r="AD611" s="118" t="s">
        <v>528</v>
      </c>
      <c r="AE611" s="28" t="s">
        <v>529</v>
      </c>
      <c r="AF611" s="117" t="s">
        <v>2871</v>
      </c>
      <c r="AG611" s="28" t="s">
        <v>529</v>
      </c>
      <c r="AK611" s="60">
        <v>2</v>
      </c>
      <c r="AL611" s="28">
        <f>1/COUNTIF(Tableau6[LAT],B611)</f>
        <v>0.2</v>
      </c>
      <c r="AM611" s="60" t="b">
        <f t="shared" si="68"/>
        <v>0</v>
      </c>
      <c r="AN611" s="60" t="b">
        <f t="shared" si="69"/>
        <v>0</v>
      </c>
      <c r="AO611" s="60" t="b">
        <f t="shared" si="70"/>
        <v>0</v>
      </c>
      <c r="AP611" s="60" t="b">
        <f t="shared" si="71"/>
        <v>0</v>
      </c>
      <c r="AQ611" s="60" t="b">
        <f t="shared" si="72"/>
        <v>0</v>
      </c>
      <c r="AR611" s="60" t="str">
        <f t="shared" si="66"/>
        <v>No</v>
      </c>
      <c r="AS611" s="60" t="str">
        <f t="shared" si="67"/>
        <v>No</v>
      </c>
    </row>
    <row r="612" spans="1:45" ht="15" hidden="1">
      <c r="A612" s="103">
        <v>45243</v>
      </c>
      <c r="B612" s="117" t="s">
        <v>2864</v>
      </c>
      <c r="C612" s="28" t="s">
        <v>691</v>
      </c>
      <c r="D612" s="28" t="s">
        <v>2872</v>
      </c>
      <c r="F612" s="28" t="s">
        <v>2866</v>
      </c>
      <c r="G612" s="28" t="s">
        <v>514</v>
      </c>
      <c r="H612" s="28" t="s">
        <v>624</v>
      </c>
      <c r="I612" s="28" t="s">
        <v>516</v>
      </c>
      <c r="J612" s="28" t="s">
        <v>517</v>
      </c>
      <c r="K612" s="28" t="s">
        <v>518</v>
      </c>
      <c r="L612" s="28" t="s">
        <v>1032</v>
      </c>
      <c r="M612" s="28" t="s">
        <v>520</v>
      </c>
      <c r="N612" s="28" t="s">
        <v>1430</v>
      </c>
      <c r="O612" s="28" t="s">
        <v>544</v>
      </c>
      <c r="P612" s="28" t="s">
        <v>559</v>
      </c>
      <c r="S612" s="28" t="s">
        <v>928</v>
      </c>
      <c r="T612" s="28" t="s">
        <v>545</v>
      </c>
      <c r="U612" s="28" t="s">
        <v>545</v>
      </c>
      <c r="V612" s="28" t="s">
        <v>517</v>
      </c>
      <c r="W612" s="28" t="s">
        <v>2873</v>
      </c>
      <c r="Z612" s="28" t="s">
        <v>563</v>
      </c>
      <c r="AB612" s="28" t="s">
        <v>527</v>
      </c>
      <c r="AD612" s="118" t="s">
        <v>528</v>
      </c>
      <c r="AE612" s="28" t="s">
        <v>529</v>
      </c>
      <c r="AF612" s="117" t="s">
        <v>2868</v>
      </c>
      <c r="AG612" s="28" t="s">
        <v>529</v>
      </c>
      <c r="AK612" s="60">
        <v>2</v>
      </c>
      <c r="AL612" s="28">
        <f>1/COUNTIF(Tableau6[LAT],B612)</f>
        <v>0.2</v>
      </c>
      <c r="AM612" s="60" t="b">
        <f t="shared" si="68"/>
        <v>0</v>
      </c>
      <c r="AN612" s="60" t="b">
        <f t="shared" si="69"/>
        <v>0</v>
      </c>
      <c r="AO612" s="60" t="b">
        <f t="shared" si="70"/>
        <v>0</v>
      </c>
      <c r="AP612" s="60" t="b">
        <f t="shared" si="71"/>
        <v>0</v>
      </c>
      <c r="AQ612" s="60" t="b">
        <f t="shared" si="72"/>
        <v>0</v>
      </c>
      <c r="AR612" s="60" t="str">
        <f t="shared" si="66"/>
        <v>No</v>
      </c>
      <c r="AS612" s="60" t="str">
        <f t="shared" si="67"/>
        <v>No</v>
      </c>
    </row>
    <row r="613" spans="1:45" ht="15" hidden="1">
      <c r="A613" s="103">
        <v>45243</v>
      </c>
      <c r="B613" s="117" t="s">
        <v>2864</v>
      </c>
      <c r="C613" s="28" t="s">
        <v>859</v>
      </c>
      <c r="D613" s="28" t="s">
        <v>2871</v>
      </c>
      <c r="F613" s="28" t="s">
        <v>2866</v>
      </c>
      <c r="G613" s="28" t="s">
        <v>514</v>
      </c>
      <c r="H613" s="28" t="s">
        <v>624</v>
      </c>
      <c r="I613" s="28" t="s">
        <v>516</v>
      </c>
      <c r="J613" s="28" t="s">
        <v>517</v>
      </c>
      <c r="K613" s="28" t="s">
        <v>518</v>
      </c>
      <c r="L613" s="28" t="s">
        <v>1032</v>
      </c>
      <c r="M613" s="28" t="s">
        <v>520</v>
      </c>
      <c r="N613" s="28" t="s">
        <v>1430</v>
      </c>
      <c r="O613" s="28" t="s">
        <v>544</v>
      </c>
      <c r="P613" s="28" t="s">
        <v>559</v>
      </c>
      <c r="S613" s="28" t="s">
        <v>928</v>
      </c>
      <c r="T613" s="28" t="s">
        <v>545</v>
      </c>
      <c r="U613" s="28" t="s">
        <v>545</v>
      </c>
      <c r="V613" s="28" t="s">
        <v>517</v>
      </c>
      <c r="W613" s="28" t="s">
        <v>2874</v>
      </c>
      <c r="Z613" s="28" t="s">
        <v>563</v>
      </c>
      <c r="AB613" s="28" t="s">
        <v>527</v>
      </c>
      <c r="AD613" s="118" t="s">
        <v>528</v>
      </c>
      <c r="AE613" s="28" t="s">
        <v>529</v>
      </c>
      <c r="AF613" s="117" t="s">
        <v>2872</v>
      </c>
      <c r="AG613" s="28" t="s">
        <v>529</v>
      </c>
      <c r="AK613" s="60">
        <v>2</v>
      </c>
      <c r="AL613" s="28">
        <f>1/COUNTIF(Tableau6[LAT],B613)</f>
        <v>0.2</v>
      </c>
      <c r="AM613" s="60" t="b">
        <f t="shared" si="68"/>
        <v>0</v>
      </c>
      <c r="AN613" s="60" t="b">
        <f t="shared" si="69"/>
        <v>0</v>
      </c>
      <c r="AO613" s="60" t="b">
        <f t="shared" si="70"/>
        <v>0</v>
      </c>
      <c r="AP613" s="60" t="b">
        <f t="shared" si="71"/>
        <v>0</v>
      </c>
      <c r="AQ613" s="60" t="b">
        <f t="shared" si="72"/>
        <v>0</v>
      </c>
      <c r="AR613" s="60" t="str">
        <f t="shared" si="66"/>
        <v>No</v>
      </c>
      <c r="AS613" s="60" t="str">
        <f t="shared" si="67"/>
        <v>No</v>
      </c>
    </row>
    <row r="614" spans="1:45" ht="15" hidden="1">
      <c r="A614" s="103">
        <v>45243</v>
      </c>
      <c r="B614" s="117" t="s">
        <v>2875</v>
      </c>
      <c r="C614" s="28" t="s">
        <v>511</v>
      </c>
      <c r="D614" s="28" t="s">
        <v>2876</v>
      </c>
      <c r="F614" s="28" t="s">
        <v>2877</v>
      </c>
      <c r="G614" s="28" t="s">
        <v>724</v>
      </c>
      <c r="H614" s="28" t="s">
        <v>1171</v>
      </c>
      <c r="I614" s="28" t="s">
        <v>516</v>
      </c>
      <c r="J614" s="28" t="s">
        <v>517</v>
      </c>
      <c r="K614" s="28" t="s">
        <v>518</v>
      </c>
      <c r="L614" s="28" t="s">
        <v>774</v>
      </c>
      <c r="M614" s="28" t="s">
        <v>605</v>
      </c>
      <c r="N614" s="28" t="s">
        <v>522</v>
      </c>
      <c r="S614" s="28" t="s">
        <v>1529</v>
      </c>
      <c r="T614" s="28" t="s">
        <v>776</v>
      </c>
      <c r="U614" s="28" t="s">
        <v>776</v>
      </c>
      <c r="V614" s="28" t="s">
        <v>517</v>
      </c>
      <c r="W614" s="28" t="s">
        <v>2878</v>
      </c>
      <c r="Z614" s="28" t="s">
        <v>526</v>
      </c>
      <c r="AD614" s="118" t="s">
        <v>528</v>
      </c>
      <c r="AE614" s="28" t="s">
        <v>529</v>
      </c>
      <c r="AF614" s="117" t="s">
        <v>2876</v>
      </c>
      <c r="AG614" s="28" t="s">
        <v>529</v>
      </c>
      <c r="AK614" s="60">
        <v>2</v>
      </c>
      <c r="AL614" s="28">
        <f>1/COUNTIF(Tableau6[LAT],B614)</f>
        <v>0.5</v>
      </c>
      <c r="AM614" s="60" t="b">
        <f t="shared" si="68"/>
        <v>0</v>
      </c>
      <c r="AN614" s="60" t="b">
        <f t="shared" si="69"/>
        <v>0</v>
      </c>
      <c r="AO614" s="60" t="b">
        <f t="shared" si="70"/>
        <v>0</v>
      </c>
      <c r="AP614" s="60" t="b">
        <f t="shared" si="71"/>
        <v>0</v>
      </c>
      <c r="AQ614" s="60" t="b">
        <f t="shared" si="72"/>
        <v>0</v>
      </c>
      <c r="AR614" s="60" t="str">
        <f t="shared" si="66"/>
        <v>No</v>
      </c>
      <c r="AS614" s="60" t="str">
        <f t="shared" si="67"/>
        <v>No</v>
      </c>
    </row>
    <row r="615" spans="1:45" ht="15" hidden="1">
      <c r="A615" s="103">
        <v>45243</v>
      </c>
      <c r="B615" s="117" t="s">
        <v>2875</v>
      </c>
      <c r="C615" s="28" t="s">
        <v>548</v>
      </c>
      <c r="D615" s="28" t="s">
        <v>2879</v>
      </c>
      <c r="F615" s="28" t="s">
        <v>2880</v>
      </c>
      <c r="G615" s="28" t="s">
        <v>657</v>
      </c>
      <c r="H615" s="28" t="s">
        <v>2175</v>
      </c>
      <c r="I615" s="28" t="s">
        <v>516</v>
      </c>
      <c r="J615" s="28" t="s">
        <v>517</v>
      </c>
      <c r="K615" s="28" t="s">
        <v>518</v>
      </c>
      <c r="L615" s="28" t="s">
        <v>774</v>
      </c>
      <c r="M615" s="28" t="s">
        <v>605</v>
      </c>
      <c r="N615" s="28" t="s">
        <v>522</v>
      </c>
      <c r="S615" s="28" t="s">
        <v>1529</v>
      </c>
      <c r="T615" s="28" t="s">
        <v>776</v>
      </c>
      <c r="U615" s="28" t="s">
        <v>776</v>
      </c>
      <c r="V615" s="28" t="s">
        <v>517</v>
      </c>
      <c r="W615" s="28" t="s">
        <v>2881</v>
      </c>
      <c r="Z615" s="28" t="s">
        <v>526</v>
      </c>
      <c r="AD615" s="118" t="s">
        <v>528</v>
      </c>
      <c r="AE615" s="28" t="s">
        <v>529</v>
      </c>
      <c r="AF615" s="117" t="s">
        <v>2879</v>
      </c>
      <c r="AG615" s="28" t="s">
        <v>529</v>
      </c>
      <c r="AK615" s="60">
        <v>2</v>
      </c>
      <c r="AL615" s="28">
        <f>1/COUNTIF(Tableau6[LAT],B615)</f>
        <v>0.5</v>
      </c>
      <c r="AM615" s="60" t="b">
        <f t="shared" si="68"/>
        <v>0</v>
      </c>
      <c r="AN615" s="60" t="b">
        <f t="shared" si="69"/>
        <v>0</v>
      </c>
      <c r="AO615" s="60" t="b">
        <f t="shared" si="70"/>
        <v>0</v>
      </c>
      <c r="AP615" s="60" t="b">
        <f t="shared" si="71"/>
        <v>0</v>
      </c>
      <c r="AQ615" s="60" t="b">
        <f t="shared" si="72"/>
        <v>0</v>
      </c>
      <c r="AR615" s="60" t="str">
        <f t="shared" si="66"/>
        <v>No</v>
      </c>
      <c r="AS615" s="60" t="str">
        <f t="shared" si="67"/>
        <v>No</v>
      </c>
    </row>
    <row r="616" spans="1:45" ht="15" hidden="1">
      <c r="A616" s="103">
        <v>45243</v>
      </c>
      <c r="B616" s="117" t="s">
        <v>2882</v>
      </c>
      <c r="C616" s="28" t="s">
        <v>511</v>
      </c>
      <c r="D616" s="28" t="s">
        <v>2883</v>
      </c>
      <c r="F616" s="28" t="s">
        <v>1731</v>
      </c>
      <c r="G616" s="28" t="s">
        <v>979</v>
      </c>
      <c r="H616" s="28" t="s">
        <v>2146</v>
      </c>
      <c r="I616" s="28" t="s">
        <v>516</v>
      </c>
      <c r="J616" s="28" t="s">
        <v>517</v>
      </c>
      <c r="K616" s="28" t="s">
        <v>518</v>
      </c>
      <c r="L616" s="28" t="s">
        <v>2884</v>
      </c>
      <c r="M616" s="28" t="s">
        <v>535</v>
      </c>
      <c r="N616" s="28" t="s">
        <v>521</v>
      </c>
      <c r="O616" s="28" t="s">
        <v>559</v>
      </c>
      <c r="S616" s="28" t="s">
        <v>606</v>
      </c>
      <c r="T616" s="28" t="s">
        <v>2885</v>
      </c>
      <c r="U616" s="28" t="s">
        <v>2885</v>
      </c>
      <c r="V616" s="28" t="s">
        <v>517</v>
      </c>
      <c r="W616" s="28" t="s">
        <v>2886</v>
      </c>
      <c r="Z616" s="28" t="s">
        <v>526</v>
      </c>
      <c r="AD616" s="118" t="s">
        <v>954</v>
      </c>
      <c r="AE616" s="28" t="s">
        <v>563</v>
      </c>
      <c r="AF616" s="117" t="s">
        <v>2883</v>
      </c>
      <c r="AG616" s="28" t="s">
        <v>563</v>
      </c>
      <c r="AK616" s="60">
        <v>2</v>
      </c>
      <c r="AL616" s="28">
        <f>1/COUNTIF(Tableau6[LAT],B616)</f>
        <v>0.25</v>
      </c>
      <c r="AM616" s="60" t="b">
        <f t="shared" si="68"/>
        <v>0</v>
      </c>
      <c r="AN616" s="60" t="b">
        <f t="shared" si="69"/>
        <v>0</v>
      </c>
      <c r="AO616" s="60" t="b">
        <f t="shared" si="70"/>
        <v>0</v>
      </c>
      <c r="AP616" s="60" t="b">
        <f t="shared" si="71"/>
        <v>0</v>
      </c>
      <c r="AQ616" s="60" t="b">
        <f t="shared" si="72"/>
        <v>0</v>
      </c>
      <c r="AR616" s="60" t="str">
        <f t="shared" si="66"/>
        <v>No</v>
      </c>
      <c r="AS616" s="60" t="str">
        <f t="shared" si="67"/>
        <v>No</v>
      </c>
    </row>
    <row r="617" spans="1:45" ht="15" hidden="1">
      <c r="A617" s="103">
        <v>45243</v>
      </c>
      <c r="B617" s="117" t="s">
        <v>2882</v>
      </c>
      <c r="C617" s="28" t="s">
        <v>548</v>
      </c>
      <c r="D617" s="28" t="s">
        <v>2887</v>
      </c>
      <c r="F617" s="28" t="s">
        <v>2888</v>
      </c>
      <c r="G617" s="28" t="s">
        <v>665</v>
      </c>
      <c r="H617" s="28" t="s">
        <v>1896</v>
      </c>
      <c r="I617" s="28" t="s">
        <v>516</v>
      </c>
      <c r="J617" s="28" t="s">
        <v>517</v>
      </c>
      <c r="K617" s="28" t="s">
        <v>518</v>
      </c>
      <c r="L617" s="28" t="s">
        <v>2884</v>
      </c>
      <c r="M617" s="28" t="s">
        <v>535</v>
      </c>
      <c r="N617" s="28" t="s">
        <v>521</v>
      </c>
      <c r="O617" s="28" t="s">
        <v>559</v>
      </c>
      <c r="S617" s="28" t="s">
        <v>606</v>
      </c>
      <c r="T617" s="28" t="s">
        <v>2885</v>
      </c>
      <c r="U617" s="28" t="s">
        <v>2885</v>
      </c>
      <c r="V617" s="28" t="s">
        <v>517</v>
      </c>
      <c r="W617" s="28" t="s">
        <v>2889</v>
      </c>
      <c r="Z617" s="28" t="s">
        <v>526</v>
      </c>
      <c r="AD617" s="118" t="s">
        <v>954</v>
      </c>
      <c r="AE617" s="28" t="s">
        <v>563</v>
      </c>
      <c r="AF617" s="117" t="s">
        <v>2887</v>
      </c>
      <c r="AG617" s="28" t="s">
        <v>563</v>
      </c>
      <c r="AK617" s="60">
        <v>2</v>
      </c>
      <c r="AL617" s="28">
        <f>1/COUNTIF(Tableau6[LAT],B617)</f>
        <v>0.25</v>
      </c>
      <c r="AM617" s="60" t="b">
        <f t="shared" si="68"/>
        <v>0</v>
      </c>
      <c r="AN617" s="60" t="b">
        <f t="shared" si="69"/>
        <v>0</v>
      </c>
      <c r="AO617" s="60" t="b">
        <f t="shared" si="70"/>
        <v>0</v>
      </c>
      <c r="AP617" s="60" t="b">
        <f t="shared" si="71"/>
        <v>0</v>
      </c>
      <c r="AQ617" s="60" t="b">
        <f t="shared" si="72"/>
        <v>0</v>
      </c>
      <c r="AR617" s="60" t="str">
        <f t="shared" si="66"/>
        <v>No</v>
      </c>
      <c r="AS617" s="60" t="str">
        <f t="shared" si="67"/>
        <v>No</v>
      </c>
    </row>
    <row r="618" spans="1:45" ht="15" hidden="1">
      <c r="A618" s="103">
        <v>45243</v>
      </c>
      <c r="B618" s="117" t="s">
        <v>2882</v>
      </c>
      <c r="C618" s="28" t="s">
        <v>612</v>
      </c>
      <c r="D618" s="28" t="s">
        <v>2890</v>
      </c>
      <c r="F618" s="28" t="s">
        <v>2891</v>
      </c>
      <c r="G618" s="28" t="s">
        <v>724</v>
      </c>
      <c r="H618" s="28" t="s">
        <v>1394</v>
      </c>
      <c r="I618" s="28" t="s">
        <v>516</v>
      </c>
      <c r="J618" s="28" t="s">
        <v>517</v>
      </c>
      <c r="K618" s="28" t="s">
        <v>518</v>
      </c>
      <c r="L618" s="28" t="s">
        <v>2884</v>
      </c>
      <c r="M618" s="28" t="s">
        <v>535</v>
      </c>
      <c r="N618" s="28" t="s">
        <v>521</v>
      </c>
      <c r="O618" s="28" t="s">
        <v>559</v>
      </c>
      <c r="S618" s="28" t="s">
        <v>606</v>
      </c>
      <c r="T618" s="28" t="s">
        <v>2885</v>
      </c>
      <c r="U618" s="28" t="s">
        <v>2885</v>
      </c>
      <c r="V618" s="28" t="s">
        <v>517</v>
      </c>
      <c r="W618" s="28" t="s">
        <v>2892</v>
      </c>
      <c r="Z618" s="28" t="s">
        <v>526</v>
      </c>
      <c r="AD618" s="118" t="s">
        <v>954</v>
      </c>
      <c r="AE618" s="28" t="s">
        <v>563</v>
      </c>
      <c r="AF618" s="117" t="s">
        <v>2890</v>
      </c>
      <c r="AG618" s="28" t="s">
        <v>563</v>
      </c>
      <c r="AK618" s="60">
        <v>2</v>
      </c>
      <c r="AL618" s="28">
        <f>1/COUNTIF(Tableau6[LAT],B618)</f>
        <v>0.25</v>
      </c>
      <c r="AM618" s="60" t="b">
        <f t="shared" si="68"/>
        <v>0</v>
      </c>
      <c r="AN618" s="60" t="b">
        <f t="shared" si="69"/>
        <v>0</v>
      </c>
      <c r="AO618" s="60" t="b">
        <f t="shared" si="70"/>
        <v>0</v>
      </c>
      <c r="AP618" s="60" t="b">
        <f t="shared" si="71"/>
        <v>0</v>
      </c>
      <c r="AQ618" s="60" t="b">
        <f t="shared" si="72"/>
        <v>0</v>
      </c>
      <c r="AR618" s="60" t="str">
        <f t="shared" si="66"/>
        <v>No</v>
      </c>
      <c r="AS618" s="60" t="str">
        <f t="shared" si="67"/>
        <v>No</v>
      </c>
    </row>
    <row r="619" spans="1:45" ht="15" hidden="1">
      <c r="A619" s="103">
        <v>45243</v>
      </c>
      <c r="B619" s="117" t="s">
        <v>2882</v>
      </c>
      <c r="C619" s="28" t="s">
        <v>691</v>
      </c>
      <c r="D619" s="28" t="s">
        <v>2893</v>
      </c>
      <c r="F619" s="28" t="s">
        <v>2894</v>
      </c>
      <c r="G619" s="28" t="s">
        <v>2895</v>
      </c>
      <c r="H619" s="28" t="s">
        <v>2826</v>
      </c>
      <c r="I619" s="28" t="s">
        <v>516</v>
      </c>
      <c r="J619" s="28" t="s">
        <v>517</v>
      </c>
      <c r="K619" s="28" t="s">
        <v>518</v>
      </c>
      <c r="L619" s="28" t="s">
        <v>2884</v>
      </c>
      <c r="M619" s="28" t="s">
        <v>535</v>
      </c>
      <c r="N619" s="28" t="s">
        <v>521</v>
      </c>
      <c r="O619" s="28" t="s">
        <v>559</v>
      </c>
      <c r="S619" s="28" t="s">
        <v>606</v>
      </c>
      <c r="T619" s="28" t="s">
        <v>2885</v>
      </c>
      <c r="U619" s="28" t="s">
        <v>2885</v>
      </c>
      <c r="V619" s="28" t="s">
        <v>517</v>
      </c>
      <c r="W619" s="28" t="s">
        <v>2896</v>
      </c>
      <c r="Z619" s="28" t="s">
        <v>526</v>
      </c>
      <c r="AD619" s="118" t="s">
        <v>954</v>
      </c>
      <c r="AE619" s="28" t="s">
        <v>563</v>
      </c>
      <c r="AF619" s="117" t="s">
        <v>2893</v>
      </c>
      <c r="AG619" s="28" t="s">
        <v>563</v>
      </c>
      <c r="AK619" s="60">
        <v>2</v>
      </c>
      <c r="AL619" s="28">
        <f>1/COUNTIF(Tableau6[LAT],B619)</f>
        <v>0.25</v>
      </c>
      <c r="AM619" s="60" t="b">
        <f t="shared" si="68"/>
        <v>0</v>
      </c>
      <c r="AN619" s="60" t="b">
        <f t="shared" si="69"/>
        <v>0</v>
      </c>
      <c r="AO619" s="60" t="b">
        <f t="shared" si="70"/>
        <v>0</v>
      </c>
      <c r="AP619" s="60" t="b">
        <f t="shared" si="71"/>
        <v>0</v>
      </c>
      <c r="AQ619" s="60" t="b">
        <f t="shared" si="72"/>
        <v>0</v>
      </c>
      <c r="AR619" s="60" t="str">
        <f t="shared" si="66"/>
        <v>No</v>
      </c>
      <c r="AS619" s="60" t="str">
        <f t="shared" si="67"/>
        <v>No</v>
      </c>
    </row>
    <row r="620" spans="1:45" ht="15" hidden="1">
      <c r="A620" s="103">
        <v>45243</v>
      </c>
      <c r="B620" s="117" t="s">
        <v>2897</v>
      </c>
      <c r="C620" s="28" t="s">
        <v>511</v>
      </c>
      <c r="D620" s="28" t="s">
        <v>2898</v>
      </c>
      <c r="F620" s="28" t="s">
        <v>594</v>
      </c>
      <c r="G620" s="28" t="s">
        <v>1456</v>
      </c>
      <c r="H620" s="28" t="s">
        <v>921</v>
      </c>
      <c r="I620" s="28" t="s">
        <v>516</v>
      </c>
      <c r="J620" s="28" t="s">
        <v>517</v>
      </c>
      <c r="K620" s="28" t="s">
        <v>518</v>
      </c>
      <c r="L620" s="28" t="s">
        <v>2899</v>
      </c>
      <c r="M620" s="28" t="s">
        <v>520</v>
      </c>
      <c r="N620" s="28" t="s">
        <v>557</v>
      </c>
      <c r="O620" s="28" t="s">
        <v>559</v>
      </c>
      <c r="S620" s="28" t="s">
        <v>606</v>
      </c>
      <c r="T620" s="28" t="s">
        <v>2900</v>
      </c>
      <c r="U620" s="28" t="s">
        <v>2900</v>
      </c>
      <c r="V620" s="28" t="s">
        <v>517</v>
      </c>
      <c r="W620" s="28" t="s">
        <v>2901</v>
      </c>
      <c r="Z620" s="28" t="s">
        <v>526</v>
      </c>
      <c r="AD620" s="118" t="s">
        <v>954</v>
      </c>
      <c r="AE620" s="28" t="s">
        <v>563</v>
      </c>
      <c r="AF620" s="117" t="s">
        <v>2898</v>
      </c>
      <c r="AG620" s="28" t="s">
        <v>563</v>
      </c>
      <c r="AK620" s="60">
        <v>2</v>
      </c>
      <c r="AL620" s="28">
        <f>1/COUNTIF(Tableau6[LAT],B620)</f>
        <v>1</v>
      </c>
      <c r="AM620" s="60" t="b">
        <f t="shared" si="68"/>
        <v>0</v>
      </c>
      <c r="AN620" s="60" t="b">
        <f t="shared" si="69"/>
        <v>0</v>
      </c>
      <c r="AO620" s="60" t="b">
        <f t="shared" si="70"/>
        <v>0</v>
      </c>
      <c r="AP620" s="60" t="b">
        <f t="shared" si="71"/>
        <v>0</v>
      </c>
      <c r="AQ620" s="60" t="b">
        <f t="shared" si="72"/>
        <v>0</v>
      </c>
      <c r="AR620" s="60" t="str">
        <f t="shared" si="66"/>
        <v>No</v>
      </c>
      <c r="AS620" s="60" t="str">
        <f t="shared" si="67"/>
        <v>No</v>
      </c>
    </row>
    <row r="621" spans="1:45" ht="15" hidden="1">
      <c r="A621" s="103">
        <v>45243</v>
      </c>
      <c r="B621" s="117" t="s">
        <v>2902</v>
      </c>
      <c r="C621" s="28" t="s">
        <v>511</v>
      </c>
      <c r="D621" s="28" t="s">
        <v>2903</v>
      </c>
      <c r="F621" s="28" t="s">
        <v>2267</v>
      </c>
      <c r="G621" s="28" t="s">
        <v>514</v>
      </c>
      <c r="H621" s="28" t="s">
        <v>2904</v>
      </c>
      <c r="I621" s="28" t="s">
        <v>516</v>
      </c>
      <c r="J621" s="28" t="s">
        <v>517</v>
      </c>
      <c r="K621" s="28" t="s">
        <v>518</v>
      </c>
      <c r="L621" s="28" t="s">
        <v>731</v>
      </c>
      <c r="M621" s="28" t="s">
        <v>535</v>
      </c>
      <c r="N621" s="28" t="s">
        <v>557</v>
      </c>
      <c r="O621" s="28" t="s">
        <v>544</v>
      </c>
      <c r="P621" s="28" t="s">
        <v>522</v>
      </c>
      <c r="S621" s="28" t="s">
        <v>1712</v>
      </c>
      <c r="T621" s="28" t="s">
        <v>733</v>
      </c>
      <c r="U621" s="28" t="s">
        <v>733</v>
      </c>
      <c r="V621" s="28" t="s">
        <v>517</v>
      </c>
      <c r="W621" s="28" t="s">
        <v>2905</v>
      </c>
      <c r="Z621" s="28" t="s">
        <v>563</v>
      </c>
      <c r="AB621" s="28" t="s">
        <v>527</v>
      </c>
      <c r="AD621" s="118" t="s">
        <v>528</v>
      </c>
      <c r="AE621" s="28" t="s">
        <v>529</v>
      </c>
      <c r="AF621" s="117" t="s">
        <v>2903</v>
      </c>
      <c r="AG621" s="28" t="s">
        <v>529</v>
      </c>
      <c r="AK621" s="60">
        <v>2</v>
      </c>
      <c r="AL621" s="28">
        <f>1/COUNTIF(Tableau6[LAT],B621)</f>
        <v>1</v>
      </c>
      <c r="AM621" s="60" t="b">
        <f t="shared" si="68"/>
        <v>0</v>
      </c>
      <c r="AN621" s="60" t="b">
        <f t="shared" si="69"/>
        <v>0</v>
      </c>
      <c r="AO621" s="60" t="b">
        <f t="shared" si="70"/>
        <v>0</v>
      </c>
      <c r="AP621" s="60" t="b">
        <f t="shared" si="71"/>
        <v>0</v>
      </c>
      <c r="AQ621" s="60" t="b">
        <f t="shared" si="72"/>
        <v>0</v>
      </c>
      <c r="AR621" s="60" t="str">
        <f t="shared" si="66"/>
        <v>No</v>
      </c>
      <c r="AS621" s="60" t="str">
        <f t="shared" si="67"/>
        <v>No</v>
      </c>
    </row>
    <row r="622" spans="1:45" ht="15" hidden="1">
      <c r="A622" s="103">
        <v>45243</v>
      </c>
      <c r="B622" s="117" t="s">
        <v>2906</v>
      </c>
      <c r="C622" s="28" t="s">
        <v>511</v>
      </c>
      <c r="D622" s="28" t="s">
        <v>2907</v>
      </c>
      <c r="F622" s="28" t="s">
        <v>2908</v>
      </c>
      <c r="G622" s="28" t="s">
        <v>1635</v>
      </c>
      <c r="H622" s="28" t="s">
        <v>1335</v>
      </c>
      <c r="I622" s="28" t="s">
        <v>516</v>
      </c>
      <c r="J622" s="28" t="s">
        <v>517</v>
      </c>
      <c r="K622" s="28" t="s">
        <v>518</v>
      </c>
      <c r="L622" s="28" t="s">
        <v>801</v>
      </c>
      <c r="M622" s="28" t="s">
        <v>520</v>
      </c>
      <c r="S622" s="28" t="s">
        <v>2909</v>
      </c>
      <c r="T622" s="28" t="s">
        <v>803</v>
      </c>
      <c r="U622" s="28" t="s">
        <v>803</v>
      </c>
      <c r="V622" s="28" t="s">
        <v>517</v>
      </c>
      <c r="W622" s="28" t="s">
        <v>2910</v>
      </c>
      <c r="Z622" s="28" t="s">
        <v>526</v>
      </c>
      <c r="AD622" s="118" t="s">
        <v>528</v>
      </c>
      <c r="AE622" s="28" t="s">
        <v>529</v>
      </c>
      <c r="AF622" s="117" t="s">
        <v>2911</v>
      </c>
      <c r="AG622" s="28" t="s">
        <v>529</v>
      </c>
      <c r="AK622" s="60">
        <v>2</v>
      </c>
      <c r="AL622" s="28">
        <f>1/COUNTIF(Tableau6[LAT],B622)</f>
        <v>0.16666666666666666</v>
      </c>
      <c r="AM622" s="60" t="b">
        <f t="shared" si="68"/>
        <v>0</v>
      </c>
      <c r="AN622" s="60" t="b">
        <f t="shared" si="69"/>
        <v>0</v>
      </c>
      <c r="AO622" s="60" t="b">
        <f t="shared" si="70"/>
        <v>0</v>
      </c>
      <c r="AP622" s="60" t="b">
        <f t="shared" si="71"/>
        <v>0</v>
      </c>
      <c r="AQ622" s="60" t="b">
        <f t="shared" si="72"/>
        <v>0</v>
      </c>
      <c r="AR622" s="60" t="str">
        <f t="shared" si="66"/>
        <v>No</v>
      </c>
      <c r="AS622" s="60" t="str">
        <f t="shared" si="67"/>
        <v>No</v>
      </c>
    </row>
    <row r="623" spans="1:45" ht="15" hidden="1">
      <c r="A623" s="103">
        <v>45243</v>
      </c>
      <c r="B623" s="117" t="s">
        <v>2906</v>
      </c>
      <c r="C623" s="28" t="s">
        <v>548</v>
      </c>
      <c r="D623" s="28" t="s">
        <v>2912</v>
      </c>
      <c r="F623" s="28" t="s">
        <v>2913</v>
      </c>
      <c r="G623" s="28" t="s">
        <v>1456</v>
      </c>
      <c r="H623" s="28" t="s">
        <v>1372</v>
      </c>
      <c r="I623" s="28" t="s">
        <v>516</v>
      </c>
      <c r="J623" s="28" t="s">
        <v>517</v>
      </c>
      <c r="K623" s="28" t="s">
        <v>518</v>
      </c>
      <c r="L623" s="28" t="s">
        <v>801</v>
      </c>
      <c r="M623" s="28" t="s">
        <v>520</v>
      </c>
      <c r="S623" s="28" t="s">
        <v>2909</v>
      </c>
      <c r="T623" s="28" t="s">
        <v>803</v>
      </c>
      <c r="U623" s="28" t="s">
        <v>803</v>
      </c>
      <c r="V623" s="28" t="s">
        <v>517</v>
      </c>
      <c r="W623" s="28" t="s">
        <v>1620</v>
      </c>
      <c r="Z623" s="28" t="s">
        <v>526</v>
      </c>
      <c r="AD623" s="118"/>
      <c r="AF623" s="117" t="s">
        <v>2911</v>
      </c>
      <c r="AK623" s="60">
        <v>2</v>
      </c>
      <c r="AL623" s="28">
        <f>1/COUNTIF(Tableau6[LAT],B623)</f>
        <v>0.16666666666666666</v>
      </c>
      <c r="AM623" s="60" t="b">
        <f t="shared" si="68"/>
        <v>0</v>
      </c>
      <c r="AN623" s="60" t="b">
        <f t="shared" si="69"/>
        <v>0</v>
      </c>
      <c r="AO623" s="60" t="b">
        <f t="shared" si="70"/>
        <v>0</v>
      </c>
      <c r="AP623" s="60" t="b">
        <f t="shared" si="71"/>
        <v>0</v>
      </c>
      <c r="AQ623" s="60" t="b">
        <f t="shared" si="72"/>
        <v>0</v>
      </c>
      <c r="AR623" s="60" t="str">
        <f t="shared" si="66"/>
        <v>No</v>
      </c>
      <c r="AS623" s="60" t="str">
        <f t="shared" si="67"/>
        <v>No</v>
      </c>
    </row>
    <row r="624" spans="1:45" ht="15" hidden="1">
      <c r="A624" s="103">
        <v>45243</v>
      </c>
      <c r="B624" s="117" t="s">
        <v>2906</v>
      </c>
      <c r="C624" s="28" t="s">
        <v>612</v>
      </c>
      <c r="D624" s="28" t="s">
        <v>2914</v>
      </c>
      <c r="F624" s="28" t="s">
        <v>2915</v>
      </c>
      <c r="G624" s="28" t="s">
        <v>979</v>
      </c>
      <c r="H624" s="28" t="s">
        <v>1187</v>
      </c>
      <c r="I624" s="28" t="s">
        <v>516</v>
      </c>
      <c r="J624" s="28" t="s">
        <v>517</v>
      </c>
      <c r="K624" s="28" t="s">
        <v>518</v>
      </c>
      <c r="L624" s="28" t="s">
        <v>801</v>
      </c>
      <c r="M624" s="28" t="s">
        <v>520</v>
      </c>
      <c r="S624" s="28" t="s">
        <v>2909</v>
      </c>
      <c r="T624" s="28" t="s">
        <v>803</v>
      </c>
      <c r="U624" s="28" t="s">
        <v>803</v>
      </c>
      <c r="V624" s="28" t="s">
        <v>517</v>
      </c>
      <c r="W624" s="28" t="s">
        <v>2916</v>
      </c>
      <c r="Z624" s="28" t="s">
        <v>526</v>
      </c>
      <c r="AD624" s="118"/>
      <c r="AF624" s="117" t="s">
        <v>2911</v>
      </c>
      <c r="AK624" s="60">
        <v>2</v>
      </c>
      <c r="AL624" s="28">
        <f>1/COUNTIF(Tableau6[LAT],B624)</f>
        <v>0.16666666666666666</v>
      </c>
      <c r="AM624" s="60" t="b">
        <f t="shared" si="68"/>
        <v>0</v>
      </c>
      <c r="AN624" s="60" t="b">
        <f t="shared" si="69"/>
        <v>0</v>
      </c>
      <c r="AO624" s="60" t="b">
        <f t="shared" si="70"/>
        <v>0</v>
      </c>
      <c r="AP624" s="60" t="b">
        <f t="shared" si="71"/>
        <v>0</v>
      </c>
      <c r="AQ624" s="60" t="b">
        <f t="shared" si="72"/>
        <v>0</v>
      </c>
      <c r="AR624" s="60" t="str">
        <f t="shared" si="66"/>
        <v>No</v>
      </c>
      <c r="AS624" s="60" t="str">
        <f t="shared" si="67"/>
        <v>No</v>
      </c>
    </row>
    <row r="625" spans="1:45" ht="15" hidden="1">
      <c r="A625" s="103">
        <v>45243</v>
      </c>
      <c r="B625" s="117" t="s">
        <v>2906</v>
      </c>
      <c r="C625" s="28" t="s">
        <v>691</v>
      </c>
      <c r="D625" s="28" t="s">
        <v>2917</v>
      </c>
      <c r="F625" s="28" t="s">
        <v>2918</v>
      </c>
      <c r="G625" s="28" t="s">
        <v>1077</v>
      </c>
      <c r="H625" s="28" t="s">
        <v>1123</v>
      </c>
      <c r="I625" s="28" t="s">
        <v>516</v>
      </c>
      <c r="J625" s="28" t="s">
        <v>517</v>
      </c>
      <c r="K625" s="28" t="s">
        <v>518</v>
      </c>
      <c r="L625" s="28" t="s">
        <v>801</v>
      </c>
      <c r="M625" s="28" t="s">
        <v>520</v>
      </c>
      <c r="S625" s="28" t="s">
        <v>2909</v>
      </c>
      <c r="T625" s="28" t="s">
        <v>803</v>
      </c>
      <c r="U625" s="28" t="s">
        <v>803</v>
      </c>
      <c r="V625" s="28" t="s">
        <v>517</v>
      </c>
      <c r="W625" s="28" t="s">
        <v>2919</v>
      </c>
      <c r="Z625" s="28" t="s">
        <v>526</v>
      </c>
      <c r="AD625" s="118"/>
      <c r="AF625" s="117" t="s">
        <v>2911</v>
      </c>
      <c r="AK625" s="60">
        <v>2</v>
      </c>
      <c r="AL625" s="28">
        <f>1/COUNTIF(Tableau6[LAT],B625)</f>
        <v>0.16666666666666666</v>
      </c>
      <c r="AM625" s="60" t="b">
        <f t="shared" si="68"/>
        <v>0</v>
      </c>
      <c r="AN625" s="60" t="b">
        <f t="shared" si="69"/>
        <v>0</v>
      </c>
      <c r="AO625" s="60" t="b">
        <f t="shared" si="70"/>
        <v>0</v>
      </c>
      <c r="AP625" s="60" t="b">
        <f t="shared" si="71"/>
        <v>0</v>
      </c>
      <c r="AQ625" s="60" t="b">
        <f t="shared" si="72"/>
        <v>0</v>
      </c>
      <c r="AR625" s="60" t="str">
        <f t="shared" si="66"/>
        <v>No</v>
      </c>
      <c r="AS625" s="60" t="str">
        <f t="shared" si="67"/>
        <v>No</v>
      </c>
    </row>
    <row r="626" spans="1:45" ht="15" hidden="1">
      <c r="A626" s="103">
        <v>45243</v>
      </c>
      <c r="B626" s="117" t="s">
        <v>2906</v>
      </c>
      <c r="C626" s="28" t="s">
        <v>859</v>
      </c>
      <c r="D626" s="28" t="s">
        <v>2920</v>
      </c>
      <c r="F626" s="28" t="s">
        <v>2921</v>
      </c>
      <c r="G626" s="28" t="s">
        <v>979</v>
      </c>
      <c r="H626" s="28" t="s">
        <v>1187</v>
      </c>
      <c r="I626" s="28" t="s">
        <v>516</v>
      </c>
      <c r="J626" s="28" t="s">
        <v>517</v>
      </c>
      <c r="K626" s="28" t="s">
        <v>518</v>
      </c>
      <c r="L626" s="28" t="s">
        <v>801</v>
      </c>
      <c r="M626" s="28" t="s">
        <v>520</v>
      </c>
      <c r="S626" s="28" t="s">
        <v>2909</v>
      </c>
      <c r="T626" s="28" t="s">
        <v>803</v>
      </c>
      <c r="U626" s="28" t="s">
        <v>803</v>
      </c>
      <c r="V626" s="28" t="s">
        <v>517</v>
      </c>
      <c r="W626" s="28" t="s">
        <v>1620</v>
      </c>
      <c r="Z626" s="28" t="s">
        <v>526</v>
      </c>
      <c r="AD626" s="118"/>
      <c r="AF626" s="117" t="s">
        <v>2911</v>
      </c>
      <c r="AK626" s="60">
        <v>2</v>
      </c>
      <c r="AL626" s="28">
        <f>1/COUNTIF(Tableau6[LAT],B626)</f>
        <v>0.16666666666666666</v>
      </c>
      <c r="AM626" s="60" t="b">
        <f t="shared" si="68"/>
        <v>0</v>
      </c>
      <c r="AN626" s="60" t="b">
        <f t="shared" si="69"/>
        <v>0</v>
      </c>
      <c r="AO626" s="60" t="b">
        <f t="shared" si="70"/>
        <v>0</v>
      </c>
      <c r="AP626" s="60" t="b">
        <f t="shared" si="71"/>
        <v>0</v>
      </c>
      <c r="AQ626" s="60" t="b">
        <f t="shared" si="72"/>
        <v>0</v>
      </c>
      <c r="AR626" s="60" t="str">
        <f t="shared" si="66"/>
        <v>No</v>
      </c>
      <c r="AS626" s="60" t="str">
        <f t="shared" si="67"/>
        <v>No</v>
      </c>
    </row>
    <row r="627" spans="1:45" ht="15" hidden="1">
      <c r="A627" s="103">
        <v>45243</v>
      </c>
      <c r="B627" s="117" t="s">
        <v>2906</v>
      </c>
      <c r="C627" s="28" t="s">
        <v>861</v>
      </c>
      <c r="D627" s="28" t="s">
        <v>2922</v>
      </c>
      <c r="F627" s="28" t="s">
        <v>2921</v>
      </c>
      <c r="G627" s="28" t="s">
        <v>979</v>
      </c>
      <c r="H627" s="28" t="s">
        <v>1187</v>
      </c>
      <c r="I627" s="28" t="s">
        <v>516</v>
      </c>
      <c r="J627" s="28" t="s">
        <v>517</v>
      </c>
      <c r="K627" s="28" t="s">
        <v>518</v>
      </c>
      <c r="L627" s="28" t="s">
        <v>801</v>
      </c>
      <c r="M627" s="28" t="s">
        <v>520</v>
      </c>
      <c r="S627" s="28" t="s">
        <v>2909</v>
      </c>
      <c r="T627" s="28" t="s">
        <v>803</v>
      </c>
      <c r="U627" s="28" t="s">
        <v>803</v>
      </c>
      <c r="V627" s="28" t="s">
        <v>517</v>
      </c>
      <c r="W627" s="28" t="s">
        <v>1620</v>
      </c>
      <c r="Z627" s="28" t="s">
        <v>526</v>
      </c>
      <c r="AD627" s="118"/>
      <c r="AF627" s="117" t="s">
        <v>2911</v>
      </c>
      <c r="AK627" s="60">
        <v>2</v>
      </c>
      <c r="AL627" s="28">
        <f>1/COUNTIF(Tableau6[LAT],B627)</f>
        <v>0.16666666666666666</v>
      </c>
      <c r="AM627" s="60" t="b">
        <f t="shared" si="68"/>
        <v>0</v>
      </c>
      <c r="AN627" s="60" t="b">
        <f t="shared" si="69"/>
        <v>0</v>
      </c>
      <c r="AO627" s="60" t="b">
        <f t="shared" si="70"/>
        <v>0</v>
      </c>
      <c r="AP627" s="60" t="b">
        <f t="shared" si="71"/>
        <v>0</v>
      </c>
      <c r="AQ627" s="60" t="b">
        <f t="shared" si="72"/>
        <v>0</v>
      </c>
      <c r="AR627" s="60" t="str">
        <f t="shared" si="66"/>
        <v>No</v>
      </c>
      <c r="AS627" s="60" t="str">
        <f t="shared" si="67"/>
        <v>No</v>
      </c>
    </row>
    <row r="628" spans="1:45" ht="15" hidden="1">
      <c r="A628" s="103">
        <v>45244</v>
      </c>
      <c r="B628" s="117" t="s">
        <v>2923</v>
      </c>
      <c r="C628" s="28" t="s">
        <v>511</v>
      </c>
      <c r="D628" s="28" t="s">
        <v>1297</v>
      </c>
      <c r="F628" s="28" t="s">
        <v>2924</v>
      </c>
      <c r="G628" s="28" t="s">
        <v>514</v>
      </c>
      <c r="H628" s="28" t="s">
        <v>1301</v>
      </c>
      <c r="I628" s="28" t="s">
        <v>516</v>
      </c>
      <c r="J628" s="28" t="s">
        <v>517</v>
      </c>
      <c r="K628" s="28" t="s">
        <v>518</v>
      </c>
      <c r="L628" s="28" t="s">
        <v>2925</v>
      </c>
      <c r="M628" s="28" t="s">
        <v>520</v>
      </c>
      <c r="N628" s="28" t="s">
        <v>810</v>
      </c>
      <c r="O628" s="28" t="s">
        <v>1383</v>
      </c>
      <c r="P628" s="28" t="s">
        <v>522</v>
      </c>
      <c r="S628" s="28" t="s">
        <v>1264</v>
      </c>
      <c r="T628" s="28" t="s">
        <v>1042</v>
      </c>
      <c r="U628" s="28" t="s">
        <v>1042</v>
      </c>
      <c r="V628" s="28" t="s">
        <v>517</v>
      </c>
      <c r="W628" s="28" t="s">
        <v>2926</v>
      </c>
      <c r="Z628" s="118" t="s">
        <v>563</v>
      </c>
      <c r="AA628" s="118"/>
      <c r="AB628" s="73" t="s">
        <v>609</v>
      </c>
      <c r="AD628" s="118" t="s">
        <v>528</v>
      </c>
      <c r="AE628" s="28" t="s">
        <v>563</v>
      </c>
      <c r="AF628" s="117" t="s">
        <v>1297</v>
      </c>
      <c r="AG628" s="28" t="s">
        <v>563</v>
      </c>
      <c r="AK628" s="60" t="s">
        <v>2927</v>
      </c>
      <c r="AL628" s="117">
        <f>1/COUNTIF(Tableau6[LAT],B628)</f>
        <v>0.25</v>
      </c>
      <c r="AM628" s="60" t="b">
        <f t="shared" ref="AM628:AM691" si="73">IF(N628="ALM","Yes",IF(N628="ALI","Yes",IF(N628="CAO","Yes",IF(N628="ICE","Yes",IF(N628="MAG","Yes",IF(N628="MAG","Yes",IF(N628="RBI","Yes",IF(N628="RBM","Yes",IF(N628="RCL","Yes",IF(N628="RCM","Yes",IF(N628="RCX","Yes",IF(N628="RDS","Yes",IF(N628="REQ","Yes",IF(N628="REX","Yes",IF(N628="RFG","Yes",IF(N628="RFL","Yes",IF(N628="RFS","Yes",IF(N628="RFW","Yes",IF(N628="RGX","Yes",IF(N628="RIS",IF(N628="RLI","Yes",IF(N628="RLM","Yes",IF(N628="RMD","Yes",IF(N628="RNG","Yes",IF(N628="ROP","Yes",IF(N628="ROX","Yes",IF(N628="RPB","Yes",IF(N628="RPG","Yes",IF(N628="RRE","Yes",IF(N628="RRW","Yes",IF(N628="RRY","Yes",IF(N628="RSB","Yes",IF(N628="RSC","Yes",IF(N628="RXB","Yes",IF(N628="RXC","Yes",IF(N628="RXD","Yes",IF(N628="RXE","Yes",IF(N628="RXG","Yes",IF(N628="RXS","Yes",)))))))))))))))))))))))))))))))))))))))</f>
        <v>0</v>
      </c>
      <c r="AN628" s="60" t="b">
        <f t="shared" ref="AN628:AN691" si="74">IF(O628="ALM","Yes",IF(O628="ALI","Yes",IF(O628="CAO","Yes",IF(O628="ICE","Yes",IF(O628="MAG","Yes",IF(O628="MAG","Yes",IF(O628="RBI","Yes",IF(O628="RBM","Yes",IF(O628="RCL","Yes",IF(O628="RCM","Yes",IF(O628="RCX","Yes",IF(O628="RDS","Yes",IF(O628="REQ","Yes",IF(O628="REX","Yes",IF(O628="RFG","Yes",IF(O628="RFL","Yes",IF(O628="RFS","Yes",IF(O628="RFW","Yes",IF(O628="RGX","Yes",IF(O628="RIS",IF(O628="RLI","Yes",IF(O628="RLM","Yes",IF(O628="RMD","Yes",IF(O628="RNG","Yes",IF(O628="ROP","Yes",IF(O628="ROX","Yes",IF(O628="RPB","Yes",IF(O628="RPG","Yes",IF(O628="RRE","Yes",IF(O628="RRW","Yes",IF(O628="RRY","Yes",IF(O628="RSB","Yes",IF(O628="RSC","Yes",IF(O628="RXB","Yes",IF(O628="RXC","Yes",IF(O628="RXD","Yes",IF(O628="RXE","Yes",IF(O628="RXG","Yes",IF(O628="RXS","Yes",)))))))))))))))))))))))))))))))))))))))</f>
        <v>0</v>
      </c>
      <c r="AO628" s="60" t="b">
        <f t="shared" ref="AO628:AO691" si="75">IF(P628="ALM","Yes",IF(P628="ALI","Yes",IF(P628="CAO","Yes",IF(P628="ICE","Yes",IF(P628="MAG","Yes",IF(P628="MAG","Yes",IF(P628="RBI","Yes",IF(P628="RBM","Yes",IF(P628="RCL","Yes",IF(P628="RCM","Yes",IF(P628="RCX","Yes",IF(P628="RDS","Yes",IF(P628="REQ","Yes",IF(P628="REX","Yes",IF(P628="RFG","Yes",IF(P628="RFL","Yes",IF(P628="RFS","Yes",IF(P628="RFW","Yes",IF(P628="RGX","Yes",IF(P628="RIS",IF(P628="RLI","Yes",IF(P628="RLM","Yes",IF(P628="RMD","Yes",IF(P628="RNG","Yes",IF(P628="ROP","Yes",IF(P628="ROX","Yes",IF(P628="RPB","Yes",IF(P628="RPG","Yes",IF(P628="RRE","Yes",IF(P628="RRW","Yes",IF(P628="RRY","Yes",IF(P628="RSB","Yes",IF(P628="RSC","Yes",IF(P628="RXB","Yes",IF(P628="RXC","Yes",IF(P628="RXD","Yes",IF(P628="RXE","Yes",IF(P628="RXG","Yes",IF(P628="RXS","Yes",)))))))))))))))))))))))))))))))))))))))</f>
        <v>0</v>
      </c>
      <c r="AP628" s="60" t="b">
        <f t="shared" ref="AP628:AP691" si="76">IF(Q628="ALM","Yes",IF(Q628="ALI","Yes",IF(Q628="CAO","Yes",IF(Q628="ICE","Yes",IF(Q628="MAG","Yes",IF(Q628="MAG","Yes",IF(Q628="RBI","Yes",IF(Q628="RBM","Yes",IF(Q628="RCL","Yes",IF(Q628="RCM","Yes",IF(Q628="RCX","Yes",IF(Q628="RDS","Yes",IF(Q628="REQ","Yes",IF(Q628="REX","Yes",IF(Q628="RFG","Yes",IF(Q628="RFL","Yes",IF(Q628="RFS","Yes",IF(Q628="RFW","Yes",IF(Q628="RGX","Yes",IF(Q628="RIS",IF(Q628="RLI","Yes",IF(Q628="RLM","Yes",IF(Q628="RMD","Yes",IF(Q628="RNG","Yes",IF(Q628="ROP","Yes",IF(Q628="ROX","Yes",IF(Q628="RPB","Yes",IF(Q628="RPG","Yes",IF(Q628="RRE","Yes",IF(Q628="RRW","Yes",IF(Q628="RRY","Yes",IF(Q628="RSB","Yes",IF(Q628="RSC","Yes",IF(Q628="RXB","Yes",IF(Q628="RXC","Yes",IF(Q628="RXD","Yes",IF(Q628="RXE","Yes",IF(Q628="RXG","Yes",IF(Q628="RXS","Yes",)))))))))))))))))))))))))))))))))))))))</f>
        <v>0</v>
      </c>
      <c r="AQ628" s="60" t="b">
        <f t="shared" ref="AQ628:AQ691" si="77">IF(R628="ALM","Yes",IF(R628="ALI","Yes",IF(R628="CAO","Yes",IF(R628="ICE","Yes",IF(R628="MAG","Yes",IF(R628="MAG","Yes",IF(R628="RBI","Yes",IF(R628="RBM","Yes",IF(R628="RCL","Yes",IF(R628="RCM","Yes",IF(R628="RCX","Yes",IF(R628="RDS","Yes",IF(R628="REQ","Yes",IF(R628="REX","Yes",IF(R628="RFG","Yes",IF(R628="RFL","Yes",IF(R628="RFS","Yes",IF(R628="RFW","Yes",IF(R628="RGX","Yes",IF(R628="RIS",IF(R628="RLI","Yes",IF(R628="RLM","Yes",IF(R628="RMD","Yes",IF(R628="RNG","Yes",IF(R628="ROP","Yes",IF(R628="ROX","Yes",IF(R628="RPB","Yes",IF(R628="RPG","Yes",IF(R628="RRE","Yes",IF(R628="RRW","Yes",IF(R628="RRY","Yes",IF(R628="RSB","Yes",IF(R628="RSC","Yes",IF(R628="RXB","Yes",IF(R628="RXC","Yes",IF(R628="RXD","Yes",IF(R628="RXE","Yes",IF(R628="RXG","Yes",IF(R628="RXS","Yes",)))))))))))))))))))))))))))))))))))))))</f>
        <v>0</v>
      </c>
      <c r="AR628" s="60" t="str">
        <f t="shared" ref="AR628:AR691" si="78">IF(AM628="Yes","Yes",IF(AN628="Yes","Yes",IF(AO628="yes","Yes",IF(AP628="Yes","Yes","No"))))</f>
        <v>No</v>
      </c>
      <c r="AS628" s="60" t="str">
        <f t="shared" ref="AS628:AS691" si="79">IF(S628="QFA","Yes",IF(S628="LCJ","Yes",IF(S628="CAJ","Yes",IF(S628="WRO","Yes",IF(S628="BEY","Yes",IF(S628="TUN","Yes",IF(S628="LFW","Yes",IF(S628="DLA","Yes",IF(S628="NSI","Yes",IF(S628="OUA","Yes",IF(S628="IAH","Yes",IF(S628="LYS","Yes",IF(S628="DSS","Yes",IF(S628="BKO","Yes",IF(S628="BZV","Yes",IF(S628="COO","Yes",IF(S628="EZE","Yes",IF(S628="CKY","Yes",IF(S628="PTP","Yes",IF(S628="ORD","Yes",IF(S628="CFE","Yes",IF(S628="NKC","Yes",IF(S628="FDF","Yes",IF(S628="SDQ","Yes",IF(S628="PNR","Yes",IF(S628="ICAY","Yes",IF(S628="DTW","Yes",IF(S628="TNR","Yes",IF(S628="RUN","Yes",IF(S628="NIM","Yes","No"))))))))))))))))))))))))))))))</f>
        <v>No</v>
      </c>
    </row>
    <row r="629" spans="1:45" ht="15" hidden="1">
      <c r="A629" s="103">
        <v>45244</v>
      </c>
      <c r="B629" s="117" t="s">
        <v>2923</v>
      </c>
      <c r="C629" s="28" t="s">
        <v>548</v>
      </c>
      <c r="D629" s="28" t="s">
        <v>2928</v>
      </c>
      <c r="F629" s="28" t="s">
        <v>2924</v>
      </c>
      <c r="G629" s="28" t="s">
        <v>514</v>
      </c>
      <c r="H629" s="28" t="s">
        <v>1301</v>
      </c>
      <c r="I629" s="28" t="s">
        <v>516</v>
      </c>
      <c r="J629" s="28" t="s">
        <v>517</v>
      </c>
      <c r="K629" s="28" t="s">
        <v>518</v>
      </c>
      <c r="L629" s="28" t="s">
        <v>2925</v>
      </c>
      <c r="M629" s="28" t="s">
        <v>520</v>
      </c>
      <c r="N629" s="28" t="s">
        <v>810</v>
      </c>
      <c r="O629" s="28" t="s">
        <v>1383</v>
      </c>
      <c r="P629" s="28" t="s">
        <v>522</v>
      </c>
      <c r="S629" s="28" t="s">
        <v>1264</v>
      </c>
      <c r="T629" s="28" t="s">
        <v>1042</v>
      </c>
      <c r="U629" s="28" t="s">
        <v>1042</v>
      </c>
      <c r="V629" s="28" t="s">
        <v>517</v>
      </c>
      <c r="W629" s="28" t="s">
        <v>2929</v>
      </c>
      <c r="Z629" s="118" t="s">
        <v>563</v>
      </c>
      <c r="AA629" s="118"/>
      <c r="AB629" s="73" t="s">
        <v>609</v>
      </c>
      <c r="AD629" s="118" t="s">
        <v>528</v>
      </c>
      <c r="AE629" s="28" t="s">
        <v>563</v>
      </c>
      <c r="AF629" s="117" t="s">
        <v>2928</v>
      </c>
      <c r="AG629" s="28" t="s">
        <v>563</v>
      </c>
      <c r="AK629" s="60" t="s">
        <v>2927</v>
      </c>
      <c r="AL629" s="117">
        <f>1/COUNTIF(Tableau6[LAT],B629)</f>
        <v>0.25</v>
      </c>
      <c r="AM629" s="60" t="b">
        <f t="shared" si="73"/>
        <v>0</v>
      </c>
      <c r="AN629" s="60" t="b">
        <f t="shared" si="74"/>
        <v>0</v>
      </c>
      <c r="AO629" s="60" t="b">
        <f t="shared" si="75"/>
        <v>0</v>
      </c>
      <c r="AP629" s="60" t="b">
        <f t="shared" si="76"/>
        <v>0</v>
      </c>
      <c r="AQ629" s="60" t="b">
        <f t="shared" si="77"/>
        <v>0</v>
      </c>
      <c r="AR629" s="60" t="str">
        <f t="shared" si="78"/>
        <v>No</v>
      </c>
      <c r="AS629" s="60" t="str">
        <f t="shared" si="79"/>
        <v>No</v>
      </c>
    </row>
    <row r="630" spans="1:45" ht="15" hidden="1">
      <c r="A630" s="103">
        <v>45244</v>
      </c>
      <c r="B630" s="117" t="s">
        <v>2923</v>
      </c>
      <c r="C630" s="28" t="s">
        <v>612</v>
      </c>
      <c r="D630" s="28" t="s">
        <v>2930</v>
      </c>
      <c r="F630" s="28" t="s">
        <v>2924</v>
      </c>
      <c r="G630" s="28" t="s">
        <v>514</v>
      </c>
      <c r="H630" s="28" t="s">
        <v>1301</v>
      </c>
      <c r="I630" s="28" t="s">
        <v>516</v>
      </c>
      <c r="J630" s="28" t="s">
        <v>517</v>
      </c>
      <c r="K630" s="28" t="s">
        <v>518</v>
      </c>
      <c r="L630" s="28" t="s">
        <v>2925</v>
      </c>
      <c r="M630" s="28" t="s">
        <v>520</v>
      </c>
      <c r="N630" s="28" t="s">
        <v>810</v>
      </c>
      <c r="O630" s="28" t="s">
        <v>1383</v>
      </c>
      <c r="P630" s="28" t="s">
        <v>522</v>
      </c>
      <c r="S630" s="28" t="s">
        <v>1264</v>
      </c>
      <c r="T630" s="28" t="s">
        <v>1042</v>
      </c>
      <c r="U630" s="28" t="s">
        <v>1042</v>
      </c>
      <c r="V630" s="28" t="s">
        <v>517</v>
      </c>
      <c r="W630" s="28" t="s">
        <v>2931</v>
      </c>
      <c r="Z630" s="118" t="s">
        <v>563</v>
      </c>
      <c r="AA630" s="118"/>
      <c r="AB630" s="73" t="s">
        <v>609</v>
      </c>
      <c r="AD630" s="118" t="s">
        <v>528</v>
      </c>
      <c r="AE630" s="28" t="s">
        <v>563</v>
      </c>
      <c r="AF630" s="117" t="s">
        <v>2930</v>
      </c>
      <c r="AG630" s="28" t="s">
        <v>563</v>
      </c>
      <c r="AK630" s="60" t="s">
        <v>2927</v>
      </c>
      <c r="AL630" s="117">
        <f>1/COUNTIF(Tableau6[LAT],B630)</f>
        <v>0.25</v>
      </c>
      <c r="AM630" s="60" t="b">
        <f t="shared" si="73"/>
        <v>0</v>
      </c>
      <c r="AN630" s="60" t="b">
        <f t="shared" si="74"/>
        <v>0</v>
      </c>
      <c r="AO630" s="60" t="b">
        <f t="shared" si="75"/>
        <v>0</v>
      </c>
      <c r="AP630" s="60" t="b">
        <f t="shared" si="76"/>
        <v>0</v>
      </c>
      <c r="AQ630" s="60" t="b">
        <f t="shared" si="77"/>
        <v>0</v>
      </c>
      <c r="AR630" s="60" t="str">
        <f t="shared" si="78"/>
        <v>No</v>
      </c>
      <c r="AS630" s="60" t="str">
        <f t="shared" si="79"/>
        <v>No</v>
      </c>
    </row>
    <row r="631" spans="1:45" ht="15" hidden="1">
      <c r="A631" s="103">
        <v>45244</v>
      </c>
      <c r="B631" s="117" t="s">
        <v>2923</v>
      </c>
      <c r="C631" s="28" t="s">
        <v>691</v>
      </c>
      <c r="D631" s="28" t="s">
        <v>2932</v>
      </c>
      <c r="F631" s="28" t="s">
        <v>2933</v>
      </c>
      <c r="G631" s="28" t="s">
        <v>958</v>
      </c>
      <c r="H631" s="28" t="s">
        <v>2934</v>
      </c>
      <c r="I631" s="28" t="s">
        <v>516</v>
      </c>
      <c r="J631" s="28" t="s">
        <v>517</v>
      </c>
      <c r="K631" s="28" t="s">
        <v>518</v>
      </c>
      <c r="L631" s="28" t="s">
        <v>2925</v>
      </c>
      <c r="M631" s="28" t="s">
        <v>520</v>
      </c>
      <c r="N631" s="28" t="s">
        <v>810</v>
      </c>
      <c r="O631" s="28" t="s">
        <v>1383</v>
      </c>
      <c r="P631" s="28" t="s">
        <v>522</v>
      </c>
      <c r="S631" s="28" t="s">
        <v>1264</v>
      </c>
      <c r="T631" s="28" t="s">
        <v>1042</v>
      </c>
      <c r="U631" s="28" t="s">
        <v>1042</v>
      </c>
      <c r="V631" s="28" t="s">
        <v>517</v>
      </c>
      <c r="W631" s="28" t="s">
        <v>2935</v>
      </c>
      <c r="Z631" s="118" t="s">
        <v>563</v>
      </c>
      <c r="AA631" s="118"/>
      <c r="AB631" s="73" t="s">
        <v>609</v>
      </c>
      <c r="AD631" s="118" t="s">
        <v>528</v>
      </c>
      <c r="AE631" s="28" t="s">
        <v>563</v>
      </c>
      <c r="AF631" s="117" t="s">
        <v>2932</v>
      </c>
      <c r="AG631" s="28" t="s">
        <v>563</v>
      </c>
      <c r="AK631" s="60" t="s">
        <v>2927</v>
      </c>
      <c r="AL631" s="117">
        <f>1/COUNTIF(Tableau6[LAT],B631)</f>
        <v>0.25</v>
      </c>
      <c r="AM631" s="60" t="b">
        <f t="shared" si="73"/>
        <v>0</v>
      </c>
      <c r="AN631" s="60" t="b">
        <f t="shared" si="74"/>
        <v>0</v>
      </c>
      <c r="AO631" s="60" t="b">
        <f t="shared" si="75"/>
        <v>0</v>
      </c>
      <c r="AP631" s="60" t="b">
        <f t="shared" si="76"/>
        <v>0</v>
      </c>
      <c r="AQ631" s="60" t="b">
        <f t="shared" si="77"/>
        <v>0</v>
      </c>
      <c r="AR631" s="60" t="str">
        <f t="shared" si="78"/>
        <v>No</v>
      </c>
      <c r="AS631" s="60" t="str">
        <f t="shared" si="79"/>
        <v>No</v>
      </c>
    </row>
    <row r="632" spans="1:45" ht="15" hidden="1">
      <c r="A632" s="103">
        <v>45244</v>
      </c>
      <c r="B632" s="117" t="s">
        <v>2936</v>
      </c>
      <c r="C632" s="28" t="s">
        <v>548</v>
      </c>
      <c r="D632" s="28" t="s">
        <v>2937</v>
      </c>
      <c r="E632" s="28" t="s">
        <v>2938</v>
      </c>
      <c r="F632" s="28" t="s">
        <v>2939</v>
      </c>
      <c r="G632" s="28" t="s">
        <v>657</v>
      </c>
      <c r="H632" s="28" t="s">
        <v>2940</v>
      </c>
      <c r="I632" s="28" t="s">
        <v>516</v>
      </c>
      <c r="J632" s="28" t="s">
        <v>517</v>
      </c>
      <c r="K632" s="28" t="s">
        <v>518</v>
      </c>
      <c r="L632" s="28" t="s">
        <v>2941</v>
      </c>
      <c r="M632" s="28" t="s">
        <v>535</v>
      </c>
      <c r="N632" s="28" t="s">
        <v>557</v>
      </c>
      <c r="O632" s="28" t="s">
        <v>544</v>
      </c>
      <c r="P632" s="28" t="s">
        <v>522</v>
      </c>
      <c r="S632" s="28" t="s">
        <v>2942</v>
      </c>
      <c r="T632" s="28" t="s">
        <v>2943</v>
      </c>
      <c r="U632" s="28" t="s">
        <v>2943</v>
      </c>
      <c r="V632" s="28" t="s">
        <v>517</v>
      </c>
      <c r="W632" s="28" t="s">
        <v>2944</v>
      </c>
      <c r="X632" s="28" t="s">
        <v>670</v>
      </c>
      <c r="Z632" s="118" t="s">
        <v>563</v>
      </c>
      <c r="AA632" s="118"/>
      <c r="AB632" s="73" t="s">
        <v>609</v>
      </c>
      <c r="AD632" s="118" t="s">
        <v>528</v>
      </c>
      <c r="AE632" s="28" t="s">
        <v>563</v>
      </c>
      <c r="AF632" s="117"/>
      <c r="AG632" s="28" t="s">
        <v>563</v>
      </c>
      <c r="AK632" s="60" t="s">
        <v>2927</v>
      </c>
      <c r="AL632" s="117">
        <f>1/COUNTIF(Tableau6[LAT],B632)</f>
        <v>0.5</v>
      </c>
      <c r="AM632" s="60" t="b">
        <f t="shared" si="73"/>
        <v>0</v>
      </c>
      <c r="AN632" s="60" t="b">
        <f t="shared" si="74"/>
        <v>0</v>
      </c>
      <c r="AO632" s="60" t="b">
        <f t="shared" si="75"/>
        <v>0</v>
      </c>
      <c r="AP632" s="60" t="b">
        <f t="shared" si="76"/>
        <v>0</v>
      </c>
      <c r="AQ632" s="60" t="b">
        <f t="shared" si="77"/>
        <v>0</v>
      </c>
      <c r="AR632" s="60" t="str">
        <f t="shared" si="78"/>
        <v>No</v>
      </c>
      <c r="AS632" s="60" t="str">
        <f t="shared" si="79"/>
        <v>No</v>
      </c>
    </row>
    <row r="633" spans="1:45" ht="15" hidden="1">
      <c r="A633" s="103">
        <v>45244</v>
      </c>
      <c r="B633" s="117" t="s">
        <v>2936</v>
      </c>
      <c r="C633" s="28" t="s">
        <v>612</v>
      </c>
      <c r="D633" s="28" t="s">
        <v>2945</v>
      </c>
      <c r="E633" s="28" t="s">
        <v>2946</v>
      </c>
      <c r="F633" s="28" t="s">
        <v>2939</v>
      </c>
      <c r="G633" s="28" t="s">
        <v>657</v>
      </c>
      <c r="H633" s="28" t="s">
        <v>2940</v>
      </c>
      <c r="I633" s="28" t="s">
        <v>516</v>
      </c>
      <c r="J633" s="28" t="s">
        <v>517</v>
      </c>
      <c r="K633" s="28" t="s">
        <v>518</v>
      </c>
      <c r="L633" s="28" t="s">
        <v>2941</v>
      </c>
      <c r="M633" s="28" t="s">
        <v>535</v>
      </c>
      <c r="N633" s="28" t="s">
        <v>557</v>
      </c>
      <c r="O633" s="28" t="s">
        <v>544</v>
      </c>
      <c r="P633" s="28" t="s">
        <v>522</v>
      </c>
      <c r="S633" s="28" t="s">
        <v>2942</v>
      </c>
      <c r="T633" s="28" t="s">
        <v>2943</v>
      </c>
      <c r="U633" s="28" t="s">
        <v>2943</v>
      </c>
      <c r="V633" s="28" t="s">
        <v>517</v>
      </c>
      <c r="W633" s="28" t="s">
        <v>2947</v>
      </c>
      <c r="X633" s="28" t="s">
        <v>670</v>
      </c>
      <c r="Z633" s="118" t="s">
        <v>563</v>
      </c>
      <c r="AA633" s="118"/>
      <c r="AB633" s="73" t="s">
        <v>609</v>
      </c>
      <c r="AD633" s="118" t="s">
        <v>528</v>
      </c>
      <c r="AE633" s="28" t="s">
        <v>563</v>
      </c>
      <c r="AF633" s="117"/>
      <c r="AG633" s="28" t="s">
        <v>563</v>
      </c>
      <c r="AK633" s="60" t="s">
        <v>2927</v>
      </c>
      <c r="AL633" s="117">
        <f>1/COUNTIF(Tableau6[LAT],B633)</f>
        <v>0.5</v>
      </c>
      <c r="AM633" s="60" t="b">
        <f t="shared" si="73"/>
        <v>0</v>
      </c>
      <c r="AN633" s="60" t="b">
        <f t="shared" si="74"/>
        <v>0</v>
      </c>
      <c r="AO633" s="60" t="b">
        <f t="shared" si="75"/>
        <v>0</v>
      </c>
      <c r="AP633" s="60" t="b">
        <f t="shared" si="76"/>
        <v>0</v>
      </c>
      <c r="AQ633" s="60" t="b">
        <f t="shared" si="77"/>
        <v>0</v>
      </c>
      <c r="AR633" s="60" t="str">
        <f t="shared" si="78"/>
        <v>No</v>
      </c>
      <c r="AS633" s="60" t="str">
        <f t="shared" si="79"/>
        <v>No</v>
      </c>
    </row>
    <row r="634" spans="1:45" ht="15" hidden="1">
      <c r="A634" s="103">
        <v>45244</v>
      </c>
      <c r="B634" s="117" t="s">
        <v>2948</v>
      </c>
      <c r="C634" s="28" t="s">
        <v>511</v>
      </c>
      <c r="D634" s="28" t="s">
        <v>2949</v>
      </c>
      <c r="F634" s="28" t="s">
        <v>1672</v>
      </c>
      <c r="G634" s="28" t="s">
        <v>514</v>
      </c>
      <c r="H634" s="28" t="s">
        <v>2950</v>
      </c>
      <c r="I634" s="28" t="s">
        <v>516</v>
      </c>
      <c r="J634" s="28" t="s">
        <v>517</v>
      </c>
      <c r="K634" s="28" t="s">
        <v>518</v>
      </c>
      <c r="L634" s="28" t="s">
        <v>2951</v>
      </c>
      <c r="M634" s="28" t="s">
        <v>520</v>
      </c>
      <c r="N634" s="28" t="s">
        <v>557</v>
      </c>
      <c r="O634" s="28" t="s">
        <v>544</v>
      </c>
      <c r="P634" s="28" t="s">
        <v>522</v>
      </c>
      <c r="S634" s="28" t="s">
        <v>1264</v>
      </c>
      <c r="T634" s="28" t="s">
        <v>1263</v>
      </c>
      <c r="U634" s="28" t="s">
        <v>1263</v>
      </c>
      <c r="V634" s="28" t="s">
        <v>517</v>
      </c>
      <c r="W634" s="28" t="s">
        <v>2952</v>
      </c>
      <c r="Z634" s="118" t="s">
        <v>563</v>
      </c>
      <c r="AA634" s="118"/>
      <c r="AB634" s="73" t="s">
        <v>609</v>
      </c>
      <c r="AD634" s="118" t="s">
        <v>528</v>
      </c>
      <c r="AE634" s="28" t="s">
        <v>563</v>
      </c>
      <c r="AF634" s="117" t="s">
        <v>2949</v>
      </c>
      <c r="AG634" s="28" t="s">
        <v>563</v>
      </c>
      <c r="AK634" s="60" t="s">
        <v>2927</v>
      </c>
      <c r="AL634" s="117">
        <f>1/COUNTIF(Tableau6[LAT],B634)</f>
        <v>0.5</v>
      </c>
      <c r="AM634" s="60" t="b">
        <f t="shared" si="73"/>
        <v>0</v>
      </c>
      <c r="AN634" s="60" t="b">
        <f t="shared" si="74"/>
        <v>0</v>
      </c>
      <c r="AO634" s="60" t="b">
        <f t="shared" si="75"/>
        <v>0</v>
      </c>
      <c r="AP634" s="60" t="b">
        <f t="shared" si="76"/>
        <v>0</v>
      </c>
      <c r="AQ634" s="60" t="b">
        <f t="shared" si="77"/>
        <v>0</v>
      </c>
      <c r="AR634" s="60" t="str">
        <f t="shared" si="78"/>
        <v>No</v>
      </c>
      <c r="AS634" s="60" t="str">
        <f t="shared" si="79"/>
        <v>No</v>
      </c>
    </row>
    <row r="635" spans="1:45" ht="15" hidden="1">
      <c r="A635" s="103">
        <v>45244</v>
      </c>
      <c r="B635" s="117" t="s">
        <v>2948</v>
      </c>
      <c r="C635" s="28" t="s">
        <v>548</v>
      </c>
      <c r="D635" s="28" t="s">
        <v>2953</v>
      </c>
      <c r="F635" s="28" t="s">
        <v>1672</v>
      </c>
      <c r="G635" s="28" t="s">
        <v>514</v>
      </c>
      <c r="H635" s="28" t="s">
        <v>2950</v>
      </c>
      <c r="I635" s="28" t="s">
        <v>516</v>
      </c>
      <c r="J635" s="28" t="s">
        <v>517</v>
      </c>
      <c r="K635" s="28" t="s">
        <v>518</v>
      </c>
      <c r="L635" s="28" t="s">
        <v>2951</v>
      </c>
      <c r="M635" s="28" t="s">
        <v>520</v>
      </c>
      <c r="N635" s="28" t="s">
        <v>557</v>
      </c>
      <c r="O635" s="28" t="s">
        <v>544</v>
      </c>
      <c r="P635" s="28" t="s">
        <v>522</v>
      </c>
      <c r="S635" s="28" t="s">
        <v>1264</v>
      </c>
      <c r="T635" s="28" t="s">
        <v>1263</v>
      </c>
      <c r="U635" s="28" t="s">
        <v>1263</v>
      </c>
      <c r="V635" s="28" t="s">
        <v>517</v>
      </c>
      <c r="W635" s="28" t="s">
        <v>2952</v>
      </c>
      <c r="Z635" s="118" t="s">
        <v>563</v>
      </c>
      <c r="AA635" s="118"/>
      <c r="AB635" s="73" t="s">
        <v>609</v>
      </c>
      <c r="AD635" s="118" t="s">
        <v>528</v>
      </c>
      <c r="AE635" s="28" t="s">
        <v>563</v>
      </c>
      <c r="AF635" s="117" t="s">
        <v>2953</v>
      </c>
      <c r="AG635" s="28" t="s">
        <v>563</v>
      </c>
      <c r="AK635" s="60" t="s">
        <v>2927</v>
      </c>
      <c r="AL635" s="117">
        <f>1/COUNTIF(Tableau6[LAT],B635)</f>
        <v>0.5</v>
      </c>
      <c r="AM635" s="60" t="b">
        <f t="shared" si="73"/>
        <v>0</v>
      </c>
      <c r="AN635" s="60" t="b">
        <f t="shared" si="74"/>
        <v>0</v>
      </c>
      <c r="AO635" s="60" t="b">
        <f t="shared" si="75"/>
        <v>0</v>
      </c>
      <c r="AP635" s="60" t="b">
        <f t="shared" si="76"/>
        <v>0</v>
      </c>
      <c r="AQ635" s="60" t="b">
        <f t="shared" si="77"/>
        <v>0</v>
      </c>
      <c r="AR635" s="60" t="str">
        <f t="shared" si="78"/>
        <v>No</v>
      </c>
      <c r="AS635" s="60" t="str">
        <f t="shared" si="79"/>
        <v>No</v>
      </c>
    </row>
    <row r="636" spans="1:45" ht="15" hidden="1">
      <c r="A636" s="103">
        <v>45244</v>
      </c>
      <c r="B636" s="117" t="s">
        <v>2954</v>
      </c>
      <c r="C636" s="28" t="s">
        <v>548</v>
      </c>
      <c r="D636" s="28" t="s">
        <v>2955</v>
      </c>
      <c r="E636" s="28" t="s">
        <v>2956</v>
      </c>
      <c r="F636" s="28" t="s">
        <v>2957</v>
      </c>
      <c r="G636" s="28" t="s">
        <v>514</v>
      </c>
      <c r="H636" s="28" t="s">
        <v>587</v>
      </c>
      <c r="I636" s="28" t="s">
        <v>516</v>
      </c>
      <c r="J636" s="28" t="s">
        <v>517</v>
      </c>
      <c r="K636" s="28" t="s">
        <v>518</v>
      </c>
      <c r="L636" s="28" t="s">
        <v>1269</v>
      </c>
      <c r="M636" s="28" t="s">
        <v>535</v>
      </c>
      <c r="N636" s="28" t="s">
        <v>557</v>
      </c>
      <c r="O636" s="28" t="s">
        <v>544</v>
      </c>
      <c r="S636" s="28" t="s">
        <v>733</v>
      </c>
      <c r="T636" s="28" t="s">
        <v>2958</v>
      </c>
      <c r="U636" s="28" t="s">
        <v>1041</v>
      </c>
      <c r="V636" s="28" t="s">
        <v>517</v>
      </c>
      <c r="W636" s="28" t="s">
        <v>2959</v>
      </c>
      <c r="X636" s="28" t="s">
        <v>670</v>
      </c>
      <c r="Z636" s="118" t="s">
        <v>563</v>
      </c>
      <c r="AA636" s="118"/>
      <c r="AB636" s="118" t="s">
        <v>527</v>
      </c>
      <c r="AD636" s="118" t="s">
        <v>528</v>
      </c>
      <c r="AE636" s="28" t="s">
        <v>563</v>
      </c>
      <c r="AF636" s="117" t="s">
        <v>2960</v>
      </c>
      <c r="AG636" s="28" t="s">
        <v>563</v>
      </c>
      <c r="AK636" s="60" t="s">
        <v>2927</v>
      </c>
      <c r="AL636" s="117">
        <f>1/COUNTIF(Tableau6[LAT],B636)</f>
        <v>1</v>
      </c>
      <c r="AM636" s="60" t="b">
        <f t="shared" si="73"/>
        <v>0</v>
      </c>
      <c r="AN636" s="60" t="b">
        <f t="shared" si="74"/>
        <v>0</v>
      </c>
      <c r="AO636" s="60" t="b">
        <f t="shared" si="75"/>
        <v>0</v>
      </c>
      <c r="AP636" s="60" t="b">
        <f t="shared" si="76"/>
        <v>0</v>
      </c>
      <c r="AQ636" s="60" t="b">
        <f t="shared" si="77"/>
        <v>0</v>
      </c>
      <c r="AR636" s="60" t="str">
        <f t="shared" si="78"/>
        <v>No</v>
      </c>
      <c r="AS636" s="60" t="str">
        <f t="shared" si="79"/>
        <v>Yes</v>
      </c>
    </row>
    <row r="637" spans="1:45" ht="15" hidden="1">
      <c r="A637" s="103">
        <v>45244</v>
      </c>
      <c r="B637" s="117" t="s">
        <v>2961</v>
      </c>
      <c r="C637" s="28" t="s">
        <v>511</v>
      </c>
      <c r="D637" s="28" t="s">
        <v>2962</v>
      </c>
      <c r="F637" s="28" t="s">
        <v>2963</v>
      </c>
      <c r="G637" s="28" t="s">
        <v>514</v>
      </c>
      <c r="H637" s="28" t="s">
        <v>2964</v>
      </c>
      <c r="I637" s="28" t="s">
        <v>517</v>
      </c>
      <c r="J637" s="28" t="s">
        <v>517</v>
      </c>
      <c r="K637" s="28" t="s">
        <v>518</v>
      </c>
      <c r="L637" s="28" t="s">
        <v>2662</v>
      </c>
      <c r="M637" s="28" t="s">
        <v>535</v>
      </c>
      <c r="N637" s="28" t="s">
        <v>1140</v>
      </c>
      <c r="O637" s="28" t="s">
        <v>521</v>
      </c>
      <c r="P637" s="28" t="s">
        <v>1523</v>
      </c>
      <c r="Q637" s="28" t="s">
        <v>522</v>
      </c>
      <c r="S637" s="28" t="s">
        <v>573</v>
      </c>
      <c r="T637" s="28" t="s">
        <v>2663</v>
      </c>
      <c r="U637" s="28" t="s">
        <v>2663</v>
      </c>
      <c r="V637" s="28" t="s">
        <v>517</v>
      </c>
      <c r="W637" s="28" t="s">
        <v>2835</v>
      </c>
      <c r="Z637" s="118" t="s">
        <v>563</v>
      </c>
      <c r="AA637" s="118"/>
      <c r="AB637" s="73" t="s">
        <v>609</v>
      </c>
      <c r="AD637" s="118" t="s">
        <v>528</v>
      </c>
      <c r="AE637" s="28" t="s">
        <v>563</v>
      </c>
      <c r="AF637" s="117" t="s">
        <v>2962</v>
      </c>
      <c r="AG637" s="28" t="s">
        <v>563</v>
      </c>
      <c r="AK637" s="60" t="s">
        <v>2927</v>
      </c>
      <c r="AL637" s="117">
        <f>1/COUNTIF(Tableau6[LAT],B637)</f>
        <v>1</v>
      </c>
      <c r="AM637" s="60" t="b">
        <f t="shared" si="73"/>
        <v>0</v>
      </c>
      <c r="AN637" s="60" t="b">
        <f t="shared" si="74"/>
        <v>0</v>
      </c>
      <c r="AO637" s="60" t="b">
        <f t="shared" si="75"/>
        <v>0</v>
      </c>
      <c r="AP637" s="60" t="b">
        <f t="shared" si="76"/>
        <v>0</v>
      </c>
      <c r="AQ637" s="60" t="b">
        <f t="shared" si="77"/>
        <v>0</v>
      </c>
      <c r="AR637" s="60" t="str">
        <f t="shared" si="78"/>
        <v>No</v>
      </c>
      <c r="AS637" s="60" t="str">
        <f t="shared" si="79"/>
        <v>No</v>
      </c>
    </row>
    <row r="638" spans="1:45" ht="15" hidden="1">
      <c r="A638" s="103">
        <v>45244</v>
      </c>
      <c r="B638" s="117" t="s">
        <v>2965</v>
      </c>
      <c r="C638" s="28" t="s">
        <v>511</v>
      </c>
      <c r="D638" s="28" t="s">
        <v>2966</v>
      </c>
      <c r="F638" s="28" t="s">
        <v>2625</v>
      </c>
      <c r="G638" s="28" t="s">
        <v>958</v>
      </c>
      <c r="H638" s="28" t="s">
        <v>2723</v>
      </c>
      <c r="I638" s="28" t="s">
        <v>517</v>
      </c>
      <c r="J638" s="28" t="s">
        <v>517</v>
      </c>
      <c r="K638" s="28" t="s">
        <v>518</v>
      </c>
      <c r="L638" s="28" t="s">
        <v>717</v>
      </c>
      <c r="M638" s="28" t="s">
        <v>535</v>
      </c>
      <c r="N638" s="28" t="s">
        <v>521</v>
      </c>
      <c r="O638" s="28" t="s">
        <v>934</v>
      </c>
      <c r="S638" s="28" t="s">
        <v>573</v>
      </c>
      <c r="T638" s="28" t="s">
        <v>719</v>
      </c>
      <c r="U638" s="28" t="s">
        <v>719</v>
      </c>
      <c r="V638" s="28" t="s">
        <v>517</v>
      </c>
      <c r="W638" s="28" t="s">
        <v>2967</v>
      </c>
      <c r="Z638" s="118" t="s">
        <v>526</v>
      </c>
      <c r="AA638" s="118"/>
      <c r="AB638" s="118" t="s">
        <v>2968</v>
      </c>
      <c r="AC638" s="28" t="s">
        <v>2969</v>
      </c>
      <c r="AD638" s="118" t="s">
        <v>528</v>
      </c>
      <c r="AE638" s="28" t="s">
        <v>529</v>
      </c>
      <c r="AF638" s="117" t="s">
        <v>2966</v>
      </c>
      <c r="AG638" s="28" t="s">
        <v>529</v>
      </c>
      <c r="AK638" s="60" t="s">
        <v>2927</v>
      </c>
      <c r="AL638" s="117">
        <f>1/COUNTIF(Tableau6[LAT],B638)</f>
        <v>1</v>
      </c>
      <c r="AM638" s="60" t="b">
        <f t="shared" si="73"/>
        <v>0</v>
      </c>
      <c r="AN638" s="60" t="b">
        <f t="shared" si="74"/>
        <v>0</v>
      </c>
      <c r="AO638" s="60" t="b">
        <f t="shared" si="75"/>
        <v>0</v>
      </c>
      <c r="AP638" s="60" t="b">
        <f t="shared" si="76"/>
        <v>0</v>
      </c>
      <c r="AQ638" s="60" t="b">
        <f t="shared" si="77"/>
        <v>0</v>
      </c>
      <c r="AR638" s="60" t="str">
        <f t="shared" si="78"/>
        <v>No</v>
      </c>
      <c r="AS638" s="60" t="str">
        <f t="shared" si="79"/>
        <v>No</v>
      </c>
    </row>
    <row r="639" spans="1:45" ht="15" hidden="1">
      <c r="A639" s="103">
        <v>45244</v>
      </c>
      <c r="B639" s="117" t="s">
        <v>2970</v>
      </c>
      <c r="C639" s="28" t="s">
        <v>511</v>
      </c>
      <c r="D639" s="28" t="s">
        <v>2971</v>
      </c>
      <c r="F639" s="28" t="s">
        <v>2972</v>
      </c>
      <c r="G639" s="28" t="s">
        <v>1163</v>
      </c>
      <c r="H639" s="28" t="s">
        <v>2973</v>
      </c>
      <c r="I639" s="28" t="s">
        <v>516</v>
      </c>
      <c r="J639" s="28" t="s">
        <v>517</v>
      </c>
      <c r="K639" s="28" t="s">
        <v>518</v>
      </c>
      <c r="L639" s="28" t="s">
        <v>916</v>
      </c>
      <c r="M639" s="28" t="s">
        <v>2974</v>
      </c>
      <c r="N639" s="28" t="s">
        <v>557</v>
      </c>
      <c r="O639" s="28" t="s">
        <v>934</v>
      </c>
      <c r="P639" s="28" t="s">
        <v>559</v>
      </c>
      <c r="S639" s="28" t="s">
        <v>2975</v>
      </c>
      <c r="T639" s="28" t="s">
        <v>917</v>
      </c>
      <c r="U639" s="28" t="s">
        <v>917</v>
      </c>
      <c r="V639" s="28" t="s">
        <v>517</v>
      </c>
      <c r="W639" s="28" t="s">
        <v>1058</v>
      </c>
      <c r="Z639" s="118" t="s">
        <v>563</v>
      </c>
      <c r="AA639" s="118"/>
      <c r="AB639" s="28" t="s">
        <v>923</v>
      </c>
      <c r="AC639" s="28" t="s">
        <v>2976</v>
      </c>
      <c r="AD639" s="118" t="s">
        <v>528</v>
      </c>
      <c r="AE639" s="28" t="s">
        <v>563</v>
      </c>
      <c r="AF639" s="117" t="s">
        <v>2971</v>
      </c>
      <c r="AG639" s="28" t="s">
        <v>563</v>
      </c>
      <c r="AK639" s="60" t="s">
        <v>2927</v>
      </c>
      <c r="AL639" s="117">
        <f>1/COUNTIF(Tableau6[LAT],B639)</f>
        <v>1</v>
      </c>
      <c r="AM639" s="60" t="b">
        <f t="shared" si="73"/>
        <v>0</v>
      </c>
      <c r="AN639" s="60" t="b">
        <f t="shared" si="74"/>
        <v>0</v>
      </c>
      <c r="AO639" s="60" t="b">
        <f t="shared" si="75"/>
        <v>0</v>
      </c>
      <c r="AP639" s="60" t="b">
        <f t="shared" si="76"/>
        <v>0</v>
      </c>
      <c r="AQ639" s="60" t="b">
        <f t="shared" si="77"/>
        <v>0</v>
      </c>
      <c r="AR639" s="60" t="str">
        <f t="shared" si="78"/>
        <v>No</v>
      </c>
      <c r="AS639" s="60" t="str">
        <f t="shared" si="79"/>
        <v>Yes</v>
      </c>
    </row>
    <row r="640" spans="1:45" ht="15" hidden="1">
      <c r="A640" s="103">
        <v>45244</v>
      </c>
      <c r="B640" s="117" t="s">
        <v>2977</v>
      </c>
      <c r="C640" s="28" t="s">
        <v>511</v>
      </c>
      <c r="D640" s="28" t="s">
        <v>2978</v>
      </c>
      <c r="F640" s="28" t="s">
        <v>2804</v>
      </c>
      <c r="G640" s="28" t="s">
        <v>958</v>
      </c>
      <c r="H640" s="28" t="s">
        <v>915</v>
      </c>
      <c r="I640" s="28" t="s">
        <v>517</v>
      </c>
      <c r="J640" s="28" t="s">
        <v>517</v>
      </c>
      <c r="K640" s="28" t="s">
        <v>518</v>
      </c>
      <c r="L640" s="28" t="s">
        <v>2979</v>
      </c>
      <c r="M640" s="28" t="s">
        <v>535</v>
      </c>
      <c r="N640" s="28" t="s">
        <v>1835</v>
      </c>
      <c r="O640" s="28" t="s">
        <v>557</v>
      </c>
      <c r="P640" s="28" t="s">
        <v>522</v>
      </c>
      <c r="S640" s="28" t="s">
        <v>573</v>
      </c>
      <c r="T640" s="28" t="s">
        <v>2980</v>
      </c>
      <c r="U640" s="28" t="s">
        <v>2980</v>
      </c>
      <c r="V640" s="28" t="s">
        <v>517</v>
      </c>
      <c r="W640" s="28" t="s">
        <v>2981</v>
      </c>
      <c r="Z640" s="118" t="s">
        <v>563</v>
      </c>
      <c r="AA640" s="118"/>
      <c r="AB640" s="118" t="s">
        <v>527</v>
      </c>
      <c r="AD640" s="118" t="s">
        <v>528</v>
      </c>
      <c r="AE640" s="28" t="s">
        <v>563</v>
      </c>
      <c r="AF640" s="117" t="s">
        <v>2978</v>
      </c>
      <c r="AG640" s="28" t="s">
        <v>563</v>
      </c>
      <c r="AK640" s="60" t="s">
        <v>2927</v>
      </c>
      <c r="AL640" s="117">
        <f>1/COUNTIF(Tableau6[LAT],B640)</f>
        <v>1</v>
      </c>
      <c r="AM640" s="60" t="b">
        <f t="shared" si="73"/>
        <v>0</v>
      </c>
      <c r="AN640" s="60" t="b">
        <f t="shared" si="74"/>
        <v>0</v>
      </c>
      <c r="AO640" s="60" t="b">
        <f t="shared" si="75"/>
        <v>0</v>
      </c>
      <c r="AP640" s="60" t="b">
        <f t="shared" si="76"/>
        <v>0</v>
      </c>
      <c r="AQ640" s="60" t="b">
        <f t="shared" si="77"/>
        <v>0</v>
      </c>
      <c r="AR640" s="60" t="str">
        <f t="shared" si="78"/>
        <v>No</v>
      </c>
      <c r="AS640" s="60" t="str">
        <f t="shared" si="79"/>
        <v>No</v>
      </c>
    </row>
    <row r="641" spans="1:45" ht="15" hidden="1">
      <c r="A641" s="103">
        <v>45244</v>
      </c>
      <c r="B641" s="117" t="s">
        <v>2982</v>
      </c>
      <c r="C641" s="28" t="s">
        <v>511</v>
      </c>
      <c r="D641" s="28" t="s">
        <v>2983</v>
      </c>
      <c r="F641" s="28" t="s">
        <v>2984</v>
      </c>
      <c r="G641" s="28" t="s">
        <v>514</v>
      </c>
      <c r="H641" s="28" t="s">
        <v>2985</v>
      </c>
      <c r="I641" s="28" t="s">
        <v>516</v>
      </c>
      <c r="J641" s="28" t="s">
        <v>517</v>
      </c>
      <c r="K641" s="28" t="s">
        <v>518</v>
      </c>
      <c r="L641" s="28" t="s">
        <v>2925</v>
      </c>
      <c r="M641" s="28" t="s">
        <v>520</v>
      </c>
      <c r="N641" s="28" t="s">
        <v>544</v>
      </c>
      <c r="O641" s="28" t="s">
        <v>522</v>
      </c>
      <c r="S641" s="28" t="s">
        <v>606</v>
      </c>
      <c r="T641" s="28" t="s">
        <v>1042</v>
      </c>
      <c r="U641" s="28" t="s">
        <v>1042</v>
      </c>
      <c r="V641" s="28" t="s">
        <v>517</v>
      </c>
      <c r="W641" s="28" t="s">
        <v>2986</v>
      </c>
      <c r="Z641" s="118" t="s">
        <v>563</v>
      </c>
      <c r="AA641" s="118"/>
      <c r="AB641" s="118" t="s">
        <v>527</v>
      </c>
      <c r="AD641" s="118" t="s">
        <v>528</v>
      </c>
      <c r="AE641" s="28" t="s">
        <v>563</v>
      </c>
      <c r="AF641" s="117" t="s">
        <v>2983</v>
      </c>
      <c r="AG641" s="28" t="s">
        <v>563</v>
      </c>
      <c r="AK641" s="60" t="s">
        <v>2927</v>
      </c>
      <c r="AL641" s="117">
        <f>1/COUNTIF(Tableau6[LAT],B641)</f>
        <v>1</v>
      </c>
      <c r="AM641" s="60" t="b">
        <f t="shared" si="73"/>
        <v>0</v>
      </c>
      <c r="AN641" s="60" t="b">
        <f t="shared" si="74"/>
        <v>0</v>
      </c>
      <c r="AO641" s="60" t="b">
        <f t="shared" si="75"/>
        <v>0</v>
      </c>
      <c r="AP641" s="60" t="b">
        <f t="shared" si="76"/>
        <v>0</v>
      </c>
      <c r="AQ641" s="60" t="b">
        <f t="shared" si="77"/>
        <v>0</v>
      </c>
      <c r="AR641" s="60" t="str">
        <f t="shared" si="78"/>
        <v>No</v>
      </c>
      <c r="AS641" s="60" t="str">
        <f t="shared" si="79"/>
        <v>No</v>
      </c>
    </row>
    <row r="642" spans="1:45" ht="15" hidden="1">
      <c r="A642" s="103">
        <v>45244</v>
      </c>
      <c r="B642" s="117" t="s">
        <v>2987</v>
      </c>
      <c r="C642" s="28" t="s">
        <v>511</v>
      </c>
      <c r="D642" s="28" t="s">
        <v>2988</v>
      </c>
      <c r="E642" s="28" t="s">
        <v>2989</v>
      </c>
      <c r="F642" s="28" t="s">
        <v>2990</v>
      </c>
      <c r="G642" s="28" t="s">
        <v>657</v>
      </c>
      <c r="H642" s="28" t="s">
        <v>2991</v>
      </c>
      <c r="I642" s="28" t="s">
        <v>516</v>
      </c>
      <c r="J642" s="28" t="s">
        <v>517</v>
      </c>
      <c r="K642" s="28" t="s">
        <v>518</v>
      </c>
      <c r="L642" s="28" t="s">
        <v>1097</v>
      </c>
      <c r="M642" s="28" t="s">
        <v>535</v>
      </c>
      <c r="N642" s="28" t="s">
        <v>557</v>
      </c>
      <c r="O642" s="28" t="s">
        <v>544</v>
      </c>
      <c r="P642" s="28" t="s">
        <v>559</v>
      </c>
      <c r="S642" s="28" t="s">
        <v>1318</v>
      </c>
      <c r="T642" s="28" t="s">
        <v>1098</v>
      </c>
      <c r="U642" s="28" t="s">
        <v>1098</v>
      </c>
      <c r="V642" s="28" t="s">
        <v>517</v>
      </c>
      <c r="W642" s="28" t="s">
        <v>2992</v>
      </c>
      <c r="X642" s="28" t="s">
        <v>670</v>
      </c>
      <c r="Z642" s="118" t="s">
        <v>563</v>
      </c>
      <c r="AA642" s="118"/>
      <c r="AB642" s="118" t="s">
        <v>527</v>
      </c>
      <c r="AD642" s="118" t="s">
        <v>528</v>
      </c>
      <c r="AE642" s="28" t="s">
        <v>563</v>
      </c>
      <c r="AF642" s="117" t="s">
        <v>2988</v>
      </c>
      <c r="AG642" s="28" t="s">
        <v>563</v>
      </c>
      <c r="AK642" s="60" t="s">
        <v>2927</v>
      </c>
      <c r="AL642" s="117">
        <f>1/COUNTIF(Tableau6[LAT],B642)</f>
        <v>0.5</v>
      </c>
      <c r="AM642" s="60" t="b">
        <f t="shared" si="73"/>
        <v>0</v>
      </c>
      <c r="AN642" s="60" t="b">
        <f t="shared" si="74"/>
        <v>0</v>
      </c>
      <c r="AO642" s="60" t="b">
        <f t="shared" si="75"/>
        <v>0</v>
      </c>
      <c r="AP642" s="60" t="b">
        <f t="shared" si="76"/>
        <v>0</v>
      </c>
      <c r="AQ642" s="60" t="b">
        <f t="shared" si="77"/>
        <v>0</v>
      </c>
      <c r="AR642" s="60" t="str">
        <f t="shared" si="78"/>
        <v>No</v>
      </c>
      <c r="AS642" s="60" t="str">
        <f t="shared" si="79"/>
        <v>No</v>
      </c>
    </row>
    <row r="643" spans="1:45" ht="15" hidden="1">
      <c r="A643" s="103">
        <v>45244</v>
      </c>
      <c r="B643" s="117" t="s">
        <v>2987</v>
      </c>
      <c r="C643" s="28" t="s">
        <v>548</v>
      </c>
      <c r="D643" s="28" t="s">
        <v>2993</v>
      </c>
      <c r="E643" s="28" t="s">
        <v>2994</v>
      </c>
      <c r="F643" s="28" t="s">
        <v>2995</v>
      </c>
      <c r="G643" s="28" t="s">
        <v>657</v>
      </c>
      <c r="H643" s="28" t="s">
        <v>2991</v>
      </c>
      <c r="I643" s="28" t="s">
        <v>516</v>
      </c>
      <c r="J643" s="28" t="s">
        <v>517</v>
      </c>
      <c r="K643" s="28" t="s">
        <v>518</v>
      </c>
      <c r="L643" s="28" t="s">
        <v>1097</v>
      </c>
      <c r="M643" s="28" t="s">
        <v>535</v>
      </c>
      <c r="N643" s="28" t="s">
        <v>557</v>
      </c>
      <c r="O643" s="28" t="s">
        <v>544</v>
      </c>
      <c r="P643" s="28" t="s">
        <v>559</v>
      </c>
      <c r="S643" s="28" t="s">
        <v>1318</v>
      </c>
      <c r="T643" s="28" t="s">
        <v>1098</v>
      </c>
      <c r="U643" s="28" t="s">
        <v>1098</v>
      </c>
      <c r="V643" s="28" t="s">
        <v>517</v>
      </c>
      <c r="W643" s="28" t="s">
        <v>2996</v>
      </c>
      <c r="X643" s="28" t="s">
        <v>670</v>
      </c>
      <c r="Z643" s="118" t="s">
        <v>563</v>
      </c>
      <c r="AA643" s="118"/>
      <c r="AB643" s="118" t="s">
        <v>527</v>
      </c>
      <c r="AD643" s="118" t="s">
        <v>528</v>
      </c>
      <c r="AE643" s="28" t="s">
        <v>563</v>
      </c>
      <c r="AF643" s="117" t="s">
        <v>2993</v>
      </c>
      <c r="AG643" s="28" t="s">
        <v>563</v>
      </c>
      <c r="AK643" s="60" t="s">
        <v>2927</v>
      </c>
      <c r="AL643" s="117">
        <f>1/COUNTIF(Tableau6[LAT],B643)</f>
        <v>0.5</v>
      </c>
      <c r="AM643" s="60" t="b">
        <f t="shared" si="73"/>
        <v>0</v>
      </c>
      <c r="AN643" s="60" t="b">
        <f t="shared" si="74"/>
        <v>0</v>
      </c>
      <c r="AO643" s="60" t="b">
        <f t="shared" si="75"/>
        <v>0</v>
      </c>
      <c r="AP643" s="60" t="b">
        <f t="shared" si="76"/>
        <v>0</v>
      </c>
      <c r="AQ643" s="60" t="b">
        <f t="shared" si="77"/>
        <v>0</v>
      </c>
      <c r="AR643" s="60" t="str">
        <f t="shared" si="78"/>
        <v>No</v>
      </c>
      <c r="AS643" s="60" t="str">
        <f t="shared" si="79"/>
        <v>No</v>
      </c>
    </row>
    <row r="644" spans="1:45" ht="15" hidden="1">
      <c r="A644" s="103">
        <v>45244</v>
      </c>
      <c r="B644" s="117" t="s">
        <v>2997</v>
      </c>
      <c r="C644" s="28" t="s">
        <v>548</v>
      </c>
      <c r="D644" s="28" t="s">
        <v>2998</v>
      </c>
      <c r="E644" s="28" t="s">
        <v>2999</v>
      </c>
      <c r="F644" s="28" t="s">
        <v>1290</v>
      </c>
      <c r="G644" s="28" t="s">
        <v>514</v>
      </c>
      <c r="H644" s="28" t="s">
        <v>3000</v>
      </c>
      <c r="I644" s="28" t="s">
        <v>516</v>
      </c>
      <c r="J644" s="28" t="s">
        <v>517</v>
      </c>
      <c r="K644" s="28" t="s">
        <v>518</v>
      </c>
      <c r="L644" s="28" t="s">
        <v>2100</v>
      </c>
      <c r="M644" s="28" t="s">
        <v>605</v>
      </c>
      <c r="N644" s="28" t="s">
        <v>557</v>
      </c>
      <c r="S644" s="28" t="s">
        <v>3001</v>
      </c>
      <c r="T644" s="28" t="s">
        <v>1918</v>
      </c>
      <c r="U644" s="28" t="s">
        <v>1918</v>
      </c>
      <c r="V644" s="28" t="s">
        <v>517</v>
      </c>
      <c r="W644" s="28" t="s">
        <v>3002</v>
      </c>
      <c r="X644" s="28" t="s">
        <v>670</v>
      </c>
      <c r="Z644" s="118" t="s">
        <v>563</v>
      </c>
      <c r="AA644" s="118"/>
      <c r="AB644" s="118" t="s">
        <v>527</v>
      </c>
      <c r="AD644" s="118" t="s">
        <v>528</v>
      </c>
      <c r="AE644" s="28" t="s">
        <v>563</v>
      </c>
      <c r="AF644" s="117" t="s">
        <v>3003</v>
      </c>
      <c r="AG644" s="28" t="s">
        <v>563</v>
      </c>
      <c r="AK644" s="60" t="s">
        <v>2927</v>
      </c>
      <c r="AL644" s="117">
        <f>1/COUNTIF(Tableau6[LAT],B644)</f>
        <v>0.16666666666666666</v>
      </c>
      <c r="AM644" s="60" t="b">
        <f t="shared" si="73"/>
        <v>0</v>
      </c>
      <c r="AN644" s="60" t="b">
        <f t="shared" si="74"/>
        <v>0</v>
      </c>
      <c r="AO644" s="60" t="b">
        <f t="shared" si="75"/>
        <v>0</v>
      </c>
      <c r="AP644" s="60" t="b">
        <f t="shared" si="76"/>
        <v>0</v>
      </c>
      <c r="AQ644" s="60" t="b">
        <f t="shared" si="77"/>
        <v>0</v>
      </c>
      <c r="AR644" s="60" t="str">
        <f t="shared" si="78"/>
        <v>No</v>
      </c>
      <c r="AS644" s="60" t="str">
        <f t="shared" si="79"/>
        <v>No</v>
      </c>
    </row>
    <row r="645" spans="1:45" ht="15" hidden="1">
      <c r="A645" s="103">
        <v>45244</v>
      </c>
      <c r="B645" s="117" t="s">
        <v>2997</v>
      </c>
      <c r="C645" s="28" t="s">
        <v>612</v>
      </c>
      <c r="D645" s="28" t="s">
        <v>3004</v>
      </c>
      <c r="E645" s="28" t="s">
        <v>2999</v>
      </c>
      <c r="F645" s="28" t="s">
        <v>1290</v>
      </c>
      <c r="G645" s="28" t="s">
        <v>514</v>
      </c>
      <c r="H645" s="28" t="s">
        <v>3000</v>
      </c>
      <c r="I645" s="28" t="s">
        <v>516</v>
      </c>
      <c r="J645" s="28" t="s">
        <v>517</v>
      </c>
      <c r="K645" s="28" t="s">
        <v>518</v>
      </c>
      <c r="L645" s="28" t="s">
        <v>2100</v>
      </c>
      <c r="M645" s="28" t="s">
        <v>605</v>
      </c>
      <c r="N645" s="28" t="s">
        <v>557</v>
      </c>
      <c r="S645" s="28" t="s">
        <v>3001</v>
      </c>
      <c r="T645" s="28" t="s">
        <v>1918</v>
      </c>
      <c r="U645" s="28" t="s">
        <v>1918</v>
      </c>
      <c r="V645" s="28" t="s">
        <v>517</v>
      </c>
      <c r="W645" s="28" t="s">
        <v>3002</v>
      </c>
      <c r="X645" s="28" t="s">
        <v>670</v>
      </c>
      <c r="Z645" s="118" t="s">
        <v>563</v>
      </c>
      <c r="AA645" s="118"/>
      <c r="AB645" s="118" t="s">
        <v>527</v>
      </c>
      <c r="AD645" s="118" t="s">
        <v>528</v>
      </c>
      <c r="AE645" s="28" t="s">
        <v>563</v>
      </c>
      <c r="AF645" s="117" t="s">
        <v>2998</v>
      </c>
      <c r="AG645" s="28" t="s">
        <v>563</v>
      </c>
      <c r="AK645" s="60" t="s">
        <v>2927</v>
      </c>
      <c r="AL645" s="117">
        <f>1/COUNTIF(Tableau6[LAT],B645)</f>
        <v>0.16666666666666666</v>
      </c>
      <c r="AM645" s="60" t="b">
        <f t="shared" si="73"/>
        <v>0</v>
      </c>
      <c r="AN645" s="60" t="b">
        <f t="shared" si="74"/>
        <v>0</v>
      </c>
      <c r="AO645" s="60" t="b">
        <f t="shared" si="75"/>
        <v>0</v>
      </c>
      <c r="AP645" s="60" t="b">
        <f t="shared" si="76"/>
        <v>0</v>
      </c>
      <c r="AQ645" s="60" t="b">
        <f t="shared" si="77"/>
        <v>0</v>
      </c>
      <c r="AR645" s="60" t="str">
        <f t="shared" si="78"/>
        <v>No</v>
      </c>
      <c r="AS645" s="60" t="str">
        <f t="shared" si="79"/>
        <v>No</v>
      </c>
    </row>
    <row r="646" spans="1:45" ht="15" hidden="1">
      <c r="A646" s="103">
        <v>45244</v>
      </c>
      <c r="B646" s="117" t="s">
        <v>2997</v>
      </c>
      <c r="C646" s="28" t="s">
        <v>691</v>
      </c>
      <c r="D646" s="28" t="s">
        <v>3005</v>
      </c>
      <c r="E646" s="28" t="s">
        <v>2999</v>
      </c>
      <c r="F646" s="28" t="s">
        <v>1290</v>
      </c>
      <c r="G646" s="28" t="s">
        <v>514</v>
      </c>
      <c r="H646" s="28" t="s">
        <v>3000</v>
      </c>
      <c r="I646" s="28" t="s">
        <v>516</v>
      </c>
      <c r="J646" s="28" t="s">
        <v>517</v>
      </c>
      <c r="K646" s="28" t="s">
        <v>518</v>
      </c>
      <c r="L646" s="28" t="s">
        <v>2100</v>
      </c>
      <c r="M646" s="28" t="s">
        <v>605</v>
      </c>
      <c r="N646" s="28" t="s">
        <v>557</v>
      </c>
      <c r="S646" s="28" t="s">
        <v>3001</v>
      </c>
      <c r="T646" s="28" t="s">
        <v>1918</v>
      </c>
      <c r="U646" s="28" t="s">
        <v>1918</v>
      </c>
      <c r="V646" s="28" t="s">
        <v>517</v>
      </c>
      <c r="W646" s="28" t="s">
        <v>3002</v>
      </c>
      <c r="X646" s="28" t="s">
        <v>670</v>
      </c>
      <c r="Z646" s="118" t="s">
        <v>563</v>
      </c>
      <c r="AA646" s="118"/>
      <c r="AB646" s="118" t="s">
        <v>527</v>
      </c>
      <c r="AD646" s="118" t="s">
        <v>528</v>
      </c>
      <c r="AE646" s="28" t="s">
        <v>563</v>
      </c>
      <c r="AF646" s="117" t="s">
        <v>3004</v>
      </c>
      <c r="AG646" s="28" t="s">
        <v>563</v>
      </c>
      <c r="AK646" s="60" t="s">
        <v>2927</v>
      </c>
      <c r="AL646" s="117">
        <f>1/COUNTIF(Tableau6[LAT],B646)</f>
        <v>0.16666666666666666</v>
      </c>
      <c r="AM646" s="60" t="b">
        <f t="shared" si="73"/>
        <v>0</v>
      </c>
      <c r="AN646" s="60" t="b">
        <f t="shared" si="74"/>
        <v>0</v>
      </c>
      <c r="AO646" s="60" t="b">
        <f t="shared" si="75"/>
        <v>0</v>
      </c>
      <c r="AP646" s="60" t="b">
        <f t="shared" si="76"/>
        <v>0</v>
      </c>
      <c r="AQ646" s="60" t="b">
        <f t="shared" si="77"/>
        <v>0</v>
      </c>
      <c r="AR646" s="60" t="str">
        <f t="shared" si="78"/>
        <v>No</v>
      </c>
      <c r="AS646" s="60" t="str">
        <f t="shared" si="79"/>
        <v>No</v>
      </c>
    </row>
    <row r="647" spans="1:45" ht="15" hidden="1">
      <c r="A647" s="103">
        <v>45244</v>
      </c>
      <c r="B647" s="117" t="s">
        <v>2997</v>
      </c>
      <c r="C647" s="28" t="s">
        <v>859</v>
      </c>
      <c r="D647" s="28" t="s">
        <v>3006</v>
      </c>
      <c r="E647" s="28" t="s">
        <v>2999</v>
      </c>
      <c r="F647" s="28" t="s">
        <v>1290</v>
      </c>
      <c r="G647" s="28" t="s">
        <v>514</v>
      </c>
      <c r="H647" s="28" t="s">
        <v>3000</v>
      </c>
      <c r="I647" s="28" t="s">
        <v>516</v>
      </c>
      <c r="J647" s="28" t="s">
        <v>517</v>
      </c>
      <c r="K647" s="28" t="s">
        <v>518</v>
      </c>
      <c r="L647" s="28" t="s">
        <v>2100</v>
      </c>
      <c r="M647" s="28" t="s">
        <v>605</v>
      </c>
      <c r="N647" s="28" t="s">
        <v>557</v>
      </c>
      <c r="S647" s="28" t="s">
        <v>3001</v>
      </c>
      <c r="T647" s="28" t="s">
        <v>1918</v>
      </c>
      <c r="U647" s="28" t="s">
        <v>1918</v>
      </c>
      <c r="V647" s="28" t="s">
        <v>517</v>
      </c>
      <c r="W647" s="28" t="s">
        <v>3002</v>
      </c>
      <c r="X647" s="28" t="s">
        <v>670</v>
      </c>
      <c r="Z647" s="118" t="s">
        <v>563</v>
      </c>
      <c r="AA647" s="118"/>
      <c r="AB647" s="118" t="s">
        <v>527</v>
      </c>
      <c r="AD647" s="118" t="s">
        <v>528</v>
      </c>
      <c r="AE647" s="28" t="s">
        <v>563</v>
      </c>
      <c r="AF647" s="117" t="s">
        <v>3005</v>
      </c>
      <c r="AG647" s="28" t="s">
        <v>563</v>
      </c>
      <c r="AK647" s="60" t="s">
        <v>2927</v>
      </c>
      <c r="AL647" s="117">
        <f>1/COUNTIF(Tableau6[LAT],B647)</f>
        <v>0.16666666666666666</v>
      </c>
      <c r="AM647" s="60" t="b">
        <f t="shared" si="73"/>
        <v>0</v>
      </c>
      <c r="AN647" s="60" t="b">
        <f t="shared" si="74"/>
        <v>0</v>
      </c>
      <c r="AO647" s="60" t="b">
        <f t="shared" si="75"/>
        <v>0</v>
      </c>
      <c r="AP647" s="60" t="b">
        <f t="shared" si="76"/>
        <v>0</v>
      </c>
      <c r="AQ647" s="60" t="b">
        <f t="shared" si="77"/>
        <v>0</v>
      </c>
      <c r="AR647" s="60" t="str">
        <f t="shared" si="78"/>
        <v>No</v>
      </c>
      <c r="AS647" s="60" t="str">
        <f t="shared" si="79"/>
        <v>No</v>
      </c>
    </row>
    <row r="648" spans="1:45" ht="15" hidden="1">
      <c r="A648" s="103">
        <v>45244</v>
      </c>
      <c r="B648" s="117" t="s">
        <v>2997</v>
      </c>
      <c r="C648" s="28" t="s">
        <v>861</v>
      </c>
      <c r="D648" s="28" t="s">
        <v>3007</v>
      </c>
      <c r="E648" s="28" t="s">
        <v>2999</v>
      </c>
      <c r="F648" s="28" t="s">
        <v>1290</v>
      </c>
      <c r="G648" s="28" t="s">
        <v>514</v>
      </c>
      <c r="H648" s="28" t="s">
        <v>3000</v>
      </c>
      <c r="I648" s="28" t="s">
        <v>516</v>
      </c>
      <c r="J648" s="28" t="s">
        <v>517</v>
      </c>
      <c r="K648" s="28" t="s">
        <v>518</v>
      </c>
      <c r="L648" s="28" t="s">
        <v>2100</v>
      </c>
      <c r="M648" s="28" t="s">
        <v>605</v>
      </c>
      <c r="N648" s="28" t="s">
        <v>557</v>
      </c>
      <c r="S648" s="28" t="s">
        <v>3001</v>
      </c>
      <c r="T648" s="28" t="s">
        <v>1918</v>
      </c>
      <c r="U648" s="28" t="s">
        <v>1918</v>
      </c>
      <c r="V648" s="28" t="s">
        <v>517</v>
      </c>
      <c r="W648" s="28" t="s">
        <v>3002</v>
      </c>
      <c r="X648" s="28" t="s">
        <v>670</v>
      </c>
      <c r="Z648" s="118" t="s">
        <v>563</v>
      </c>
      <c r="AA648" s="118"/>
      <c r="AB648" s="118" t="s">
        <v>527</v>
      </c>
      <c r="AD648" s="118" t="s">
        <v>528</v>
      </c>
      <c r="AE648" s="28" t="s">
        <v>563</v>
      </c>
      <c r="AF648" s="117" t="s">
        <v>3006</v>
      </c>
      <c r="AG648" s="28" t="s">
        <v>563</v>
      </c>
      <c r="AK648" s="60" t="s">
        <v>2927</v>
      </c>
      <c r="AL648" s="117">
        <f>1/COUNTIF(Tableau6[LAT],B648)</f>
        <v>0.16666666666666666</v>
      </c>
      <c r="AM648" s="60" t="b">
        <f t="shared" si="73"/>
        <v>0</v>
      </c>
      <c r="AN648" s="60" t="b">
        <f t="shared" si="74"/>
        <v>0</v>
      </c>
      <c r="AO648" s="60" t="b">
        <f t="shared" si="75"/>
        <v>0</v>
      </c>
      <c r="AP648" s="60" t="b">
        <f t="shared" si="76"/>
        <v>0</v>
      </c>
      <c r="AQ648" s="60" t="b">
        <f t="shared" si="77"/>
        <v>0</v>
      </c>
      <c r="AR648" s="60" t="str">
        <f t="shared" si="78"/>
        <v>No</v>
      </c>
      <c r="AS648" s="60" t="str">
        <f t="shared" si="79"/>
        <v>No</v>
      </c>
    </row>
    <row r="649" spans="1:45" ht="15" hidden="1">
      <c r="A649" s="103">
        <v>45244</v>
      </c>
      <c r="B649" s="117" t="s">
        <v>2997</v>
      </c>
      <c r="D649" s="28" t="s">
        <v>3008</v>
      </c>
      <c r="E649" s="28" t="s">
        <v>2999</v>
      </c>
      <c r="F649" s="28" t="s">
        <v>1290</v>
      </c>
      <c r="G649" s="28" t="s">
        <v>514</v>
      </c>
      <c r="H649" s="28" t="s">
        <v>3000</v>
      </c>
      <c r="I649" s="28" t="s">
        <v>516</v>
      </c>
      <c r="J649" s="28" t="s">
        <v>517</v>
      </c>
      <c r="K649" s="28" t="s">
        <v>518</v>
      </c>
      <c r="L649" s="28" t="s">
        <v>2100</v>
      </c>
      <c r="M649" s="28" t="s">
        <v>605</v>
      </c>
      <c r="N649" s="28" t="s">
        <v>557</v>
      </c>
      <c r="S649" s="28" t="s">
        <v>3001</v>
      </c>
      <c r="T649" s="28" t="s">
        <v>1918</v>
      </c>
      <c r="U649" s="28" t="s">
        <v>1918</v>
      </c>
      <c r="V649" s="28" t="s">
        <v>517</v>
      </c>
      <c r="W649" s="28" t="s">
        <v>3002</v>
      </c>
      <c r="X649" s="28" t="s">
        <v>670</v>
      </c>
      <c r="Z649" s="118" t="s">
        <v>563</v>
      </c>
      <c r="AA649" s="118"/>
      <c r="AB649" s="118" t="s">
        <v>527</v>
      </c>
      <c r="AD649" s="118" t="s">
        <v>528</v>
      </c>
      <c r="AE649" s="28" t="s">
        <v>563</v>
      </c>
      <c r="AF649" s="117" t="s">
        <v>3007</v>
      </c>
      <c r="AG649" s="28" t="s">
        <v>563</v>
      </c>
      <c r="AK649" s="60" t="s">
        <v>2927</v>
      </c>
      <c r="AL649" s="117">
        <f>1/COUNTIF(Tableau6[LAT],B649)</f>
        <v>0.16666666666666666</v>
      </c>
      <c r="AM649" s="60" t="b">
        <f t="shared" si="73"/>
        <v>0</v>
      </c>
      <c r="AN649" s="60" t="b">
        <f t="shared" si="74"/>
        <v>0</v>
      </c>
      <c r="AO649" s="60" t="b">
        <f t="shared" si="75"/>
        <v>0</v>
      </c>
      <c r="AP649" s="60" t="b">
        <f t="shared" si="76"/>
        <v>0</v>
      </c>
      <c r="AQ649" s="60" t="b">
        <f t="shared" si="77"/>
        <v>0</v>
      </c>
      <c r="AR649" s="60" t="str">
        <f t="shared" si="78"/>
        <v>No</v>
      </c>
      <c r="AS649" s="60" t="str">
        <f t="shared" si="79"/>
        <v>No</v>
      </c>
    </row>
    <row r="650" spans="1:45" ht="15" hidden="1">
      <c r="A650" s="103">
        <v>45244</v>
      </c>
      <c r="B650" s="117" t="s">
        <v>3009</v>
      </c>
      <c r="C650" s="28" t="s">
        <v>511</v>
      </c>
      <c r="D650" s="28" t="s">
        <v>3010</v>
      </c>
      <c r="F650" s="28" t="s">
        <v>932</v>
      </c>
      <c r="G650" s="28" t="s">
        <v>514</v>
      </c>
      <c r="H650" s="28" t="s">
        <v>1453</v>
      </c>
      <c r="I650" s="28" t="s">
        <v>517</v>
      </c>
      <c r="J650" s="28" t="s">
        <v>517</v>
      </c>
      <c r="K650" s="28" t="s">
        <v>518</v>
      </c>
      <c r="L650" s="28" t="s">
        <v>3011</v>
      </c>
      <c r="M650" s="28" t="s">
        <v>535</v>
      </c>
      <c r="N650" s="28" t="s">
        <v>1140</v>
      </c>
      <c r="O650" s="28" t="s">
        <v>521</v>
      </c>
      <c r="P650" s="28" t="s">
        <v>1523</v>
      </c>
      <c r="S650" s="28" t="s">
        <v>573</v>
      </c>
      <c r="T650" s="28" t="s">
        <v>3012</v>
      </c>
      <c r="U650" s="28" t="s">
        <v>3012</v>
      </c>
      <c r="V650" s="28" t="s">
        <v>517</v>
      </c>
      <c r="W650" s="28" t="s">
        <v>3013</v>
      </c>
      <c r="Z650" s="118" t="s">
        <v>563</v>
      </c>
      <c r="AA650" s="118"/>
      <c r="AB650" s="73" t="s">
        <v>609</v>
      </c>
      <c r="AD650" s="118" t="s">
        <v>528</v>
      </c>
      <c r="AE650" s="28" t="s">
        <v>563</v>
      </c>
      <c r="AF650" s="117" t="s">
        <v>3010</v>
      </c>
      <c r="AG650" s="28" t="s">
        <v>563</v>
      </c>
      <c r="AK650" s="60" t="s">
        <v>2927</v>
      </c>
      <c r="AL650" s="117">
        <f>1/COUNTIF(Tableau6[LAT],B650)</f>
        <v>1</v>
      </c>
      <c r="AM650" s="60" t="b">
        <f t="shared" si="73"/>
        <v>0</v>
      </c>
      <c r="AN650" s="60" t="b">
        <f t="shared" si="74"/>
        <v>0</v>
      </c>
      <c r="AO650" s="60" t="b">
        <f t="shared" si="75"/>
        <v>0</v>
      </c>
      <c r="AP650" s="60" t="b">
        <f t="shared" si="76"/>
        <v>0</v>
      </c>
      <c r="AQ650" s="60" t="b">
        <f t="shared" si="77"/>
        <v>0</v>
      </c>
      <c r="AR650" s="60" t="str">
        <f t="shared" si="78"/>
        <v>No</v>
      </c>
      <c r="AS650" s="60" t="str">
        <f t="shared" si="79"/>
        <v>No</v>
      </c>
    </row>
    <row r="651" spans="1:45" ht="15" hidden="1">
      <c r="A651" s="103">
        <v>45244</v>
      </c>
      <c r="B651" s="117" t="s">
        <v>3014</v>
      </c>
      <c r="C651" s="28" t="s">
        <v>511</v>
      </c>
      <c r="D651" s="28" t="s">
        <v>3015</v>
      </c>
      <c r="F651" s="28" t="s">
        <v>1895</v>
      </c>
      <c r="G651" s="28" t="s">
        <v>514</v>
      </c>
      <c r="H651" s="28" t="s">
        <v>2985</v>
      </c>
      <c r="I651" s="28" t="s">
        <v>516</v>
      </c>
      <c r="J651" s="28" t="s">
        <v>517</v>
      </c>
      <c r="K651" s="28" t="s">
        <v>518</v>
      </c>
      <c r="L651" s="28" t="s">
        <v>801</v>
      </c>
      <c r="M651" s="28" t="s">
        <v>520</v>
      </c>
      <c r="N651" s="28" t="s">
        <v>521</v>
      </c>
      <c r="O651" s="28" t="s">
        <v>522</v>
      </c>
      <c r="S651" s="28" t="s">
        <v>1151</v>
      </c>
      <c r="T651" s="28" t="s">
        <v>803</v>
      </c>
      <c r="U651" s="28" t="s">
        <v>803</v>
      </c>
      <c r="V651" s="28" t="s">
        <v>517</v>
      </c>
      <c r="W651" s="28" t="s">
        <v>889</v>
      </c>
      <c r="Z651" s="118" t="s">
        <v>526</v>
      </c>
      <c r="AA651" s="118"/>
      <c r="AB651" s="118" t="s">
        <v>3016</v>
      </c>
      <c r="AC651" s="28" t="s">
        <v>3017</v>
      </c>
      <c r="AD651" s="118" t="s">
        <v>528</v>
      </c>
      <c r="AE651" s="28" t="s">
        <v>529</v>
      </c>
      <c r="AF651" s="117" t="s">
        <v>3015</v>
      </c>
      <c r="AG651" s="28" t="s">
        <v>529</v>
      </c>
      <c r="AK651" s="60" t="s">
        <v>2927</v>
      </c>
      <c r="AL651" s="117">
        <f>1/COUNTIF(Tableau6[LAT],B651)</f>
        <v>0.5</v>
      </c>
      <c r="AM651" s="60" t="b">
        <f t="shared" si="73"/>
        <v>0</v>
      </c>
      <c r="AN651" s="60" t="b">
        <f t="shared" si="74"/>
        <v>0</v>
      </c>
      <c r="AO651" s="60" t="b">
        <f t="shared" si="75"/>
        <v>0</v>
      </c>
      <c r="AP651" s="60" t="b">
        <f t="shared" si="76"/>
        <v>0</v>
      </c>
      <c r="AQ651" s="60" t="b">
        <f t="shared" si="77"/>
        <v>0</v>
      </c>
      <c r="AR651" s="60" t="str">
        <f t="shared" si="78"/>
        <v>No</v>
      </c>
      <c r="AS651" s="60" t="str">
        <f t="shared" si="79"/>
        <v>No</v>
      </c>
    </row>
    <row r="652" spans="1:45" ht="15" hidden="1">
      <c r="A652" s="103">
        <v>45244</v>
      </c>
      <c r="B652" s="117" t="s">
        <v>3014</v>
      </c>
      <c r="C652" s="28" t="s">
        <v>548</v>
      </c>
      <c r="D652" s="28">
        <v>5703070653002</v>
      </c>
      <c r="F652" s="28" t="s">
        <v>3018</v>
      </c>
      <c r="G652" s="28" t="s">
        <v>958</v>
      </c>
      <c r="H652" s="28" t="s">
        <v>1896</v>
      </c>
      <c r="I652" s="28" t="s">
        <v>516</v>
      </c>
      <c r="J652" s="28" t="s">
        <v>517</v>
      </c>
      <c r="K652" s="28" t="s">
        <v>518</v>
      </c>
      <c r="L652" s="28" t="s">
        <v>801</v>
      </c>
      <c r="M652" s="28" t="s">
        <v>520</v>
      </c>
      <c r="N652" s="28" t="s">
        <v>521</v>
      </c>
      <c r="O652" s="28" t="s">
        <v>522</v>
      </c>
      <c r="S652" s="28" t="s">
        <v>1151</v>
      </c>
      <c r="T652" s="28" t="s">
        <v>803</v>
      </c>
      <c r="U652" s="28" t="s">
        <v>803</v>
      </c>
      <c r="V652" s="28" t="s">
        <v>517</v>
      </c>
      <c r="W652" s="28" t="s">
        <v>3019</v>
      </c>
      <c r="Z652" s="118" t="s">
        <v>526</v>
      </c>
      <c r="AA652" s="118"/>
      <c r="AB652" s="118" t="s">
        <v>3017</v>
      </c>
      <c r="AD652" s="118" t="s">
        <v>528</v>
      </c>
      <c r="AE652" s="28" t="s">
        <v>529</v>
      </c>
      <c r="AF652" s="117" t="s">
        <v>3020</v>
      </c>
      <c r="AG652" s="28" t="s">
        <v>529</v>
      </c>
      <c r="AK652" s="60" t="s">
        <v>2927</v>
      </c>
      <c r="AL652" s="117">
        <f>1/COUNTIF(Tableau6[LAT],B652)</f>
        <v>0.5</v>
      </c>
      <c r="AM652" s="60" t="b">
        <f t="shared" si="73"/>
        <v>0</v>
      </c>
      <c r="AN652" s="60" t="b">
        <f t="shared" si="74"/>
        <v>0</v>
      </c>
      <c r="AO652" s="60" t="b">
        <f t="shared" si="75"/>
        <v>0</v>
      </c>
      <c r="AP652" s="60" t="b">
        <f t="shared" si="76"/>
        <v>0</v>
      </c>
      <c r="AQ652" s="60" t="b">
        <f t="shared" si="77"/>
        <v>0</v>
      </c>
      <c r="AR652" s="60" t="str">
        <f t="shared" si="78"/>
        <v>No</v>
      </c>
      <c r="AS652" s="60" t="str">
        <f t="shared" si="79"/>
        <v>No</v>
      </c>
    </row>
    <row r="653" spans="1:45" ht="15" hidden="1">
      <c r="A653" s="103">
        <v>45244</v>
      </c>
      <c r="B653" s="117" t="s">
        <v>3021</v>
      </c>
      <c r="C653" s="28" t="s">
        <v>511</v>
      </c>
      <c r="D653" s="28" t="s">
        <v>3022</v>
      </c>
      <c r="F653" s="28" t="s">
        <v>3023</v>
      </c>
      <c r="G653" s="28" t="s">
        <v>958</v>
      </c>
      <c r="H653" s="28" t="s">
        <v>1360</v>
      </c>
      <c r="I653" s="28" t="s">
        <v>516</v>
      </c>
      <c r="J653" s="28" t="s">
        <v>517</v>
      </c>
      <c r="K653" s="28" t="s">
        <v>518</v>
      </c>
      <c r="L653" s="28" t="s">
        <v>739</v>
      </c>
      <c r="M653" s="28" t="s">
        <v>535</v>
      </c>
      <c r="N653" s="28" t="s">
        <v>557</v>
      </c>
      <c r="S653" s="28" t="s">
        <v>561</v>
      </c>
      <c r="T653" s="28" t="s">
        <v>741</v>
      </c>
      <c r="U653" s="28" t="s">
        <v>741</v>
      </c>
      <c r="V653" s="28" t="s">
        <v>517</v>
      </c>
      <c r="W653" s="28" t="s">
        <v>856</v>
      </c>
      <c r="Z653" s="118" t="s">
        <v>563</v>
      </c>
      <c r="AA653" s="118"/>
      <c r="AB653" s="118" t="s">
        <v>527</v>
      </c>
      <c r="AD653" s="118" t="s">
        <v>528</v>
      </c>
      <c r="AE653" s="28" t="s">
        <v>563</v>
      </c>
      <c r="AF653" s="117" t="s">
        <v>3022</v>
      </c>
      <c r="AG653" s="28" t="s">
        <v>563</v>
      </c>
      <c r="AK653" s="60" t="s">
        <v>2927</v>
      </c>
      <c r="AL653" s="117">
        <f>1/COUNTIF(Tableau6[LAT],B653)</f>
        <v>0.25</v>
      </c>
      <c r="AM653" s="60" t="b">
        <f t="shared" si="73"/>
        <v>0</v>
      </c>
      <c r="AN653" s="60" t="b">
        <f t="shared" si="74"/>
        <v>0</v>
      </c>
      <c r="AO653" s="60" t="b">
        <f t="shared" si="75"/>
        <v>0</v>
      </c>
      <c r="AP653" s="60" t="b">
        <f t="shared" si="76"/>
        <v>0</v>
      </c>
      <c r="AQ653" s="60" t="b">
        <f t="shared" si="77"/>
        <v>0</v>
      </c>
      <c r="AR653" s="60" t="str">
        <f t="shared" si="78"/>
        <v>No</v>
      </c>
      <c r="AS653" s="60" t="str">
        <f t="shared" si="79"/>
        <v>No</v>
      </c>
    </row>
    <row r="654" spans="1:45" ht="15" hidden="1">
      <c r="A654" s="103">
        <v>45244</v>
      </c>
      <c r="B654" s="117" t="s">
        <v>3021</v>
      </c>
      <c r="C654" s="28" t="s">
        <v>548</v>
      </c>
      <c r="D654" s="28" t="s">
        <v>3024</v>
      </c>
      <c r="F654" s="28" t="s">
        <v>3025</v>
      </c>
      <c r="G654" s="28" t="s">
        <v>514</v>
      </c>
      <c r="H654" s="28" t="s">
        <v>1580</v>
      </c>
      <c r="I654" s="28" t="s">
        <v>516</v>
      </c>
      <c r="J654" s="28" t="s">
        <v>517</v>
      </c>
      <c r="K654" s="28" t="s">
        <v>518</v>
      </c>
      <c r="L654" s="28" t="s">
        <v>739</v>
      </c>
      <c r="M654" s="28" t="s">
        <v>535</v>
      </c>
      <c r="N654" s="28" t="s">
        <v>557</v>
      </c>
      <c r="S654" s="28" t="s">
        <v>561</v>
      </c>
      <c r="T654" s="28" t="s">
        <v>741</v>
      </c>
      <c r="U654" s="28" t="s">
        <v>741</v>
      </c>
      <c r="V654" s="28" t="s">
        <v>517</v>
      </c>
      <c r="W654" s="28" t="s">
        <v>856</v>
      </c>
      <c r="Z654" s="118" t="s">
        <v>563</v>
      </c>
      <c r="AA654" s="118"/>
      <c r="AB654" s="118" t="s">
        <v>527</v>
      </c>
      <c r="AD654" s="118" t="s">
        <v>528</v>
      </c>
      <c r="AE654" s="28" t="s">
        <v>563</v>
      </c>
      <c r="AF654" s="117" t="s">
        <v>3024</v>
      </c>
      <c r="AG654" s="28" t="s">
        <v>563</v>
      </c>
      <c r="AK654" s="60" t="s">
        <v>2927</v>
      </c>
      <c r="AL654" s="117">
        <f>1/COUNTIF(Tableau6[LAT],B654)</f>
        <v>0.25</v>
      </c>
      <c r="AM654" s="60" t="b">
        <f t="shared" si="73"/>
        <v>0</v>
      </c>
      <c r="AN654" s="60" t="b">
        <f t="shared" si="74"/>
        <v>0</v>
      </c>
      <c r="AO654" s="60" t="b">
        <f t="shared" si="75"/>
        <v>0</v>
      </c>
      <c r="AP654" s="60" t="b">
        <f t="shared" si="76"/>
        <v>0</v>
      </c>
      <c r="AQ654" s="60" t="b">
        <f t="shared" si="77"/>
        <v>0</v>
      </c>
      <c r="AR654" s="60" t="str">
        <f t="shared" si="78"/>
        <v>No</v>
      </c>
      <c r="AS654" s="60" t="str">
        <f t="shared" si="79"/>
        <v>No</v>
      </c>
    </row>
    <row r="655" spans="1:45" ht="15" hidden="1">
      <c r="A655" s="103">
        <v>45244</v>
      </c>
      <c r="B655" s="117" t="s">
        <v>3021</v>
      </c>
      <c r="C655" s="28" t="s">
        <v>612</v>
      </c>
      <c r="D655" s="28" t="s">
        <v>3026</v>
      </c>
      <c r="F655" s="28" t="s">
        <v>3023</v>
      </c>
      <c r="G655" s="28" t="s">
        <v>958</v>
      </c>
      <c r="H655" s="28" t="s">
        <v>1360</v>
      </c>
      <c r="I655" s="28" t="s">
        <v>516</v>
      </c>
      <c r="J655" s="28" t="s">
        <v>517</v>
      </c>
      <c r="K655" s="28" t="s">
        <v>518</v>
      </c>
      <c r="L655" s="28" t="s">
        <v>739</v>
      </c>
      <c r="M655" s="28" t="s">
        <v>535</v>
      </c>
      <c r="N655" s="28" t="s">
        <v>557</v>
      </c>
      <c r="S655" s="28" t="s">
        <v>561</v>
      </c>
      <c r="T655" s="28" t="s">
        <v>741</v>
      </c>
      <c r="U655" s="28" t="s">
        <v>741</v>
      </c>
      <c r="V655" s="28" t="s">
        <v>517</v>
      </c>
      <c r="W655" s="28" t="s">
        <v>856</v>
      </c>
      <c r="Z655" s="118" t="s">
        <v>563</v>
      </c>
      <c r="AA655" s="118"/>
      <c r="AB655" s="118" t="s">
        <v>527</v>
      </c>
      <c r="AD655" s="118" t="s">
        <v>528</v>
      </c>
      <c r="AE655" s="28" t="s">
        <v>563</v>
      </c>
      <c r="AF655" s="117" t="s">
        <v>3026</v>
      </c>
      <c r="AG655" s="28" t="s">
        <v>563</v>
      </c>
      <c r="AK655" s="60" t="s">
        <v>2927</v>
      </c>
      <c r="AL655" s="117">
        <f>1/COUNTIF(Tableau6[LAT],B655)</f>
        <v>0.25</v>
      </c>
      <c r="AM655" s="60" t="b">
        <f t="shared" si="73"/>
        <v>0</v>
      </c>
      <c r="AN655" s="60" t="b">
        <f t="shared" si="74"/>
        <v>0</v>
      </c>
      <c r="AO655" s="60" t="b">
        <f t="shared" si="75"/>
        <v>0</v>
      </c>
      <c r="AP655" s="60" t="b">
        <f t="shared" si="76"/>
        <v>0</v>
      </c>
      <c r="AQ655" s="60" t="b">
        <f t="shared" si="77"/>
        <v>0</v>
      </c>
      <c r="AR655" s="60" t="str">
        <f t="shared" si="78"/>
        <v>No</v>
      </c>
      <c r="AS655" s="60" t="str">
        <f t="shared" si="79"/>
        <v>No</v>
      </c>
    </row>
    <row r="656" spans="1:45" ht="15" hidden="1">
      <c r="A656" s="103">
        <v>45244</v>
      </c>
      <c r="B656" s="117" t="s">
        <v>3021</v>
      </c>
      <c r="C656" s="28" t="s">
        <v>691</v>
      </c>
      <c r="D656" s="28" t="s">
        <v>3027</v>
      </c>
      <c r="F656" s="28" t="s">
        <v>3023</v>
      </c>
      <c r="G656" s="28" t="s">
        <v>958</v>
      </c>
      <c r="H656" s="28" t="s">
        <v>2067</v>
      </c>
      <c r="I656" s="28" t="s">
        <v>516</v>
      </c>
      <c r="J656" s="28" t="s">
        <v>517</v>
      </c>
      <c r="K656" s="28" t="s">
        <v>518</v>
      </c>
      <c r="L656" s="28" t="s">
        <v>739</v>
      </c>
      <c r="M656" s="28" t="s">
        <v>535</v>
      </c>
      <c r="N656" s="28" t="s">
        <v>557</v>
      </c>
      <c r="S656" s="28" t="s">
        <v>561</v>
      </c>
      <c r="T656" s="28" t="s">
        <v>741</v>
      </c>
      <c r="U656" s="28" t="s">
        <v>741</v>
      </c>
      <c r="V656" s="28" t="s">
        <v>517</v>
      </c>
      <c r="W656" s="28" t="s">
        <v>856</v>
      </c>
      <c r="Z656" s="118" t="s">
        <v>563</v>
      </c>
      <c r="AA656" s="118"/>
      <c r="AB656" s="118" t="s">
        <v>527</v>
      </c>
      <c r="AD656" s="118" t="s">
        <v>528</v>
      </c>
      <c r="AE656" s="28" t="s">
        <v>563</v>
      </c>
      <c r="AF656" s="117" t="s">
        <v>3027</v>
      </c>
      <c r="AG656" s="28" t="s">
        <v>563</v>
      </c>
      <c r="AK656" s="60" t="s">
        <v>2927</v>
      </c>
      <c r="AL656" s="117">
        <f>1/COUNTIF(Tableau6[LAT],B656)</f>
        <v>0.25</v>
      </c>
      <c r="AM656" s="60" t="b">
        <f t="shared" si="73"/>
        <v>0</v>
      </c>
      <c r="AN656" s="60" t="b">
        <f t="shared" si="74"/>
        <v>0</v>
      </c>
      <c r="AO656" s="60" t="b">
        <f t="shared" si="75"/>
        <v>0</v>
      </c>
      <c r="AP656" s="60" t="b">
        <f t="shared" si="76"/>
        <v>0</v>
      </c>
      <c r="AQ656" s="60" t="b">
        <f t="shared" si="77"/>
        <v>0</v>
      </c>
      <c r="AR656" s="60" t="str">
        <f t="shared" si="78"/>
        <v>No</v>
      </c>
      <c r="AS656" s="60" t="str">
        <f t="shared" si="79"/>
        <v>No</v>
      </c>
    </row>
    <row r="657" spans="1:45" ht="15" hidden="1">
      <c r="A657" s="103">
        <v>45244</v>
      </c>
      <c r="B657" s="117" t="s">
        <v>3028</v>
      </c>
      <c r="C657" s="28" t="s">
        <v>511</v>
      </c>
      <c r="D657" s="28" t="s">
        <v>3029</v>
      </c>
      <c r="F657" s="28" t="s">
        <v>3030</v>
      </c>
      <c r="G657" s="28" t="s">
        <v>514</v>
      </c>
      <c r="H657" s="28" t="s">
        <v>2832</v>
      </c>
      <c r="I657" s="28" t="s">
        <v>517</v>
      </c>
      <c r="J657" s="28" t="s">
        <v>517</v>
      </c>
      <c r="K657" s="28" t="s">
        <v>518</v>
      </c>
      <c r="L657" s="28" t="s">
        <v>580</v>
      </c>
      <c r="M657" s="28" t="s">
        <v>520</v>
      </c>
      <c r="N657" s="28" t="s">
        <v>1523</v>
      </c>
      <c r="S657" s="28" t="s">
        <v>573</v>
      </c>
      <c r="T657" s="28" t="s">
        <v>582</v>
      </c>
      <c r="U657" s="28" t="s">
        <v>582</v>
      </c>
      <c r="V657" s="28" t="s">
        <v>517</v>
      </c>
      <c r="W657" s="28" t="s">
        <v>3013</v>
      </c>
      <c r="Z657" s="118" t="s">
        <v>563</v>
      </c>
      <c r="AA657" s="118"/>
      <c r="AB657" s="73" t="s">
        <v>609</v>
      </c>
      <c r="AD657" s="118" t="s">
        <v>528</v>
      </c>
      <c r="AE657" s="28" t="s">
        <v>563</v>
      </c>
      <c r="AF657" s="117" t="s">
        <v>1297</v>
      </c>
      <c r="AG657" s="28" t="s">
        <v>563</v>
      </c>
      <c r="AK657" s="60" t="s">
        <v>2927</v>
      </c>
      <c r="AL657" s="117">
        <f>1/COUNTIF(Tableau6[LAT],B657)</f>
        <v>1</v>
      </c>
      <c r="AM657" s="60" t="b">
        <f t="shared" si="73"/>
        <v>0</v>
      </c>
      <c r="AN657" s="60" t="b">
        <f t="shared" si="74"/>
        <v>0</v>
      </c>
      <c r="AO657" s="60" t="b">
        <f t="shared" si="75"/>
        <v>0</v>
      </c>
      <c r="AP657" s="60" t="b">
        <f t="shared" si="76"/>
        <v>0</v>
      </c>
      <c r="AQ657" s="60" t="b">
        <f t="shared" si="77"/>
        <v>0</v>
      </c>
      <c r="AR657" s="60" t="str">
        <f t="shared" si="78"/>
        <v>No</v>
      </c>
      <c r="AS657" s="60" t="str">
        <f t="shared" si="79"/>
        <v>No</v>
      </c>
    </row>
    <row r="658" spans="1:45" ht="15" hidden="1">
      <c r="A658" s="103">
        <v>45244</v>
      </c>
      <c r="B658" s="117" t="s">
        <v>3031</v>
      </c>
      <c r="C658" s="28" t="s">
        <v>511</v>
      </c>
      <c r="D658" s="28" t="s">
        <v>3032</v>
      </c>
      <c r="F658" s="28" t="s">
        <v>3033</v>
      </c>
      <c r="G658" s="28" t="s">
        <v>514</v>
      </c>
      <c r="H658" s="28" t="s">
        <v>1394</v>
      </c>
      <c r="I658" s="28" t="s">
        <v>516</v>
      </c>
      <c r="J658" s="28" t="s">
        <v>517</v>
      </c>
      <c r="K658" s="28" t="s">
        <v>518</v>
      </c>
      <c r="L658" s="28" t="s">
        <v>3034</v>
      </c>
      <c r="M658" s="28" t="s">
        <v>520</v>
      </c>
      <c r="N658" s="28" t="s">
        <v>544</v>
      </c>
      <c r="S658" s="28" t="s">
        <v>589</v>
      </c>
      <c r="T658" s="28" t="s">
        <v>3035</v>
      </c>
      <c r="U658" s="28" t="s">
        <v>3035</v>
      </c>
      <c r="V658" s="28" t="s">
        <v>517</v>
      </c>
      <c r="W658" s="28" t="s">
        <v>3036</v>
      </c>
      <c r="Z658" s="118" t="s">
        <v>563</v>
      </c>
      <c r="AA658" s="118"/>
      <c r="AB658" s="118" t="s">
        <v>3037</v>
      </c>
      <c r="AD658" s="118"/>
      <c r="AF658" s="117" t="s">
        <v>1083</v>
      </c>
      <c r="AK658" s="60" t="s">
        <v>2927</v>
      </c>
      <c r="AL658" s="117">
        <f>1/COUNTIF(Tableau6[LAT],B658)</f>
        <v>1</v>
      </c>
      <c r="AM658" s="60" t="b">
        <f t="shared" si="73"/>
        <v>0</v>
      </c>
      <c r="AN658" s="60" t="b">
        <f t="shared" si="74"/>
        <v>0</v>
      </c>
      <c r="AO658" s="60" t="b">
        <f t="shared" si="75"/>
        <v>0</v>
      </c>
      <c r="AP658" s="60" t="b">
        <f t="shared" si="76"/>
        <v>0</v>
      </c>
      <c r="AQ658" s="60" t="b">
        <f t="shared" si="77"/>
        <v>0</v>
      </c>
      <c r="AR658" s="60" t="str">
        <f t="shared" si="78"/>
        <v>No</v>
      </c>
      <c r="AS658" s="60" t="str">
        <f t="shared" si="79"/>
        <v>No</v>
      </c>
    </row>
    <row r="659" spans="1:45" ht="15" hidden="1">
      <c r="A659" s="103">
        <v>45244</v>
      </c>
      <c r="B659" s="117" t="s">
        <v>3038</v>
      </c>
      <c r="C659" s="28" t="s">
        <v>511</v>
      </c>
      <c r="D659" s="28" t="s">
        <v>3039</v>
      </c>
      <c r="F659" s="28" t="s">
        <v>3040</v>
      </c>
      <c r="G659" s="28" t="s">
        <v>514</v>
      </c>
      <c r="H659" s="28" t="s">
        <v>1039</v>
      </c>
      <c r="I659" s="28" t="s">
        <v>516</v>
      </c>
      <c r="J659" s="28" t="s">
        <v>517</v>
      </c>
      <c r="K659" s="28" t="s">
        <v>518</v>
      </c>
      <c r="L659" s="28" t="s">
        <v>625</v>
      </c>
      <c r="M659" s="28" t="s">
        <v>535</v>
      </c>
      <c r="N659" s="28" t="s">
        <v>521</v>
      </c>
      <c r="O659" s="28" t="s">
        <v>544</v>
      </c>
      <c r="P659" s="28" t="s">
        <v>522</v>
      </c>
      <c r="S659" s="28" t="s">
        <v>2958</v>
      </c>
      <c r="T659" s="28" t="s">
        <v>628</v>
      </c>
      <c r="U659" s="28" t="s">
        <v>628</v>
      </c>
      <c r="V659" s="28" t="s">
        <v>517</v>
      </c>
      <c r="W659" s="28" t="s">
        <v>975</v>
      </c>
      <c r="Z659" s="118" t="s">
        <v>526</v>
      </c>
      <c r="AA659" s="118"/>
      <c r="AB659" s="118"/>
      <c r="AD659" s="118" t="s">
        <v>528</v>
      </c>
      <c r="AE659" s="28" t="s">
        <v>563</v>
      </c>
      <c r="AF659" s="117" t="s">
        <v>3039</v>
      </c>
      <c r="AG659" s="28" t="s">
        <v>563</v>
      </c>
      <c r="AK659" s="60" t="s">
        <v>2927</v>
      </c>
      <c r="AL659" s="117">
        <f>1/COUNTIF(Tableau6[LAT],B659)</f>
        <v>1</v>
      </c>
      <c r="AM659" s="60" t="b">
        <f t="shared" si="73"/>
        <v>0</v>
      </c>
      <c r="AN659" s="60" t="b">
        <f t="shared" si="74"/>
        <v>0</v>
      </c>
      <c r="AO659" s="60" t="b">
        <f t="shared" si="75"/>
        <v>0</v>
      </c>
      <c r="AP659" s="60" t="b">
        <f t="shared" si="76"/>
        <v>0</v>
      </c>
      <c r="AQ659" s="60" t="b">
        <f t="shared" si="77"/>
        <v>0</v>
      </c>
      <c r="AR659" s="60" t="str">
        <f t="shared" si="78"/>
        <v>No</v>
      </c>
      <c r="AS659" s="60" t="str">
        <f t="shared" si="79"/>
        <v>No</v>
      </c>
    </row>
    <row r="660" spans="1:45" ht="15" hidden="1">
      <c r="A660" s="103">
        <v>45244</v>
      </c>
      <c r="B660" s="117" t="s">
        <v>3041</v>
      </c>
      <c r="C660" s="28" t="s">
        <v>511</v>
      </c>
      <c r="D660" s="28" t="s">
        <v>3042</v>
      </c>
      <c r="E660" s="28" t="s">
        <v>3043</v>
      </c>
      <c r="F660" s="28" t="s">
        <v>3044</v>
      </c>
      <c r="G660" s="28" t="s">
        <v>514</v>
      </c>
      <c r="H660" s="28" t="s">
        <v>681</v>
      </c>
      <c r="I660" s="28" t="s">
        <v>516</v>
      </c>
      <c r="J660" s="28" t="s">
        <v>517</v>
      </c>
      <c r="K660" s="28" t="s">
        <v>518</v>
      </c>
      <c r="L660" s="28" t="s">
        <v>801</v>
      </c>
      <c r="M660" s="28" t="s">
        <v>535</v>
      </c>
      <c r="N660" s="28" t="s">
        <v>544</v>
      </c>
      <c r="S660" s="28" t="s">
        <v>820</v>
      </c>
      <c r="T660" s="28" t="s">
        <v>803</v>
      </c>
      <c r="U660" s="28" t="s">
        <v>803</v>
      </c>
      <c r="V660" s="28" t="s">
        <v>517</v>
      </c>
      <c r="W660" s="28" t="s">
        <v>3045</v>
      </c>
      <c r="X660" s="28" t="s">
        <v>670</v>
      </c>
      <c r="Z660" s="118" t="s">
        <v>563</v>
      </c>
      <c r="AA660" s="118"/>
      <c r="AB660" s="73" t="s">
        <v>609</v>
      </c>
      <c r="AD660" s="118" t="s">
        <v>528</v>
      </c>
      <c r="AE660" s="28" t="s">
        <v>563</v>
      </c>
      <c r="AF660" s="117" t="s">
        <v>3042</v>
      </c>
      <c r="AG660" s="28" t="s">
        <v>563</v>
      </c>
      <c r="AK660" s="60" t="s">
        <v>2927</v>
      </c>
      <c r="AL660" s="117">
        <f>1/COUNTIF(Tableau6[LAT],B660)</f>
        <v>0.25</v>
      </c>
      <c r="AM660" s="60" t="b">
        <f t="shared" si="73"/>
        <v>0</v>
      </c>
      <c r="AN660" s="60" t="b">
        <f t="shared" si="74"/>
        <v>0</v>
      </c>
      <c r="AO660" s="60" t="b">
        <f t="shared" si="75"/>
        <v>0</v>
      </c>
      <c r="AP660" s="60" t="b">
        <f t="shared" si="76"/>
        <v>0</v>
      </c>
      <c r="AQ660" s="60" t="b">
        <f t="shared" si="77"/>
        <v>0</v>
      </c>
      <c r="AR660" s="60" t="str">
        <f t="shared" si="78"/>
        <v>No</v>
      </c>
      <c r="AS660" s="60" t="str">
        <f t="shared" si="79"/>
        <v>No</v>
      </c>
    </row>
    <row r="661" spans="1:45" ht="15" hidden="1">
      <c r="A661" s="103">
        <v>45244</v>
      </c>
      <c r="B661" s="117" t="s">
        <v>3041</v>
      </c>
      <c r="C661" s="28" t="s">
        <v>548</v>
      </c>
      <c r="D661" s="28" t="s">
        <v>3046</v>
      </c>
      <c r="E661" s="28" t="s">
        <v>3043</v>
      </c>
      <c r="F661" s="28" t="s">
        <v>3044</v>
      </c>
      <c r="G661" s="28" t="s">
        <v>514</v>
      </c>
      <c r="H661" s="28" t="s">
        <v>1849</v>
      </c>
      <c r="I661" s="28" t="s">
        <v>516</v>
      </c>
      <c r="J661" s="28" t="s">
        <v>517</v>
      </c>
      <c r="K661" s="28" t="s">
        <v>518</v>
      </c>
      <c r="L661" s="28" t="s">
        <v>801</v>
      </c>
      <c r="M661" s="28" t="s">
        <v>535</v>
      </c>
      <c r="N661" s="28" t="s">
        <v>544</v>
      </c>
      <c r="S661" s="28" t="s">
        <v>820</v>
      </c>
      <c r="T661" s="28" t="s">
        <v>803</v>
      </c>
      <c r="U661" s="28" t="s">
        <v>803</v>
      </c>
      <c r="V661" s="28" t="s">
        <v>517</v>
      </c>
      <c r="W661" s="28" t="s">
        <v>3045</v>
      </c>
      <c r="X661" s="28" t="s">
        <v>670</v>
      </c>
      <c r="Z661" s="118" t="s">
        <v>563</v>
      </c>
      <c r="AA661" s="118"/>
      <c r="AB661" s="73" t="s">
        <v>609</v>
      </c>
      <c r="AD661" s="118"/>
      <c r="AF661" s="117"/>
      <c r="AK661" s="60" t="s">
        <v>2927</v>
      </c>
      <c r="AL661" s="117">
        <f>1/COUNTIF(Tableau6[LAT],B661)</f>
        <v>0.25</v>
      </c>
      <c r="AM661" s="60" t="b">
        <f t="shared" si="73"/>
        <v>0</v>
      </c>
      <c r="AN661" s="60" t="b">
        <f t="shared" si="74"/>
        <v>0</v>
      </c>
      <c r="AO661" s="60" t="b">
        <f t="shared" si="75"/>
        <v>0</v>
      </c>
      <c r="AP661" s="60" t="b">
        <f t="shared" si="76"/>
        <v>0</v>
      </c>
      <c r="AQ661" s="60" t="b">
        <f t="shared" si="77"/>
        <v>0</v>
      </c>
      <c r="AR661" s="60" t="str">
        <f t="shared" si="78"/>
        <v>No</v>
      </c>
      <c r="AS661" s="60" t="str">
        <f t="shared" si="79"/>
        <v>No</v>
      </c>
    </row>
    <row r="662" spans="1:45" ht="15" hidden="1">
      <c r="A662" s="103">
        <v>45244</v>
      </c>
      <c r="B662" s="117" t="s">
        <v>3041</v>
      </c>
      <c r="C662" s="28" t="s">
        <v>612</v>
      </c>
      <c r="D662" s="28" t="s">
        <v>3047</v>
      </c>
      <c r="E662" s="28" t="s">
        <v>3043</v>
      </c>
      <c r="F662" s="28" t="s">
        <v>3044</v>
      </c>
      <c r="G662" s="28" t="s">
        <v>514</v>
      </c>
      <c r="H662" s="28" t="s">
        <v>1849</v>
      </c>
      <c r="I662" s="28" t="s">
        <v>516</v>
      </c>
      <c r="J662" s="28" t="s">
        <v>517</v>
      </c>
      <c r="K662" s="28" t="s">
        <v>518</v>
      </c>
      <c r="L662" s="28" t="s">
        <v>801</v>
      </c>
      <c r="M662" s="28" t="s">
        <v>535</v>
      </c>
      <c r="N662" s="28" t="s">
        <v>544</v>
      </c>
      <c r="S662" s="28" t="s">
        <v>820</v>
      </c>
      <c r="T662" s="28" t="s">
        <v>803</v>
      </c>
      <c r="U662" s="28" t="s">
        <v>803</v>
      </c>
      <c r="V662" s="28" t="s">
        <v>517</v>
      </c>
      <c r="W662" s="28" t="s">
        <v>3045</v>
      </c>
      <c r="X662" s="28" t="s">
        <v>670</v>
      </c>
      <c r="Z662" s="118" t="s">
        <v>563</v>
      </c>
      <c r="AA662" s="118"/>
      <c r="AB662" s="73" t="s">
        <v>609</v>
      </c>
      <c r="AD662" s="118"/>
      <c r="AF662" s="117"/>
      <c r="AK662" s="60" t="s">
        <v>2927</v>
      </c>
      <c r="AL662" s="117">
        <f>1/COUNTIF(Tableau6[LAT],B662)</f>
        <v>0.25</v>
      </c>
      <c r="AM662" s="60" t="b">
        <f t="shared" si="73"/>
        <v>0</v>
      </c>
      <c r="AN662" s="60" t="b">
        <f t="shared" si="74"/>
        <v>0</v>
      </c>
      <c r="AO662" s="60" t="b">
        <f t="shared" si="75"/>
        <v>0</v>
      </c>
      <c r="AP662" s="60" t="b">
        <f t="shared" si="76"/>
        <v>0</v>
      </c>
      <c r="AQ662" s="60" t="b">
        <f t="shared" si="77"/>
        <v>0</v>
      </c>
      <c r="AR662" s="60" t="str">
        <f t="shared" si="78"/>
        <v>No</v>
      </c>
      <c r="AS662" s="60" t="str">
        <f t="shared" si="79"/>
        <v>No</v>
      </c>
    </row>
    <row r="663" spans="1:45" ht="15" hidden="1">
      <c r="A663" s="103">
        <v>45244</v>
      </c>
      <c r="B663" s="117" t="s">
        <v>3041</v>
      </c>
      <c r="C663" s="28" t="s">
        <v>691</v>
      </c>
      <c r="D663" s="28" t="s">
        <v>3048</v>
      </c>
      <c r="E663" s="28" t="s">
        <v>3043</v>
      </c>
      <c r="F663" s="28" t="s">
        <v>3044</v>
      </c>
      <c r="G663" s="28" t="s">
        <v>514</v>
      </c>
      <c r="H663" s="28" t="s">
        <v>1849</v>
      </c>
      <c r="I663" s="28" t="s">
        <v>516</v>
      </c>
      <c r="J663" s="28" t="s">
        <v>517</v>
      </c>
      <c r="K663" s="28" t="s">
        <v>518</v>
      </c>
      <c r="L663" s="28" t="s">
        <v>801</v>
      </c>
      <c r="M663" s="28" t="s">
        <v>535</v>
      </c>
      <c r="N663" s="28" t="s">
        <v>544</v>
      </c>
      <c r="S663" s="28" t="s">
        <v>820</v>
      </c>
      <c r="T663" s="28" t="s">
        <v>803</v>
      </c>
      <c r="U663" s="28" t="s">
        <v>803</v>
      </c>
      <c r="V663" s="28" t="s">
        <v>517</v>
      </c>
      <c r="W663" s="28" t="s">
        <v>3045</v>
      </c>
      <c r="X663" s="28" t="s">
        <v>670</v>
      </c>
      <c r="Z663" s="118" t="s">
        <v>563</v>
      </c>
      <c r="AA663" s="118"/>
      <c r="AB663" s="73" t="s">
        <v>609</v>
      </c>
      <c r="AD663" s="118"/>
      <c r="AF663" s="117"/>
      <c r="AK663" s="60" t="s">
        <v>2927</v>
      </c>
      <c r="AL663" s="117">
        <f>1/COUNTIF(Tableau6[LAT],B663)</f>
        <v>0.25</v>
      </c>
      <c r="AM663" s="60" t="b">
        <f t="shared" si="73"/>
        <v>0</v>
      </c>
      <c r="AN663" s="60" t="b">
        <f t="shared" si="74"/>
        <v>0</v>
      </c>
      <c r="AO663" s="60" t="b">
        <f t="shared" si="75"/>
        <v>0</v>
      </c>
      <c r="AP663" s="60" t="b">
        <f t="shared" si="76"/>
        <v>0</v>
      </c>
      <c r="AQ663" s="60" t="b">
        <f t="shared" si="77"/>
        <v>0</v>
      </c>
      <c r="AR663" s="60" t="str">
        <f t="shared" si="78"/>
        <v>No</v>
      </c>
      <c r="AS663" s="60" t="str">
        <f t="shared" si="79"/>
        <v>No</v>
      </c>
    </row>
    <row r="664" spans="1:45" ht="15" hidden="1">
      <c r="A664" s="103">
        <v>45244</v>
      </c>
      <c r="B664" s="117" t="s">
        <v>3049</v>
      </c>
      <c r="C664" s="28" t="s">
        <v>511</v>
      </c>
      <c r="D664" s="28" t="s">
        <v>3050</v>
      </c>
      <c r="E664" s="28" t="s">
        <v>3051</v>
      </c>
      <c r="F664" s="28" t="s">
        <v>1050</v>
      </c>
      <c r="G664" s="28" t="s">
        <v>958</v>
      </c>
      <c r="H664" s="28" t="s">
        <v>1580</v>
      </c>
      <c r="I664" s="28" t="s">
        <v>516</v>
      </c>
      <c r="J664" s="28" t="s">
        <v>517</v>
      </c>
      <c r="K664" s="28" t="s">
        <v>518</v>
      </c>
      <c r="L664" s="28" t="s">
        <v>801</v>
      </c>
      <c r="M664" s="28" t="s">
        <v>520</v>
      </c>
      <c r="N664" s="28" t="s">
        <v>619</v>
      </c>
      <c r="S664" s="28" t="s">
        <v>733</v>
      </c>
      <c r="T664" s="28" t="s">
        <v>803</v>
      </c>
      <c r="U664" s="28" t="s">
        <v>803</v>
      </c>
      <c r="V664" s="28" t="s">
        <v>517</v>
      </c>
      <c r="W664" s="28" t="s">
        <v>3052</v>
      </c>
      <c r="X664" s="28" t="s">
        <v>670</v>
      </c>
      <c r="Z664" s="118" t="s">
        <v>563</v>
      </c>
      <c r="AA664" s="118"/>
      <c r="AB664" s="28" t="s">
        <v>923</v>
      </c>
      <c r="AC664" s="28" t="s">
        <v>2976</v>
      </c>
      <c r="AD664" s="118" t="s">
        <v>528</v>
      </c>
      <c r="AE664" s="28" t="s">
        <v>563</v>
      </c>
      <c r="AF664" s="117" t="s">
        <v>3050</v>
      </c>
      <c r="AG664" s="28" t="s">
        <v>563</v>
      </c>
      <c r="AK664" s="60" t="s">
        <v>2927</v>
      </c>
      <c r="AL664" s="117">
        <f>1/COUNTIF(Tableau6[LAT],B664)</f>
        <v>0.5</v>
      </c>
      <c r="AM664" s="60" t="b">
        <f t="shared" si="73"/>
        <v>0</v>
      </c>
      <c r="AN664" s="60" t="b">
        <f t="shared" si="74"/>
        <v>0</v>
      </c>
      <c r="AO664" s="60" t="b">
        <f t="shared" si="75"/>
        <v>0</v>
      </c>
      <c r="AP664" s="60" t="b">
        <f t="shared" si="76"/>
        <v>0</v>
      </c>
      <c r="AQ664" s="60" t="b">
        <f t="shared" si="77"/>
        <v>0</v>
      </c>
      <c r="AR664" s="60" t="str">
        <f t="shared" si="78"/>
        <v>No</v>
      </c>
      <c r="AS664" s="60" t="str">
        <f t="shared" si="79"/>
        <v>Yes</v>
      </c>
    </row>
    <row r="665" spans="1:45" ht="15" hidden="1">
      <c r="A665" s="103">
        <v>45244</v>
      </c>
      <c r="B665" s="117" t="s">
        <v>3049</v>
      </c>
      <c r="C665" s="28" t="s">
        <v>548</v>
      </c>
      <c r="D665" s="28" t="s">
        <v>3053</v>
      </c>
      <c r="E665" s="28" t="s">
        <v>3051</v>
      </c>
      <c r="F665" s="28" t="s">
        <v>3054</v>
      </c>
      <c r="G665" s="28" t="s">
        <v>3055</v>
      </c>
      <c r="H665" s="28" t="s">
        <v>3056</v>
      </c>
      <c r="I665" s="28" t="s">
        <v>516</v>
      </c>
      <c r="J665" s="28" t="s">
        <v>517</v>
      </c>
      <c r="K665" s="28" t="s">
        <v>518</v>
      </c>
      <c r="L665" s="28" t="s">
        <v>801</v>
      </c>
      <c r="M665" s="28" t="s">
        <v>520</v>
      </c>
      <c r="N665" s="28" t="s">
        <v>557</v>
      </c>
      <c r="S665" s="28" t="s">
        <v>733</v>
      </c>
      <c r="T665" s="28" t="s">
        <v>803</v>
      </c>
      <c r="U665" s="28" t="s">
        <v>803</v>
      </c>
      <c r="V665" s="28" t="s">
        <v>517</v>
      </c>
      <c r="W665" s="28" t="s">
        <v>3052</v>
      </c>
      <c r="X665" s="28" t="s">
        <v>670</v>
      </c>
      <c r="Z665" s="118" t="s">
        <v>563</v>
      </c>
      <c r="AA665" s="118"/>
      <c r="AB665" s="28" t="s">
        <v>923</v>
      </c>
      <c r="AC665" s="28" t="s">
        <v>2976</v>
      </c>
      <c r="AD665" s="118" t="s">
        <v>528</v>
      </c>
      <c r="AE665" s="28" t="s">
        <v>563</v>
      </c>
      <c r="AF665" s="117" t="s">
        <v>3053</v>
      </c>
      <c r="AG665" s="28" t="s">
        <v>563</v>
      </c>
      <c r="AK665" s="60" t="s">
        <v>2927</v>
      </c>
      <c r="AL665" s="117">
        <f>1/COUNTIF(Tableau6[LAT],B665)</f>
        <v>0.5</v>
      </c>
      <c r="AM665" s="60" t="b">
        <f t="shared" si="73"/>
        <v>0</v>
      </c>
      <c r="AN665" s="60" t="b">
        <f t="shared" si="74"/>
        <v>0</v>
      </c>
      <c r="AO665" s="60" t="b">
        <f t="shared" si="75"/>
        <v>0</v>
      </c>
      <c r="AP665" s="60" t="b">
        <f t="shared" si="76"/>
        <v>0</v>
      </c>
      <c r="AQ665" s="60" t="b">
        <f t="shared" si="77"/>
        <v>0</v>
      </c>
      <c r="AR665" s="60" t="str">
        <f t="shared" si="78"/>
        <v>No</v>
      </c>
      <c r="AS665" s="60" t="str">
        <f t="shared" si="79"/>
        <v>Yes</v>
      </c>
    </row>
    <row r="666" spans="1:45" ht="15" hidden="1">
      <c r="A666" s="103">
        <v>45244</v>
      </c>
      <c r="B666" s="117" t="s">
        <v>3057</v>
      </c>
      <c r="C666" s="28" t="s">
        <v>511</v>
      </c>
      <c r="D666" s="28" t="s">
        <v>3058</v>
      </c>
      <c r="F666" s="28" t="s">
        <v>2625</v>
      </c>
      <c r="G666" s="28" t="s">
        <v>514</v>
      </c>
      <c r="H666" s="28" t="s">
        <v>1512</v>
      </c>
      <c r="I666" s="28" t="s">
        <v>516</v>
      </c>
      <c r="J666" s="28" t="s">
        <v>517</v>
      </c>
      <c r="K666" s="28" t="s">
        <v>518</v>
      </c>
      <c r="L666" s="28" t="s">
        <v>519</v>
      </c>
      <c r="M666" s="28" t="s">
        <v>535</v>
      </c>
      <c r="N666" s="28" t="s">
        <v>521</v>
      </c>
      <c r="O666" s="28" t="s">
        <v>522</v>
      </c>
      <c r="S666" s="28" t="s">
        <v>3059</v>
      </c>
      <c r="T666" s="28" t="s">
        <v>524</v>
      </c>
      <c r="U666" s="28" t="s">
        <v>524</v>
      </c>
      <c r="V666" s="28" t="s">
        <v>517</v>
      </c>
      <c r="W666" s="28" t="s">
        <v>3060</v>
      </c>
      <c r="Z666" s="118"/>
      <c r="AA666" s="118"/>
      <c r="AB666" s="118"/>
      <c r="AD666" s="118" t="s">
        <v>528</v>
      </c>
      <c r="AE666" s="28" t="s">
        <v>563</v>
      </c>
      <c r="AF666" s="117" t="s">
        <v>3058</v>
      </c>
      <c r="AG666" s="28" t="s">
        <v>563</v>
      </c>
      <c r="AK666" s="60" t="s">
        <v>2927</v>
      </c>
      <c r="AL666" s="117">
        <f>1/COUNTIF(Tableau6[LAT],B666)</f>
        <v>1</v>
      </c>
      <c r="AM666" s="60" t="b">
        <f t="shared" si="73"/>
        <v>0</v>
      </c>
      <c r="AN666" s="60" t="b">
        <f t="shared" si="74"/>
        <v>0</v>
      </c>
      <c r="AO666" s="60" t="b">
        <f t="shared" si="75"/>
        <v>0</v>
      </c>
      <c r="AP666" s="60" t="b">
        <f t="shared" si="76"/>
        <v>0</v>
      </c>
      <c r="AQ666" s="60" t="b">
        <f t="shared" si="77"/>
        <v>0</v>
      </c>
      <c r="AR666" s="60" t="str">
        <f t="shared" si="78"/>
        <v>No</v>
      </c>
      <c r="AS666" s="60" t="str">
        <f t="shared" si="79"/>
        <v>No</v>
      </c>
    </row>
    <row r="667" spans="1:45" ht="15" hidden="1">
      <c r="A667" s="103">
        <v>45244</v>
      </c>
      <c r="B667" s="117" t="s">
        <v>3061</v>
      </c>
      <c r="C667" s="28" t="s">
        <v>511</v>
      </c>
      <c r="D667" s="28" t="s">
        <v>3062</v>
      </c>
      <c r="F667" s="28" t="s">
        <v>3063</v>
      </c>
      <c r="G667" s="28" t="s">
        <v>514</v>
      </c>
      <c r="H667" s="28" t="s">
        <v>2832</v>
      </c>
      <c r="I667" s="28" t="s">
        <v>516</v>
      </c>
      <c r="J667" s="28" t="s">
        <v>517</v>
      </c>
      <c r="K667" s="28" t="s">
        <v>518</v>
      </c>
      <c r="L667" s="28" t="s">
        <v>1429</v>
      </c>
      <c r="M667" s="28" t="s">
        <v>535</v>
      </c>
      <c r="N667" s="28" t="s">
        <v>934</v>
      </c>
      <c r="S667" s="28" t="s">
        <v>786</v>
      </c>
      <c r="T667" s="28" t="s">
        <v>1431</v>
      </c>
      <c r="U667" s="28" t="s">
        <v>1431</v>
      </c>
      <c r="V667" s="28" t="s">
        <v>517</v>
      </c>
      <c r="W667" s="28" t="s">
        <v>3064</v>
      </c>
      <c r="Z667" s="118" t="s">
        <v>563</v>
      </c>
      <c r="AA667" s="118"/>
      <c r="AB667" s="118" t="s">
        <v>527</v>
      </c>
      <c r="AD667" s="118" t="s">
        <v>528</v>
      </c>
      <c r="AE667" s="28" t="s">
        <v>563</v>
      </c>
      <c r="AF667" s="117" t="s">
        <v>3062</v>
      </c>
      <c r="AG667" s="28" t="s">
        <v>563</v>
      </c>
      <c r="AK667" s="60" t="s">
        <v>2927</v>
      </c>
      <c r="AL667" s="117">
        <f>1/COUNTIF(Tableau6[LAT],B667)</f>
        <v>1</v>
      </c>
      <c r="AM667" s="60" t="b">
        <f t="shared" si="73"/>
        <v>0</v>
      </c>
      <c r="AN667" s="60" t="b">
        <f t="shared" si="74"/>
        <v>0</v>
      </c>
      <c r="AO667" s="60" t="b">
        <f t="shared" si="75"/>
        <v>0</v>
      </c>
      <c r="AP667" s="60" t="b">
        <f t="shared" si="76"/>
        <v>0</v>
      </c>
      <c r="AQ667" s="60" t="b">
        <f t="shared" si="77"/>
        <v>0</v>
      </c>
      <c r="AR667" s="60" t="str">
        <f t="shared" si="78"/>
        <v>No</v>
      </c>
      <c r="AS667" s="60" t="str">
        <f t="shared" si="79"/>
        <v>No</v>
      </c>
    </row>
    <row r="668" spans="1:45" ht="15" hidden="1">
      <c r="A668" s="103">
        <v>45244</v>
      </c>
      <c r="B668" s="117" t="s">
        <v>3065</v>
      </c>
      <c r="C668" s="28" t="s">
        <v>511</v>
      </c>
      <c r="D668" s="28" t="s">
        <v>3066</v>
      </c>
      <c r="F668" s="28" t="s">
        <v>2708</v>
      </c>
      <c r="G668" s="28" t="s">
        <v>514</v>
      </c>
      <c r="H668" s="28" t="s">
        <v>1187</v>
      </c>
      <c r="I668" s="28" t="s">
        <v>516</v>
      </c>
      <c r="J668" s="28" t="s">
        <v>517</v>
      </c>
      <c r="K668" s="28" t="s">
        <v>518</v>
      </c>
      <c r="L668" s="28" t="s">
        <v>569</v>
      </c>
      <c r="M668" s="28" t="s">
        <v>535</v>
      </c>
      <c r="N668" s="28" t="s">
        <v>619</v>
      </c>
      <c r="O668" s="28" t="s">
        <v>521</v>
      </c>
      <c r="S668" s="28" t="s">
        <v>740</v>
      </c>
      <c r="T668" s="28" t="s">
        <v>574</v>
      </c>
      <c r="U668" s="28" t="s">
        <v>574</v>
      </c>
      <c r="V668" s="28" t="s">
        <v>517</v>
      </c>
      <c r="W668" s="28" t="s">
        <v>734</v>
      </c>
      <c r="Z668" s="118" t="s">
        <v>526</v>
      </c>
      <c r="AA668" s="118"/>
      <c r="AB668" s="118"/>
      <c r="AD668" s="118" t="s">
        <v>954</v>
      </c>
      <c r="AE668" s="28" t="s">
        <v>563</v>
      </c>
      <c r="AF668" s="117" t="s">
        <v>3066</v>
      </c>
      <c r="AG668" s="28" t="s">
        <v>563</v>
      </c>
      <c r="AK668" s="60" t="s">
        <v>2927</v>
      </c>
      <c r="AL668" s="117">
        <f>1/COUNTIF(Tableau6[LAT],B668)</f>
        <v>1</v>
      </c>
      <c r="AM668" s="60" t="b">
        <f t="shared" si="73"/>
        <v>0</v>
      </c>
      <c r="AN668" s="60" t="b">
        <f t="shared" si="74"/>
        <v>0</v>
      </c>
      <c r="AO668" s="60" t="b">
        <f t="shared" si="75"/>
        <v>0</v>
      </c>
      <c r="AP668" s="60" t="b">
        <f t="shared" si="76"/>
        <v>0</v>
      </c>
      <c r="AQ668" s="60" t="b">
        <f t="shared" si="77"/>
        <v>0</v>
      </c>
      <c r="AR668" s="60" t="str">
        <f t="shared" si="78"/>
        <v>No</v>
      </c>
      <c r="AS668" s="60" t="str">
        <f t="shared" si="79"/>
        <v>No</v>
      </c>
    </row>
    <row r="669" spans="1:45" ht="15" hidden="1">
      <c r="A669" s="103">
        <v>45244</v>
      </c>
      <c r="B669" s="117" t="s">
        <v>3067</v>
      </c>
      <c r="C669" s="28" t="s">
        <v>511</v>
      </c>
      <c r="D669" s="28" t="s">
        <v>3068</v>
      </c>
      <c r="F669" s="28" t="s">
        <v>3069</v>
      </c>
      <c r="G669" s="28" t="s">
        <v>514</v>
      </c>
      <c r="H669" s="28" t="s">
        <v>1605</v>
      </c>
      <c r="I669" s="28" t="s">
        <v>516</v>
      </c>
      <c r="J669" s="28" t="s">
        <v>517</v>
      </c>
      <c r="K669" s="28" t="s">
        <v>518</v>
      </c>
      <c r="L669" s="28" t="s">
        <v>1079</v>
      </c>
      <c r="M669" s="28" t="s">
        <v>535</v>
      </c>
      <c r="N669" s="28" t="s">
        <v>557</v>
      </c>
      <c r="O669" s="28" t="s">
        <v>544</v>
      </c>
      <c r="S669" s="28" t="s">
        <v>2958</v>
      </c>
      <c r="T669" s="28" t="s">
        <v>668</v>
      </c>
      <c r="U669" s="28" t="s">
        <v>668</v>
      </c>
      <c r="V669" s="28" t="s">
        <v>517</v>
      </c>
      <c r="W669" s="28" t="s">
        <v>3070</v>
      </c>
      <c r="Z669" s="118" t="s">
        <v>526</v>
      </c>
      <c r="AA669" s="118"/>
      <c r="AB669" s="118"/>
      <c r="AD669" s="118" t="s">
        <v>954</v>
      </c>
      <c r="AE669" s="28" t="s">
        <v>563</v>
      </c>
      <c r="AF669" s="117" t="s">
        <v>3068</v>
      </c>
      <c r="AG669" s="28" t="s">
        <v>563</v>
      </c>
      <c r="AK669" s="60" t="s">
        <v>2927</v>
      </c>
      <c r="AL669" s="117">
        <f>1/COUNTIF(Tableau6[LAT],B669)</f>
        <v>0.33333333333333331</v>
      </c>
      <c r="AM669" s="60" t="b">
        <f t="shared" si="73"/>
        <v>0</v>
      </c>
      <c r="AN669" s="60" t="b">
        <f t="shared" si="74"/>
        <v>0</v>
      </c>
      <c r="AO669" s="60" t="b">
        <f t="shared" si="75"/>
        <v>0</v>
      </c>
      <c r="AP669" s="60" t="b">
        <f t="shared" si="76"/>
        <v>0</v>
      </c>
      <c r="AQ669" s="60" t="b">
        <f t="shared" si="77"/>
        <v>0</v>
      </c>
      <c r="AR669" s="60" t="str">
        <f t="shared" si="78"/>
        <v>No</v>
      </c>
      <c r="AS669" s="60" t="str">
        <f t="shared" si="79"/>
        <v>No</v>
      </c>
    </row>
    <row r="670" spans="1:45" ht="15" hidden="1">
      <c r="A670" s="103">
        <v>45244</v>
      </c>
      <c r="B670" s="117" t="s">
        <v>3067</v>
      </c>
      <c r="C670" s="28" t="s">
        <v>548</v>
      </c>
      <c r="D670" s="28" t="s">
        <v>3071</v>
      </c>
      <c r="F670" s="28" t="s">
        <v>3069</v>
      </c>
      <c r="G670" s="28" t="s">
        <v>514</v>
      </c>
      <c r="H670" s="28" t="s">
        <v>1605</v>
      </c>
      <c r="I670" s="28" t="s">
        <v>516</v>
      </c>
      <c r="J670" s="28" t="s">
        <v>517</v>
      </c>
      <c r="K670" s="28" t="s">
        <v>518</v>
      </c>
      <c r="L670" s="28" t="s">
        <v>1079</v>
      </c>
      <c r="M670" s="28" t="s">
        <v>535</v>
      </c>
      <c r="N670" s="28" t="s">
        <v>557</v>
      </c>
      <c r="O670" s="28" t="s">
        <v>544</v>
      </c>
      <c r="S670" s="28" t="s">
        <v>2958</v>
      </c>
      <c r="T670" s="28" t="s">
        <v>668</v>
      </c>
      <c r="U670" s="28" t="s">
        <v>668</v>
      </c>
      <c r="V670" s="28" t="s">
        <v>517</v>
      </c>
      <c r="W670" s="28" t="s">
        <v>3072</v>
      </c>
      <c r="Z670" s="118" t="s">
        <v>526</v>
      </c>
      <c r="AA670" s="118"/>
      <c r="AB670" s="118"/>
      <c r="AD670" s="118" t="s">
        <v>954</v>
      </c>
      <c r="AE670" s="28" t="s">
        <v>563</v>
      </c>
      <c r="AF670" s="117" t="s">
        <v>3071</v>
      </c>
      <c r="AG670" s="28" t="s">
        <v>563</v>
      </c>
      <c r="AK670" s="60" t="s">
        <v>2927</v>
      </c>
      <c r="AL670" s="117">
        <f>1/COUNTIF(Tableau6[LAT],B670)</f>
        <v>0.33333333333333331</v>
      </c>
      <c r="AM670" s="60" t="b">
        <f t="shared" si="73"/>
        <v>0</v>
      </c>
      <c r="AN670" s="60" t="b">
        <f t="shared" si="74"/>
        <v>0</v>
      </c>
      <c r="AO670" s="60" t="b">
        <f t="shared" si="75"/>
        <v>0</v>
      </c>
      <c r="AP670" s="60" t="b">
        <f t="shared" si="76"/>
        <v>0</v>
      </c>
      <c r="AQ670" s="60" t="b">
        <f t="shared" si="77"/>
        <v>0</v>
      </c>
      <c r="AR670" s="60" t="str">
        <f t="shared" si="78"/>
        <v>No</v>
      </c>
      <c r="AS670" s="60" t="str">
        <f t="shared" si="79"/>
        <v>No</v>
      </c>
    </row>
    <row r="671" spans="1:45" ht="15" hidden="1">
      <c r="A671" s="103">
        <v>45244</v>
      </c>
      <c r="B671" s="117" t="s">
        <v>3067</v>
      </c>
      <c r="C671" s="28" t="s">
        <v>612</v>
      </c>
      <c r="D671" s="28" t="s">
        <v>3073</v>
      </c>
      <c r="F671" s="28" t="s">
        <v>3069</v>
      </c>
      <c r="G671" s="28" t="s">
        <v>514</v>
      </c>
      <c r="H671" s="28" t="s">
        <v>1605</v>
      </c>
      <c r="I671" s="28" t="s">
        <v>516</v>
      </c>
      <c r="J671" s="28" t="s">
        <v>517</v>
      </c>
      <c r="K671" s="28" t="s">
        <v>518</v>
      </c>
      <c r="L671" s="28" t="s">
        <v>1079</v>
      </c>
      <c r="M671" s="28" t="s">
        <v>535</v>
      </c>
      <c r="N671" s="28" t="s">
        <v>557</v>
      </c>
      <c r="O671" s="28" t="s">
        <v>544</v>
      </c>
      <c r="S671" s="28" t="s">
        <v>2958</v>
      </c>
      <c r="T671" s="28" t="s">
        <v>668</v>
      </c>
      <c r="U671" s="28" t="s">
        <v>668</v>
      </c>
      <c r="V671" s="28" t="s">
        <v>517</v>
      </c>
      <c r="W671" s="28" t="s">
        <v>3074</v>
      </c>
      <c r="Z671" s="118" t="s">
        <v>526</v>
      </c>
      <c r="AA671" s="118"/>
      <c r="AB671" s="118"/>
      <c r="AD671" s="118" t="s">
        <v>954</v>
      </c>
      <c r="AE671" s="28" t="s">
        <v>563</v>
      </c>
      <c r="AF671" s="117" t="s">
        <v>3073</v>
      </c>
      <c r="AG671" s="28" t="s">
        <v>563</v>
      </c>
      <c r="AK671" s="60" t="s">
        <v>2927</v>
      </c>
      <c r="AL671" s="117">
        <f>1/COUNTIF(Tableau6[LAT],B671)</f>
        <v>0.33333333333333331</v>
      </c>
      <c r="AM671" s="60" t="b">
        <f t="shared" si="73"/>
        <v>0</v>
      </c>
      <c r="AN671" s="60" t="b">
        <f t="shared" si="74"/>
        <v>0</v>
      </c>
      <c r="AO671" s="60" t="b">
        <f t="shared" si="75"/>
        <v>0</v>
      </c>
      <c r="AP671" s="60" t="b">
        <f t="shared" si="76"/>
        <v>0</v>
      </c>
      <c r="AQ671" s="60" t="b">
        <f t="shared" si="77"/>
        <v>0</v>
      </c>
      <c r="AR671" s="60" t="str">
        <f t="shared" si="78"/>
        <v>No</v>
      </c>
      <c r="AS671" s="60" t="str">
        <f t="shared" si="79"/>
        <v>No</v>
      </c>
    </row>
    <row r="672" spans="1:45" ht="15" hidden="1">
      <c r="A672" s="103">
        <v>45244</v>
      </c>
      <c r="B672" s="117" t="s">
        <v>3075</v>
      </c>
      <c r="C672" s="28" t="s">
        <v>511</v>
      </c>
      <c r="D672" s="28" t="s">
        <v>3076</v>
      </c>
      <c r="F672" s="28" t="s">
        <v>1844</v>
      </c>
      <c r="G672" s="28" t="s">
        <v>514</v>
      </c>
      <c r="H672" s="28" t="s">
        <v>3077</v>
      </c>
      <c r="I672" s="28" t="s">
        <v>516</v>
      </c>
      <c r="J672" s="28" t="s">
        <v>517</v>
      </c>
      <c r="K672" s="28" t="s">
        <v>682</v>
      </c>
      <c r="L672" s="28" t="s">
        <v>3078</v>
      </c>
      <c r="M672" s="28" t="s">
        <v>535</v>
      </c>
      <c r="N672" s="28" t="s">
        <v>1835</v>
      </c>
      <c r="O672" s="28" t="s">
        <v>544</v>
      </c>
      <c r="S672" s="28" t="s">
        <v>2975</v>
      </c>
      <c r="T672" s="28" t="s">
        <v>3079</v>
      </c>
      <c r="U672" s="28" t="s">
        <v>545</v>
      </c>
      <c r="V672" s="28" t="s">
        <v>517</v>
      </c>
      <c r="W672" s="28" t="s">
        <v>835</v>
      </c>
      <c r="Z672" s="118" t="s">
        <v>563</v>
      </c>
      <c r="AA672" s="118"/>
      <c r="AB672" s="73" t="s">
        <v>609</v>
      </c>
      <c r="AD672" s="118" t="s">
        <v>528</v>
      </c>
      <c r="AE672" s="28" t="s">
        <v>563</v>
      </c>
      <c r="AF672" s="117" t="s">
        <v>3076</v>
      </c>
      <c r="AG672" s="28" t="s">
        <v>563</v>
      </c>
      <c r="AK672" s="60" t="s">
        <v>2927</v>
      </c>
      <c r="AL672" s="117">
        <f>1/COUNTIF(Tableau6[LAT],B672)</f>
        <v>1</v>
      </c>
      <c r="AM672" s="60" t="b">
        <f t="shared" si="73"/>
        <v>0</v>
      </c>
      <c r="AN672" s="60" t="b">
        <f t="shared" si="74"/>
        <v>0</v>
      </c>
      <c r="AO672" s="60" t="b">
        <f t="shared" si="75"/>
        <v>0</v>
      </c>
      <c r="AP672" s="60" t="b">
        <f t="shared" si="76"/>
        <v>0</v>
      </c>
      <c r="AQ672" s="60" t="b">
        <f t="shared" si="77"/>
        <v>0</v>
      </c>
      <c r="AR672" s="60" t="str">
        <f t="shared" si="78"/>
        <v>No</v>
      </c>
      <c r="AS672" s="60" t="str">
        <f t="shared" si="79"/>
        <v>Yes</v>
      </c>
    </row>
    <row r="673" spans="1:45" ht="15" hidden="1">
      <c r="A673" s="103">
        <v>45244</v>
      </c>
      <c r="B673" s="117" t="s">
        <v>3080</v>
      </c>
      <c r="C673" s="28" t="s">
        <v>511</v>
      </c>
      <c r="D673" s="28" t="s">
        <v>3081</v>
      </c>
      <c r="F673" s="28" t="s">
        <v>1579</v>
      </c>
      <c r="G673" s="28" t="s">
        <v>514</v>
      </c>
      <c r="H673" s="28" t="s">
        <v>624</v>
      </c>
      <c r="I673" s="28" t="s">
        <v>516</v>
      </c>
      <c r="J673" s="28" t="s">
        <v>517</v>
      </c>
      <c r="K673" s="28" t="s">
        <v>518</v>
      </c>
      <c r="L673" s="28" t="s">
        <v>3082</v>
      </c>
      <c r="M673" s="28" t="s">
        <v>520</v>
      </c>
      <c r="N673" s="28" t="s">
        <v>557</v>
      </c>
      <c r="O673" s="28" t="s">
        <v>544</v>
      </c>
      <c r="S673" s="28" t="s">
        <v>3083</v>
      </c>
      <c r="T673" s="28" t="s">
        <v>1232</v>
      </c>
      <c r="U673" s="28" t="s">
        <v>1232</v>
      </c>
      <c r="V673" s="28" t="s">
        <v>517</v>
      </c>
      <c r="W673" s="28" t="s">
        <v>3084</v>
      </c>
      <c r="Z673" s="118" t="s">
        <v>563</v>
      </c>
      <c r="AA673" s="118"/>
      <c r="AB673" s="118" t="s">
        <v>527</v>
      </c>
      <c r="AD673" s="118" t="s">
        <v>954</v>
      </c>
      <c r="AE673" s="28" t="s">
        <v>563</v>
      </c>
      <c r="AF673" s="117" t="s">
        <v>3081</v>
      </c>
      <c r="AG673" s="28" t="s">
        <v>563</v>
      </c>
      <c r="AK673" s="60" t="s">
        <v>2927</v>
      </c>
      <c r="AL673" s="117">
        <f>1/COUNTIF(Tableau6[LAT],B673)</f>
        <v>1</v>
      </c>
      <c r="AM673" s="60" t="b">
        <f t="shared" si="73"/>
        <v>0</v>
      </c>
      <c r="AN673" s="60" t="b">
        <f t="shared" si="74"/>
        <v>0</v>
      </c>
      <c r="AO673" s="60" t="b">
        <f t="shared" si="75"/>
        <v>0</v>
      </c>
      <c r="AP673" s="60" t="b">
        <f t="shared" si="76"/>
        <v>0</v>
      </c>
      <c r="AQ673" s="60" t="b">
        <f t="shared" si="77"/>
        <v>0</v>
      </c>
      <c r="AR673" s="60" t="str">
        <f t="shared" si="78"/>
        <v>No</v>
      </c>
      <c r="AS673" s="60" t="str">
        <f t="shared" si="79"/>
        <v>No</v>
      </c>
    </row>
    <row r="674" spans="1:45" ht="15" hidden="1">
      <c r="A674" s="103">
        <v>45244</v>
      </c>
      <c r="B674" s="117" t="s">
        <v>3085</v>
      </c>
      <c r="C674" s="28" t="s">
        <v>511</v>
      </c>
      <c r="D674" s="28" t="s">
        <v>3086</v>
      </c>
      <c r="F674" s="28" t="s">
        <v>965</v>
      </c>
      <c r="G674" s="28" t="s">
        <v>514</v>
      </c>
      <c r="H674" s="28" t="s">
        <v>1312</v>
      </c>
      <c r="I674" s="28" t="s">
        <v>516</v>
      </c>
      <c r="J674" s="28" t="s">
        <v>517</v>
      </c>
      <c r="K674" s="28" t="s">
        <v>518</v>
      </c>
      <c r="L674" s="28" t="s">
        <v>519</v>
      </c>
      <c r="M674" s="28" t="s">
        <v>535</v>
      </c>
      <c r="N674" s="28" t="s">
        <v>521</v>
      </c>
      <c r="S674" s="28" t="s">
        <v>775</v>
      </c>
      <c r="T674" s="28" t="s">
        <v>524</v>
      </c>
      <c r="U674" s="28" t="s">
        <v>524</v>
      </c>
      <c r="V674" s="28" t="s">
        <v>517</v>
      </c>
      <c r="W674" s="28" t="s">
        <v>3087</v>
      </c>
      <c r="Z674" s="118" t="s">
        <v>526</v>
      </c>
      <c r="AA674" s="118"/>
      <c r="AB674" s="118"/>
      <c r="AD674" s="118" t="s">
        <v>954</v>
      </c>
      <c r="AE674" s="28" t="s">
        <v>563</v>
      </c>
      <c r="AF674" s="117" t="s">
        <v>3086</v>
      </c>
      <c r="AG674" s="28" t="s">
        <v>563</v>
      </c>
      <c r="AK674" s="60" t="s">
        <v>2927</v>
      </c>
      <c r="AL674" s="117">
        <f>1/COUNTIF(Tableau6[LAT],B674)</f>
        <v>1</v>
      </c>
      <c r="AM674" s="60" t="b">
        <f t="shared" si="73"/>
        <v>0</v>
      </c>
      <c r="AN674" s="60" t="b">
        <f t="shared" si="74"/>
        <v>0</v>
      </c>
      <c r="AO674" s="60" t="b">
        <f t="shared" si="75"/>
        <v>0</v>
      </c>
      <c r="AP674" s="60" t="b">
        <f t="shared" si="76"/>
        <v>0</v>
      </c>
      <c r="AQ674" s="60" t="b">
        <f t="shared" si="77"/>
        <v>0</v>
      </c>
      <c r="AR674" s="60" t="str">
        <f t="shared" si="78"/>
        <v>No</v>
      </c>
      <c r="AS674" s="60" t="str">
        <f t="shared" si="79"/>
        <v>No</v>
      </c>
    </row>
    <row r="675" spans="1:45" ht="15" hidden="1">
      <c r="A675" s="103">
        <v>45244</v>
      </c>
      <c r="B675" s="117" t="s">
        <v>3088</v>
      </c>
      <c r="C675" s="28" t="s">
        <v>548</v>
      </c>
      <c r="D675" s="28" t="s">
        <v>3089</v>
      </c>
      <c r="F675" s="28" t="s">
        <v>2003</v>
      </c>
      <c r="G675" s="28" t="s">
        <v>514</v>
      </c>
      <c r="H675" s="28" t="s">
        <v>1120</v>
      </c>
      <c r="I675" s="28" t="s">
        <v>516</v>
      </c>
      <c r="J675" s="28" t="s">
        <v>517</v>
      </c>
      <c r="K675" s="28" t="s">
        <v>518</v>
      </c>
      <c r="L675" s="28" t="s">
        <v>3090</v>
      </c>
      <c r="M675" s="28" t="s">
        <v>535</v>
      </c>
      <c r="N675" s="28" t="s">
        <v>544</v>
      </c>
      <c r="S675" s="28" t="s">
        <v>740</v>
      </c>
      <c r="T675" s="28" t="s">
        <v>3091</v>
      </c>
      <c r="U675" s="28" t="s">
        <v>3091</v>
      </c>
      <c r="V675" s="28" t="s">
        <v>517</v>
      </c>
      <c r="W675" s="28" t="s">
        <v>3092</v>
      </c>
      <c r="Z675" s="118" t="s">
        <v>563</v>
      </c>
      <c r="AA675" s="118"/>
      <c r="AB675" s="73" t="s">
        <v>609</v>
      </c>
      <c r="AD675" s="118" t="s">
        <v>528</v>
      </c>
      <c r="AE675" s="28" t="s">
        <v>563</v>
      </c>
      <c r="AF675" s="117" t="s">
        <v>3093</v>
      </c>
      <c r="AG675" s="28" t="s">
        <v>563</v>
      </c>
      <c r="AK675" s="60" t="s">
        <v>2927</v>
      </c>
      <c r="AL675" s="117">
        <f>1/COUNTIF(Tableau6[LAT],B675)</f>
        <v>0.5</v>
      </c>
      <c r="AM675" s="60" t="b">
        <f t="shared" si="73"/>
        <v>0</v>
      </c>
      <c r="AN675" s="60" t="b">
        <f t="shared" si="74"/>
        <v>0</v>
      </c>
      <c r="AO675" s="60" t="b">
        <f t="shared" si="75"/>
        <v>0</v>
      </c>
      <c r="AP675" s="60" t="b">
        <f t="shared" si="76"/>
        <v>0</v>
      </c>
      <c r="AQ675" s="60" t="b">
        <f t="shared" si="77"/>
        <v>0</v>
      </c>
      <c r="AR675" s="60" t="str">
        <f t="shared" si="78"/>
        <v>No</v>
      </c>
      <c r="AS675" s="60" t="str">
        <f t="shared" si="79"/>
        <v>No</v>
      </c>
    </row>
    <row r="676" spans="1:45" ht="15" hidden="1">
      <c r="A676" s="103">
        <v>45244</v>
      </c>
      <c r="B676" s="117" t="s">
        <v>3088</v>
      </c>
      <c r="C676" s="28" t="s">
        <v>612</v>
      </c>
      <c r="D676" s="28" t="s">
        <v>3094</v>
      </c>
      <c r="F676" s="28" t="s">
        <v>2003</v>
      </c>
      <c r="G676" s="28" t="s">
        <v>514</v>
      </c>
      <c r="H676" s="28" t="s">
        <v>1120</v>
      </c>
      <c r="I676" s="28" t="s">
        <v>516</v>
      </c>
      <c r="J676" s="28" t="s">
        <v>517</v>
      </c>
      <c r="K676" s="28" t="s">
        <v>518</v>
      </c>
      <c r="L676" s="28" t="s">
        <v>3090</v>
      </c>
      <c r="M676" s="28" t="s">
        <v>535</v>
      </c>
      <c r="N676" s="28" t="s">
        <v>544</v>
      </c>
      <c r="S676" s="28" t="s">
        <v>740</v>
      </c>
      <c r="T676" s="28" t="s">
        <v>3091</v>
      </c>
      <c r="U676" s="28" t="s">
        <v>3091</v>
      </c>
      <c r="V676" s="28" t="s">
        <v>517</v>
      </c>
      <c r="W676" s="28" t="s">
        <v>3095</v>
      </c>
      <c r="Z676" s="118" t="s">
        <v>563</v>
      </c>
      <c r="AA676" s="118"/>
      <c r="AB676" s="73" t="s">
        <v>609</v>
      </c>
      <c r="AD676" s="118" t="s">
        <v>528</v>
      </c>
      <c r="AE676" s="28" t="s">
        <v>563</v>
      </c>
      <c r="AF676" s="117" t="s">
        <v>3089</v>
      </c>
      <c r="AG676" s="28" t="s">
        <v>563</v>
      </c>
      <c r="AK676" s="60" t="s">
        <v>2927</v>
      </c>
      <c r="AL676" s="117">
        <f>1/COUNTIF(Tableau6[LAT],B676)</f>
        <v>0.5</v>
      </c>
      <c r="AM676" s="60" t="b">
        <f t="shared" si="73"/>
        <v>0</v>
      </c>
      <c r="AN676" s="60" t="b">
        <f t="shared" si="74"/>
        <v>0</v>
      </c>
      <c r="AO676" s="60" t="b">
        <f t="shared" si="75"/>
        <v>0</v>
      </c>
      <c r="AP676" s="60" t="b">
        <f t="shared" si="76"/>
        <v>0</v>
      </c>
      <c r="AQ676" s="60" t="b">
        <f t="shared" si="77"/>
        <v>0</v>
      </c>
      <c r="AR676" s="60" t="str">
        <f t="shared" si="78"/>
        <v>No</v>
      </c>
      <c r="AS676" s="60" t="str">
        <f t="shared" si="79"/>
        <v>No</v>
      </c>
    </row>
    <row r="677" spans="1:45" ht="15" hidden="1">
      <c r="A677" s="103">
        <v>45244</v>
      </c>
      <c r="B677" s="117" t="s">
        <v>3096</v>
      </c>
      <c r="C677" s="28" t="s">
        <v>511</v>
      </c>
      <c r="D677" s="28" t="s">
        <v>3097</v>
      </c>
      <c r="F677" s="28" t="s">
        <v>3098</v>
      </c>
      <c r="G677" s="28" t="s">
        <v>514</v>
      </c>
      <c r="H677" s="28" t="s">
        <v>3000</v>
      </c>
      <c r="I677" s="28" t="s">
        <v>517</v>
      </c>
      <c r="J677" s="28" t="s">
        <v>517</v>
      </c>
      <c r="K677" s="28" t="s">
        <v>518</v>
      </c>
      <c r="L677" s="28" t="s">
        <v>726</v>
      </c>
      <c r="M677" s="28" t="s">
        <v>535</v>
      </c>
      <c r="N677" s="28" t="s">
        <v>559</v>
      </c>
      <c r="S677" s="28" t="s">
        <v>573</v>
      </c>
      <c r="T677" s="28" t="s">
        <v>589</v>
      </c>
      <c r="U677" s="28" t="s">
        <v>589</v>
      </c>
      <c r="V677" s="28" t="s">
        <v>517</v>
      </c>
      <c r="Z677" s="118" t="s">
        <v>563</v>
      </c>
      <c r="AA677" s="118"/>
      <c r="AB677" s="118" t="s">
        <v>527</v>
      </c>
      <c r="AD677" s="118"/>
      <c r="AF677" s="117" t="s">
        <v>1083</v>
      </c>
      <c r="AK677" s="60" t="s">
        <v>2927</v>
      </c>
      <c r="AL677" s="117">
        <f>1/COUNTIF(Tableau6[LAT],B677)</f>
        <v>0.5</v>
      </c>
      <c r="AM677" s="60" t="b">
        <f t="shared" si="73"/>
        <v>0</v>
      </c>
      <c r="AN677" s="60" t="b">
        <f t="shared" si="74"/>
        <v>0</v>
      </c>
      <c r="AO677" s="60" t="b">
        <f t="shared" si="75"/>
        <v>0</v>
      </c>
      <c r="AP677" s="60" t="b">
        <f t="shared" si="76"/>
        <v>0</v>
      </c>
      <c r="AQ677" s="60" t="b">
        <f t="shared" si="77"/>
        <v>0</v>
      </c>
      <c r="AR677" s="60" t="str">
        <f t="shared" si="78"/>
        <v>No</v>
      </c>
      <c r="AS677" s="60" t="str">
        <f t="shared" si="79"/>
        <v>No</v>
      </c>
    </row>
    <row r="678" spans="1:45" ht="15" hidden="1">
      <c r="A678" s="103">
        <v>45244</v>
      </c>
      <c r="B678" s="117" t="s">
        <v>3096</v>
      </c>
      <c r="C678" s="28" t="s">
        <v>548</v>
      </c>
      <c r="D678" s="28" t="s">
        <v>3099</v>
      </c>
      <c r="F678" s="28" t="s">
        <v>3098</v>
      </c>
      <c r="G678" s="28" t="s">
        <v>514</v>
      </c>
      <c r="H678" s="28" t="s">
        <v>3000</v>
      </c>
      <c r="I678" s="28" t="s">
        <v>517</v>
      </c>
      <c r="J678" s="28" t="s">
        <v>517</v>
      </c>
      <c r="K678" s="28" t="s">
        <v>518</v>
      </c>
      <c r="L678" s="28" t="s">
        <v>726</v>
      </c>
      <c r="M678" s="28" t="s">
        <v>535</v>
      </c>
      <c r="N678" s="28" t="s">
        <v>521</v>
      </c>
      <c r="O678" s="28" t="s">
        <v>559</v>
      </c>
      <c r="S678" s="28" t="s">
        <v>573</v>
      </c>
      <c r="T678" s="28" t="s">
        <v>589</v>
      </c>
      <c r="U678" s="28" t="s">
        <v>589</v>
      </c>
      <c r="V678" s="28" t="s">
        <v>517</v>
      </c>
      <c r="Z678" s="118" t="s">
        <v>563</v>
      </c>
      <c r="AA678" s="118"/>
      <c r="AB678" s="118" t="s">
        <v>527</v>
      </c>
      <c r="AD678" s="118"/>
      <c r="AF678" s="117" t="s">
        <v>1083</v>
      </c>
      <c r="AK678" s="60" t="s">
        <v>2927</v>
      </c>
      <c r="AL678" s="117">
        <f>1/COUNTIF(Tableau6[LAT],B678)</f>
        <v>0.5</v>
      </c>
      <c r="AM678" s="60" t="b">
        <f t="shared" si="73"/>
        <v>0</v>
      </c>
      <c r="AN678" s="60" t="b">
        <f t="shared" si="74"/>
        <v>0</v>
      </c>
      <c r="AO678" s="60" t="b">
        <f t="shared" si="75"/>
        <v>0</v>
      </c>
      <c r="AP678" s="60" t="b">
        <f t="shared" si="76"/>
        <v>0</v>
      </c>
      <c r="AQ678" s="60" t="b">
        <f t="shared" si="77"/>
        <v>0</v>
      </c>
      <c r="AR678" s="60" t="str">
        <f t="shared" si="78"/>
        <v>No</v>
      </c>
      <c r="AS678" s="60" t="str">
        <f t="shared" si="79"/>
        <v>No</v>
      </c>
    </row>
    <row r="679" spans="1:45" ht="15" hidden="1">
      <c r="A679" s="103">
        <v>45244</v>
      </c>
      <c r="B679" s="117" t="s">
        <v>3100</v>
      </c>
      <c r="C679" s="28" t="s">
        <v>548</v>
      </c>
      <c r="D679" s="28" t="s">
        <v>3101</v>
      </c>
      <c r="F679" s="28" t="s">
        <v>1969</v>
      </c>
      <c r="G679" s="28" t="s">
        <v>657</v>
      </c>
      <c r="H679" s="28" t="s">
        <v>3102</v>
      </c>
      <c r="I679" s="28" t="s">
        <v>516</v>
      </c>
      <c r="J679" s="28" t="s">
        <v>517</v>
      </c>
      <c r="K679" s="28" t="s">
        <v>518</v>
      </c>
      <c r="L679" s="28" t="s">
        <v>1879</v>
      </c>
      <c r="M679" s="28" t="s">
        <v>535</v>
      </c>
      <c r="S679" s="28" t="s">
        <v>740</v>
      </c>
      <c r="T679" s="28" t="s">
        <v>1712</v>
      </c>
      <c r="U679" s="28" t="s">
        <v>1712</v>
      </c>
      <c r="V679" s="28" t="s">
        <v>517</v>
      </c>
      <c r="W679" s="28" t="s">
        <v>3103</v>
      </c>
      <c r="Z679" s="118" t="s">
        <v>563</v>
      </c>
      <c r="AA679" s="118"/>
      <c r="AB679" s="118" t="s">
        <v>527</v>
      </c>
      <c r="AD679" s="118" t="s">
        <v>528</v>
      </c>
      <c r="AE679" s="28" t="s">
        <v>563</v>
      </c>
      <c r="AF679" s="117" t="s">
        <v>3104</v>
      </c>
      <c r="AG679" s="28" t="s">
        <v>563</v>
      </c>
      <c r="AK679" s="60" t="s">
        <v>2927</v>
      </c>
      <c r="AL679" s="117">
        <f>1/COUNTIF(Tableau6[LAT],B679)</f>
        <v>1</v>
      </c>
      <c r="AM679" s="60" t="b">
        <f t="shared" si="73"/>
        <v>0</v>
      </c>
      <c r="AN679" s="60" t="b">
        <f t="shared" si="74"/>
        <v>0</v>
      </c>
      <c r="AO679" s="60" t="b">
        <f t="shared" si="75"/>
        <v>0</v>
      </c>
      <c r="AP679" s="60" t="b">
        <f t="shared" si="76"/>
        <v>0</v>
      </c>
      <c r="AQ679" s="60" t="b">
        <f t="shared" si="77"/>
        <v>0</v>
      </c>
      <c r="AR679" s="60" t="str">
        <f t="shared" si="78"/>
        <v>No</v>
      </c>
      <c r="AS679" s="60" t="str">
        <f t="shared" si="79"/>
        <v>No</v>
      </c>
    </row>
    <row r="680" spans="1:45" ht="15" hidden="1">
      <c r="A680" s="103">
        <v>45244</v>
      </c>
      <c r="B680" s="117" t="s">
        <v>3105</v>
      </c>
      <c r="C680" s="28" t="s">
        <v>548</v>
      </c>
      <c r="D680" s="28" t="s">
        <v>3106</v>
      </c>
      <c r="F680" s="28" t="s">
        <v>3107</v>
      </c>
      <c r="G680" s="28" t="s">
        <v>514</v>
      </c>
      <c r="H680" s="28" t="s">
        <v>768</v>
      </c>
      <c r="I680" s="28" t="s">
        <v>516</v>
      </c>
      <c r="J680" s="28" t="s">
        <v>517</v>
      </c>
      <c r="K680" s="28" t="s">
        <v>518</v>
      </c>
      <c r="L680" s="28" t="s">
        <v>1917</v>
      </c>
      <c r="M680" s="28" t="s">
        <v>535</v>
      </c>
      <c r="N680" s="28" t="s">
        <v>544</v>
      </c>
      <c r="S680" s="28" t="s">
        <v>740</v>
      </c>
      <c r="T680" s="28" t="s">
        <v>1918</v>
      </c>
      <c r="U680" s="28" t="s">
        <v>1918</v>
      </c>
      <c r="V680" s="28" t="s">
        <v>517</v>
      </c>
      <c r="W680" s="28" t="s">
        <v>2021</v>
      </c>
      <c r="Z680" s="118" t="s">
        <v>526</v>
      </c>
      <c r="AA680" s="118"/>
      <c r="AB680" s="118"/>
      <c r="AD680" s="118" t="s">
        <v>528</v>
      </c>
      <c r="AE680" s="28" t="s">
        <v>529</v>
      </c>
      <c r="AF680" s="117" t="s">
        <v>3108</v>
      </c>
      <c r="AG680" s="28" t="s">
        <v>529</v>
      </c>
      <c r="AK680" s="60" t="s">
        <v>2927</v>
      </c>
      <c r="AL680" s="117">
        <f>1/COUNTIF(Tableau6[LAT],B680)</f>
        <v>1</v>
      </c>
      <c r="AM680" s="60" t="b">
        <f t="shared" si="73"/>
        <v>0</v>
      </c>
      <c r="AN680" s="60" t="b">
        <f t="shared" si="74"/>
        <v>0</v>
      </c>
      <c r="AO680" s="60" t="b">
        <f t="shared" si="75"/>
        <v>0</v>
      </c>
      <c r="AP680" s="60" t="b">
        <f t="shared" si="76"/>
        <v>0</v>
      </c>
      <c r="AQ680" s="60" t="b">
        <f t="shared" si="77"/>
        <v>0</v>
      </c>
      <c r="AR680" s="60" t="str">
        <f t="shared" si="78"/>
        <v>No</v>
      </c>
      <c r="AS680" s="60" t="str">
        <f t="shared" si="79"/>
        <v>No</v>
      </c>
    </row>
    <row r="681" spans="1:45" ht="15" hidden="1">
      <c r="A681" s="103">
        <v>45244</v>
      </c>
      <c r="B681" s="117" t="s">
        <v>3109</v>
      </c>
      <c r="C681" s="28" t="s">
        <v>511</v>
      </c>
      <c r="D681" s="28" t="s">
        <v>3110</v>
      </c>
      <c r="F681" s="28" t="s">
        <v>3111</v>
      </c>
      <c r="G681" s="28" t="s">
        <v>514</v>
      </c>
      <c r="H681" s="28" t="s">
        <v>2964</v>
      </c>
      <c r="I681" s="28" t="s">
        <v>516</v>
      </c>
      <c r="J681" s="28" t="s">
        <v>517</v>
      </c>
      <c r="K681" s="28" t="s">
        <v>518</v>
      </c>
      <c r="L681" s="28" t="s">
        <v>2925</v>
      </c>
      <c r="M681" s="28" t="s">
        <v>520</v>
      </c>
      <c r="N681" s="28" t="s">
        <v>521</v>
      </c>
      <c r="O681" s="28" t="s">
        <v>1107</v>
      </c>
      <c r="P681" s="28" t="s">
        <v>522</v>
      </c>
      <c r="S681" s="28" t="s">
        <v>1202</v>
      </c>
      <c r="T681" s="28" t="s">
        <v>1042</v>
      </c>
      <c r="U681" s="28" t="s">
        <v>1042</v>
      </c>
      <c r="V681" s="28" t="s">
        <v>517</v>
      </c>
      <c r="W681" s="28" t="s">
        <v>1285</v>
      </c>
      <c r="Z681" s="118" t="s">
        <v>563</v>
      </c>
      <c r="AA681" s="118"/>
      <c r="AB681" s="118" t="s">
        <v>527</v>
      </c>
      <c r="AD681" s="118" t="s">
        <v>528</v>
      </c>
      <c r="AE681" s="28" t="s">
        <v>529</v>
      </c>
      <c r="AF681" s="117" t="s">
        <v>3110</v>
      </c>
      <c r="AG681" s="28" t="s">
        <v>529</v>
      </c>
      <c r="AK681" s="60" t="s">
        <v>2927</v>
      </c>
      <c r="AL681" s="117">
        <f>1/COUNTIF(Tableau6[LAT],B681)</f>
        <v>0.5</v>
      </c>
      <c r="AM681" s="60" t="b">
        <f t="shared" si="73"/>
        <v>0</v>
      </c>
      <c r="AN681" s="60" t="b">
        <f t="shared" si="74"/>
        <v>0</v>
      </c>
      <c r="AO681" s="60" t="b">
        <f t="shared" si="75"/>
        <v>0</v>
      </c>
      <c r="AP681" s="60" t="b">
        <f t="shared" si="76"/>
        <v>0</v>
      </c>
      <c r="AQ681" s="60" t="b">
        <f t="shared" si="77"/>
        <v>0</v>
      </c>
      <c r="AR681" s="60" t="str">
        <f t="shared" si="78"/>
        <v>No</v>
      </c>
      <c r="AS681" s="60" t="str">
        <f t="shared" si="79"/>
        <v>No</v>
      </c>
    </row>
    <row r="682" spans="1:45" ht="15" hidden="1">
      <c r="A682" s="103">
        <v>45244</v>
      </c>
      <c r="B682" s="117" t="s">
        <v>3109</v>
      </c>
      <c r="C682" s="28" t="s">
        <v>548</v>
      </c>
      <c r="D682" s="28" t="s">
        <v>3112</v>
      </c>
      <c r="F682" s="28" t="s">
        <v>3113</v>
      </c>
      <c r="G682" s="28" t="s">
        <v>724</v>
      </c>
      <c r="H682" s="28" t="s">
        <v>883</v>
      </c>
      <c r="I682" s="28" t="s">
        <v>516</v>
      </c>
      <c r="J682" s="28" t="s">
        <v>517</v>
      </c>
      <c r="K682" s="28" t="s">
        <v>518</v>
      </c>
      <c r="L682" s="28" t="s">
        <v>2925</v>
      </c>
      <c r="M682" s="28" t="s">
        <v>520</v>
      </c>
      <c r="N682" s="28" t="s">
        <v>521</v>
      </c>
      <c r="O682" s="28" t="s">
        <v>1107</v>
      </c>
      <c r="P682" s="28" t="s">
        <v>522</v>
      </c>
      <c r="S682" s="28" t="s">
        <v>1202</v>
      </c>
      <c r="T682" s="28" t="s">
        <v>1042</v>
      </c>
      <c r="U682" s="28" t="s">
        <v>1042</v>
      </c>
      <c r="V682" s="28" t="s">
        <v>517</v>
      </c>
      <c r="W682" s="28" t="s">
        <v>3114</v>
      </c>
      <c r="Z682" s="118" t="s">
        <v>563</v>
      </c>
      <c r="AA682" s="118"/>
      <c r="AB682" s="118" t="s">
        <v>527</v>
      </c>
      <c r="AD682" s="118" t="s">
        <v>528</v>
      </c>
      <c r="AE682" s="28" t="s">
        <v>529</v>
      </c>
      <c r="AF682" s="117" t="s">
        <v>3112</v>
      </c>
      <c r="AG682" s="28" t="s">
        <v>529</v>
      </c>
      <c r="AK682" s="60" t="s">
        <v>2927</v>
      </c>
      <c r="AL682" s="117">
        <f>1/COUNTIF(Tableau6[LAT],B682)</f>
        <v>0.5</v>
      </c>
      <c r="AM682" s="60" t="b">
        <f t="shared" si="73"/>
        <v>0</v>
      </c>
      <c r="AN682" s="60" t="b">
        <f t="shared" si="74"/>
        <v>0</v>
      </c>
      <c r="AO682" s="60" t="b">
        <f t="shared" si="75"/>
        <v>0</v>
      </c>
      <c r="AP682" s="60" t="b">
        <f t="shared" si="76"/>
        <v>0</v>
      </c>
      <c r="AQ682" s="60" t="b">
        <f t="shared" si="77"/>
        <v>0</v>
      </c>
      <c r="AR682" s="60" t="str">
        <f t="shared" si="78"/>
        <v>No</v>
      </c>
      <c r="AS682" s="60" t="str">
        <f t="shared" si="79"/>
        <v>No</v>
      </c>
    </row>
    <row r="683" spans="1:45" ht="15" hidden="1">
      <c r="A683" s="103">
        <v>45244</v>
      </c>
      <c r="B683" s="117" t="s">
        <v>924</v>
      </c>
      <c r="C683" s="28" t="s">
        <v>548</v>
      </c>
      <c r="D683" s="28" t="s">
        <v>3115</v>
      </c>
      <c r="F683" s="28" t="s">
        <v>3116</v>
      </c>
      <c r="G683" s="28" t="s">
        <v>958</v>
      </c>
      <c r="H683" s="28" t="s">
        <v>2135</v>
      </c>
      <c r="I683" s="28" t="s">
        <v>516</v>
      </c>
      <c r="J683" s="28" t="s">
        <v>517</v>
      </c>
      <c r="K683" s="28" t="s">
        <v>518</v>
      </c>
      <c r="L683" s="28" t="s">
        <v>809</v>
      </c>
      <c r="M683" s="28" t="s">
        <v>535</v>
      </c>
      <c r="N683" s="28" t="s">
        <v>544</v>
      </c>
      <c r="S683" s="28" t="s">
        <v>928</v>
      </c>
      <c r="T683" s="28" t="s">
        <v>811</v>
      </c>
      <c r="U683" s="28" t="s">
        <v>811</v>
      </c>
      <c r="V683" s="28" t="s">
        <v>517</v>
      </c>
      <c r="W683" s="28" t="s">
        <v>3117</v>
      </c>
      <c r="Z683" s="118" t="s">
        <v>563</v>
      </c>
      <c r="AA683" s="118"/>
      <c r="AB683" s="73" t="s">
        <v>609</v>
      </c>
      <c r="AD683" s="118"/>
      <c r="AF683" s="117" t="s">
        <v>3115</v>
      </c>
      <c r="AK683" s="60" t="s">
        <v>2927</v>
      </c>
      <c r="AL683" s="117">
        <f>1/COUNTIF(Tableau6[LAT],B683)</f>
        <v>0.5</v>
      </c>
      <c r="AM683" s="60" t="b">
        <f t="shared" si="73"/>
        <v>0</v>
      </c>
      <c r="AN683" s="60" t="b">
        <f t="shared" si="74"/>
        <v>0</v>
      </c>
      <c r="AO683" s="60" t="b">
        <f t="shared" si="75"/>
        <v>0</v>
      </c>
      <c r="AP683" s="60" t="b">
        <f t="shared" si="76"/>
        <v>0</v>
      </c>
      <c r="AQ683" s="60" t="b">
        <f t="shared" si="77"/>
        <v>0</v>
      </c>
      <c r="AR683" s="60" t="str">
        <f t="shared" si="78"/>
        <v>No</v>
      </c>
      <c r="AS683" s="60" t="str">
        <f t="shared" si="79"/>
        <v>No</v>
      </c>
    </row>
    <row r="684" spans="1:45" ht="15" hidden="1">
      <c r="A684" s="103">
        <v>45244</v>
      </c>
      <c r="B684" s="117" t="s">
        <v>3118</v>
      </c>
      <c r="C684" s="28" t="s">
        <v>511</v>
      </c>
      <c r="D684" s="28" t="s">
        <v>3119</v>
      </c>
      <c r="F684" s="28" t="s">
        <v>3120</v>
      </c>
      <c r="G684" s="28" t="s">
        <v>514</v>
      </c>
      <c r="H684" s="28" t="s">
        <v>3121</v>
      </c>
      <c r="I684" s="28" t="s">
        <v>516</v>
      </c>
      <c r="J684" s="28" t="s">
        <v>517</v>
      </c>
      <c r="K684" s="28" t="s">
        <v>518</v>
      </c>
      <c r="L684" s="28" t="s">
        <v>1149</v>
      </c>
      <c r="M684" s="28" t="s">
        <v>535</v>
      </c>
      <c r="N684" s="28" t="s">
        <v>544</v>
      </c>
      <c r="S684" s="28" t="s">
        <v>897</v>
      </c>
      <c r="T684" s="28" t="s">
        <v>1151</v>
      </c>
      <c r="U684" s="28" t="s">
        <v>1151</v>
      </c>
      <c r="V684" s="28" t="s">
        <v>517</v>
      </c>
      <c r="W684" s="28" t="s">
        <v>3122</v>
      </c>
      <c r="Z684" s="118" t="s">
        <v>563</v>
      </c>
      <c r="AA684" s="118"/>
      <c r="AB684" s="118" t="s">
        <v>527</v>
      </c>
      <c r="AD684" s="118" t="s">
        <v>528</v>
      </c>
      <c r="AE684" s="28" t="s">
        <v>563</v>
      </c>
      <c r="AF684" s="117" t="s">
        <v>3119</v>
      </c>
      <c r="AG684" s="28" t="s">
        <v>563</v>
      </c>
      <c r="AK684" s="60" t="s">
        <v>2927</v>
      </c>
      <c r="AL684" s="117">
        <f>1/COUNTIF(Tableau6[LAT],B684)</f>
        <v>1</v>
      </c>
      <c r="AM684" s="60" t="b">
        <f t="shared" si="73"/>
        <v>0</v>
      </c>
      <c r="AN684" s="60" t="b">
        <f t="shared" si="74"/>
        <v>0</v>
      </c>
      <c r="AO684" s="60" t="b">
        <f t="shared" si="75"/>
        <v>0</v>
      </c>
      <c r="AP684" s="60" t="b">
        <f t="shared" si="76"/>
        <v>0</v>
      </c>
      <c r="AQ684" s="60" t="b">
        <f t="shared" si="77"/>
        <v>0</v>
      </c>
      <c r="AR684" s="60" t="str">
        <f t="shared" si="78"/>
        <v>No</v>
      </c>
      <c r="AS684" s="60" t="str">
        <f t="shared" si="79"/>
        <v>No</v>
      </c>
    </row>
    <row r="685" spans="1:45" ht="15" hidden="1">
      <c r="A685" s="103">
        <v>45244</v>
      </c>
      <c r="B685" s="117" t="s">
        <v>3123</v>
      </c>
      <c r="C685" s="28" t="s">
        <v>511</v>
      </c>
      <c r="D685" s="28" t="s">
        <v>3124</v>
      </c>
      <c r="F685" s="28" t="s">
        <v>3125</v>
      </c>
      <c r="G685" s="28" t="s">
        <v>514</v>
      </c>
      <c r="H685" s="28" t="s">
        <v>2614</v>
      </c>
      <c r="I685" s="28" t="s">
        <v>516</v>
      </c>
      <c r="J685" s="28" t="s">
        <v>517</v>
      </c>
      <c r="K685" s="28" t="s">
        <v>518</v>
      </c>
      <c r="L685" s="28" t="s">
        <v>519</v>
      </c>
      <c r="M685" s="28" t="s">
        <v>520</v>
      </c>
      <c r="N685" s="28" t="s">
        <v>522</v>
      </c>
      <c r="S685" s="28" t="s">
        <v>718</v>
      </c>
      <c r="T685" s="28" t="s">
        <v>524</v>
      </c>
      <c r="U685" s="28" t="s">
        <v>524</v>
      </c>
      <c r="V685" s="28" t="s">
        <v>517</v>
      </c>
      <c r="W685" s="28" t="s">
        <v>3126</v>
      </c>
      <c r="Z685" s="118" t="s">
        <v>526</v>
      </c>
      <c r="AA685" s="118"/>
      <c r="AB685" s="118"/>
      <c r="AD685" s="118" t="s">
        <v>528</v>
      </c>
      <c r="AE685" s="28" t="s">
        <v>563</v>
      </c>
      <c r="AF685" s="117" t="s">
        <v>3124</v>
      </c>
      <c r="AG685" s="28" t="s">
        <v>563</v>
      </c>
      <c r="AK685" s="60" t="s">
        <v>2927</v>
      </c>
      <c r="AL685" s="117">
        <f>1/COUNTIF(Tableau6[LAT],B685)</f>
        <v>1</v>
      </c>
      <c r="AM685" s="60" t="b">
        <f t="shared" si="73"/>
        <v>0</v>
      </c>
      <c r="AN685" s="60" t="b">
        <f t="shared" si="74"/>
        <v>0</v>
      </c>
      <c r="AO685" s="60" t="b">
        <f t="shared" si="75"/>
        <v>0</v>
      </c>
      <c r="AP685" s="60" t="b">
        <f t="shared" si="76"/>
        <v>0</v>
      </c>
      <c r="AQ685" s="60" t="b">
        <f t="shared" si="77"/>
        <v>0</v>
      </c>
      <c r="AR685" s="60" t="str">
        <f t="shared" si="78"/>
        <v>No</v>
      </c>
      <c r="AS685" s="60" t="str">
        <f t="shared" si="79"/>
        <v>No</v>
      </c>
    </row>
    <row r="686" spans="1:45" ht="15" hidden="1">
      <c r="A686" s="103">
        <v>45244</v>
      </c>
      <c r="B686" s="117" t="s">
        <v>3127</v>
      </c>
      <c r="C686" s="28" t="s">
        <v>511</v>
      </c>
      <c r="D686" s="28" t="s">
        <v>3128</v>
      </c>
      <c r="F686" s="28" t="s">
        <v>3129</v>
      </c>
      <c r="G686" s="28" t="s">
        <v>514</v>
      </c>
      <c r="H686" s="28" t="s">
        <v>1428</v>
      </c>
      <c r="I686" s="28" t="s">
        <v>516</v>
      </c>
      <c r="J686" s="28" t="s">
        <v>517</v>
      </c>
      <c r="K686" s="28" t="s">
        <v>518</v>
      </c>
      <c r="L686" s="28" t="s">
        <v>1040</v>
      </c>
      <c r="M686" s="28" t="s">
        <v>520</v>
      </c>
      <c r="S686" s="28" t="s">
        <v>546</v>
      </c>
      <c r="T686" s="28" t="s">
        <v>1042</v>
      </c>
      <c r="U686" s="28" t="s">
        <v>1042</v>
      </c>
      <c r="V686" s="28" t="s">
        <v>517</v>
      </c>
      <c r="W686" s="28" t="s">
        <v>821</v>
      </c>
      <c r="Z686" s="118" t="s">
        <v>563</v>
      </c>
      <c r="AA686" s="118"/>
      <c r="AB686" s="118" t="s">
        <v>527</v>
      </c>
      <c r="AD686" s="118" t="s">
        <v>528</v>
      </c>
      <c r="AE686" s="28" t="s">
        <v>563</v>
      </c>
      <c r="AF686" s="117" t="s">
        <v>3128</v>
      </c>
      <c r="AG686" s="28" t="s">
        <v>563</v>
      </c>
      <c r="AK686" s="60" t="s">
        <v>2927</v>
      </c>
      <c r="AL686" s="117">
        <f>1/COUNTIF(Tableau6[LAT],B686)</f>
        <v>0.25</v>
      </c>
      <c r="AM686" s="60" t="b">
        <f t="shared" si="73"/>
        <v>0</v>
      </c>
      <c r="AN686" s="60" t="b">
        <f t="shared" si="74"/>
        <v>0</v>
      </c>
      <c r="AO686" s="60" t="b">
        <f t="shared" si="75"/>
        <v>0</v>
      </c>
      <c r="AP686" s="60" t="b">
        <f t="shared" si="76"/>
        <v>0</v>
      </c>
      <c r="AQ686" s="60" t="b">
        <f t="shared" si="77"/>
        <v>0</v>
      </c>
      <c r="AR686" s="60" t="str">
        <f t="shared" si="78"/>
        <v>No</v>
      </c>
      <c r="AS686" s="60" t="str">
        <f t="shared" si="79"/>
        <v>No</v>
      </c>
    </row>
    <row r="687" spans="1:45" ht="15" hidden="1">
      <c r="A687" s="103">
        <v>45244</v>
      </c>
      <c r="B687" s="117" t="s">
        <v>3127</v>
      </c>
      <c r="C687" s="28" t="s">
        <v>548</v>
      </c>
      <c r="D687" s="28" t="s">
        <v>3130</v>
      </c>
      <c r="F687" s="28" t="s">
        <v>3129</v>
      </c>
      <c r="G687" s="28" t="s">
        <v>514</v>
      </c>
      <c r="H687" s="28" t="s">
        <v>883</v>
      </c>
      <c r="I687" s="28" t="s">
        <v>516</v>
      </c>
      <c r="J687" s="28" t="s">
        <v>517</v>
      </c>
      <c r="K687" s="28" t="s">
        <v>518</v>
      </c>
      <c r="L687" s="28" t="s">
        <v>1040</v>
      </c>
      <c r="M687" s="28" t="s">
        <v>520</v>
      </c>
      <c r="S687" s="28" t="s">
        <v>546</v>
      </c>
      <c r="T687" s="28" t="s">
        <v>1042</v>
      </c>
      <c r="U687" s="28" t="s">
        <v>1042</v>
      </c>
      <c r="V687" s="28" t="s">
        <v>517</v>
      </c>
      <c r="W687" s="28" t="s">
        <v>821</v>
      </c>
      <c r="Z687" s="118" t="s">
        <v>563</v>
      </c>
      <c r="AA687" s="118"/>
      <c r="AB687" s="118" t="s">
        <v>527</v>
      </c>
      <c r="AD687" s="118" t="s">
        <v>528</v>
      </c>
      <c r="AE687" s="28" t="s">
        <v>563</v>
      </c>
      <c r="AF687" s="117" t="s">
        <v>3130</v>
      </c>
      <c r="AG687" s="28" t="s">
        <v>563</v>
      </c>
      <c r="AK687" s="60" t="s">
        <v>2927</v>
      </c>
      <c r="AL687" s="117">
        <f>1/COUNTIF(Tableau6[LAT],B687)</f>
        <v>0.25</v>
      </c>
      <c r="AM687" s="60" t="b">
        <f t="shared" si="73"/>
        <v>0</v>
      </c>
      <c r="AN687" s="60" t="b">
        <f t="shared" si="74"/>
        <v>0</v>
      </c>
      <c r="AO687" s="60" t="b">
        <f t="shared" si="75"/>
        <v>0</v>
      </c>
      <c r="AP687" s="60" t="b">
        <f t="shared" si="76"/>
        <v>0</v>
      </c>
      <c r="AQ687" s="60" t="b">
        <f t="shared" si="77"/>
        <v>0</v>
      </c>
      <c r="AR687" s="60" t="str">
        <f t="shared" si="78"/>
        <v>No</v>
      </c>
      <c r="AS687" s="60" t="str">
        <f t="shared" si="79"/>
        <v>No</v>
      </c>
    </row>
    <row r="688" spans="1:45" ht="15" hidden="1">
      <c r="A688" s="103">
        <v>45244</v>
      </c>
      <c r="B688" s="117" t="s">
        <v>3127</v>
      </c>
      <c r="C688" s="28" t="s">
        <v>612</v>
      </c>
      <c r="D688" s="28" t="s">
        <v>3131</v>
      </c>
      <c r="F688" s="28" t="s">
        <v>3129</v>
      </c>
      <c r="G688" s="28" t="s">
        <v>514</v>
      </c>
      <c r="H688" s="28" t="s">
        <v>883</v>
      </c>
      <c r="I688" s="28" t="s">
        <v>516</v>
      </c>
      <c r="J688" s="28" t="s">
        <v>517</v>
      </c>
      <c r="K688" s="28" t="s">
        <v>518</v>
      </c>
      <c r="L688" s="28" t="s">
        <v>1040</v>
      </c>
      <c r="M688" s="28" t="s">
        <v>520</v>
      </c>
      <c r="S688" s="28" t="s">
        <v>546</v>
      </c>
      <c r="T688" s="28" t="s">
        <v>1042</v>
      </c>
      <c r="U688" s="28" t="s">
        <v>1042</v>
      </c>
      <c r="V688" s="28" t="s">
        <v>517</v>
      </c>
      <c r="W688" s="28" t="s">
        <v>821</v>
      </c>
      <c r="Z688" s="118" t="s">
        <v>563</v>
      </c>
      <c r="AA688" s="118"/>
      <c r="AB688" s="118" t="s">
        <v>527</v>
      </c>
      <c r="AD688" s="118" t="s">
        <v>528</v>
      </c>
      <c r="AE688" s="28" t="s">
        <v>563</v>
      </c>
      <c r="AF688" s="117" t="s">
        <v>3131</v>
      </c>
      <c r="AG688" s="28" t="s">
        <v>563</v>
      </c>
      <c r="AK688" s="60" t="s">
        <v>2927</v>
      </c>
      <c r="AL688" s="117">
        <f>1/COUNTIF(Tableau6[LAT],B688)</f>
        <v>0.25</v>
      </c>
      <c r="AM688" s="60" t="b">
        <f t="shared" si="73"/>
        <v>0</v>
      </c>
      <c r="AN688" s="60" t="b">
        <f t="shared" si="74"/>
        <v>0</v>
      </c>
      <c r="AO688" s="60" t="b">
        <f t="shared" si="75"/>
        <v>0</v>
      </c>
      <c r="AP688" s="60" t="b">
        <f t="shared" si="76"/>
        <v>0</v>
      </c>
      <c r="AQ688" s="60" t="b">
        <f t="shared" si="77"/>
        <v>0</v>
      </c>
      <c r="AR688" s="60" t="str">
        <f t="shared" si="78"/>
        <v>No</v>
      </c>
      <c r="AS688" s="60" t="str">
        <f t="shared" si="79"/>
        <v>No</v>
      </c>
    </row>
    <row r="689" spans="1:45" ht="15" hidden="1">
      <c r="A689" s="103">
        <v>45244</v>
      </c>
      <c r="B689" s="117" t="s">
        <v>3127</v>
      </c>
      <c r="C689" s="28" t="s">
        <v>691</v>
      </c>
      <c r="D689" s="28" t="s">
        <v>3132</v>
      </c>
      <c r="F689" s="28" t="s">
        <v>3129</v>
      </c>
      <c r="G689" s="28" t="s">
        <v>514</v>
      </c>
      <c r="H689" s="28" t="s">
        <v>883</v>
      </c>
      <c r="I689" s="28" t="s">
        <v>516</v>
      </c>
      <c r="J689" s="28" t="s">
        <v>517</v>
      </c>
      <c r="K689" s="28" t="s">
        <v>518</v>
      </c>
      <c r="L689" s="28" t="s">
        <v>1040</v>
      </c>
      <c r="M689" s="28" t="s">
        <v>520</v>
      </c>
      <c r="S689" s="28" t="s">
        <v>546</v>
      </c>
      <c r="T689" s="28" t="s">
        <v>1042</v>
      </c>
      <c r="U689" s="28" t="s">
        <v>1042</v>
      </c>
      <c r="V689" s="28" t="s">
        <v>517</v>
      </c>
      <c r="W689" s="28" t="s">
        <v>821</v>
      </c>
      <c r="Z689" s="118" t="s">
        <v>563</v>
      </c>
      <c r="AA689" s="118"/>
      <c r="AB689" s="118" t="s">
        <v>527</v>
      </c>
      <c r="AD689" s="118" t="s">
        <v>528</v>
      </c>
      <c r="AE689" s="28" t="s">
        <v>563</v>
      </c>
      <c r="AF689" s="117" t="s">
        <v>3132</v>
      </c>
      <c r="AG689" s="28" t="s">
        <v>563</v>
      </c>
      <c r="AK689" s="60" t="s">
        <v>2927</v>
      </c>
      <c r="AL689" s="117">
        <f>1/COUNTIF(Tableau6[LAT],B689)</f>
        <v>0.25</v>
      </c>
      <c r="AM689" s="60" t="b">
        <f t="shared" si="73"/>
        <v>0</v>
      </c>
      <c r="AN689" s="60" t="b">
        <f t="shared" si="74"/>
        <v>0</v>
      </c>
      <c r="AO689" s="60" t="b">
        <f t="shared" si="75"/>
        <v>0</v>
      </c>
      <c r="AP689" s="60" t="b">
        <f t="shared" si="76"/>
        <v>0</v>
      </c>
      <c r="AQ689" s="60" t="b">
        <f t="shared" si="77"/>
        <v>0</v>
      </c>
      <c r="AR689" s="60" t="str">
        <f t="shared" si="78"/>
        <v>No</v>
      </c>
      <c r="AS689" s="60" t="str">
        <f t="shared" si="79"/>
        <v>No</v>
      </c>
    </row>
    <row r="690" spans="1:45" ht="15" hidden="1">
      <c r="A690" s="103">
        <v>45244</v>
      </c>
      <c r="B690" s="117" t="s">
        <v>3133</v>
      </c>
      <c r="C690" s="28" t="s">
        <v>511</v>
      </c>
      <c r="D690" s="28" t="s">
        <v>3134</v>
      </c>
      <c r="F690" s="28" t="s">
        <v>3135</v>
      </c>
      <c r="G690" s="28" t="s">
        <v>514</v>
      </c>
      <c r="H690" s="28" t="s">
        <v>1394</v>
      </c>
      <c r="I690" s="28" t="s">
        <v>516</v>
      </c>
      <c r="J690" s="28" t="s">
        <v>517</v>
      </c>
      <c r="K690" s="28" t="s">
        <v>518</v>
      </c>
      <c r="L690" s="28" t="s">
        <v>3034</v>
      </c>
      <c r="M690" s="28" t="s">
        <v>520</v>
      </c>
      <c r="N690" s="28" t="s">
        <v>521</v>
      </c>
      <c r="O690" s="28" t="s">
        <v>544</v>
      </c>
      <c r="P690" s="28" t="s">
        <v>522</v>
      </c>
      <c r="S690" s="28" t="s">
        <v>1934</v>
      </c>
      <c r="T690" s="28" t="s">
        <v>3035</v>
      </c>
      <c r="U690" s="28" t="s">
        <v>3035</v>
      </c>
      <c r="V690" s="28" t="s">
        <v>517</v>
      </c>
      <c r="W690" s="28" t="s">
        <v>3136</v>
      </c>
      <c r="Z690" s="118" t="s">
        <v>563</v>
      </c>
      <c r="AA690" s="118"/>
      <c r="AB690" s="118" t="s">
        <v>527</v>
      </c>
      <c r="AD690" s="118" t="s">
        <v>954</v>
      </c>
      <c r="AE690" s="28" t="s">
        <v>563</v>
      </c>
      <c r="AF690" s="117" t="s">
        <v>3134</v>
      </c>
      <c r="AG690" s="28" t="s">
        <v>563</v>
      </c>
      <c r="AK690" s="60" t="s">
        <v>2927</v>
      </c>
      <c r="AL690" s="117">
        <f>1/COUNTIF(Tableau6[LAT],B690)</f>
        <v>0.5</v>
      </c>
      <c r="AM690" s="60" t="b">
        <f t="shared" si="73"/>
        <v>0</v>
      </c>
      <c r="AN690" s="60" t="b">
        <f t="shared" si="74"/>
        <v>0</v>
      </c>
      <c r="AO690" s="60" t="b">
        <f t="shared" si="75"/>
        <v>0</v>
      </c>
      <c r="AP690" s="60" t="b">
        <f t="shared" si="76"/>
        <v>0</v>
      </c>
      <c r="AQ690" s="60" t="b">
        <f t="shared" si="77"/>
        <v>0</v>
      </c>
      <c r="AR690" s="60" t="str">
        <f t="shared" si="78"/>
        <v>No</v>
      </c>
      <c r="AS690" s="60" t="str">
        <f t="shared" si="79"/>
        <v>No</v>
      </c>
    </row>
    <row r="691" spans="1:45" ht="15" hidden="1">
      <c r="A691" s="103">
        <v>45244</v>
      </c>
      <c r="B691" s="117" t="s">
        <v>3133</v>
      </c>
      <c r="C691" s="28" t="s">
        <v>548</v>
      </c>
      <c r="D691" s="28" t="s">
        <v>3137</v>
      </c>
      <c r="F691" s="28" t="s">
        <v>3135</v>
      </c>
      <c r="G691" s="28" t="s">
        <v>514</v>
      </c>
      <c r="H691" s="28" t="s">
        <v>1394</v>
      </c>
      <c r="I691" s="28" t="s">
        <v>516</v>
      </c>
      <c r="J691" s="28" t="s">
        <v>517</v>
      </c>
      <c r="K691" s="28" t="s">
        <v>518</v>
      </c>
      <c r="L691" s="28" t="s">
        <v>3034</v>
      </c>
      <c r="M691" s="28" t="s">
        <v>520</v>
      </c>
      <c r="N691" s="28" t="s">
        <v>521</v>
      </c>
      <c r="O691" s="28" t="s">
        <v>544</v>
      </c>
      <c r="P691" s="28" t="s">
        <v>522</v>
      </c>
      <c r="S691" s="28" t="s">
        <v>1934</v>
      </c>
      <c r="T691" s="28" t="s">
        <v>3035</v>
      </c>
      <c r="U691" s="28" t="s">
        <v>3035</v>
      </c>
      <c r="V691" s="28" t="s">
        <v>517</v>
      </c>
      <c r="W691" s="28" t="s">
        <v>3138</v>
      </c>
      <c r="Z691" s="118" t="s">
        <v>563</v>
      </c>
      <c r="AA691" s="118"/>
      <c r="AB691" s="118" t="s">
        <v>527</v>
      </c>
      <c r="AD691" s="118" t="s">
        <v>954</v>
      </c>
      <c r="AE691" s="28" t="s">
        <v>563</v>
      </c>
      <c r="AF691" s="117" t="s">
        <v>3137</v>
      </c>
      <c r="AG691" s="28" t="s">
        <v>563</v>
      </c>
      <c r="AK691" s="60" t="s">
        <v>2927</v>
      </c>
      <c r="AL691" s="117">
        <f>1/COUNTIF(Tableau6[LAT],B691)</f>
        <v>0.5</v>
      </c>
      <c r="AM691" s="60" t="b">
        <f t="shared" si="73"/>
        <v>0</v>
      </c>
      <c r="AN691" s="60" t="b">
        <f t="shared" si="74"/>
        <v>0</v>
      </c>
      <c r="AO691" s="60" t="b">
        <f t="shared" si="75"/>
        <v>0</v>
      </c>
      <c r="AP691" s="60" t="b">
        <f t="shared" si="76"/>
        <v>0</v>
      </c>
      <c r="AQ691" s="60" t="b">
        <f t="shared" si="77"/>
        <v>0</v>
      </c>
      <c r="AR691" s="60" t="str">
        <f t="shared" si="78"/>
        <v>No</v>
      </c>
      <c r="AS691" s="60" t="str">
        <f t="shared" si="79"/>
        <v>No</v>
      </c>
    </row>
    <row r="692" spans="1:45" ht="15" hidden="1">
      <c r="A692" s="103">
        <v>45244</v>
      </c>
      <c r="B692" s="117" t="s">
        <v>3139</v>
      </c>
      <c r="C692" s="28" t="s">
        <v>511</v>
      </c>
      <c r="D692" s="28" t="s">
        <v>3140</v>
      </c>
      <c r="F692" s="28" t="s">
        <v>3141</v>
      </c>
      <c r="G692" s="28" t="s">
        <v>514</v>
      </c>
      <c r="H692" s="28" t="s">
        <v>3142</v>
      </c>
      <c r="I692" s="28" t="s">
        <v>516</v>
      </c>
      <c r="J692" s="28" t="s">
        <v>517</v>
      </c>
      <c r="K692" s="28" t="s">
        <v>682</v>
      </c>
      <c r="L692" s="28" t="s">
        <v>3143</v>
      </c>
      <c r="M692" s="28" t="s">
        <v>605</v>
      </c>
      <c r="N692" s="28" t="s">
        <v>544</v>
      </c>
      <c r="O692" s="28" t="s">
        <v>1107</v>
      </c>
      <c r="P692" s="28" t="s">
        <v>559</v>
      </c>
      <c r="S692" s="28" t="s">
        <v>928</v>
      </c>
      <c r="T692" s="28" t="s">
        <v>1918</v>
      </c>
      <c r="U692" s="28" t="s">
        <v>1918</v>
      </c>
      <c r="V692" s="28" t="s">
        <v>517</v>
      </c>
      <c r="W692" s="28" t="s">
        <v>835</v>
      </c>
      <c r="Z692" s="118" t="s">
        <v>563</v>
      </c>
      <c r="AA692" s="118"/>
      <c r="AB692" s="118" t="s">
        <v>527</v>
      </c>
      <c r="AD692" s="118"/>
      <c r="AF692" s="117" t="s">
        <v>1083</v>
      </c>
      <c r="AK692" s="60" t="s">
        <v>2927</v>
      </c>
      <c r="AL692" s="117">
        <f>1/COUNTIF(Tableau6[LAT],B692)</f>
        <v>1</v>
      </c>
      <c r="AM692" s="60" t="b">
        <f t="shared" ref="AM692:AM755" si="80">IF(N692="ALM","Yes",IF(N692="ALI","Yes",IF(N692="CAO","Yes",IF(N692="ICE","Yes",IF(N692="MAG","Yes",IF(N692="MAG","Yes",IF(N692="RBI","Yes",IF(N692="RBM","Yes",IF(N692="RCL","Yes",IF(N692="RCM","Yes",IF(N692="RCX","Yes",IF(N692="RDS","Yes",IF(N692="REQ","Yes",IF(N692="REX","Yes",IF(N692="RFG","Yes",IF(N692="RFL","Yes",IF(N692="RFS","Yes",IF(N692="RFW","Yes",IF(N692="RGX","Yes",IF(N692="RIS",IF(N692="RLI","Yes",IF(N692="RLM","Yes",IF(N692="RMD","Yes",IF(N692="RNG","Yes",IF(N692="ROP","Yes",IF(N692="ROX","Yes",IF(N692="RPB","Yes",IF(N692="RPG","Yes",IF(N692="RRE","Yes",IF(N692="RRW","Yes",IF(N692="RRY","Yes",IF(N692="RSB","Yes",IF(N692="RSC","Yes",IF(N692="RXB","Yes",IF(N692="RXC","Yes",IF(N692="RXD","Yes",IF(N692="RXE","Yes",IF(N692="RXG","Yes",IF(N692="RXS","Yes",)))))))))))))))))))))))))))))))))))))))</f>
        <v>0</v>
      </c>
      <c r="AN692" s="60" t="b">
        <f t="shared" ref="AN692:AN755" si="81">IF(O692="ALM","Yes",IF(O692="ALI","Yes",IF(O692="CAO","Yes",IF(O692="ICE","Yes",IF(O692="MAG","Yes",IF(O692="MAG","Yes",IF(O692="RBI","Yes",IF(O692="RBM","Yes",IF(O692="RCL","Yes",IF(O692="RCM","Yes",IF(O692="RCX","Yes",IF(O692="RDS","Yes",IF(O692="REQ","Yes",IF(O692="REX","Yes",IF(O692="RFG","Yes",IF(O692="RFL","Yes",IF(O692="RFS","Yes",IF(O692="RFW","Yes",IF(O692="RGX","Yes",IF(O692="RIS",IF(O692="RLI","Yes",IF(O692="RLM","Yes",IF(O692="RMD","Yes",IF(O692="RNG","Yes",IF(O692="ROP","Yes",IF(O692="ROX","Yes",IF(O692="RPB","Yes",IF(O692="RPG","Yes",IF(O692="RRE","Yes",IF(O692="RRW","Yes",IF(O692="RRY","Yes",IF(O692="RSB","Yes",IF(O692="RSC","Yes",IF(O692="RXB","Yes",IF(O692="RXC","Yes",IF(O692="RXD","Yes",IF(O692="RXE","Yes",IF(O692="RXG","Yes",IF(O692="RXS","Yes",)))))))))))))))))))))))))))))))))))))))</f>
        <v>0</v>
      </c>
      <c r="AO692" s="60" t="b">
        <f t="shared" ref="AO692:AO755" si="82">IF(P692="ALM","Yes",IF(P692="ALI","Yes",IF(P692="CAO","Yes",IF(P692="ICE","Yes",IF(P692="MAG","Yes",IF(P692="MAG","Yes",IF(P692="RBI","Yes",IF(P692="RBM","Yes",IF(P692="RCL","Yes",IF(P692="RCM","Yes",IF(P692="RCX","Yes",IF(P692="RDS","Yes",IF(P692="REQ","Yes",IF(P692="REX","Yes",IF(P692="RFG","Yes",IF(P692="RFL","Yes",IF(P692="RFS","Yes",IF(P692="RFW","Yes",IF(P692="RGX","Yes",IF(P692="RIS",IF(P692="RLI","Yes",IF(P692="RLM","Yes",IF(P692="RMD","Yes",IF(P692="RNG","Yes",IF(P692="ROP","Yes",IF(P692="ROX","Yes",IF(P692="RPB","Yes",IF(P692="RPG","Yes",IF(P692="RRE","Yes",IF(P692="RRW","Yes",IF(P692="RRY","Yes",IF(P692="RSB","Yes",IF(P692="RSC","Yes",IF(P692="RXB","Yes",IF(P692="RXC","Yes",IF(P692="RXD","Yes",IF(P692="RXE","Yes",IF(P692="RXG","Yes",IF(P692="RXS","Yes",)))))))))))))))))))))))))))))))))))))))</f>
        <v>0</v>
      </c>
      <c r="AP692" s="60" t="b">
        <f t="shared" ref="AP692:AP755" si="83">IF(Q692="ALM","Yes",IF(Q692="ALI","Yes",IF(Q692="CAO","Yes",IF(Q692="ICE","Yes",IF(Q692="MAG","Yes",IF(Q692="MAG","Yes",IF(Q692="RBI","Yes",IF(Q692="RBM","Yes",IF(Q692="RCL","Yes",IF(Q692="RCM","Yes",IF(Q692="RCX","Yes",IF(Q692="RDS","Yes",IF(Q692="REQ","Yes",IF(Q692="REX","Yes",IF(Q692="RFG","Yes",IF(Q692="RFL","Yes",IF(Q692="RFS","Yes",IF(Q692="RFW","Yes",IF(Q692="RGX","Yes",IF(Q692="RIS",IF(Q692="RLI","Yes",IF(Q692="RLM","Yes",IF(Q692="RMD","Yes",IF(Q692="RNG","Yes",IF(Q692="ROP","Yes",IF(Q692="ROX","Yes",IF(Q692="RPB","Yes",IF(Q692="RPG","Yes",IF(Q692="RRE","Yes",IF(Q692="RRW","Yes",IF(Q692="RRY","Yes",IF(Q692="RSB","Yes",IF(Q692="RSC","Yes",IF(Q692="RXB","Yes",IF(Q692="RXC","Yes",IF(Q692="RXD","Yes",IF(Q692="RXE","Yes",IF(Q692="RXG","Yes",IF(Q692="RXS","Yes",)))))))))))))))))))))))))))))))))))))))</f>
        <v>0</v>
      </c>
      <c r="AQ692" s="60" t="b">
        <f t="shared" ref="AQ692:AQ755" si="84">IF(R692="ALM","Yes",IF(R692="ALI","Yes",IF(R692="CAO","Yes",IF(R692="ICE","Yes",IF(R692="MAG","Yes",IF(R692="MAG","Yes",IF(R692="RBI","Yes",IF(R692="RBM","Yes",IF(R692="RCL","Yes",IF(R692="RCM","Yes",IF(R692="RCX","Yes",IF(R692="RDS","Yes",IF(R692="REQ","Yes",IF(R692="REX","Yes",IF(R692="RFG","Yes",IF(R692="RFL","Yes",IF(R692="RFS","Yes",IF(R692="RFW","Yes",IF(R692="RGX","Yes",IF(R692="RIS",IF(R692="RLI","Yes",IF(R692="RLM","Yes",IF(R692="RMD","Yes",IF(R692="RNG","Yes",IF(R692="ROP","Yes",IF(R692="ROX","Yes",IF(R692="RPB","Yes",IF(R692="RPG","Yes",IF(R692="RRE","Yes",IF(R692="RRW","Yes",IF(R692="RRY","Yes",IF(R692="RSB","Yes",IF(R692="RSC","Yes",IF(R692="RXB","Yes",IF(R692="RXC","Yes",IF(R692="RXD","Yes",IF(R692="RXE","Yes",IF(R692="RXG","Yes",IF(R692="RXS","Yes",)))))))))))))))))))))))))))))))))))))))</f>
        <v>0</v>
      </c>
      <c r="AR692" s="60" t="str">
        <f t="shared" ref="AR692:AR755" si="85">IF(AM692="Yes","Yes",IF(AN692="Yes","Yes",IF(AO692="yes","Yes",IF(AP692="Yes","Yes","No"))))</f>
        <v>No</v>
      </c>
      <c r="AS692" s="60" t="str">
        <f t="shared" ref="AS692:AS755" si="86">IF(S692="QFA","Yes",IF(S692="LCJ","Yes",IF(S692="CAJ","Yes",IF(S692="WRO","Yes",IF(S692="BEY","Yes",IF(S692="TUN","Yes",IF(S692="LFW","Yes",IF(S692="DLA","Yes",IF(S692="NSI","Yes",IF(S692="OUA","Yes",IF(S692="IAH","Yes",IF(S692="LYS","Yes",IF(S692="DSS","Yes",IF(S692="BKO","Yes",IF(S692="BZV","Yes",IF(S692="COO","Yes",IF(S692="EZE","Yes",IF(S692="CKY","Yes",IF(S692="PTP","Yes",IF(S692="ORD","Yes",IF(S692="CFE","Yes",IF(S692="NKC","Yes",IF(S692="FDF","Yes",IF(S692="SDQ","Yes",IF(S692="PNR","Yes",IF(S692="ICAY","Yes",IF(S692="DTW","Yes",IF(S692="TNR","Yes",IF(S692="RUN","Yes",IF(S692="NIM","Yes","No"))))))))))))))))))))))))))))))</f>
        <v>No</v>
      </c>
    </row>
    <row r="693" spans="1:45" ht="15" hidden="1">
      <c r="A693" s="103">
        <v>45244</v>
      </c>
      <c r="B693" s="117" t="s">
        <v>994</v>
      </c>
      <c r="C693" s="28" t="s">
        <v>511</v>
      </c>
      <c r="D693" s="28" t="s">
        <v>999</v>
      </c>
      <c r="F693" s="28" t="s">
        <v>3144</v>
      </c>
      <c r="G693" s="28" t="s">
        <v>514</v>
      </c>
      <c r="H693" s="28" t="s">
        <v>3145</v>
      </c>
      <c r="I693" s="28" t="s">
        <v>517</v>
      </c>
      <c r="J693" s="28" t="s">
        <v>517</v>
      </c>
      <c r="K693" s="28" t="s">
        <v>518</v>
      </c>
      <c r="L693" s="28" t="s">
        <v>809</v>
      </c>
      <c r="M693" s="28" t="s">
        <v>535</v>
      </c>
      <c r="N693" s="28" t="s">
        <v>557</v>
      </c>
      <c r="O693" s="28" t="s">
        <v>522</v>
      </c>
      <c r="S693" s="28" t="s">
        <v>573</v>
      </c>
      <c r="T693" s="28" t="s">
        <v>811</v>
      </c>
      <c r="U693" s="28" t="s">
        <v>811</v>
      </c>
      <c r="V693" s="28" t="s">
        <v>517</v>
      </c>
      <c r="W693" s="28" t="s">
        <v>1058</v>
      </c>
      <c r="Z693" s="118" t="s">
        <v>526</v>
      </c>
      <c r="AA693" s="118"/>
      <c r="AB693" s="118"/>
      <c r="AD693" s="118"/>
      <c r="AF693" s="117" t="s">
        <v>999</v>
      </c>
      <c r="AK693" s="60" t="s">
        <v>2927</v>
      </c>
      <c r="AL693" s="117">
        <f>1/COUNTIF(Tableau6[LAT],B693)</f>
        <v>0.5</v>
      </c>
      <c r="AM693" s="60" t="b">
        <f t="shared" si="80"/>
        <v>0</v>
      </c>
      <c r="AN693" s="60" t="b">
        <f t="shared" si="81"/>
        <v>0</v>
      </c>
      <c r="AO693" s="60" t="b">
        <f t="shared" si="82"/>
        <v>0</v>
      </c>
      <c r="AP693" s="60" t="b">
        <f t="shared" si="83"/>
        <v>0</v>
      </c>
      <c r="AQ693" s="60" t="b">
        <f t="shared" si="84"/>
        <v>0</v>
      </c>
      <c r="AR693" s="60" t="str">
        <f t="shared" si="85"/>
        <v>No</v>
      </c>
      <c r="AS693" s="60" t="str">
        <f t="shared" si="86"/>
        <v>No</v>
      </c>
    </row>
    <row r="694" spans="1:45" ht="15" hidden="1">
      <c r="A694" s="103">
        <v>45244</v>
      </c>
      <c r="B694" s="117" t="s">
        <v>3146</v>
      </c>
      <c r="C694" s="28" t="s">
        <v>511</v>
      </c>
      <c r="D694" s="28" t="s">
        <v>3147</v>
      </c>
      <c r="E694" s="28" t="s">
        <v>3148</v>
      </c>
      <c r="F694" s="28" t="s">
        <v>3149</v>
      </c>
      <c r="G694" s="28" t="s">
        <v>514</v>
      </c>
      <c r="H694" s="28" t="s">
        <v>3150</v>
      </c>
      <c r="I694" s="28" t="s">
        <v>516</v>
      </c>
      <c r="J694" s="28" t="s">
        <v>517</v>
      </c>
      <c r="K694" s="28" t="s">
        <v>518</v>
      </c>
      <c r="L694" s="28" t="s">
        <v>1491</v>
      </c>
      <c r="M694" s="28" t="s">
        <v>520</v>
      </c>
      <c r="N694" s="28" t="s">
        <v>544</v>
      </c>
      <c r="S694" s="28" t="s">
        <v>786</v>
      </c>
      <c r="T694" s="28" t="s">
        <v>1494</v>
      </c>
      <c r="U694" s="28" t="s">
        <v>1494</v>
      </c>
      <c r="V694" s="28" t="s">
        <v>517</v>
      </c>
      <c r="W694" s="28" t="s">
        <v>3151</v>
      </c>
      <c r="X694" s="28" t="s">
        <v>1418</v>
      </c>
      <c r="Z694" s="118" t="s">
        <v>526</v>
      </c>
      <c r="AA694" s="118"/>
      <c r="AB694" s="118" t="s">
        <v>3152</v>
      </c>
      <c r="AC694" s="28" t="s">
        <v>3153</v>
      </c>
      <c r="AD694" s="118" t="s">
        <v>528</v>
      </c>
      <c r="AE694" s="28" t="s">
        <v>529</v>
      </c>
      <c r="AF694" s="117" t="s">
        <v>3147</v>
      </c>
      <c r="AG694" s="28" t="s">
        <v>529</v>
      </c>
      <c r="AK694" s="60" t="s">
        <v>2927</v>
      </c>
      <c r="AL694" s="117">
        <f>1/COUNTIF(Tableau6[LAT],B694)</f>
        <v>0.33333333333333331</v>
      </c>
      <c r="AM694" s="60" t="b">
        <f t="shared" si="80"/>
        <v>0</v>
      </c>
      <c r="AN694" s="60" t="b">
        <f t="shared" si="81"/>
        <v>0</v>
      </c>
      <c r="AO694" s="60" t="b">
        <f t="shared" si="82"/>
        <v>0</v>
      </c>
      <c r="AP694" s="60" t="b">
        <f t="shared" si="83"/>
        <v>0</v>
      </c>
      <c r="AQ694" s="60" t="b">
        <f t="shared" si="84"/>
        <v>0</v>
      </c>
      <c r="AR694" s="60" t="str">
        <f t="shared" si="85"/>
        <v>No</v>
      </c>
      <c r="AS694" s="60" t="str">
        <f t="shared" si="86"/>
        <v>No</v>
      </c>
    </row>
    <row r="695" spans="1:45" ht="15" hidden="1">
      <c r="A695" s="103">
        <v>45244</v>
      </c>
      <c r="B695" s="117" t="s">
        <v>3146</v>
      </c>
      <c r="C695" s="28" t="s">
        <v>548</v>
      </c>
      <c r="D695" s="28" t="s">
        <v>3154</v>
      </c>
      <c r="E695" s="28" t="s">
        <v>3148</v>
      </c>
      <c r="F695" s="28" t="s">
        <v>3149</v>
      </c>
      <c r="G695" s="28" t="s">
        <v>514</v>
      </c>
      <c r="H695" s="28" t="s">
        <v>3150</v>
      </c>
      <c r="I695" s="28" t="s">
        <v>516</v>
      </c>
      <c r="J695" s="28" t="s">
        <v>517</v>
      </c>
      <c r="K695" s="28" t="s">
        <v>518</v>
      </c>
      <c r="L695" s="28" t="s">
        <v>1491</v>
      </c>
      <c r="M695" s="28" t="s">
        <v>520</v>
      </c>
      <c r="N695" s="28" t="s">
        <v>544</v>
      </c>
      <c r="S695" s="28" t="s">
        <v>786</v>
      </c>
      <c r="T695" s="28" t="s">
        <v>1494</v>
      </c>
      <c r="U695" s="28" t="s">
        <v>1494</v>
      </c>
      <c r="V695" s="28" t="s">
        <v>517</v>
      </c>
      <c r="W695" s="28" t="s">
        <v>3151</v>
      </c>
      <c r="X695" s="28" t="s">
        <v>1418</v>
      </c>
      <c r="Z695" s="118" t="s">
        <v>526</v>
      </c>
      <c r="AA695" s="118"/>
      <c r="AB695" s="118" t="s">
        <v>3152</v>
      </c>
      <c r="AC695" s="28" t="s">
        <v>3153</v>
      </c>
      <c r="AD695" s="118" t="s">
        <v>528</v>
      </c>
      <c r="AE695" s="28" t="s">
        <v>529</v>
      </c>
      <c r="AF695" s="117" t="s">
        <v>3154</v>
      </c>
      <c r="AG695" s="28" t="s">
        <v>529</v>
      </c>
      <c r="AK695" s="60" t="s">
        <v>2927</v>
      </c>
      <c r="AL695" s="117">
        <f>1/COUNTIF(Tableau6[LAT],B695)</f>
        <v>0.33333333333333331</v>
      </c>
      <c r="AM695" s="60" t="b">
        <f t="shared" si="80"/>
        <v>0</v>
      </c>
      <c r="AN695" s="60" t="b">
        <f t="shared" si="81"/>
        <v>0</v>
      </c>
      <c r="AO695" s="60" t="b">
        <f t="shared" si="82"/>
        <v>0</v>
      </c>
      <c r="AP695" s="60" t="b">
        <f t="shared" si="83"/>
        <v>0</v>
      </c>
      <c r="AQ695" s="60" t="b">
        <f t="shared" si="84"/>
        <v>0</v>
      </c>
      <c r="AR695" s="60" t="str">
        <f t="shared" si="85"/>
        <v>No</v>
      </c>
      <c r="AS695" s="60" t="str">
        <f t="shared" si="86"/>
        <v>No</v>
      </c>
    </row>
    <row r="696" spans="1:45" ht="15" hidden="1">
      <c r="A696" s="103">
        <v>45244</v>
      </c>
      <c r="B696" s="117" t="s">
        <v>3146</v>
      </c>
      <c r="C696" s="28" t="s">
        <v>612</v>
      </c>
      <c r="D696" s="28" t="s">
        <v>3155</v>
      </c>
      <c r="E696" s="28" t="s">
        <v>3148</v>
      </c>
      <c r="F696" s="28" t="s">
        <v>3149</v>
      </c>
      <c r="G696" s="28" t="s">
        <v>514</v>
      </c>
      <c r="H696" s="28" t="s">
        <v>3150</v>
      </c>
      <c r="I696" s="28" t="s">
        <v>516</v>
      </c>
      <c r="J696" s="28" t="s">
        <v>517</v>
      </c>
      <c r="K696" s="28" t="s">
        <v>518</v>
      </c>
      <c r="L696" s="28" t="s">
        <v>1491</v>
      </c>
      <c r="M696" s="28" t="s">
        <v>520</v>
      </c>
      <c r="N696" s="28" t="s">
        <v>544</v>
      </c>
      <c r="S696" s="28" t="s">
        <v>786</v>
      </c>
      <c r="T696" s="28" t="s">
        <v>1494</v>
      </c>
      <c r="U696" s="28" t="s">
        <v>1494</v>
      </c>
      <c r="V696" s="28" t="s">
        <v>517</v>
      </c>
      <c r="W696" s="28" t="s">
        <v>3151</v>
      </c>
      <c r="X696" s="28" t="s">
        <v>1418</v>
      </c>
      <c r="Z696" s="118" t="s">
        <v>526</v>
      </c>
      <c r="AA696" s="118"/>
      <c r="AB696" s="118" t="s">
        <v>3152</v>
      </c>
      <c r="AC696" s="28" t="s">
        <v>3153</v>
      </c>
      <c r="AD696" s="118" t="s">
        <v>528</v>
      </c>
      <c r="AE696" s="28" t="s">
        <v>529</v>
      </c>
      <c r="AF696" s="117" t="s">
        <v>3155</v>
      </c>
      <c r="AG696" s="28" t="s">
        <v>529</v>
      </c>
      <c r="AK696" s="60" t="s">
        <v>2927</v>
      </c>
      <c r="AL696" s="117">
        <f>1/COUNTIF(Tableau6[LAT],B696)</f>
        <v>0.33333333333333331</v>
      </c>
      <c r="AM696" s="60" t="b">
        <f t="shared" si="80"/>
        <v>0</v>
      </c>
      <c r="AN696" s="60" t="b">
        <f t="shared" si="81"/>
        <v>0</v>
      </c>
      <c r="AO696" s="60" t="b">
        <f t="shared" si="82"/>
        <v>0</v>
      </c>
      <c r="AP696" s="60" t="b">
        <f t="shared" si="83"/>
        <v>0</v>
      </c>
      <c r="AQ696" s="60" t="b">
        <f t="shared" si="84"/>
        <v>0</v>
      </c>
      <c r="AR696" s="60" t="str">
        <f t="shared" si="85"/>
        <v>No</v>
      </c>
      <c r="AS696" s="60" t="str">
        <f t="shared" si="86"/>
        <v>No</v>
      </c>
    </row>
    <row r="697" spans="1:45" ht="15" hidden="1">
      <c r="A697" s="103">
        <v>45244</v>
      </c>
      <c r="B697" s="117" t="s">
        <v>3156</v>
      </c>
      <c r="C697" s="28" t="s">
        <v>511</v>
      </c>
      <c r="D697" s="28" t="s">
        <v>3157</v>
      </c>
      <c r="F697" s="28" t="s">
        <v>1841</v>
      </c>
      <c r="G697" s="28" t="s">
        <v>514</v>
      </c>
      <c r="H697" s="28" t="s">
        <v>3158</v>
      </c>
      <c r="I697" s="28" t="s">
        <v>516</v>
      </c>
      <c r="J697" s="28" t="s">
        <v>517</v>
      </c>
      <c r="K697" s="28" t="s">
        <v>518</v>
      </c>
      <c r="L697" s="28" t="s">
        <v>675</v>
      </c>
      <c r="M697" s="28" t="s">
        <v>605</v>
      </c>
      <c r="N697" s="28" t="s">
        <v>559</v>
      </c>
      <c r="O697" s="28" t="s">
        <v>627</v>
      </c>
      <c r="S697" s="28" t="s">
        <v>740</v>
      </c>
      <c r="T697" s="28" t="s">
        <v>676</v>
      </c>
      <c r="U697" s="28" t="s">
        <v>676</v>
      </c>
      <c r="V697" s="28" t="s">
        <v>517</v>
      </c>
      <c r="W697" s="28" t="s">
        <v>3159</v>
      </c>
      <c r="Z697" s="118" t="s">
        <v>526</v>
      </c>
      <c r="AA697" s="118"/>
      <c r="AB697" s="118"/>
      <c r="AD697" s="118" t="s">
        <v>954</v>
      </c>
      <c r="AE697" s="28" t="s">
        <v>563</v>
      </c>
      <c r="AF697" s="117" t="s">
        <v>3157</v>
      </c>
      <c r="AG697" s="28" t="s">
        <v>563</v>
      </c>
      <c r="AK697" s="60" t="s">
        <v>2927</v>
      </c>
      <c r="AL697" s="117">
        <f>1/COUNTIF(Tableau6[LAT],B697)</f>
        <v>0.5</v>
      </c>
      <c r="AM697" s="60" t="b">
        <f t="shared" si="80"/>
        <v>0</v>
      </c>
      <c r="AN697" s="60" t="b">
        <f t="shared" si="81"/>
        <v>0</v>
      </c>
      <c r="AO697" s="60" t="b">
        <f t="shared" si="82"/>
        <v>0</v>
      </c>
      <c r="AP697" s="60" t="b">
        <f t="shared" si="83"/>
        <v>0</v>
      </c>
      <c r="AQ697" s="60" t="b">
        <f t="shared" si="84"/>
        <v>0</v>
      </c>
      <c r="AR697" s="60" t="str">
        <f t="shared" si="85"/>
        <v>No</v>
      </c>
      <c r="AS697" s="60" t="str">
        <f t="shared" si="86"/>
        <v>No</v>
      </c>
    </row>
    <row r="698" spans="1:45" ht="15" hidden="1">
      <c r="A698" s="103">
        <v>45244</v>
      </c>
      <c r="B698" s="117" t="s">
        <v>3156</v>
      </c>
      <c r="C698" s="28" t="s">
        <v>548</v>
      </c>
      <c r="D698" s="28" t="s">
        <v>3160</v>
      </c>
      <c r="F698" s="28" t="s">
        <v>1841</v>
      </c>
      <c r="G698" s="28" t="s">
        <v>514</v>
      </c>
      <c r="H698" s="28" t="s">
        <v>3161</v>
      </c>
      <c r="I698" s="28" t="s">
        <v>516</v>
      </c>
      <c r="J698" s="28" t="s">
        <v>517</v>
      </c>
      <c r="K698" s="28" t="s">
        <v>518</v>
      </c>
      <c r="L698" s="28" t="s">
        <v>675</v>
      </c>
      <c r="M698" s="28" t="s">
        <v>605</v>
      </c>
      <c r="N698" s="28" t="s">
        <v>559</v>
      </c>
      <c r="O698" s="28" t="s">
        <v>627</v>
      </c>
      <c r="S698" s="28" t="s">
        <v>740</v>
      </c>
      <c r="T698" s="28" t="s">
        <v>676</v>
      </c>
      <c r="U698" s="28" t="s">
        <v>676</v>
      </c>
      <c r="V698" s="28" t="s">
        <v>517</v>
      </c>
      <c r="W698" s="28" t="s">
        <v>3162</v>
      </c>
      <c r="Z698" s="118" t="s">
        <v>526</v>
      </c>
      <c r="AA698" s="118"/>
      <c r="AB698" s="118"/>
      <c r="AD698" s="118" t="s">
        <v>954</v>
      </c>
      <c r="AE698" s="28" t="s">
        <v>563</v>
      </c>
      <c r="AF698" s="117" t="s">
        <v>3160</v>
      </c>
      <c r="AG698" s="28" t="s">
        <v>563</v>
      </c>
      <c r="AK698" s="60" t="s">
        <v>2927</v>
      </c>
      <c r="AL698" s="117">
        <f>1/COUNTIF(Tableau6[LAT],B698)</f>
        <v>0.5</v>
      </c>
      <c r="AM698" s="60" t="b">
        <f t="shared" si="80"/>
        <v>0</v>
      </c>
      <c r="AN698" s="60" t="b">
        <f t="shared" si="81"/>
        <v>0</v>
      </c>
      <c r="AO698" s="60" t="b">
        <f t="shared" si="82"/>
        <v>0</v>
      </c>
      <c r="AP698" s="60" t="b">
        <f t="shared" si="83"/>
        <v>0</v>
      </c>
      <c r="AQ698" s="60" t="b">
        <f t="shared" si="84"/>
        <v>0</v>
      </c>
      <c r="AR698" s="60" t="str">
        <f t="shared" si="85"/>
        <v>No</v>
      </c>
      <c r="AS698" s="60" t="str">
        <f t="shared" si="86"/>
        <v>No</v>
      </c>
    </row>
    <row r="699" spans="1:45" ht="15" hidden="1">
      <c r="A699" s="103">
        <v>45244</v>
      </c>
      <c r="B699" s="117" t="s">
        <v>3163</v>
      </c>
      <c r="C699" s="28" t="s">
        <v>511</v>
      </c>
      <c r="D699" s="28" t="s">
        <v>3164</v>
      </c>
      <c r="E699" s="28" t="s">
        <v>2956</v>
      </c>
      <c r="F699" s="28" t="s">
        <v>2003</v>
      </c>
      <c r="G699" s="28" t="s">
        <v>514</v>
      </c>
      <c r="H699" s="28" t="s">
        <v>828</v>
      </c>
      <c r="I699" s="28" t="s">
        <v>516</v>
      </c>
      <c r="J699" s="28" t="s">
        <v>517</v>
      </c>
      <c r="K699" s="28" t="s">
        <v>518</v>
      </c>
      <c r="L699" s="28" t="s">
        <v>1269</v>
      </c>
      <c r="M699" s="28" t="s">
        <v>535</v>
      </c>
      <c r="N699" s="28" t="s">
        <v>557</v>
      </c>
      <c r="O699" s="28" t="s">
        <v>544</v>
      </c>
      <c r="P699" s="28" t="s">
        <v>522</v>
      </c>
      <c r="S699" s="28" t="s">
        <v>917</v>
      </c>
      <c r="T699" s="28" t="s">
        <v>896</v>
      </c>
      <c r="U699" s="28" t="s">
        <v>1041</v>
      </c>
      <c r="V699" s="28" t="s">
        <v>517</v>
      </c>
      <c r="W699" s="28" t="s">
        <v>2959</v>
      </c>
      <c r="X699" s="28" t="s">
        <v>670</v>
      </c>
      <c r="Z699" s="118" t="s">
        <v>526</v>
      </c>
      <c r="AA699" s="118"/>
      <c r="AB699" s="118"/>
      <c r="AD699" s="118" t="s">
        <v>954</v>
      </c>
      <c r="AE699" s="28" t="s">
        <v>563</v>
      </c>
      <c r="AF699" s="117" t="s">
        <v>3164</v>
      </c>
      <c r="AG699" s="28" t="s">
        <v>563</v>
      </c>
      <c r="AK699" s="60" t="s">
        <v>2927</v>
      </c>
      <c r="AL699" s="117">
        <f>1/COUNTIF(Tableau6[LAT],B699)</f>
        <v>1</v>
      </c>
      <c r="AM699" s="60" t="b">
        <f t="shared" si="80"/>
        <v>0</v>
      </c>
      <c r="AN699" s="60" t="b">
        <f t="shared" si="81"/>
        <v>0</v>
      </c>
      <c r="AO699" s="60" t="b">
        <f t="shared" si="82"/>
        <v>0</v>
      </c>
      <c r="AP699" s="60" t="b">
        <f t="shared" si="83"/>
        <v>0</v>
      </c>
      <c r="AQ699" s="60" t="b">
        <f t="shared" si="84"/>
        <v>0</v>
      </c>
      <c r="AR699" s="60" t="str">
        <f t="shared" si="85"/>
        <v>No</v>
      </c>
      <c r="AS699" s="60" t="str">
        <f t="shared" si="86"/>
        <v>No</v>
      </c>
    </row>
    <row r="700" spans="1:45" ht="15" hidden="1">
      <c r="A700" s="103">
        <v>45244</v>
      </c>
      <c r="B700" s="117" t="s">
        <v>3165</v>
      </c>
      <c r="C700" s="28" t="s">
        <v>511</v>
      </c>
      <c r="D700" s="28" t="s">
        <v>3166</v>
      </c>
      <c r="E700" s="28" t="s">
        <v>3167</v>
      </c>
      <c r="F700" s="28" t="s">
        <v>3168</v>
      </c>
      <c r="G700" s="28" t="s">
        <v>958</v>
      </c>
      <c r="H700" s="28" t="s">
        <v>3169</v>
      </c>
      <c r="I700" s="28" t="s">
        <v>516</v>
      </c>
      <c r="J700" s="28" t="s">
        <v>517</v>
      </c>
      <c r="K700" s="28" t="s">
        <v>518</v>
      </c>
      <c r="L700" s="28" t="s">
        <v>1769</v>
      </c>
      <c r="M700" s="28" t="s">
        <v>605</v>
      </c>
      <c r="N700" s="28" t="s">
        <v>557</v>
      </c>
      <c r="O700" s="28" t="s">
        <v>544</v>
      </c>
      <c r="P700" s="28" t="s">
        <v>559</v>
      </c>
      <c r="S700" s="28" t="s">
        <v>1493</v>
      </c>
      <c r="T700" s="28" t="s">
        <v>733</v>
      </c>
      <c r="U700" s="28" t="s">
        <v>733</v>
      </c>
      <c r="V700" s="28" t="s">
        <v>517</v>
      </c>
      <c r="W700" s="28" t="s">
        <v>3170</v>
      </c>
      <c r="X700" s="28" t="s">
        <v>1418</v>
      </c>
      <c r="Z700" s="118" t="s">
        <v>526</v>
      </c>
      <c r="AA700" s="118"/>
      <c r="AB700" s="118"/>
      <c r="AD700" s="118" t="s">
        <v>528</v>
      </c>
      <c r="AE700" s="28" t="s">
        <v>529</v>
      </c>
      <c r="AF700" s="117" t="s">
        <v>3166</v>
      </c>
      <c r="AG700" s="28" t="s">
        <v>529</v>
      </c>
      <c r="AK700" s="60" t="s">
        <v>2927</v>
      </c>
      <c r="AL700" s="117">
        <f>1/COUNTIF(Tableau6[LAT],B700)</f>
        <v>0.33333333333333331</v>
      </c>
      <c r="AM700" s="60" t="b">
        <f t="shared" si="80"/>
        <v>0</v>
      </c>
      <c r="AN700" s="60" t="b">
        <f t="shared" si="81"/>
        <v>0</v>
      </c>
      <c r="AO700" s="60" t="b">
        <f t="shared" si="82"/>
        <v>0</v>
      </c>
      <c r="AP700" s="60" t="b">
        <f t="shared" si="83"/>
        <v>0</v>
      </c>
      <c r="AQ700" s="60" t="b">
        <f t="shared" si="84"/>
        <v>0</v>
      </c>
      <c r="AR700" s="60" t="str">
        <f t="shared" si="85"/>
        <v>No</v>
      </c>
      <c r="AS700" s="60" t="str">
        <f t="shared" si="86"/>
        <v>No</v>
      </c>
    </row>
    <row r="701" spans="1:45" ht="15" hidden="1">
      <c r="A701" s="103">
        <v>45244</v>
      </c>
      <c r="B701" s="117" t="s">
        <v>3165</v>
      </c>
      <c r="C701" s="28" t="s">
        <v>548</v>
      </c>
      <c r="D701" s="28" t="s">
        <v>3171</v>
      </c>
      <c r="E701" s="28" t="s">
        <v>3172</v>
      </c>
      <c r="F701" s="28" t="s">
        <v>3168</v>
      </c>
      <c r="G701" s="28" t="s">
        <v>958</v>
      </c>
      <c r="H701" s="28" t="s">
        <v>3169</v>
      </c>
      <c r="I701" s="28" t="s">
        <v>516</v>
      </c>
      <c r="J701" s="28" t="s">
        <v>517</v>
      </c>
      <c r="K701" s="28" t="s">
        <v>518</v>
      </c>
      <c r="L701" s="28" t="s">
        <v>1769</v>
      </c>
      <c r="M701" s="28" t="s">
        <v>605</v>
      </c>
      <c r="N701" s="28" t="s">
        <v>557</v>
      </c>
      <c r="O701" s="28" t="s">
        <v>544</v>
      </c>
      <c r="P701" s="28" t="s">
        <v>559</v>
      </c>
      <c r="S701" s="28" t="s">
        <v>1493</v>
      </c>
      <c r="T701" s="28" t="s">
        <v>733</v>
      </c>
      <c r="U701" s="28" t="s">
        <v>733</v>
      </c>
      <c r="V701" s="28" t="s">
        <v>517</v>
      </c>
      <c r="W701" s="28" t="s">
        <v>3173</v>
      </c>
      <c r="X701" s="28" t="s">
        <v>1418</v>
      </c>
      <c r="Z701" s="118" t="s">
        <v>526</v>
      </c>
      <c r="AA701" s="118"/>
      <c r="AB701" s="118"/>
      <c r="AD701" s="118" t="s">
        <v>528</v>
      </c>
      <c r="AE701" s="28" t="s">
        <v>529</v>
      </c>
      <c r="AF701" s="117" t="s">
        <v>3174</v>
      </c>
      <c r="AG701" s="28" t="s">
        <v>529</v>
      </c>
      <c r="AK701" s="60" t="s">
        <v>2927</v>
      </c>
      <c r="AL701" s="117">
        <f>1/COUNTIF(Tableau6[LAT],B701)</f>
        <v>0.33333333333333331</v>
      </c>
      <c r="AM701" s="60" t="b">
        <f t="shared" si="80"/>
        <v>0</v>
      </c>
      <c r="AN701" s="60" t="b">
        <f t="shared" si="81"/>
        <v>0</v>
      </c>
      <c r="AO701" s="60" t="b">
        <f t="shared" si="82"/>
        <v>0</v>
      </c>
      <c r="AP701" s="60" t="b">
        <f t="shared" si="83"/>
        <v>0</v>
      </c>
      <c r="AQ701" s="60" t="b">
        <f t="shared" si="84"/>
        <v>0</v>
      </c>
      <c r="AR701" s="60" t="str">
        <f t="shared" si="85"/>
        <v>No</v>
      </c>
      <c r="AS701" s="60" t="str">
        <f t="shared" si="86"/>
        <v>No</v>
      </c>
    </row>
    <row r="702" spans="1:45" ht="15" hidden="1">
      <c r="A702" s="103">
        <v>45244</v>
      </c>
      <c r="B702" s="117" t="s">
        <v>3165</v>
      </c>
      <c r="C702" s="28" t="s">
        <v>612</v>
      </c>
      <c r="D702" s="28" t="s">
        <v>3175</v>
      </c>
      <c r="E702" s="28" t="s">
        <v>3176</v>
      </c>
      <c r="F702" s="28" t="s">
        <v>3168</v>
      </c>
      <c r="G702" s="28" t="s">
        <v>958</v>
      </c>
      <c r="H702" s="28" t="s">
        <v>3169</v>
      </c>
      <c r="I702" s="28" t="s">
        <v>516</v>
      </c>
      <c r="J702" s="28" t="s">
        <v>517</v>
      </c>
      <c r="K702" s="28" t="s">
        <v>518</v>
      </c>
      <c r="L702" s="28" t="s">
        <v>1769</v>
      </c>
      <c r="M702" s="28" t="s">
        <v>605</v>
      </c>
      <c r="N702" s="28" t="s">
        <v>557</v>
      </c>
      <c r="O702" s="28" t="s">
        <v>544</v>
      </c>
      <c r="P702" s="28" t="s">
        <v>559</v>
      </c>
      <c r="S702" s="28" t="s">
        <v>1493</v>
      </c>
      <c r="T702" s="28" t="s">
        <v>733</v>
      </c>
      <c r="U702" s="28" t="s">
        <v>733</v>
      </c>
      <c r="V702" s="28" t="s">
        <v>517</v>
      </c>
      <c r="W702" s="28" t="s">
        <v>3177</v>
      </c>
      <c r="X702" s="28" t="s">
        <v>1418</v>
      </c>
      <c r="Z702" s="118" t="s">
        <v>526</v>
      </c>
      <c r="AA702" s="118"/>
      <c r="AB702" s="118"/>
      <c r="AD702" s="118"/>
      <c r="AF702" s="117" t="s">
        <v>3175</v>
      </c>
      <c r="AK702" s="60" t="s">
        <v>2927</v>
      </c>
      <c r="AL702" s="117">
        <f>1/COUNTIF(Tableau6[LAT],B702)</f>
        <v>0.33333333333333331</v>
      </c>
      <c r="AM702" s="60" t="b">
        <f t="shared" si="80"/>
        <v>0</v>
      </c>
      <c r="AN702" s="60" t="b">
        <f t="shared" si="81"/>
        <v>0</v>
      </c>
      <c r="AO702" s="60" t="b">
        <f t="shared" si="82"/>
        <v>0</v>
      </c>
      <c r="AP702" s="60" t="b">
        <f t="shared" si="83"/>
        <v>0</v>
      </c>
      <c r="AQ702" s="60" t="b">
        <f t="shared" si="84"/>
        <v>0</v>
      </c>
      <c r="AR702" s="60" t="str">
        <f t="shared" si="85"/>
        <v>No</v>
      </c>
      <c r="AS702" s="60" t="str">
        <f t="shared" si="86"/>
        <v>No</v>
      </c>
    </row>
    <row r="703" spans="1:45" ht="15" hidden="1">
      <c r="A703" s="103">
        <v>45244</v>
      </c>
      <c r="B703" s="117" t="s">
        <v>3178</v>
      </c>
      <c r="C703" s="28" t="s">
        <v>511</v>
      </c>
      <c r="D703" s="28" t="s">
        <v>3179</v>
      </c>
      <c r="F703" s="28" t="s">
        <v>3180</v>
      </c>
      <c r="G703" s="28" t="s">
        <v>514</v>
      </c>
      <c r="H703" s="28" t="s">
        <v>1413</v>
      </c>
      <c r="I703" s="28" t="s">
        <v>517</v>
      </c>
      <c r="J703" s="28" t="s">
        <v>517</v>
      </c>
      <c r="K703" s="28" t="s">
        <v>518</v>
      </c>
      <c r="L703" s="28" t="s">
        <v>534</v>
      </c>
      <c r="M703" s="28" t="s">
        <v>535</v>
      </c>
      <c r="N703" s="28" t="s">
        <v>521</v>
      </c>
      <c r="O703" s="28" t="s">
        <v>1523</v>
      </c>
      <c r="P703" s="28" t="s">
        <v>522</v>
      </c>
      <c r="S703" s="28" t="s">
        <v>573</v>
      </c>
      <c r="T703" s="28" t="s">
        <v>537</v>
      </c>
      <c r="U703" s="28" t="s">
        <v>537</v>
      </c>
      <c r="V703" s="28" t="s">
        <v>517</v>
      </c>
      <c r="W703" s="28" t="s">
        <v>3181</v>
      </c>
      <c r="Z703" s="118" t="s">
        <v>563</v>
      </c>
      <c r="AA703" s="118"/>
      <c r="AB703" s="73" t="s">
        <v>609</v>
      </c>
      <c r="AD703" s="118" t="s">
        <v>954</v>
      </c>
      <c r="AE703" s="28" t="s">
        <v>563</v>
      </c>
      <c r="AF703" s="117" t="s">
        <v>3179</v>
      </c>
      <c r="AG703" s="28" t="s">
        <v>563</v>
      </c>
      <c r="AK703" s="60" t="s">
        <v>2927</v>
      </c>
      <c r="AL703" s="117">
        <f>1/COUNTIF(Tableau6[LAT],B703)</f>
        <v>1</v>
      </c>
      <c r="AM703" s="60" t="b">
        <f t="shared" si="80"/>
        <v>0</v>
      </c>
      <c r="AN703" s="60" t="b">
        <f t="shared" si="81"/>
        <v>0</v>
      </c>
      <c r="AO703" s="60" t="b">
        <f t="shared" si="82"/>
        <v>0</v>
      </c>
      <c r="AP703" s="60" t="b">
        <f t="shared" si="83"/>
        <v>0</v>
      </c>
      <c r="AQ703" s="60" t="b">
        <f t="shared" si="84"/>
        <v>0</v>
      </c>
      <c r="AR703" s="60" t="str">
        <f t="shared" si="85"/>
        <v>No</v>
      </c>
      <c r="AS703" s="60" t="str">
        <f t="shared" si="86"/>
        <v>No</v>
      </c>
    </row>
    <row r="704" spans="1:45" ht="15" hidden="1">
      <c r="A704" s="103">
        <v>45244</v>
      </c>
      <c r="B704" s="117" t="s">
        <v>3182</v>
      </c>
      <c r="C704" s="28" t="s">
        <v>511</v>
      </c>
      <c r="D704" s="28" t="s">
        <v>3183</v>
      </c>
      <c r="F704" s="28" t="s">
        <v>3135</v>
      </c>
      <c r="G704" s="28" t="s">
        <v>514</v>
      </c>
      <c r="H704" s="28" t="s">
        <v>3184</v>
      </c>
      <c r="I704" s="28" t="s">
        <v>516</v>
      </c>
      <c r="J704" s="28" t="s">
        <v>517</v>
      </c>
      <c r="K704" s="28" t="s">
        <v>518</v>
      </c>
      <c r="L704" s="28" t="s">
        <v>1502</v>
      </c>
      <c r="M704" s="28" t="s">
        <v>535</v>
      </c>
      <c r="N704" s="28" t="s">
        <v>544</v>
      </c>
      <c r="S704" s="28" t="s">
        <v>775</v>
      </c>
      <c r="T704" s="28" t="s">
        <v>811</v>
      </c>
      <c r="U704" s="28" t="s">
        <v>811</v>
      </c>
      <c r="V704" s="28" t="s">
        <v>517</v>
      </c>
      <c r="W704" s="28" t="s">
        <v>3185</v>
      </c>
      <c r="Z704" s="118" t="s">
        <v>526</v>
      </c>
      <c r="AA704" s="118"/>
      <c r="AB704" s="118"/>
      <c r="AD704" s="118" t="s">
        <v>954</v>
      </c>
      <c r="AE704" s="28" t="s">
        <v>563</v>
      </c>
      <c r="AF704" s="117" t="s">
        <v>3183</v>
      </c>
      <c r="AG704" s="28" t="s">
        <v>563</v>
      </c>
      <c r="AK704" s="60" t="s">
        <v>2927</v>
      </c>
      <c r="AL704" s="117">
        <f>1/COUNTIF(Tableau6[LAT],B704)</f>
        <v>0.5</v>
      </c>
      <c r="AM704" s="60" t="b">
        <f t="shared" si="80"/>
        <v>0</v>
      </c>
      <c r="AN704" s="60" t="b">
        <f t="shared" si="81"/>
        <v>0</v>
      </c>
      <c r="AO704" s="60" t="b">
        <f t="shared" si="82"/>
        <v>0</v>
      </c>
      <c r="AP704" s="60" t="b">
        <f t="shared" si="83"/>
        <v>0</v>
      </c>
      <c r="AQ704" s="60" t="b">
        <f t="shared" si="84"/>
        <v>0</v>
      </c>
      <c r="AR704" s="60" t="str">
        <f t="shared" si="85"/>
        <v>No</v>
      </c>
      <c r="AS704" s="60" t="str">
        <f t="shared" si="86"/>
        <v>No</v>
      </c>
    </row>
    <row r="705" spans="1:45" ht="15" hidden="1">
      <c r="A705" s="103">
        <v>45244</v>
      </c>
      <c r="B705" s="117" t="s">
        <v>3182</v>
      </c>
      <c r="C705" s="28" t="s">
        <v>548</v>
      </c>
      <c r="D705" s="28" t="s">
        <v>3186</v>
      </c>
      <c r="F705" s="28" t="s">
        <v>3135</v>
      </c>
      <c r="G705" s="28" t="s">
        <v>514</v>
      </c>
      <c r="H705" s="28" t="s">
        <v>3184</v>
      </c>
      <c r="I705" s="28" t="s">
        <v>516</v>
      </c>
      <c r="J705" s="28" t="s">
        <v>517</v>
      </c>
      <c r="K705" s="28" t="s">
        <v>518</v>
      </c>
      <c r="L705" s="28" t="s">
        <v>1502</v>
      </c>
      <c r="M705" s="28" t="s">
        <v>535</v>
      </c>
      <c r="N705" s="28" t="s">
        <v>544</v>
      </c>
      <c r="S705" s="28" t="s">
        <v>775</v>
      </c>
      <c r="T705" s="28" t="s">
        <v>811</v>
      </c>
      <c r="U705" s="28" t="s">
        <v>811</v>
      </c>
      <c r="V705" s="28" t="s">
        <v>517</v>
      </c>
      <c r="W705" s="28" t="s">
        <v>3187</v>
      </c>
      <c r="Z705" s="118" t="s">
        <v>526</v>
      </c>
      <c r="AA705" s="118"/>
      <c r="AB705" s="118"/>
      <c r="AD705" s="118" t="s">
        <v>954</v>
      </c>
      <c r="AE705" s="28" t="s">
        <v>563</v>
      </c>
      <c r="AF705" s="117" t="s">
        <v>3186</v>
      </c>
      <c r="AG705" s="28" t="s">
        <v>563</v>
      </c>
      <c r="AK705" s="60" t="s">
        <v>2927</v>
      </c>
      <c r="AL705" s="117">
        <f>1/COUNTIF(Tableau6[LAT],B705)</f>
        <v>0.5</v>
      </c>
      <c r="AM705" s="60" t="b">
        <f t="shared" si="80"/>
        <v>0</v>
      </c>
      <c r="AN705" s="60" t="b">
        <f t="shared" si="81"/>
        <v>0</v>
      </c>
      <c r="AO705" s="60" t="b">
        <f t="shared" si="82"/>
        <v>0</v>
      </c>
      <c r="AP705" s="60" t="b">
        <f t="shared" si="83"/>
        <v>0</v>
      </c>
      <c r="AQ705" s="60" t="b">
        <f t="shared" si="84"/>
        <v>0</v>
      </c>
      <c r="AR705" s="60" t="str">
        <f t="shared" si="85"/>
        <v>No</v>
      </c>
      <c r="AS705" s="60" t="str">
        <f t="shared" si="86"/>
        <v>No</v>
      </c>
    </row>
    <row r="706" spans="1:45" ht="15" hidden="1">
      <c r="A706" s="103">
        <v>45244</v>
      </c>
      <c r="B706" s="117" t="s">
        <v>3188</v>
      </c>
      <c r="C706" s="28" t="s">
        <v>511</v>
      </c>
      <c r="D706" s="28" t="s">
        <v>3189</v>
      </c>
      <c r="E706" s="28" t="s">
        <v>3190</v>
      </c>
      <c r="F706" s="28" t="s">
        <v>1031</v>
      </c>
      <c r="G706" s="28" t="s">
        <v>514</v>
      </c>
      <c r="H706" s="28" t="s">
        <v>2163</v>
      </c>
      <c r="I706" s="28" t="s">
        <v>516</v>
      </c>
      <c r="J706" s="28" t="s">
        <v>517</v>
      </c>
      <c r="K706" s="28" t="s">
        <v>518</v>
      </c>
      <c r="L706" s="28" t="s">
        <v>649</v>
      </c>
      <c r="M706" s="28" t="s">
        <v>520</v>
      </c>
      <c r="N706" s="28" t="s">
        <v>1140</v>
      </c>
      <c r="O706" s="28" t="s">
        <v>544</v>
      </c>
      <c r="S706" s="28" t="s">
        <v>897</v>
      </c>
      <c r="T706" s="28" t="s">
        <v>651</v>
      </c>
      <c r="U706" s="28" t="s">
        <v>651</v>
      </c>
      <c r="V706" s="28" t="s">
        <v>517</v>
      </c>
      <c r="W706" s="28" t="s">
        <v>1912</v>
      </c>
      <c r="X706" s="28" t="s">
        <v>1913</v>
      </c>
      <c r="Z706" s="118" t="s">
        <v>526</v>
      </c>
      <c r="AA706" s="118"/>
      <c r="AB706" s="118"/>
      <c r="AD706" s="118" t="s">
        <v>528</v>
      </c>
      <c r="AE706" s="28" t="s">
        <v>529</v>
      </c>
      <c r="AF706" s="117" t="s">
        <v>3189</v>
      </c>
      <c r="AG706" s="28" t="s">
        <v>529</v>
      </c>
      <c r="AK706" s="60" t="s">
        <v>2927</v>
      </c>
      <c r="AL706" s="117">
        <f>1/COUNTIF(Tableau6[LAT],B706)</f>
        <v>0.5</v>
      </c>
      <c r="AM706" s="60" t="b">
        <f t="shared" si="80"/>
        <v>0</v>
      </c>
      <c r="AN706" s="60" t="b">
        <f t="shared" si="81"/>
        <v>0</v>
      </c>
      <c r="AO706" s="60" t="b">
        <f t="shared" si="82"/>
        <v>0</v>
      </c>
      <c r="AP706" s="60" t="b">
        <f t="shared" si="83"/>
        <v>0</v>
      </c>
      <c r="AQ706" s="60" t="b">
        <f t="shared" si="84"/>
        <v>0</v>
      </c>
      <c r="AR706" s="60" t="str">
        <f t="shared" si="85"/>
        <v>No</v>
      </c>
      <c r="AS706" s="60" t="str">
        <f t="shared" si="86"/>
        <v>No</v>
      </c>
    </row>
    <row r="707" spans="1:45" ht="15" hidden="1">
      <c r="A707" s="103">
        <v>45244</v>
      </c>
      <c r="B707" s="117" t="s">
        <v>3188</v>
      </c>
      <c r="C707" s="28" t="s">
        <v>548</v>
      </c>
      <c r="D707" s="28" t="s">
        <v>3191</v>
      </c>
      <c r="E707" s="28" t="s">
        <v>3192</v>
      </c>
      <c r="F707" s="28" t="s">
        <v>1031</v>
      </c>
      <c r="G707" s="28" t="s">
        <v>514</v>
      </c>
      <c r="H707" s="28" t="s">
        <v>2163</v>
      </c>
      <c r="I707" s="28" t="s">
        <v>516</v>
      </c>
      <c r="J707" s="28" t="s">
        <v>517</v>
      </c>
      <c r="K707" s="28" t="s">
        <v>518</v>
      </c>
      <c r="L707" s="28" t="s">
        <v>649</v>
      </c>
      <c r="M707" s="28" t="s">
        <v>520</v>
      </c>
      <c r="N707" s="28" t="s">
        <v>1140</v>
      </c>
      <c r="O707" s="28" t="s">
        <v>544</v>
      </c>
      <c r="S707" s="28" t="s">
        <v>897</v>
      </c>
      <c r="T707" s="28" t="s">
        <v>651</v>
      </c>
      <c r="U707" s="28" t="s">
        <v>651</v>
      </c>
      <c r="V707" s="28" t="s">
        <v>517</v>
      </c>
      <c r="W707" s="28" t="s">
        <v>1912</v>
      </c>
      <c r="X707" s="28" t="s">
        <v>1913</v>
      </c>
      <c r="Z707" s="118" t="s">
        <v>526</v>
      </c>
      <c r="AA707" s="118"/>
      <c r="AB707" s="118"/>
      <c r="AD707" s="118" t="s">
        <v>528</v>
      </c>
      <c r="AE707" s="28" t="s">
        <v>529</v>
      </c>
      <c r="AF707" s="117" t="s">
        <v>3191</v>
      </c>
      <c r="AG707" s="28" t="s">
        <v>529</v>
      </c>
      <c r="AK707" s="60" t="s">
        <v>2927</v>
      </c>
      <c r="AL707" s="117">
        <f>1/COUNTIF(Tableau6[LAT],B707)</f>
        <v>0.5</v>
      </c>
      <c r="AM707" s="60" t="b">
        <f t="shared" si="80"/>
        <v>0</v>
      </c>
      <c r="AN707" s="60" t="b">
        <f t="shared" si="81"/>
        <v>0</v>
      </c>
      <c r="AO707" s="60" t="b">
        <f t="shared" si="82"/>
        <v>0</v>
      </c>
      <c r="AP707" s="60" t="b">
        <f t="shared" si="83"/>
        <v>0</v>
      </c>
      <c r="AQ707" s="60" t="b">
        <f t="shared" si="84"/>
        <v>0</v>
      </c>
      <c r="AR707" s="60" t="str">
        <f t="shared" si="85"/>
        <v>No</v>
      </c>
      <c r="AS707" s="60" t="str">
        <f t="shared" si="86"/>
        <v>No</v>
      </c>
    </row>
    <row r="708" spans="1:45" ht="15" hidden="1">
      <c r="A708" s="103">
        <v>45244</v>
      </c>
      <c r="B708" s="117" t="s">
        <v>3193</v>
      </c>
      <c r="C708" s="28" t="s">
        <v>511</v>
      </c>
      <c r="D708" s="28" t="s">
        <v>3194</v>
      </c>
      <c r="F708" s="28" t="s">
        <v>3195</v>
      </c>
      <c r="G708" s="28" t="s">
        <v>514</v>
      </c>
      <c r="H708" s="28" t="s">
        <v>1372</v>
      </c>
      <c r="I708" s="28" t="s">
        <v>516</v>
      </c>
      <c r="J708" s="28" t="s">
        <v>517</v>
      </c>
      <c r="K708" s="28" t="s">
        <v>518</v>
      </c>
      <c r="L708" s="28" t="s">
        <v>751</v>
      </c>
      <c r="M708" s="28" t="s">
        <v>520</v>
      </c>
      <c r="N708" s="28" t="s">
        <v>559</v>
      </c>
      <c r="S708" s="28" t="s">
        <v>1098</v>
      </c>
      <c r="T708" s="28" t="s">
        <v>753</v>
      </c>
      <c r="U708" s="28" t="s">
        <v>753</v>
      </c>
      <c r="V708" s="28" t="s">
        <v>517</v>
      </c>
      <c r="W708" s="28" t="s">
        <v>3196</v>
      </c>
      <c r="Z708" s="118" t="s">
        <v>563</v>
      </c>
      <c r="AA708" s="118"/>
      <c r="AB708" s="118" t="s">
        <v>527</v>
      </c>
      <c r="AD708" s="118" t="s">
        <v>528</v>
      </c>
      <c r="AE708" s="28" t="s">
        <v>563</v>
      </c>
      <c r="AF708" s="117" t="s">
        <v>3194</v>
      </c>
      <c r="AG708" s="28" t="s">
        <v>563</v>
      </c>
      <c r="AK708" s="60" t="s">
        <v>2927</v>
      </c>
      <c r="AL708" s="117">
        <f>1/COUNTIF(Tableau6[LAT],B708)</f>
        <v>1</v>
      </c>
      <c r="AM708" s="60" t="b">
        <f t="shared" si="80"/>
        <v>0</v>
      </c>
      <c r="AN708" s="60" t="b">
        <f t="shared" si="81"/>
        <v>0</v>
      </c>
      <c r="AO708" s="60" t="b">
        <f t="shared" si="82"/>
        <v>0</v>
      </c>
      <c r="AP708" s="60" t="b">
        <f t="shared" si="83"/>
        <v>0</v>
      </c>
      <c r="AQ708" s="60" t="b">
        <f t="shared" si="84"/>
        <v>0</v>
      </c>
      <c r="AR708" s="60" t="str">
        <f t="shared" si="85"/>
        <v>No</v>
      </c>
      <c r="AS708" s="60" t="str">
        <f t="shared" si="86"/>
        <v>No</v>
      </c>
    </row>
    <row r="709" spans="1:45" ht="15" hidden="1">
      <c r="A709" s="103">
        <v>45244</v>
      </c>
      <c r="B709" s="117" t="s">
        <v>3197</v>
      </c>
      <c r="C709" s="28" t="s">
        <v>511</v>
      </c>
      <c r="D709" s="28" t="s">
        <v>3198</v>
      </c>
      <c r="F709" s="28" t="s">
        <v>3199</v>
      </c>
      <c r="G709" s="28" t="s">
        <v>958</v>
      </c>
      <c r="H709" s="28" t="s">
        <v>1896</v>
      </c>
      <c r="I709" s="28" t="s">
        <v>516</v>
      </c>
      <c r="J709" s="28" t="s">
        <v>517</v>
      </c>
      <c r="K709" s="28" t="s">
        <v>518</v>
      </c>
      <c r="L709" s="28" t="s">
        <v>1502</v>
      </c>
      <c r="M709" s="28" t="s">
        <v>605</v>
      </c>
      <c r="N709" s="28" t="s">
        <v>521</v>
      </c>
      <c r="O709" s="28" t="s">
        <v>522</v>
      </c>
      <c r="S709" s="28" t="s">
        <v>2958</v>
      </c>
      <c r="T709" s="28" t="s">
        <v>811</v>
      </c>
      <c r="U709" s="28" t="s">
        <v>811</v>
      </c>
      <c r="V709" s="28" t="s">
        <v>517</v>
      </c>
      <c r="W709" s="28" t="s">
        <v>3200</v>
      </c>
      <c r="Z709" s="118" t="s">
        <v>563</v>
      </c>
      <c r="AA709" s="118"/>
      <c r="AB709" s="118" t="s">
        <v>527</v>
      </c>
      <c r="AD709" s="118" t="s">
        <v>528</v>
      </c>
      <c r="AE709" s="28" t="s">
        <v>563</v>
      </c>
      <c r="AF709" s="117" t="s">
        <v>3198</v>
      </c>
      <c r="AG709" s="28" t="s">
        <v>563</v>
      </c>
      <c r="AK709" s="60" t="s">
        <v>2927</v>
      </c>
      <c r="AL709" s="117">
        <f>1/COUNTIF(Tableau6[LAT],B709)</f>
        <v>1</v>
      </c>
      <c r="AM709" s="60" t="b">
        <f t="shared" si="80"/>
        <v>0</v>
      </c>
      <c r="AN709" s="60" t="b">
        <f t="shared" si="81"/>
        <v>0</v>
      </c>
      <c r="AO709" s="60" t="b">
        <f t="shared" si="82"/>
        <v>0</v>
      </c>
      <c r="AP709" s="60" t="b">
        <f t="shared" si="83"/>
        <v>0</v>
      </c>
      <c r="AQ709" s="60" t="b">
        <f t="shared" si="84"/>
        <v>0</v>
      </c>
      <c r="AR709" s="60" t="str">
        <f t="shared" si="85"/>
        <v>No</v>
      </c>
      <c r="AS709" s="60" t="str">
        <f t="shared" si="86"/>
        <v>No</v>
      </c>
    </row>
    <row r="710" spans="1:45" ht="15" hidden="1">
      <c r="A710" s="103">
        <v>45244</v>
      </c>
      <c r="B710" s="117" t="s">
        <v>3201</v>
      </c>
      <c r="C710" s="28" t="s">
        <v>511</v>
      </c>
      <c r="D710" s="28" t="s">
        <v>3202</v>
      </c>
      <c r="F710" s="28" t="s">
        <v>1547</v>
      </c>
      <c r="G710" s="28" t="s">
        <v>514</v>
      </c>
      <c r="H710" s="28" t="s">
        <v>658</v>
      </c>
      <c r="I710" s="28" t="s">
        <v>516</v>
      </c>
      <c r="J710" s="28" t="s">
        <v>517</v>
      </c>
      <c r="K710" s="28" t="s">
        <v>682</v>
      </c>
      <c r="L710" s="28" t="s">
        <v>3143</v>
      </c>
      <c r="M710" s="28" t="s">
        <v>605</v>
      </c>
      <c r="N710" s="28" t="s">
        <v>1107</v>
      </c>
      <c r="S710" s="28" t="s">
        <v>928</v>
      </c>
      <c r="T710" s="28" t="s">
        <v>1918</v>
      </c>
      <c r="U710" s="28" t="s">
        <v>1918</v>
      </c>
      <c r="V710" s="28" t="s">
        <v>517</v>
      </c>
      <c r="W710" s="28" t="s">
        <v>3203</v>
      </c>
      <c r="Z710" s="118" t="s">
        <v>563</v>
      </c>
      <c r="AA710" s="118"/>
      <c r="AB710" s="118" t="s">
        <v>527</v>
      </c>
      <c r="AD710" s="118" t="s">
        <v>528</v>
      </c>
      <c r="AE710" s="28" t="s">
        <v>563</v>
      </c>
      <c r="AF710" s="117" t="s">
        <v>3202</v>
      </c>
      <c r="AG710" s="28" t="s">
        <v>563</v>
      </c>
      <c r="AK710" s="60" t="s">
        <v>2927</v>
      </c>
      <c r="AL710" s="117">
        <f>1/COUNTIF(Tableau6[LAT],B710)</f>
        <v>1</v>
      </c>
      <c r="AM710" s="60" t="b">
        <f t="shared" si="80"/>
        <v>0</v>
      </c>
      <c r="AN710" s="60" t="b">
        <f t="shared" si="81"/>
        <v>0</v>
      </c>
      <c r="AO710" s="60" t="b">
        <f t="shared" si="82"/>
        <v>0</v>
      </c>
      <c r="AP710" s="60" t="b">
        <f t="shared" si="83"/>
        <v>0</v>
      </c>
      <c r="AQ710" s="60" t="b">
        <f t="shared" si="84"/>
        <v>0</v>
      </c>
      <c r="AR710" s="60" t="str">
        <f t="shared" si="85"/>
        <v>No</v>
      </c>
      <c r="AS710" s="60" t="str">
        <f t="shared" si="86"/>
        <v>No</v>
      </c>
    </row>
    <row r="711" spans="1:45" ht="15" hidden="1">
      <c r="A711" s="103">
        <v>45244</v>
      </c>
      <c r="B711" s="117" t="s">
        <v>3204</v>
      </c>
      <c r="C711" s="28" t="s">
        <v>511</v>
      </c>
      <c r="D711" s="28" t="s">
        <v>3205</v>
      </c>
      <c r="F711" s="28" t="s">
        <v>2625</v>
      </c>
      <c r="G711" s="28" t="s">
        <v>1456</v>
      </c>
      <c r="H711" s="28" t="s">
        <v>3206</v>
      </c>
      <c r="I711" s="28" t="s">
        <v>516</v>
      </c>
      <c r="J711" s="28" t="s">
        <v>517</v>
      </c>
      <c r="K711" s="28" t="s">
        <v>518</v>
      </c>
      <c r="L711" s="28" t="s">
        <v>697</v>
      </c>
      <c r="M711" s="28" t="s">
        <v>520</v>
      </c>
      <c r="N711" s="28" t="s">
        <v>557</v>
      </c>
      <c r="O711" s="28" t="s">
        <v>522</v>
      </c>
      <c r="S711" s="28" t="s">
        <v>2975</v>
      </c>
      <c r="T711" s="28" t="s">
        <v>699</v>
      </c>
      <c r="U711" s="28" t="s">
        <v>699</v>
      </c>
      <c r="V711" s="28" t="s">
        <v>517</v>
      </c>
      <c r="W711" s="28" t="s">
        <v>3207</v>
      </c>
      <c r="Z711" s="118" t="s">
        <v>526</v>
      </c>
      <c r="AA711" s="118"/>
      <c r="AB711" s="118"/>
      <c r="AD711" s="118" t="s">
        <v>954</v>
      </c>
      <c r="AE711" s="28" t="s">
        <v>563</v>
      </c>
      <c r="AF711" s="117" t="s">
        <v>3205</v>
      </c>
      <c r="AG711" s="28" t="s">
        <v>563</v>
      </c>
      <c r="AK711" s="60" t="s">
        <v>2927</v>
      </c>
      <c r="AL711" s="117">
        <f>1/COUNTIF(Tableau6[LAT],B711)</f>
        <v>1</v>
      </c>
      <c r="AM711" s="60" t="b">
        <f t="shared" si="80"/>
        <v>0</v>
      </c>
      <c r="AN711" s="60" t="b">
        <f t="shared" si="81"/>
        <v>0</v>
      </c>
      <c r="AO711" s="60" t="b">
        <f t="shared" si="82"/>
        <v>0</v>
      </c>
      <c r="AP711" s="60" t="b">
        <f t="shared" si="83"/>
        <v>0</v>
      </c>
      <c r="AQ711" s="60" t="b">
        <f t="shared" si="84"/>
        <v>0</v>
      </c>
      <c r="AR711" s="60" t="str">
        <f t="shared" si="85"/>
        <v>No</v>
      </c>
      <c r="AS711" s="60" t="str">
        <f t="shared" si="86"/>
        <v>Yes</v>
      </c>
    </row>
    <row r="712" spans="1:45" ht="15" hidden="1">
      <c r="A712" s="103">
        <v>45244</v>
      </c>
      <c r="B712" s="117" t="s">
        <v>3208</v>
      </c>
      <c r="C712" s="28" t="s">
        <v>511</v>
      </c>
      <c r="D712" s="28" t="s">
        <v>3209</v>
      </c>
      <c r="E712" s="28" t="s">
        <v>3210</v>
      </c>
      <c r="F712" s="28" t="s">
        <v>3211</v>
      </c>
      <c r="G712" s="28" t="s">
        <v>514</v>
      </c>
      <c r="H712" s="28" t="s">
        <v>2668</v>
      </c>
      <c r="I712" s="28" t="s">
        <v>516</v>
      </c>
      <c r="J712" s="28" t="s">
        <v>517</v>
      </c>
      <c r="K712" s="28" t="s">
        <v>518</v>
      </c>
      <c r="L712" s="28" t="s">
        <v>1097</v>
      </c>
      <c r="M712" s="28" t="s">
        <v>605</v>
      </c>
      <c r="N712" s="28" t="s">
        <v>557</v>
      </c>
      <c r="O712" s="28" t="s">
        <v>544</v>
      </c>
      <c r="P712" s="28" t="s">
        <v>522</v>
      </c>
      <c r="S712" s="28" t="s">
        <v>1052</v>
      </c>
      <c r="T712" s="28" t="s">
        <v>1098</v>
      </c>
      <c r="U712" s="28" t="s">
        <v>1098</v>
      </c>
      <c r="V712" s="28" t="s">
        <v>517</v>
      </c>
      <c r="W712" s="28" t="s">
        <v>3212</v>
      </c>
      <c r="X712" s="28" t="s">
        <v>1071</v>
      </c>
      <c r="Z712" s="118" t="s">
        <v>563</v>
      </c>
      <c r="AA712" s="118"/>
      <c r="AB712" s="118" t="s">
        <v>527</v>
      </c>
      <c r="AD712" s="118" t="s">
        <v>954</v>
      </c>
      <c r="AE712" s="28" t="s">
        <v>563</v>
      </c>
      <c r="AF712" s="117" t="s">
        <v>3209</v>
      </c>
      <c r="AG712" s="28" t="s">
        <v>563</v>
      </c>
      <c r="AK712" s="60" t="s">
        <v>2927</v>
      </c>
      <c r="AL712" s="117">
        <f>1/COUNTIF(Tableau6[LAT],B712)</f>
        <v>0.25</v>
      </c>
      <c r="AM712" s="60" t="b">
        <f t="shared" si="80"/>
        <v>0</v>
      </c>
      <c r="AN712" s="60" t="b">
        <f t="shared" si="81"/>
        <v>0</v>
      </c>
      <c r="AO712" s="60" t="b">
        <f t="shared" si="82"/>
        <v>0</v>
      </c>
      <c r="AP712" s="60" t="b">
        <f t="shared" si="83"/>
        <v>0</v>
      </c>
      <c r="AQ712" s="60" t="b">
        <f t="shared" si="84"/>
        <v>0</v>
      </c>
      <c r="AR712" s="60" t="str">
        <f t="shared" si="85"/>
        <v>No</v>
      </c>
      <c r="AS712" s="60" t="str">
        <f t="shared" si="86"/>
        <v>No</v>
      </c>
    </row>
    <row r="713" spans="1:45" ht="15" hidden="1">
      <c r="A713" s="103">
        <v>45244</v>
      </c>
      <c r="B713" s="117" t="s">
        <v>3208</v>
      </c>
      <c r="C713" s="28" t="s">
        <v>548</v>
      </c>
      <c r="D713" s="28" t="s">
        <v>3213</v>
      </c>
      <c r="E713" s="28" t="s">
        <v>3214</v>
      </c>
      <c r="F713" s="28" t="s">
        <v>3211</v>
      </c>
      <c r="G713" s="28" t="s">
        <v>514</v>
      </c>
      <c r="H713" s="28" t="s">
        <v>2668</v>
      </c>
      <c r="I713" s="28" t="s">
        <v>516</v>
      </c>
      <c r="J713" s="28" t="s">
        <v>517</v>
      </c>
      <c r="K713" s="28" t="s">
        <v>518</v>
      </c>
      <c r="L713" s="28" t="s">
        <v>1097</v>
      </c>
      <c r="M713" s="28" t="s">
        <v>605</v>
      </c>
      <c r="N713" s="28" t="s">
        <v>557</v>
      </c>
      <c r="O713" s="28" t="s">
        <v>544</v>
      </c>
      <c r="P713" s="28" t="s">
        <v>522</v>
      </c>
      <c r="S713" s="28" t="s">
        <v>1052</v>
      </c>
      <c r="T713" s="28" t="s">
        <v>1098</v>
      </c>
      <c r="U713" s="28" t="s">
        <v>1098</v>
      </c>
      <c r="V713" s="28" t="s">
        <v>517</v>
      </c>
      <c r="W713" s="28" t="s">
        <v>3215</v>
      </c>
      <c r="X713" s="28" t="s">
        <v>670</v>
      </c>
      <c r="Z713" s="118" t="s">
        <v>563</v>
      </c>
      <c r="AA713" s="118"/>
      <c r="AB713" s="118" t="s">
        <v>527</v>
      </c>
      <c r="AD713" s="118" t="s">
        <v>954</v>
      </c>
      <c r="AE713" s="28" t="s">
        <v>563</v>
      </c>
      <c r="AF713" s="117" t="s">
        <v>3213</v>
      </c>
      <c r="AG713" s="28" t="s">
        <v>563</v>
      </c>
      <c r="AK713" s="60" t="s">
        <v>2927</v>
      </c>
      <c r="AL713" s="117">
        <f>1/COUNTIF(Tableau6[LAT],B713)</f>
        <v>0.25</v>
      </c>
      <c r="AM713" s="60" t="b">
        <f t="shared" si="80"/>
        <v>0</v>
      </c>
      <c r="AN713" s="60" t="b">
        <f t="shared" si="81"/>
        <v>0</v>
      </c>
      <c r="AO713" s="60" t="b">
        <f t="shared" si="82"/>
        <v>0</v>
      </c>
      <c r="AP713" s="60" t="b">
        <f t="shared" si="83"/>
        <v>0</v>
      </c>
      <c r="AQ713" s="60" t="b">
        <f t="shared" si="84"/>
        <v>0</v>
      </c>
      <c r="AR713" s="60" t="str">
        <f t="shared" si="85"/>
        <v>No</v>
      </c>
      <c r="AS713" s="60" t="str">
        <f t="shared" si="86"/>
        <v>No</v>
      </c>
    </row>
    <row r="714" spans="1:45" ht="15" hidden="1">
      <c r="A714" s="103">
        <v>45244</v>
      </c>
      <c r="B714" s="117" t="s">
        <v>3208</v>
      </c>
      <c r="C714" s="28" t="s">
        <v>612</v>
      </c>
      <c r="D714" s="28" t="s">
        <v>3216</v>
      </c>
      <c r="E714" s="28" t="s">
        <v>3214</v>
      </c>
      <c r="F714" s="28" t="s">
        <v>3211</v>
      </c>
      <c r="G714" s="28" t="s">
        <v>514</v>
      </c>
      <c r="H714" s="28" t="s">
        <v>2668</v>
      </c>
      <c r="I714" s="28" t="s">
        <v>516</v>
      </c>
      <c r="J714" s="28" t="s">
        <v>517</v>
      </c>
      <c r="K714" s="28" t="s">
        <v>518</v>
      </c>
      <c r="L714" s="28" t="s">
        <v>1097</v>
      </c>
      <c r="M714" s="28" t="s">
        <v>605</v>
      </c>
      <c r="N714" s="28" t="s">
        <v>557</v>
      </c>
      <c r="O714" s="28" t="s">
        <v>544</v>
      </c>
      <c r="P714" s="28" t="s">
        <v>522</v>
      </c>
      <c r="S714" s="28" t="s">
        <v>1052</v>
      </c>
      <c r="T714" s="28" t="s">
        <v>1098</v>
      </c>
      <c r="U714" s="28" t="s">
        <v>1098</v>
      </c>
      <c r="V714" s="28" t="s">
        <v>517</v>
      </c>
      <c r="W714" s="28" t="s">
        <v>3215</v>
      </c>
      <c r="X714" s="28" t="s">
        <v>670</v>
      </c>
      <c r="Z714" s="118" t="s">
        <v>563</v>
      </c>
      <c r="AA714" s="118"/>
      <c r="AB714" s="118" t="s">
        <v>527</v>
      </c>
      <c r="AD714" s="118" t="s">
        <v>954</v>
      </c>
      <c r="AE714" s="28" t="s">
        <v>563</v>
      </c>
      <c r="AF714" s="117" t="s">
        <v>3216</v>
      </c>
      <c r="AG714" s="28" t="s">
        <v>563</v>
      </c>
      <c r="AK714" s="60" t="s">
        <v>2927</v>
      </c>
      <c r="AL714" s="117">
        <f>1/COUNTIF(Tableau6[LAT],B714)</f>
        <v>0.25</v>
      </c>
      <c r="AM714" s="60" t="b">
        <f t="shared" si="80"/>
        <v>0</v>
      </c>
      <c r="AN714" s="60" t="b">
        <f t="shared" si="81"/>
        <v>0</v>
      </c>
      <c r="AO714" s="60" t="b">
        <f t="shared" si="82"/>
        <v>0</v>
      </c>
      <c r="AP714" s="60" t="b">
        <f t="shared" si="83"/>
        <v>0</v>
      </c>
      <c r="AQ714" s="60" t="b">
        <f t="shared" si="84"/>
        <v>0</v>
      </c>
      <c r="AR714" s="60" t="str">
        <f t="shared" si="85"/>
        <v>No</v>
      </c>
      <c r="AS714" s="60" t="str">
        <f t="shared" si="86"/>
        <v>No</v>
      </c>
    </row>
    <row r="715" spans="1:45" ht="15" hidden="1">
      <c r="A715" s="103">
        <v>45244</v>
      </c>
      <c r="B715" s="117" t="s">
        <v>3208</v>
      </c>
      <c r="C715" s="28" t="s">
        <v>691</v>
      </c>
      <c r="D715" s="28" t="s">
        <v>3217</v>
      </c>
      <c r="E715" s="28" t="s">
        <v>3214</v>
      </c>
      <c r="F715" s="28" t="s">
        <v>3211</v>
      </c>
      <c r="G715" s="28" t="s">
        <v>514</v>
      </c>
      <c r="H715" s="28" t="s">
        <v>2668</v>
      </c>
      <c r="I715" s="28" t="s">
        <v>516</v>
      </c>
      <c r="J715" s="28" t="s">
        <v>517</v>
      </c>
      <c r="K715" s="28" t="s">
        <v>518</v>
      </c>
      <c r="L715" s="28" t="s">
        <v>1097</v>
      </c>
      <c r="M715" s="28" t="s">
        <v>605</v>
      </c>
      <c r="N715" s="28" t="s">
        <v>557</v>
      </c>
      <c r="O715" s="28" t="s">
        <v>544</v>
      </c>
      <c r="P715" s="28" t="s">
        <v>522</v>
      </c>
      <c r="S715" s="28" t="s">
        <v>1052</v>
      </c>
      <c r="T715" s="28" t="s">
        <v>1098</v>
      </c>
      <c r="U715" s="28" t="s">
        <v>1098</v>
      </c>
      <c r="V715" s="28" t="s">
        <v>517</v>
      </c>
      <c r="W715" s="28" t="s">
        <v>3215</v>
      </c>
      <c r="X715" s="28" t="s">
        <v>670</v>
      </c>
      <c r="Z715" s="118" t="s">
        <v>563</v>
      </c>
      <c r="AA715" s="118"/>
      <c r="AB715" s="118" t="s">
        <v>527</v>
      </c>
      <c r="AD715" s="118" t="s">
        <v>954</v>
      </c>
      <c r="AE715" s="28" t="s">
        <v>563</v>
      </c>
      <c r="AF715" s="117" t="s">
        <v>3217</v>
      </c>
      <c r="AG715" s="28" t="s">
        <v>563</v>
      </c>
      <c r="AK715" s="60" t="s">
        <v>2927</v>
      </c>
      <c r="AL715" s="117">
        <f>1/COUNTIF(Tableau6[LAT],B715)</f>
        <v>0.25</v>
      </c>
      <c r="AM715" s="60" t="b">
        <f t="shared" si="80"/>
        <v>0</v>
      </c>
      <c r="AN715" s="60" t="b">
        <f t="shared" si="81"/>
        <v>0</v>
      </c>
      <c r="AO715" s="60" t="b">
        <f t="shared" si="82"/>
        <v>0</v>
      </c>
      <c r="AP715" s="60" t="b">
        <f t="shared" si="83"/>
        <v>0</v>
      </c>
      <c r="AQ715" s="60" t="b">
        <f t="shared" si="84"/>
        <v>0</v>
      </c>
      <c r="AR715" s="60" t="str">
        <f t="shared" si="85"/>
        <v>No</v>
      </c>
      <c r="AS715" s="60" t="str">
        <f t="shared" si="86"/>
        <v>No</v>
      </c>
    </row>
    <row r="716" spans="1:45" ht="15" hidden="1">
      <c r="A716" s="103">
        <v>45244</v>
      </c>
      <c r="B716" s="117" t="s">
        <v>3218</v>
      </c>
      <c r="C716" s="28" t="s">
        <v>511</v>
      </c>
      <c r="D716" s="28" t="s">
        <v>3219</v>
      </c>
      <c r="E716" s="28" t="s">
        <v>3220</v>
      </c>
      <c r="F716" s="28" t="s">
        <v>3221</v>
      </c>
      <c r="G716" s="28" t="s">
        <v>958</v>
      </c>
      <c r="H716" s="28" t="s">
        <v>3222</v>
      </c>
      <c r="I716" s="28" t="s">
        <v>516</v>
      </c>
      <c r="J716" s="28" t="s">
        <v>517</v>
      </c>
      <c r="K716" s="28" t="s">
        <v>518</v>
      </c>
      <c r="L716" s="28" t="s">
        <v>2925</v>
      </c>
      <c r="M716" s="28" t="s">
        <v>535</v>
      </c>
      <c r="N716" s="28" t="s">
        <v>544</v>
      </c>
      <c r="S716" s="28" t="s">
        <v>752</v>
      </c>
      <c r="T716" s="28" t="s">
        <v>1042</v>
      </c>
      <c r="U716" s="28" t="s">
        <v>1042</v>
      </c>
      <c r="V716" s="28" t="s">
        <v>517</v>
      </c>
      <c r="W716" s="28" t="s">
        <v>3223</v>
      </c>
      <c r="X716" s="28" t="s">
        <v>1071</v>
      </c>
      <c r="Z716" s="118" t="s">
        <v>563</v>
      </c>
      <c r="AA716" s="118"/>
      <c r="AB716" s="118" t="s">
        <v>527</v>
      </c>
      <c r="AD716" s="118" t="s">
        <v>528</v>
      </c>
      <c r="AE716" s="28" t="s">
        <v>563</v>
      </c>
      <c r="AF716" s="117" t="s">
        <v>3219</v>
      </c>
      <c r="AG716" s="28" t="s">
        <v>563</v>
      </c>
      <c r="AK716" s="60" t="s">
        <v>2927</v>
      </c>
      <c r="AL716" s="117">
        <f>1/COUNTIF(Tableau6[LAT],B716)</f>
        <v>0.25</v>
      </c>
      <c r="AM716" s="60" t="b">
        <f t="shared" si="80"/>
        <v>0</v>
      </c>
      <c r="AN716" s="60" t="b">
        <f t="shared" si="81"/>
        <v>0</v>
      </c>
      <c r="AO716" s="60" t="b">
        <f t="shared" si="82"/>
        <v>0</v>
      </c>
      <c r="AP716" s="60" t="b">
        <f t="shared" si="83"/>
        <v>0</v>
      </c>
      <c r="AQ716" s="60" t="b">
        <f t="shared" si="84"/>
        <v>0</v>
      </c>
      <c r="AR716" s="60" t="str">
        <f t="shared" si="85"/>
        <v>No</v>
      </c>
      <c r="AS716" s="60" t="str">
        <f t="shared" si="86"/>
        <v>No</v>
      </c>
    </row>
    <row r="717" spans="1:45" ht="15" hidden="1">
      <c r="A717" s="103">
        <v>45244</v>
      </c>
      <c r="B717" s="117" t="s">
        <v>3218</v>
      </c>
      <c r="C717" s="28" t="s">
        <v>548</v>
      </c>
      <c r="D717" s="28" t="s">
        <v>3224</v>
      </c>
      <c r="E717" s="28" t="s">
        <v>3220</v>
      </c>
      <c r="F717" s="28" t="s">
        <v>3225</v>
      </c>
      <c r="G717" s="28" t="s">
        <v>958</v>
      </c>
      <c r="H717" s="28" t="s">
        <v>3222</v>
      </c>
      <c r="I717" s="28" t="s">
        <v>516</v>
      </c>
      <c r="J717" s="28" t="s">
        <v>517</v>
      </c>
      <c r="K717" s="28" t="s">
        <v>518</v>
      </c>
      <c r="L717" s="28" t="s">
        <v>2925</v>
      </c>
      <c r="M717" s="28" t="s">
        <v>535</v>
      </c>
      <c r="N717" s="28" t="s">
        <v>544</v>
      </c>
      <c r="S717" s="28" t="s">
        <v>752</v>
      </c>
      <c r="T717" s="28" t="s">
        <v>1042</v>
      </c>
      <c r="U717" s="28" t="s">
        <v>1042</v>
      </c>
      <c r="V717" s="28" t="s">
        <v>517</v>
      </c>
      <c r="W717" s="28" t="s">
        <v>3223</v>
      </c>
      <c r="X717" s="28" t="s">
        <v>1071</v>
      </c>
      <c r="Z717" s="118" t="s">
        <v>563</v>
      </c>
      <c r="AA717" s="118"/>
      <c r="AB717" s="118" t="s">
        <v>527</v>
      </c>
      <c r="AD717" s="118" t="s">
        <v>528</v>
      </c>
      <c r="AE717" s="28" t="s">
        <v>563</v>
      </c>
      <c r="AF717" s="117" t="s">
        <v>3224</v>
      </c>
      <c r="AG717" s="28" t="s">
        <v>563</v>
      </c>
      <c r="AK717" s="60" t="s">
        <v>2927</v>
      </c>
      <c r="AL717" s="117">
        <f>1/COUNTIF(Tableau6[LAT],B717)</f>
        <v>0.25</v>
      </c>
      <c r="AM717" s="60" t="b">
        <f t="shared" si="80"/>
        <v>0</v>
      </c>
      <c r="AN717" s="60" t="b">
        <f t="shared" si="81"/>
        <v>0</v>
      </c>
      <c r="AO717" s="60" t="b">
        <f t="shared" si="82"/>
        <v>0</v>
      </c>
      <c r="AP717" s="60" t="b">
        <f t="shared" si="83"/>
        <v>0</v>
      </c>
      <c r="AQ717" s="60" t="b">
        <f t="shared" si="84"/>
        <v>0</v>
      </c>
      <c r="AR717" s="60" t="str">
        <f t="shared" si="85"/>
        <v>No</v>
      </c>
      <c r="AS717" s="60" t="str">
        <f t="shared" si="86"/>
        <v>No</v>
      </c>
    </row>
    <row r="718" spans="1:45" ht="15" hidden="1">
      <c r="A718" s="103">
        <v>45244</v>
      </c>
      <c r="B718" s="117" t="s">
        <v>3218</v>
      </c>
      <c r="C718" s="28" t="s">
        <v>612</v>
      </c>
      <c r="D718" s="28" t="s">
        <v>3226</v>
      </c>
      <c r="E718" s="28" t="s">
        <v>3220</v>
      </c>
      <c r="F718" s="28" t="s">
        <v>3225</v>
      </c>
      <c r="G718" s="28" t="s">
        <v>958</v>
      </c>
      <c r="H718" s="28" t="s">
        <v>3222</v>
      </c>
      <c r="I718" s="28" t="s">
        <v>516</v>
      </c>
      <c r="J718" s="28" t="s">
        <v>517</v>
      </c>
      <c r="K718" s="28" t="s">
        <v>518</v>
      </c>
      <c r="L718" s="28" t="s">
        <v>2925</v>
      </c>
      <c r="M718" s="28" t="s">
        <v>535</v>
      </c>
      <c r="N718" s="28" t="s">
        <v>544</v>
      </c>
      <c r="S718" s="28" t="s">
        <v>752</v>
      </c>
      <c r="T718" s="28" t="s">
        <v>1042</v>
      </c>
      <c r="U718" s="28" t="s">
        <v>1042</v>
      </c>
      <c r="V718" s="28" t="s">
        <v>517</v>
      </c>
      <c r="W718" s="28" t="s">
        <v>3223</v>
      </c>
      <c r="X718" s="28" t="s">
        <v>1071</v>
      </c>
      <c r="Z718" s="118" t="s">
        <v>563</v>
      </c>
      <c r="AA718" s="118"/>
      <c r="AB718" s="118" t="s">
        <v>527</v>
      </c>
      <c r="AD718" s="118"/>
      <c r="AF718" s="117"/>
      <c r="AK718" s="60" t="s">
        <v>2927</v>
      </c>
      <c r="AL718" s="117">
        <f>1/COUNTIF(Tableau6[LAT],B718)</f>
        <v>0.25</v>
      </c>
      <c r="AM718" s="60" t="b">
        <f t="shared" si="80"/>
        <v>0</v>
      </c>
      <c r="AN718" s="60" t="b">
        <f t="shared" si="81"/>
        <v>0</v>
      </c>
      <c r="AO718" s="60" t="b">
        <f t="shared" si="82"/>
        <v>0</v>
      </c>
      <c r="AP718" s="60" t="b">
        <f t="shared" si="83"/>
        <v>0</v>
      </c>
      <c r="AQ718" s="60" t="b">
        <f t="shared" si="84"/>
        <v>0</v>
      </c>
      <c r="AR718" s="60" t="str">
        <f t="shared" si="85"/>
        <v>No</v>
      </c>
      <c r="AS718" s="60" t="str">
        <f t="shared" si="86"/>
        <v>No</v>
      </c>
    </row>
    <row r="719" spans="1:45" ht="15" hidden="1">
      <c r="A719" s="103">
        <v>45244</v>
      </c>
      <c r="B719" s="117" t="s">
        <v>3218</v>
      </c>
      <c r="C719" s="28" t="s">
        <v>691</v>
      </c>
      <c r="D719" s="28" t="s">
        <v>3227</v>
      </c>
      <c r="E719" s="28" t="s">
        <v>3220</v>
      </c>
      <c r="F719" s="28" t="s">
        <v>3225</v>
      </c>
      <c r="G719" s="28" t="s">
        <v>958</v>
      </c>
      <c r="H719" s="28" t="s">
        <v>3222</v>
      </c>
      <c r="I719" s="28" t="s">
        <v>516</v>
      </c>
      <c r="J719" s="28" t="s">
        <v>517</v>
      </c>
      <c r="K719" s="28" t="s">
        <v>518</v>
      </c>
      <c r="L719" s="28" t="s">
        <v>2925</v>
      </c>
      <c r="M719" s="28" t="s">
        <v>535</v>
      </c>
      <c r="N719" s="28" t="s">
        <v>544</v>
      </c>
      <c r="S719" s="28" t="s">
        <v>752</v>
      </c>
      <c r="T719" s="28" t="s">
        <v>1042</v>
      </c>
      <c r="U719" s="28" t="s">
        <v>1042</v>
      </c>
      <c r="V719" s="28" t="s">
        <v>517</v>
      </c>
      <c r="W719" s="28" t="s">
        <v>3223</v>
      </c>
      <c r="X719" s="28" t="s">
        <v>1071</v>
      </c>
      <c r="Z719" s="118" t="s">
        <v>563</v>
      </c>
      <c r="AA719" s="118"/>
      <c r="AB719" s="118" t="s">
        <v>527</v>
      </c>
      <c r="AD719" s="118"/>
      <c r="AF719" s="117"/>
      <c r="AK719" s="60" t="s">
        <v>2927</v>
      </c>
      <c r="AL719" s="117">
        <f>1/COUNTIF(Tableau6[LAT],B719)</f>
        <v>0.25</v>
      </c>
      <c r="AM719" s="60" t="b">
        <f t="shared" si="80"/>
        <v>0</v>
      </c>
      <c r="AN719" s="60" t="b">
        <f t="shared" si="81"/>
        <v>0</v>
      </c>
      <c r="AO719" s="60" t="b">
        <f t="shared" si="82"/>
        <v>0</v>
      </c>
      <c r="AP719" s="60" t="b">
        <f t="shared" si="83"/>
        <v>0</v>
      </c>
      <c r="AQ719" s="60" t="b">
        <f t="shared" si="84"/>
        <v>0</v>
      </c>
      <c r="AR719" s="60" t="str">
        <f t="shared" si="85"/>
        <v>No</v>
      </c>
      <c r="AS719" s="60" t="str">
        <f t="shared" si="86"/>
        <v>No</v>
      </c>
    </row>
    <row r="720" spans="1:45" ht="15" hidden="1">
      <c r="A720" s="103">
        <v>45244</v>
      </c>
      <c r="B720" s="117" t="s">
        <v>3228</v>
      </c>
      <c r="C720" s="28" t="s">
        <v>511</v>
      </c>
      <c r="D720" s="28" t="s">
        <v>3229</v>
      </c>
      <c r="F720" s="28" t="s">
        <v>3230</v>
      </c>
      <c r="G720" s="28" t="s">
        <v>514</v>
      </c>
      <c r="H720" s="28" t="s">
        <v>3145</v>
      </c>
      <c r="I720" s="28" t="s">
        <v>516</v>
      </c>
      <c r="J720" s="28" t="s">
        <v>517</v>
      </c>
      <c r="K720" s="28" t="s">
        <v>518</v>
      </c>
      <c r="L720" s="28" t="s">
        <v>751</v>
      </c>
      <c r="M720" s="28" t="s">
        <v>520</v>
      </c>
      <c r="N720" s="28" t="s">
        <v>522</v>
      </c>
      <c r="S720" s="28" t="s">
        <v>545</v>
      </c>
      <c r="T720" s="28" t="s">
        <v>753</v>
      </c>
      <c r="U720" s="28" t="s">
        <v>753</v>
      </c>
      <c r="V720" s="28" t="s">
        <v>517</v>
      </c>
      <c r="W720" s="28" t="s">
        <v>3231</v>
      </c>
      <c r="Z720" s="118" t="s">
        <v>563</v>
      </c>
      <c r="AA720" s="118"/>
      <c r="AB720" s="118" t="s">
        <v>527</v>
      </c>
      <c r="AD720" s="118" t="s">
        <v>528</v>
      </c>
      <c r="AE720" s="28" t="s">
        <v>563</v>
      </c>
      <c r="AF720" s="117" t="s">
        <v>3229</v>
      </c>
      <c r="AG720" s="28" t="s">
        <v>563</v>
      </c>
      <c r="AK720" s="60" t="s">
        <v>2927</v>
      </c>
      <c r="AL720" s="117">
        <f>1/COUNTIF(Tableau6[LAT],B720)</f>
        <v>1</v>
      </c>
      <c r="AM720" s="60" t="b">
        <f t="shared" si="80"/>
        <v>0</v>
      </c>
      <c r="AN720" s="60" t="b">
        <f t="shared" si="81"/>
        <v>0</v>
      </c>
      <c r="AO720" s="60" t="b">
        <f t="shared" si="82"/>
        <v>0</v>
      </c>
      <c r="AP720" s="60" t="b">
        <f t="shared" si="83"/>
        <v>0</v>
      </c>
      <c r="AQ720" s="60" t="b">
        <f t="shared" si="84"/>
        <v>0</v>
      </c>
      <c r="AR720" s="60" t="str">
        <f t="shared" si="85"/>
        <v>No</v>
      </c>
      <c r="AS720" s="60" t="str">
        <f t="shared" si="86"/>
        <v>No</v>
      </c>
    </row>
    <row r="721" spans="1:45" ht="15" hidden="1">
      <c r="A721" s="103">
        <v>45244</v>
      </c>
      <c r="B721" s="117" t="s">
        <v>3232</v>
      </c>
      <c r="C721" s="28" t="s">
        <v>511</v>
      </c>
      <c r="D721" s="28" t="s">
        <v>3233</v>
      </c>
      <c r="F721" s="28" t="s">
        <v>3234</v>
      </c>
      <c r="G721" s="28" t="s">
        <v>514</v>
      </c>
      <c r="H721" s="28" t="s">
        <v>1580</v>
      </c>
      <c r="I721" s="28" t="s">
        <v>516</v>
      </c>
      <c r="J721" s="28" t="s">
        <v>517</v>
      </c>
      <c r="K721" s="28" t="s">
        <v>518</v>
      </c>
      <c r="L721" s="28" t="s">
        <v>751</v>
      </c>
      <c r="M721" s="28" t="s">
        <v>605</v>
      </c>
      <c r="N721" s="28" t="s">
        <v>557</v>
      </c>
      <c r="O721" s="28" t="s">
        <v>544</v>
      </c>
      <c r="P721" s="28" t="s">
        <v>522</v>
      </c>
      <c r="S721" s="28" t="s">
        <v>607</v>
      </c>
      <c r="T721" s="28" t="s">
        <v>753</v>
      </c>
      <c r="U721" s="28" t="s">
        <v>753</v>
      </c>
      <c r="V721" s="28" t="s">
        <v>517</v>
      </c>
      <c r="W721" s="28" t="s">
        <v>3235</v>
      </c>
      <c r="Z721" s="118" t="s">
        <v>563</v>
      </c>
      <c r="AA721" s="118"/>
      <c r="AB721" s="118" t="s">
        <v>527</v>
      </c>
      <c r="AD721" s="118" t="s">
        <v>954</v>
      </c>
      <c r="AE721" s="28" t="s">
        <v>563</v>
      </c>
      <c r="AF721" s="117" t="s">
        <v>3233</v>
      </c>
      <c r="AG721" s="28" t="s">
        <v>563</v>
      </c>
      <c r="AK721" s="60" t="s">
        <v>2927</v>
      </c>
      <c r="AL721" s="117">
        <f>1/COUNTIF(Tableau6[LAT],B721)</f>
        <v>0.5</v>
      </c>
      <c r="AM721" s="60" t="b">
        <f t="shared" si="80"/>
        <v>0</v>
      </c>
      <c r="AN721" s="60" t="b">
        <f t="shared" si="81"/>
        <v>0</v>
      </c>
      <c r="AO721" s="60" t="b">
        <f t="shared" si="82"/>
        <v>0</v>
      </c>
      <c r="AP721" s="60" t="b">
        <f t="shared" si="83"/>
        <v>0</v>
      </c>
      <c r="AQ721" s="60" t="b">
        <f t="shared" si="84"/>
        <v>0</v>
      </c>
      <c r="AR721" s="60" t="str">
        <f t="shared" si="85"/>
        <v>No</v>
      </c>
      <c r="AS721" s="60" t="str">
        <f t="shared" si="86"/>
        <v>No</v>
      </c>
    </row>
    <row r="722" spans="1:45" ht="15" hidden="1">
      <c r="A722" s="103">
        <v>45244</v>
      </c>
      <c r="B722" s="117" t="s">
        <v>3232</v>
      </c>
      <c r="C722" s="28" t="s">
        <v>548</v>
      </c>
      <c r="D722" s="28" t="s">
        <v>3236</v>
      </c>
      <c r="F722" s="28" t="s">
        <v>3234</v>
      </c>
      <c r="G722" s="28" t="s">
        <v>514</v>
      </c>
      <c r="H722" s="28" t="s">
        <v>1580</v>
      </c>
      <c r="I722" s="28" t="s">
        <v>516</v>
      </c>
      <c r="J722" s="28" t="s">
        <v>517</v>
      </c>
      <c r="K722" s="28" t="s">
        <v>518</v>
      </c>
      <c r="L722" s="28" t="s">
        <v>751</v>
      </c>
      <c r="M722" s="28" t="s">
        <v>605</v>
      </c>
      <c r="N722" s="28" t="s">
        <v>557</v>
      </c>
      <c r="O722" s="28" t="s">
        <v>544</v>
      </c>
      <c r="P722" s="28" t="s">
        <v>522</v>
      </c>
      <c r="S722" s="28" t="s">
        <v>607</v>
      </c>
      <c r="T722" s="28" t="s">
        <v>753</v>
      </c>
      <c r="U722" s="28" t="s">
        <v>753</v>
      </c>
      <c r="V722" s="28" t="s">
        <v>517</v>
      </c>
      <c r="W722" s="28" t="s">
        <v>3237</v>
      </c>
      <c r="Z722" s="118" t="s">
        <v>563</v>
      </c>
      <c r="AA722" s="118"/>
      <c r="AB722" s="118" t="s">
        <v>527</v>
      </c>
      <c r="AD722" s="118" t="s">
        <v>954</v>
      </c>
      <c r="AE722" s="28" t="s">
        <v>563</v>
      </c>
      <c r="AF722" s="117" t="s">
        <v>3236</v>
      </c>
      <c r="AG722" s="28" t="s">
        <v>563</v>
      </c>
      <c r="AK722" s="60" t="s">
        <v>2927</v>
      </c>
      <c r="AL722" s="117">
        <f>1/COUNTIF(Tableau6[LAT],B722)</f>
        <v>0.5</v>
      </c>
      <c r="AM722" s="60" t="b">
        <f t="shared" si="80"/>
        <v>0</v>
      </c>
      <c r="AN722" s="60" t="b">
        <f t="shared" si="81"/>
        <v>0</v>
      </c>
      <c r="AO722" s="60" t="b">
        <f t="shared" si="82"/>
        <v>0</v>
      </c>
      <c r="AP722" s="60" t="b">
        <f t="shared" si="83"/>
        <v>0</v>
      </c>
      <c r="AQ722" s="60" t="b">
        <f t="shared" si="84"/>
        <v>0</v>
      </c>
      <c r="AR722" s="60" t="str">
        <f t="shared" si="85"/>
        <v>No</v>
      </c>
      <c r="AS722" s="60" t="str">
        <f t="shared" si="86"/>
        <v>No</v>
      </c>
    </row>
    <row r="723" spans="1:45" ht="15" hidden="1">
      <c r="A723" s="103">
        <v>45244</v>
      </c>
      <c r="B723" s="117" t="s">
        <v>3238</v>
      </c>
      <c r="C723" s="28" t="s">
        <v>511</v>
      </c>
      <c r="D723" s="28" t="s">
        <v>3239</v>
      </c>
      <c r="F723" s="28" t="s">
        <v>3240</v>
      </c>
      <c r="G723" s="28" t="s">
        <v>514</v>
      </c>
      <c r="H723" s="28" t="s">
        <v>3000</v>
      </c>
      <c r="I723" s="28" t="s">
        <v>516</v>
      </c>
      <c r="J723" s="28" t="s">
        <v>517</v>
      </c>
      <c r="K723" s="28" t="s">
        <v>518</v>
      </c>
      <c r="L723" s="28" t="s">
        <v>580</v>
      </c>
      <c r="M723" s="28" t="s">
        <v>802</v>
      </c>
      <c r="N723" s="28" t="s">
        <v>1307</v>
      </c>
      <c r="O723" s="28" t="s">
        <v>521</v>
      </c>
      <c r="P723" s="28" t="s">
        <v>544</v>
      </c>
      <c r="S723" s="28" t="s">
        <v>741</v>
      </c>
      <c r="T723" s="28" t="s">
        <v>582</v>
      </c>
      <c r="U723" s="28" t="s">
        <v>582</v>
      </c>
      <c r="V723" s="28" t="s">
        <v>517</v>
      </c>
      <c r="W723" s="28" t="s">
        <v>3241</v>
      </c>
      <c r="Z723" s="118" t="s">
        <v>526</v>
      </c>
      <c r="AA723" s="118"/>
      <c r="AB723" s="118"/>
      <c r="AD723" s="118" t="s">
        <v>954</v>
      </c>
      <c r="AE723" s="28" t="s">
        <v>563</v>
      </c>
      <c r="AF723" s="117" t="s">
        <v>3239</v>
      </c>
      <c r="AG723" s="28" t="s">
        <v>563</v>
      </c>
      <c r="AK723" s="60" t="s">
        <v>2927</v>
      </c>
      <c r="AL723" s="117">
        <f>1/COUNTIF(Tableau6[LAT],B723)</f>
        <v>0.5</v>
      </c>
      <c r="AM723" s="60" t="b">
        <f t="shared" si="80"/>
        <v>0</v>
      </c>
      <c r="AN723" s="60" t="b">
        <f t="shared" si="81"/>
        <v>0</v>
      </c>
      <c r="AO723" s="60" t="b">
        <f t="shared" si="82"/>
        <v>0</v>
      </c>
      <c r="AP723" s="60" t="b">
        <f t="shared" si="83"/>
        <v>0</v>
      </c>
      <c r="AQ723" s="60" t="b">
        <f t="shared" si="84"/>
        <v>0</v>
      </c>
      <c r="AR723" s="60" t="str">
        <f t="shared" si="85"/>
        <v>No</v>
      </c>
      <c r="AS723" s="60" t="str">
        <f t="shared" si="86"/>
        <v>Yes</v>
      </c>
    </row>
    <row r="724" spans="1:45" ht="15" hidden="1">
      <c r="A724" s="103">
        <v>45244</v>
      </c>
      <c r="B724" s="117" t="s">
        <v>3238</v>
      </c>
      <c r="C724" s="28" t="s">
        <v>548</v>
      </c>
      <c r="D724" s="28" t="s">
        <v>3242</v>
      </c>
      <c r="F724" s="28" t="s">
        <v>3240</v>
      </c>
      <c r="G724" s="28" t="s">
        <v>514</v>
      </c>
      <c r="H724" s="28" t="s">
        <v>3000</v>
      </c>
      <c r="I724" s="28" t="s">
        <v>516</v>
      </c>
      <c r="J724" s="28" t="s">
        <v>517</v>
      </c>
      <c r="K724" s="28" t="s">
        <v>518</v>
      </c>
      <c r="L724" s="28" t="s">
        <v>580</v>
      </c>
      <c r="M724" s="28" t="s">
        <v>802</v>
      </c>
      <c r="N724" s="28" t="s">
        <v>1307</v>
      </c>
      <c r="O724" s="28" t="s">
        <v>521</v>
      </c>
      <c r="P724" s="28" t="s">
        <v>544</v>
      </c>
      <c r="S724" s="28" t="s">
        <v>741</v>
      </c>
      <c r="T724" s="28" t="s">
        <v>582</v>
      </c>
      <c r="U724" s="28" t="s">
        <v>582</v>
      </c>
      <c r="V724" s="28" t="s">
        <v>517</v>
      </c>
      <c r="W724" s="28" t="s">
        <v>3243</v>
      </c>
      <c r="Z724" s="118" t="s">
        <v>526</v>
      </c>
      <c r="AA724" s="118"/>
      <c r="AB724" s="118"/>
      <c r="AD724" s="118" t="s">
        <v>954</v>
      </c>
      <c r="AE724" s="28" t="s">
        <v>563</v>
      </c>
      <c r="AF724" s="117" t="s">
        <v>3242</v>
      </c>
      <c r="AG724" s="28" t="s">
        <v>563</v>
      </c>
      <c r="AK724" s="60" t="s">
        <v>2927</v>
      </c>
      <c r="AL724" s="117">
        <f>1/COUNTIF(Tableau6[LAT],B724)</f>
        <v>0.5</v>
      </c>
      <c r="AM724" s="60" t="b">
        <f t="shared" si="80"/>
        <v>0</v>
      </c>
      <c r="AN724" s="60" t="b">
        <f t="shared" si="81"/>
        <v>0</v>
      </c>
      <c r="AO724" s="60" t="b">
        <f t="shared" si="82"/>
        <v>0</v>
      </c>
      <c r="AP724" s="60" t="b">
        <f t="shared" si="83"/>
        <v>0</v>
      </c>
      <c r="AQ724" s="60" t="b">
        <f t="shared" si="84"/>
        <v>0</v>
      </c>
      <c r="AR724" s="60" t="str">
        <f t="shared" si="85"/>
        <v>No</v>
      </c>
      <c r="AS724" s="60" t="str">
        <f t="shared" si="86"/>
        <v>Yes</v>
      </c>
    </row>
    <row r="725" spans="1:45" ht="15" hidden="1">
      <c r="A725" s="103">
        <v>45244</v>
      </c>
      <c r="B725" s="117" t="s">
        <v>3244</v>
      </c>
      <c r="C725" s="28" t="s">
        <v>511</v>
      </c>
      <c r="D725" s="28" t="s">
        <v>3245</v>
      </c>
      <c r="F725" s="28" t="s">
        <v>3246</v>
      </c>
      <c r="G725" s="28" t="s">
        <v>514</v>
      </c>
      <c r="H725" s="28" t="s">
        <v>939</v>
      </c>
      <c r="I725" s="28" t="s">
        <v>516</v>
      </c>
      <c r="J725" s="28" t="s">
        <v>517</v>
      </c>
      <c r="K725" s="28" t="s">
        <v>518</v>
      </c>
      <c r="L725" s="28" t="s">
        <v>1199</v>
      </c>
      <c r="M725" s="28" t="s">
        <v>535</v>
      </c>
      <c r="N725" s="28" t="s">
        <v>810</v>
      </c>
      <c r="O725" s="28" t="s">
        <v>1383</v>
      </c>
      <c r="P725" s="28" t="s">
        <v>572</v>
      </c>
      <c r="Q725" s="28" t="s">
        <v>557</v>
      </c>
      <c r="R725" s="28" t="s">
        <v>559</v>
      </c>
      <c r="S725" s="28" t="s">
        <v>733</v>
      </c>
      <c r="T725" s="28" t="s">
        <v>651</v>
      </c>
      <c r="U725" s="28" t="s">
        <v>651</v>
      </c>
      <c r="V725" s="28" t="s">
        <v>517</v>
      </c>
      <c r="W725" s="28" t="s">
        <v>3247</v>
      </c>
      <c r="Z725" s="118" t="s">
        <v>526</v>
      </c>
      <c r="AA725" s="118"/>
      <c r="AB725" s="118"/>
      <c r="AD725" s="118" t="s">
        <v>954</v>
      </c>
      <c r="AE725" s="28" t="s">
        <v>563</v>
      </c>
      <c r="AF725" s="117" t="s">
        <v>3239</v>
      </c>
      <c r="AG725" s="28" t="s">
        <v>563</v>
      </c>
      <c r="AK725" s="60" t="s">
        <v>2927</v>
      </c>
      <c r="AL725" s="117">
        <f>1/COUNTIF(Tableau6[LAT],B725)</f>
        <v>1</v>
      </c>
      <c r="AM725" s="60" t="b">
        <f t="shared" si="80"/>
        <v>0</v>
      </c>
      <c r="AN725" s="60" t="b">
        <f t="shared" si="81"/>
        <v>0</v>
      </c>
      <c r="AO725" s="60" t="b">
        <f t="shared" si="82"/>
        <v>0</v>
      </c>
      <c r="AP725" s="60" t="b">
        <f t="shared" si="83"/>
        <v>0</v>
      </c>
      <c r="AQ725" s="60" t="b">
        <f t="shared" si="84"/>
        <v>0</v>
      </c>
      <c r="AR725" s="60" t="str">
        <f t="shared" si="85"/>
        <v>No</v>
      </c>
      <c r="AS725" s="60" t="str">
        <f t="shared" si="86"/>
        <v>Yes</v>
      </c>
    </row>
    <row r="726" spans="1:45" ht="15" hidden="1">
      <c r="A726" s="103">
        <v>45244</v>
      </c>
      <c r="B726" s="117" t="s">
        <v>3248</v>
      </c>
      <c r="C726" s="28" t="s">
        <v>511</v>
      </c>
      <c r="D726" s="28" t="s">
        <v>3249</v>
      </c>
      <c r="F726" s="28" t="s">
        <v>3250</v>
      </c>
      <c r="G726" s="28" t="s">
        <v>514</v>
      </c>
      <c r="H726" s="28" t="s">
        <v>915</v>
      </c>
      <c r="I726" s="28" t="s">
        <v>516</v>
      </c>
      <c r="J726" s="28" t="s">
        <v>517</v>
      </c>
      <c r="K726" s="28" t="s">
        <v>518</v>
      </c>
      <c r="L726" s="28" t="s">
        <v>2925</v>
      </c>
      <c r="M726" s="28" t="s">
        <v>520</v>
      </c>
      <c r="N726" s="28" t="s">
        <v>521</v>
      </c>
      <c r="O726" s="28" t="s">
        <v>522</v>
      </c>
      <c r="S726" s="28" t="s">
        <v>3001</v>
      </c>
      <c r="T726" s="28" t="s">
        <v>1042</v>
      </c>
      <c r="U726" s="28" t="s">
        <v>1042</v>
      </c>
      <c r="V726" s="28" t="s">
        <v>517</v>
      </c>
      <c r="W726" s="28" t="s">
        <v>3251</v>
      </c>
      <c r="Z726" s="118" t="s">
        <v>563</v>
      </c>
      <c r="AA726" s="118"/>
      <c r="AB726" s="118" t="s">
        <v>527</v>
      </c>
      <c r="AD726" s="118" t="s">
        <v>528</v>
      </c>
      <c r="AE726" s="28" t="s">
        <v>563</v>
      </c>
      <c r="AF726" s="117" t="s">
        <v>3249</v>
      </c>
      <c r="AG726" s="28" t="s">
        <v>563</v>
      </c>
      <c r="AK726" s="60" t="s">
        <v>2927</v>
      </c>
      <c r="AL726" s="117">
        <f>1/COUNTIF(Tableau6[LAT],B726)</f>
        <v>1</v>
      </c>
      <c r="AM726" s="60" t="b">
        <f t="shared" si="80"/>
        <v>0</v>
      </c>
      <c r="AN726" s="60" t="b">
        <f t="shared" si="81"/>
        <v>0</v>
      </c>
      <c r="AO726" s="60" t="b">
        <f t="shared" si="82"/>
        <v>0</v>
      </c>
      <c r="AP726" s="60" t="b">
        <f t="shared" si="83"/>
        <v>0</v>
      </c>
      <c r="AQ726" s="60" t="b">
        <f t="shared" si="84"/>
        <v>0</v>
      </c>
      <c r="AR726" s="60" t="str">
        <f t="shared" si="85"/>
        <v>No</v>
      </c>
      <c r="AS726" s="60" t="str">
        <f t="shared" si="86"/>
        <v>No</v>
      </c>
    </row>
    <row r="727" spans="1:45" ht="15" hidden="1">
      <c r="A727" s="103">
        <v>45244</v>
      </c>
      <c r="B727" s="117" t="s">
        <v>3252</v>
      </c>
      <c r="C727" s="28" t="s">
        <v>511</v>
      </c>
      <c r="D727" s="28" t="s">
        <v>3253</v>
      </c>
      <c r="F727" s="28" t="s">
        <v>1761</v>
      </c>
      <c r="G727" s="28" t="s">
        <v>514</v>
      </c>
      <c r="H727" s="28" t="s">
        <v>3158</v>
      </c>
      <c r="I727" s="28" t="s">
        <v>516</v>
      </c>
      <c r="J727" s="28" t="s">
        <v>517</v>
      </c>
      <c r="K727" s="28" t="s">
        <v>518</v>
      </c>
      <c r="L727" s="28" t="s">
        <v>3082</v>
      </c>
      <c r="M727" s="28" t="s">
        <v>520</v>
      </c>
      <c r="N727" s="28" t="s">
        <v>557</v>
      </c>
      <c r="O727" s="28" t="s">
        <v>544</v>
      </c>
      <c r="P727" s="28" t="s">
        <v>559</v>
      </c>
      <c r="S727" s="28" t="s">
        <v>1918</v>
      </c>
      <c r="T727" s="28" t="s">
        <v>1375</v>
      </c>
      <c r="U727" s="28" t="s">
        <v>1375</v>
      </c>
      <c r="V727" s="28" t="s">
        <v>517</v>
      </c>
      <c r="W727" s="28" t="s">
        <v>3254</v>
      </c>
      <c r="Z727" s="118" t="s">
        <v>563</v>
      </c>
      <c r="AA727" s="118"/>
      <c r="AB727" s="118" t="s">
        <v>527</v>
      </c>
      <c r="AD727" s="118" t="s">
        <v>528</v>
      </c>
      <c r="AE727" s="28" t="s">
        <v>563</v>
      </c>
      <c r="AF727" s="117" t="s">
        <v>3253</v>
      </c>
      <c r="AG727" s="28" t="s">
        <v>563</v>
      </c>
      <c r="AK727" s="60" t="s">
        <v>2927</v>
      </c>
      <c r="AL727" s="117">
        <f>1/COUNTIF(Tableau6[LAT],B727)</f>
        <v>1</v>
      </c>
      <c r="AM727" s="60" t="b">
        <f t="shared" si="80"/>
        <v>0</v>
      </c>
      <c r="AN727" s="60" t="b">
        <f t="shared" si="81"/>
        <v>0</v>
      </c>
      <c r="AO727" s="60" t="b">
        <f t="shared" si="82"/>
        <v>0</v>
      </c>
      <c r="AP727" s="60" t="b">
        <f t="shared" si="83"/>
        <v>0</v>
      </c>
      <c r="AQ727" s="60" t="b">
        <f t="shared" si="84"/>
        <v>0</v>
      </c>
      <c r="AR727" s="60" t="str">
        <f t="shared" si="85"/>
        <v>No</v>
      </c>
      <c r="AS727" s="60" t="str">
        <f t="shared" si="86"/>
        <v>No</v>
      </c>
    </row>
    <row r="728" spans="1:45" ht="15" hidden="1">
      <c r="A728" s="103">
        <v>45244</v>
      </c>
      <c r="B728" s="117" t="s">
        <v>3255</v>
      </c>
      <c r="C728" s="28" t="s">
        <v>511</v>
      </c>
      <c r="D728" s="28" t="s">
        <v>3256</v>
      </c>
      <c r="E728" s="28" t="s">
        <v>2956</v>
      </c>
      <c r="F728" s="28" t="s">
        <v>1688</v>
      </c>
      <c r="G728" s="28" t="s">
        <v>514</v>
      </c>
      <c r="H728" s="28" t="s">
        <v>2401</v>
      </c>
      <c r="I728" s="28" t="s">
        <v>516</v>
      </c>
      <c r="J728" s="28" t="s">
        <v>517</v>
      </c>
      <c r="K728" s="28" t="s">
        <v>518</v>
      </c>
      <c r="L728" s="28" t="s">
        <v>1269</v>
      </c>
      <c r="M728" s="28" t="s">
        <v>535</v>
      </c>
      <c r="N728" s="28" t="s">
        <v>557</v>
      </c>
      <c r="O728" s="28" t="s">
        <v>522</v>
      </c>
      <c r="S728" s="28" t="s">
        <v>590</v>
      </c>
      <c r="T728" s="28" t="s">
        <v>1041</v>
      </c>
      <c r="U728" s="28" t="s">
        <v>1041</v>
      </c>
      <c r="V728" s="28" t="s">
        <v>517</v>
      </c>
      <c r="W728" s="28" t="s">
        <v>2959</v>
      </c>
      <c r="X728" s="28" t="s">
        <v>670</v>
      </c>
      <c r="Z728" s="118" t="s">
        <v>563</v>
      </c>
      <c r="AA728" s="118"/>
      <c r="AB728" s="118" t="s">
        <v>527</v>
      </c>
      <c r="AD728" s="118" t="s">
        <v>528</v>
      </c>
      <c r="AE728" s="28" t="s">
        <v>563</v>
      </c>
      <c r="AF728" s="117" t="s">
        <v>3256</v>
      </c>
      <c r="AG728" s="28" t="s">
        <v>563</v>
      </c>
      <c r="AK728" s="60" t="s">
        <v>2927</v>
      </c>
      <c r="AL728" s="117">
        <f>1/COUNTIF(Tableau6[LAT],B728)</f>
        <v>1</v>
      </c>
      <c r="AM728" s="60" t="b">
        <f t="shared" si="80"/>
        <v>0</v>
      </c>
      <c r="AN728" s="60" t="b">
        <f t="shared" si="81"/>
        <v>0</v>
      </c>
      <c r="AO728" s="60" t="b">
        <f t="shared" si="82"/>
        <v>0</v>
      </c>
      <c r="AP728" s="60" t="b">
        <f t="shared" si="83"/>
        <v>0</v>
      </c>
      <c r="AQ728" s="60" t="b">
        <f t="shared" si="84"/>
        <v>0</v>
      </c>
      <c r="AR728" s="60" t="str">
        <f t="shared" si="85"/>
        <v>No</v>
      </c>
      <c r="AS728" s="60" t="str">
        <f t="shared" si="86"/>
        <v>No</v>
      </c>
    </row>
    <row r="729" spans="1:45" ht="15" hidden="1">
      <c r="A729" s="103">
        <v>45244</v>
      </c>
      <c r="B729" s="117" t="s">
        <v>3257</v>
      </c>
      <c r="C729" s="28" t="s">
        <v>511</v>
      </c>
      <c r="D729" s="28" t="s">
        <v>3258</v>
      </c>
      <c r="E729" s="28" t="s">
        <v>3259</v>
      </c>
      <c r="F729" s="28" t="s">
        <v>3260</v>
      </c>
      <c r="G729" s="28" t="s">
        <v>514</v>
      </c>
      <c r="H729" s="28" t="s">
        <v>624</v>
      </c>
      <c r="I729" s="28" t="s">
        <v>516</v>
      </c>
      <c r="J729" s="28" t="s">
        <v>517</v>
      </c>
      <c r="K729" s="28" t="s">
        <v>682</v>
      </c>
      <c r="L729" s="28" t="s">
        <v>3261</v>
      </c>
      <c r="M729" s="28" t="s">
        <v>535</v>
      </c>
      <c r="N729" s="28" t="s">
        <v>544</v>
      </c>
      <c r="S729" s="28" t="s">
        <v>705</v>
      </c>
      <c r="T729" s="28" t="s">
        <v>1918</v>
      </c>
      <c r="U729" s="28" t="s">
        <v>1918</v>
      </c>
      <c r="V729" s="28" t="s">
        <v>517</v>
      </c>
      <c r="W729" s="28" t="s">
        <v>3262</v>
      </c>
      <c r="X729" s="28" t="s">
        <v>1071</v>
      </c>
      <c r="Z729" s="118" t="s">
        <v>563</v>
      </c>
      <c r="AA729" s="118"/>
      <c r="AB729" s="118" t="s">
        <v>527</v>
      </c>
      <c r="AD729" s="118" t="s">
        <v>528</v>
      </c>
      <c r="AE729" s="28" t="s">
        <v>563</v>
      </c>
      <c r="AF729" s="117" t="s">
        <v>3258</v>
      </c>
      <c r="AG729" s="28" t="s">
        <v>563</v>
      </c>
      <c r="AK729" s="60" t="s">
        <v>2927</v>
      </c>
      <c r="AL729" s="117">
        <f>1/COUNTIF(Tableau6[LAT],B729)</f>
        <v>1</v>
      </c>
      <c r="AM729" s="60" t="b">
        <f t="shared" si="80"/>
        <v>0</v>
      </c>
      <c r="AN729" s="60" t="b">
        <f t="shared" si="81"/>
        <v>0</v>
      </c>
      <c r="AO729" s="60" t="b">
        <f t="shared" si="82"/>
        <v>0</v>
      </c>
      <c r="AP729" s="60" t="b">
        <f t="shared" si="83"/>
        <v>0</v>
      </c>
      <c r="AQ729" s="60" t="b">
        <f t="shared" si="84"/>
        <v>0</v>
      </c>
      <c r="AR729" s="60" t="str">
        <f t="shared" si="85"/>
        <v>No</v>
      </c>
      <c r="AS729" s="60" t="str">
        <f t="shared" si="86"/>
        <v>No</v>
      </c>
    </row>
    <row r="730" spans="1:45" ht="15" hidden="1">
      <c r="A730" s="103">
        <v>45244</v>
      </c>
      <c r="B730" s="117" t="s">
        <v>3263</v>
      </c>
      <c r="C730" s="28" t="s">
        <v>511</v>
      </c>
      <c r="D730" s="28" t="s">
        <v>3264</v>
      </c>
      <c r="F730" s="28" t="s">
        <v>3265</v>
      </c>
      <c r="G730" s="28" t="s">
        <v>514</v>
      </c>
      <c r="H730" s="28" t="s">
        <v>2163</v>
      </c>
      <c r="I730" s="28" t="s">
        <v>516</v>
      </c>
      <c r="J730" s="28" t="s">
        <v>517</v>
      </c>
      <c r="K730" s="28" t="s">
        <v>518</v>
      </c>
      <c r="L730" s="28" t="s">
        <v>809</v>
      </c>
      <c r="M730" s="28" t="s">
        <v>535</v>
      </c>
      <c r="N730" s="28" t="s">
        <v>557</v>
      </c>
      <c r="O730" s="28" t="s">
        <v>544</v>
      </c>
      <c r="P730" s="28" t="s">
        <v>522</v>
      </c>
      <c r="S730" s="28" t="s">
        <v>732</v>
      </c>
      <c r="T730" s="28" t="s">
        <v>811</v>
      </c>
      <c r="U730" s="28" t="s">
        <v>811</v>
      </c>
      <c r="V730" s="28" t="s">
        <v>517</v>
      </c>
      <c r="W730" s="28" t="s">
        <v>3266</v>
      </c>
      <c r="Z730" s="118" t="s">
        <v>563</v>
      </c>
      <c r="AA730" s="118"/>
      <c r="AB730" s="118" t="s">
        <v>527</v>
      </c>
      <c r="AD730" s="118" t="s">
        <v>528</v>
      </c>
      <c r="AE730" s="28" t="s">
        <v>563</v>
      </c>
      <c r="AF730" s="117" t="s">
        <v>3264</v>
      </c>
      <c r="AG730" s="28" t="s">
        <v>563</v>
      </c>
      <c r="AK730" s="60" t="s">
        <v>2927</v>
      </c>
      <c r="AL730" s="117">
        <f>1/COUNTIF(Tableau6[LAT],B730)</f>
        <v>1</v>
      </c>
      <c r="AM730" s="60" t="b">
        <f t="shared" si="80"/>
        <v>0</v>
      </c>
      <c r="AN730" s="60" t="b">
        <f t="shared" si="81"/>
        <v>0</v>
      </c>
      <c r="AO730" s="60" t="b">
        <f t="shared" si="82"/>
        <v>0</v>
      </c>
      <c r="AP730" s="60" t="b">
        <f t="shared" si="83"/>
        <v>0</v>
      </c>
      <c r="AQ730" s="60" t="b">
        <f t="shared" si="84"/>
        <v>0</v>
      </c>
      <c r="AR730" s="60" t="str">
        <f t="shared" si="85"/>
        <v>No</v>
      </c>
      <c r="AS730" s="60" t="str">
        <f t="shared" si="86"/>
        <v>No</v>
      </c>
    </row>
    <row r="731" spans="1:45" ht="15" hidden="1">
      <c r="A731" s="103">
        <v>45244</v>
      </c>
      <c r="B731" s="117" t="s">
        <v>3267</v>
      </c>
      <c r="C731" s="28" t="s">
        <v>511</v>
      </c>
      <c r="D731" s="28" t="s">
        <v>3268</v>
      </c>
      <c r="F731" s="28" t="s">
        <v>2339</v>
      </c>
      <c r="G731" s="28" t="s">
        <v>958</v>
      </c>
      <c r="H731" s="28" t="s">
        <v>1275</v>
      </c>
      <c r="I731" s="28" t="s">
        <v>516</v>
      </c>
      <c r="J731" s="28" t="s">
        <v>517</v>
      </c>
      <c r="K731" s="28" t="s">
        <v>682</v>
      </c>
      <c r="L731" s="28" t="s">
        <v>3078</v>
      </c>
      <c r="M731" s="28" t="s">
        <v>535</v>
      </c>
      <c r="N731" s="28" t="s">
        <v>557</v>
      </c>
      <c r="O731" s="28" t="s">
        <v>559</v>
      </c>
      <c r="S731" s="28" t="s">
        <v>523</v>
      </c>
      <c r="T731" s="28" t="s">
        <v>545</v>
      </c>
      <c r="U731" s="28" t="s">
        <v>545</v>
      </c>
      <c r="V731" s="28" t="s">
        <v>517</v>
      </c>
      <c r="W731" s="28" t="s">
        <v>3269</v>
      </c>
      <c r="Z731" s="118" t="s">
        <v>563</v>
      </c>
      <c r="AA731" s="118"/>
      <c r="AB731" s="118" t="s">
        <v>527</v>
      </c>
      <c r="AD731" s="118" t="s">
        <v>528</v>
      </c>
      <c r="AE731" s="28" t="s">
        <v>563</v>
      </c>
      <c r="AF731" s="117" t="s">
        <v>3268</v>
      </c>
      <c r="AG731" s="28" t="s">
        <v>563</v>
      </c>
      <c r="AK731" s="60" t="s">
        <v>2927</v>
      </c>
      <c r="AL731" s="117">
        <f>1/COUNTIF(Tableau6[LAT],B731)</f>
        <v>1</v>
      </c>
      <c r="AM731" s="60" t="b">
        <f t="shared" si="80"/>
        <v>0</v>
      </c>
      <c r="AN731" s="60" t="b">
        <f t="shared" si="81"/>
        <v>0</v>
      </c>
      <c r="AO731" s="60" t="b">
        <f t="shared" si="82"/>
        <v>0</v>
      </c>
      <c r="AP731" s="60" t="b">
        <f t="shared" si="83"/>
        <v>0</v>
      </c>
      <c r="AQ731" s="60" t="b">
        <f t="shared" si="84"/>
        <v>0</v>
      </c>
      <c r="AR731" s="60" t="str">
        <f t="shared" si="85"/>
        <v>No</v>
      </c>
      <c r="AS731" s="60" t="str">
        <f t="shared" si="86"/>
        <v>No</v>
      </c>
    </row>
    <row r="732" spans="1:45" ht="15" hidden="1">
      <c r="A732" s="103">
        <v>45244</v>
      </c>
      <c r="B732" s="117" t="s">
        <v>3270</v>
      </c>
      <c r="C732" s="28" t="s">
        <v>511</v>
      </c>
      <c r="D732" s="28" t="s">
        <v>3271</v>
      </c>
      <c r="E732" s="28" t="s">
        <v>3210</v>
      </c>
      <c r="F732" s="28" t="s">
        <v>799</v>
      </c>
      <c r="G732" s="28" t="s">
        <v>514</v>
      </c>
      <c r="H732" s="28" t="s">
        <v>738</v>
      </c>
      <c r="I732" s="28" t="s">
        <v>516</v>
      </c>
      <c r="J732" s="28" t="s">
        <v>517</v>
      </c>
      <c r="K732" s="28" t="s">
        <v>518</v>
      </c>
      <c r="L732" s="28" t="s">
        <v>1097</v>
      </c>
      <c r="M732" s="28" t="s">
        <v>605</v>
      </c>
      <c r="N732" s="28" t="s">
        <v>544</v>
      </c>
      <c r="S732" s="28" t="s">
        <v>820</v>
      </c>
      <c r="T732" s="28" t="s">
        <v>1098</v>
      </c>
      <c r="U732" s="28" t="s">
        <v>1098</v>
      </c>
      <c r="V732" s="28" t="s">
        <v>517</v>
      </c>
      <c r="W732" s="28" t="s">
        <v>3212</v>
      </c>
      <c r="X732" s="28" t="s">
        <v>1071</v>
      </c>
      <c r="Z732" s="118" t="s">
        <v>526</v>
      </c>
      <c r="AA732" s="118"/>
      <c r="AB732" s="118"/>
      <c r="AD732" s="118" t="s">
        <v>954</v>
      </c>
      <c r="AE732" s="28" t="s">
        <v>563</v>
      </c>
      <c r="AF732" s="117" t="s">
        <v>3271</v>
      </c>
      <c r="AG732" s="28" t="s">
        <v>563</v>
      </c>
      <c r="AK732" s="60" t="s">
        <v>2927</v>
      </c>
      <c r="AL732" s="117">
        <f>1/COUNTIF(Tableau6[LAT],B732)</f>
        <v>0.33333333333333331</v>
      </c>
      <c r="AM732" s="60" t="b">
        <f t="shared" si="80"/>
        <v>0</v>
      </c>
      <c r="AN732" s="60" t="b">
        <f t="shared" si="81"/>
        <v>0</v>
      </c>
      <c r="AO732" s="60" t="b">
        <f t="shared" si="82"/>
        <v>0</v>
      </c>
      <c r="AP732" s="60" t="b">
        <f t="shared" si="83"/>
        <v>0</v>
      </c>
      <c r="AQ732" s="60" t="b">
        <f t="shared" si="84"/>
        <v>0</v>
      </c>
      <c r="AR732" s="60" t="str">
        <f t="shared" si="85"/>
        <v>No</v>
      </c>
      <c r="AS732" s="60" t="str">
        <f t="shared" si="86"/>
        <v>No</v>
      </c>
    </row>
    <row r="733" spans="1:45" ht="15" hidden="1">
      <c r="A733" s="103">
        <v>45244</v>
      </c>
      <c r="B733" s="117" t="s">
        <v>3270</v>
      </c>
      <c r="C733" s="28" t="s">
        <v>548</v>
      </c>
      <c r="D733" s="28" t="s">
        <v>3272</v>
      </c>
      <c r="E733" s="28" t="s">
        <v>3210</v>
      </c>
      <c r="F733" s="28" t="s">
        <v>799</v>
      </c>
      <c r="G733" s="28" t="s">
        <v>514</v>
      </c>
      <c r="H733" s="28" t="s">
        <v>738</v>
      </c>
      <c r="I733" s="28" t="s">
        <v>516</v>
      </c>
      <c r="J733" s="28" t="s">
        <v>517</v>
      </c>
      <c r="K733" s="28" t="s">
        <v>518</v>
      </c>
      <c r="L733" s="28" t="s">
        <v>1097</v>
      </c>
      <c r="M733" s="28" t="s">
        <v>605</v>
      </c>
      <c r="N733" s="28" t="s">
        <v>544</v>
      </c>
      <c r="S733" s="28" t="s">
        <v>820</v>
      </c>
      <c r="T733" s="28" t="s">
        <v>1098</v>
      </c>
      <c r="U733" s="28" t="s">
        <v>1098</v>
      </c>
      <c r="V733" s="28" t="s">
        <v>517</v>
      </c>
      <c r="W733" s="28" t="s">
        <v>3212</v>
      </c>
      <c r="X733" s="28" t="s">
        <v>1071</v>
      </c>
      <c r="Z733" s="118" t="s">
        <v>526</v>
      </c>
      <c r="AA733" s="118"/>
      <c r="AB733" s="118"/>
      <c r="AD733" s="118" t="s">
        <v>954</v>
      </c>
      <c r="AE733" s="28" t="s">
        <v>563</v>
      </c>
      <c r="AF733" s="117" t="s">
        <v>3272</v>
      </c>
      <c r="AG733" s="28" t="s">
        <v>563</v>
      </c>
      <c r="AK733" s="60" t="s">
        <v>2927</v>
      </c>
      <c r="AL733" s="117">
        <f>1/COUNTIF(Tableau6[LAT],B733)</f>
        <v>0.33333333333333331</v>
      </c>
      <c r="AM733" s="60" t="b">
        <f t="shared" si="80"/>
        <v>0</v>
      </c>
      <c r="AN733" s="60" t="b">
        <f t="shared" si="81"/>
        <v>0</v>
      </c>
      <c r="AO733" s="60" t="b">
        <f t="shared" si="82"/>
        <v>0</v>
      </c>
      <c r="AP733" s="60" t="b">
        <f t="shared" si="83"/>
        <v>0</v>
      </c>
      <c r="AQ733" s="60" t="b">
        <f t="shared" si="84"/>
        <v>0</v>
      </c>
      <c r="AR733" s="60" t="str">
        <f t="shared" si="85"/>
        <v>No</v>
      </c>
      <c r="AS733" s="60" t="str">
        <f t="shared" si="86"/>
        <v>No</v>
      </c>
    </row>
    <row r="734" spans="1:45" ht="15" hidden="1">
      <c r="A734" s="103">
        <v>45244</v>
      </c>
      <c r="B734" s="117" t="s">
        <v>3270</v>
      </c>
      <c r="C734" s="28" t="s">
        <v>612</v>
      </c>
      <c r="D734" s="28" t="s">
        <v>3273</v>
      </c>
      <c r="F734" s="28" t="s">
        <v>799</v>
      </c>
      <c r="G734" s="28" t="s">
        <v>514</v>
      </c>
      <c r="H734" s="28" t="s">
        <v>738</v>
      </c>
      <c r="I734" s="28" t="s">
        <v>516</v>
      </c>
      <c r="J734" s="28" t="s">
        <v>517</v>
      </c>
      <c r="K734" s="28" t="s">
        <v>518</v>
      </c>
      <c r="L734" s="28" t="s">
        <v>1097</v>
      </c>
      <c r="M734" s="28" t="s">
        <v>605</v>
      </c>
      <c r="N734" s="28" t="s">
        <v>544</v>
      </c>
      <c r="S734" s="28" t="s">
        <v>820</v>
      </c>
      <c r="T734" s="28" t="s">
        <v>1098</v>
      </c>
      <c r="U734" s="28" t="s">
        <v>1098</v>
      </c>
      <c r="V734" s="28" t="s">
        <v>517</v>
      </c>
      <c r="W734" s="28" t="s">
        <v>3274</v>
      </c>
      <c r="Z734" s="118" t="s">
        <v>526</v>
      </c>
      <c r="AA734" s="118"/>
      <c r="AB734" s="118"/>
      <c r="AD734" s="118" t="s">
        <v>954</v>
      </c>
      <c r="AE734" s="28" t="s">
        <v>563</v>
      </c>
      <c r="AF734" s="117" t="s">
        <v>3273</v>
      </c>
      <c r="AG734" s="28" t="s">
        <v>563</v>
      </c>
      <c r="AK734" s="60" t="s">
        <v>2927</v>
      </c>
      <c r="AL734" s="117">
        <f>1/COUNTIF(Tableau6[LAT],B734)</f>
        <v>0.33333333333333331</v>
      </c>
      <c r="AM734" s="60" t="b">
        <f t="shared" si="80"/>
        <v>0</v>
      </c>
      <c r="AN734" s="60" t="b">
        <f t="shared" si="81"/>
        <v>0</v>
      </c>
      <c r="AO734" s="60" t="b">
        <f t="shared" si="82"/>
        <v>0</v>
      </c>
      <c r="AP734" s="60" t="b">
        <f t="shared" si="83"/>
        <v>0</v>
      </c>
      <c r="AQ734" s="60" t="b">
        <f t="shared" si="84"/>
        <v>0</v>
      </c>
      <c r="AR734" s="60" t="str">
        <f t="shared" si="85"/>
        <v>No</v>
      </c>
      <c r="AS734" s="60" t="str">
        <f t="shared" si="86"/>
        <v>No</v>
      </c>
    </row>
    <row r="735" spans="1:45" ht="15" hidden="1">
      <c r="A735" s="103">
        <v>45244</v>
      </c>
      <c r="B735" s="117" t="s">
        <v>3275</v>
      </c>
      <c r="C735" s="28" t="s">
        <v>511</v>
      </c>
      <c r="D735" s="28" t="s">
        <v>3276</v>
      </c>
      <c r="F735" s="28" t="s">
        <v>3277</v>
      </c>
      <c r="G735" s="28" t="s">
        <v>514</v>
      </c>
      <c r="H735" s="28" t="s">
        <v>542</v>
      </c>
      <c r="I735" s="28" t="s">
        <v>516</v>
      </c>
      <c r="J735" s="28" t="s">
        <v>517</v>
      </c>
      <c r="K735" s="28" t="s">
        <v>518</v>
      </c>
      <c r="L735" s="28" t="s">
        <v>1097</v>
      </c>
      <c r="M735" s="28" t="s">
        <v>535</v>
      </c>
      <c r="N735" s="28" t="s">
        <v>544</v>
      </c>
      <c r="S735" s="28" t="s">
        <v>1151</v>
      </c>
      <c r="T735" s="28" t="s">
        <v>1098</v>
      </c>
      <c r="U735" s="28" t="s">
        <v>1098</v>
      </c>
      <c r="V735" s="28" t="s">
        <v>517</v>
      </c>
      <c r="W735" s="28" t="s">
        <v>3278</v>
      </c>
      <c r="Z735" s="118" t="s">
        <v>563</v>
      </c>
      <c r="AA735" s="118"/>
      <c r="AB735" s="118" t="s">
        <v>527</v>
      </c>
      <c r="AD735" s="118" t="s">
        <v>528</v>
      </c>
      <c r="AE735" s="28" t="s">
        <v>563</v>
      </c>
      <c r="AF735" s="117" t="s">
        <v>3276</v>
      </c>
      <c r="AG735" s="28" t="s">
        <v>563</v>
      </c>
      <c r="AK735" s="60" t="s">
        <v>2927</v>
      </c>
      <c r="AL735" s="117">
        <f>1/COUNTIF(Tableau6[LAT],B735)</f>
        <v>1</v>
      </c>
      <c r="AM735" s="60" t="b">
        <f t="shared" si="80"/>
        <v>0</v>
      </c>
      <c r="AN735" s="60" t="b">
        <f t="shared" si="81"/>
        <v>0</v>
      </c>
      <c r="AO735" s="60" t="b">
        <f t="shared" si="82"/>
        <v>0</v>
      </c>
      <c r="AP735" s="60" t="b">
        <f t="shared" si="83"/>
        <v>0</v>
      </c>
      <c r="AQ735" s="60" t="b">
        <f t="shared" si="84"/>
        <v>0</v>
      </c>
      <c r="AR735" s="60" t="str">
        <f t="shared" si="85"/>
        <v>No</v>
      </c>
      <c r="AS735" s="60" t="str">
        <f t="shared" si="86"/>
        <v>No</v>
      </c>
    </row>
    <row r="736" spans="1:45" ht="15" hidden="1">
      <c r="A736" s="103">
        <v>45244</v>
      </c>
      <c r="B736" s="117" t="s">
        <v>3279</v>
      </c>
      <c r="C736" s="28" t="s">
        <v>511</v>
      </c>
      <c r="D736" s="28" t="s">
        <v>3280</v>
      </c>
      <c r="F736" s="28" t="s">
        <v>3281</v>
      </c>
      <c r="G736" s="28" t="s">
        <v>514</v>
      </c>
      <c r="H736" s="28" t="s">
        <v>1605</v>
      </c>
      <c r="I736" s="28" t="s">
        <v>516</v>
      </c>
      <c r="J736" s="28" t="s">
        <v>517</v>
      </c>
      <c r="K736" s="28" t="s">
        <v>518</v>
      </c>
      <c r="L736" s="28" t="s">
        <v>2363</v>
      </c>
      <c r="M736" s="28" t="s">
        <v>535</v>
      </c>
      <c r="N736" s="28" t="s">
        <v>557</v>
      </c>
      <c r="O736" s="28" t="s">
        <v>544</v>
      </c>
      <c r="S736" s="28" t="s">
        <v>3282</v>
      </c>
      <c r="T736" s="28" t="s">
        <v>2364</v>
      </c>
      <c r="U736" s="28" t="s">
        <v>2364</v>
      </c>
      <c r="V736" s="28" t="s">
        <v>517</v>
      </c>
      <c r="Z736" s="118" t="s">
        <v>526</v>
      </c>
      <c r="AA736" s="118"/>
      <c r="AB736" s="118"/>
      <c r="AD736" s="118" t="s">
        <v>954</v>
      </c>
      <c r="AE736" s="28" t="s">
        <v>563</v>
      </c>
      <c r="AF736" s="117" t="s">
        <v>3283</v>
      </c>
      <c r="AG736" s="28" t="s">
        <v>563</v>
      </c>
      <c r="AK736" s="60" t="s">
        <v>2927</v>
      </c>
      <c r="AL736" s="117">
        <f>1/COUNTIF(Tableau6[LAT],B736)</f>
        <v>0.33333333333333331</v>
      </c>
      <c r="AM736" s="60" t="b">
        <f t="shared" si="80"/>
        <v>0</v>
      </c>
      <c r="AN736" s="60" t="b">
        <f t="shared" si="81"/>
        <v>0</v>
      </c>
      <c r="AO736" s="60" t="b">
        <f t="shared" si="82"/>
        <v>0</v>
      </c>
      <c r="AP736" s="60" t="b">
        <f t="shared" si="83"/>
        <v>0</v>
      </c>
      <c r="AQ736" s="60" t="b">
        <f t="shared" si="84"/>
        <v>0</v>
      </c>
      <c r="AR736" s="60" t="str">
        <f t="shared" si="85"/>
        <v>No</v>
      </c>
      <c r="AS736" s="60" t="str">
        <f t="shared" si="86"/>
        <v>No</v>
      </c>
    </row>
    <row r="737" spans="1:45" ht="15" hidden="1">
      <c r="A737" s="103">
        <v>45244</v>
      </c>
      <c r="B737" s="117" t="s">
        <v>3279</v>
      </c>
      <c r="C737" s="28" t="s">
        <v>548</v>
      </c>
      <c r="D737" s="28" t="s">
        <v>3284</v>
      </c>
      <c r="F737" s="28" t="s">
        <v>3281</v>
      </c>
      <c r="G737" s="28" t="s">
        <v>514</v>
      </c>
      <c r="H737" s="28" t="s">
        <v>1605</v>
      </c>
      <c r="I737" s="28" t="s">
        <v>516</v>
      </c>
      <c r="J737" s="28" t="s">
        <v>517</v>
      </c>
      <c r="K737" s="28" t="s">
        <v>518</v>
      </c>
      <c r="L737" s="28" t="s">
        <v>2363</v>
      </c>
      <c r="M737" s="28" t="s">
        <v>535</v>
      </c>
      <c r="N737" s="28" t="s">
        <v>557</v>
      </c>
      <c r="O737" s="28" t="s">
        <v>544</v>
      </c>
      <c r="S737" s="28" t="s">
        <v>3282</v>
      </c>
      <c r="T737" s="28" t="s">
        <v>2364</v>
      </c>
      <c r="U737" s="28" t="s">
        <v>2364</v>
      </c>
      <c r="V737" s="28" t="s">
        <v>517</v>
      </c>
      <c r="W737" s="28" t="s">
        <v>3285</v>
      </c>
      <c r="Z737" s="118" t="s">
        <v>526</v>
      </c>
      <c r="AA737" s="118"/>
      <c r="AB737" s="118"/>
      <c r="AD737" s="118"/>
      <c r="AF737" s="117" t="s">
        <v>3284</v>
      </c>
      <c r="AK737" s="60" t="s">
        <v>2927</v>
      </c>
      <c r="AL737" s="117">
        <f>1/COUNTIF(Tableau6[LAT],B737)</f>
        <v>0.33333333333333331</v>
      </c>
      <c r="AM737" s="60" t="b">
        <f t="shared" si="80"/>
        <v>0</v>
      </c>
      <c r="AN737" s="60" t="b">
        <f t="shared" si="81"/>
        <v>0</v>
      </c>
      <c r="AO737" s="60" t="b">
        <f t="shared" si="82"/>
        <v>0</v>
      </c>
      <c r="AP737" s="60" t="b">
        <f t="shared" si="83"/>
        <v>0</v>
      </c>
      <c r="AQ737" s="60" t="b">
        <f t="shared" si="84"/>
        <v>0</v>
      </c>
      <c r="AR737" s="60" t="str">
        <f t="shared" si="85"/>
        <v>No</v>
      </c>
      <c r="AS737" s="60" t="str">
        <f t="shared" si="86"/>
        <v>No</v>
      </c>
    </row>
    <row r="738" spans="1:45" ht="15" hidden="1">
      <c r="A738" s="103">
        <v>45244</v>
      </c>
      <c r="B738" s="117" t="s">
        <v>3279</v>
      </c>
      <c r="C738" s="28" t="s">
        <v>612</v>
      </c>
      <c r="D738" s="28" t="s">
        <v>3286</v>
      </c>
      <c r="F738" s="28" t="s">
        <v>3281</v>
      </c>
      <c r="G738" s="28" t="s">
        <v>514</v>
      </c>
      <c r="H738" s="28" t="s">
        <v>1605</v>
      </c>
      <c r="I738" s="28" t="s">
        <v>516</v>
      </c>
      <c r="J738" s="28" t="s">
        <v>517</v>
      </c>
      <c r="K738" s="28" t="s">
        <v>518</v>
      </c>
      <c r="L738" s="28" t="s">
        <v>2363</v>
      </c>
      <c r="M738" s="28" t="s">
        <v>535</v>
      </c>
      <c r="N738" s="28" t="s">
        <v>557</v>
      </c>
      <c r="O738" s="28" t="s">
        <v>544</v>
      </c>
      <c r="S738" s="28" t="s">
        <v>3282</v>
      </c>
      <c r="T738" s="28" t="s">
        <v>2364</v>
      </c>
      <c r="U738" s="28" t="s">
        <v>2364</v>
      </c>
      <c r="V738" s="28" t="s">
        <v>517</v>
      </c>
      <c r="Z738" s="118" t="s">
        <v>526</v>
      </c>
      <c r="AA738" s="118"/>
      <c r="AB738" s="118"/>
      <c r="AD738" s="118"/>
      <c r="AF738" s="117" t="s">
        <v>3283</v>
      </c>
      <c r="AK738" s="60" t="s">
        <v>2927</v>
      </c>
      <c r="AL738" s="117">
        <f>1/COUNTIF(Tableau6[LAT],B738)</f>
        <v>0.33333333333333331</v>
      </c>
      <c r="AM738" s="60" t="b">
        <f t="shared" si="80"/>
        <v>0</v>
      </c>
      <c r="AN738" s="60" t="b">
        <f t="shared" si="81"/>
        <v>0</v>
      </c>
      <c r="AO738" s="60" t="b">
        <f t="shared" si="82"/>
        <v>0</v>
      </c>
      <c r="AP738" s="60" t="b">
        <f t="shared" si="83"/>
        <v>0</v>
      </c>
      <c r="AQ738" s="60" t="b">
        <f t="shared" si="84"/>
        <v>0</v>
      </c>
      <c r="AR738" s="60" t="str">
        <f t="shared" si="85"/>
        <v>No</v>
      </c>
      <c r="AS738" s="60" t="str">
        <f t="shared" si="86"/>
        <v>No</v>
      </c>
    </row>
    <row r="739" spans="1:45" ht="15" hidden="1">
      <c r="A739" s="103">
        <v>45244</v>
      </c>
      <c r="B739" s="117" t="s">
        <v>3287</v>
      </c>
      <c r="C739" s="28" t="s">
        <v>511</v>
      </c>
      <c r="D739" s="28" t="s">
        <v>3288</v>
      </c>
      <c r="F739" s="28" t="s">
        <v>3289</v>
      </c>
      <c r="G739" s="28" t="s">
        <v>514</v>
      </c>
      <c r="H739" s="28" t="s">
        <v>3290</v>
      </c>
      <c r="I739" s="28" t="s">
        <v>516</v>
      </c>
      <c r="J739" s="28" t="s">
        <v>517</v>
      </c>
      <c r="K739" s="28" t="s">
        <v>518</v>
      </c>
      <c r="L739" s="28" t="s">
        <v>649</v>
      </c>
      <c r="M739" s="28" t="s">
        <v>520</v>
      </c>
      <c r="N739" s="28" t="s">
        <v>544</v>
      </c>
      <c r="S739" s="28" t="s">
        <v>718</v>
      </c>
      <c r="T739" s="28" t="s">
        <v>651</v>
      </c>
      <c r="U739" s="28" t="s">
        <v>651</v>
      </c>
      <c r="V739" s="28" t="s">
        <v>517</v>
      </c>
      <c r="W739" s="28" t="s">
        <v>3291</v>
      </c>
      <c r="Z739" s="118" t="s">
        <v>526</v>
      </c>
      <c r="AA739" s="118"/>
      <c r="AB739" s="118"/>
      <c r="AD739" s="118" t="s">
        <v>528</v>
      </c>
      <c r="AE739" s="28" t="s">
        <v>529</v>
      </c>
      <c r="AF739" s="117" t="s">
        <v>3288</v>
      </c>
      <c r="AG739" s="28" t="s">
        <v>529</v>
      </c>
      <c r="AK739" s="60" t="s">
        <v>2927</v>
      </c>
      <c r="AL739" s="117">
        <f>1/COUNTIF(Tableau6[LAT],B739)</f>
        <v>1</v>
      </c>
      <c r="AM739" s="60" t="b">
        <f t="shared" si="80"/>
        <v>0</v>
      </c>
      <c r="AN739" s="60" t="b">
        <f t="shared" si="81"/>
        <v>0</v>
      </c>
      <c r="AO739" s="60" t="b">
        <f t="shared" si="82"/>
        <v>0</v>
      </c>
      <c r="AP739" s="60" t="b">
        <f t="shared" si="83"/>
        <v>0</v>
      </c>
      <c r="AQ739" s="60" t="b">
        <f t="shared" si="84"/>
        <v>0</v>
      </c>
      <c r="AR739" s="60" t="str">
        <f t="shared" si="85"/>
        <v>No</v>
      </c>
      <c r="AS739" s="60" t="str">
        <f t="shared" si="86"/>
        <v>No</v>
      </c>
    </row>
    <row r="740" spans="1:45" ht="15" hidden="1">
      <c r="A740" s="103">
        <v>45244</v>
      </c>
      <c r="B740" s="117" t="s">
        <v>3292</v>
      </c>
      <c r="C740" s="28" t="s">
        <v>511</v>
      </c>
      <c r="D740" s="28" t="s">
        <v>3293</v>
      </c>
      <c r="E740" s="28" t="s">
        <v>3294</v>
      </c>
      <c r="F740" s="28" t="s">
        <v>3295</v>
      </c>
      <c r="G740" s="28" t="s">
        <v>1077</v>
      </c>
      <c r="H740" s="28" t="s">
        <v>3296</v>
      </c>
      <c r="I740" s="28" t="s">
        <v>516</v>
      </c>
      <c r="J740" s="28" t="s">
        <v>517</v>
      </c>
      <c r="K740" s="28" t="s">
        <v>518</v>
      </c>
      <c r="L740" s="28" t="s">
        <v>3297</v>
      </c>
      <c r="M740" s="28" t="s">
        <v>535</v>
      </c>
      <c r="N740" s="28" t="s">
        <v>619</v>
      </c>
      <c r="O740" s="28" t="s">
        <v>1492</v>
      </c>
      <c r="P740" s="28" t="s">
        <v>544</v>
      </c>
      <c r="S740" s="28" t="s">
        <v>718</v>
      </c>
      <c r="T740" s="28" t="s">
        <v>1918</v>
      </c>
      <c r="U740" s="28" t="s">
        <v>1918</v>
      </c>
      <c r="V740" s="28" t="s">
        <v>517</v>
      </c>
      <c r="W740" s="28" t="s">
        <v>3298</v>
      </c>
      <c r="X740" s="28" t="s">
        <v>670</v>
      </c>
      <c r="Z740" s="118" t="s">
        <v>526</v>
      </c>
      <c r="AA740" s="118"/>
      <c r="AB740" s="118"/>
      <c r="AD740" s="118" t="s">
        <v>954</v>
      </c>
      <c r="AE740" s="28" t="s">
        <v>563</v>
      </c>
      <c r="AF740" s="117" t="s">
        <v>3293</v>
      </c>
      <c r="AG740" s="28" t="s">
        <v>563</v>
      </c>
      <c r="AK740" s="60" t="s">
        <v>2927</v>
      </c>
      <c r="AL740" s="117">
        <f>1/COUNTIF(Tableau6[LAT],B740)</f>
        <v>0.16666666666666666</v>
      </c>
      <c r="AM740" s="60" t="b">
        <f t="shared" si="80"/>
        <v>0</v>
      </c>
      <c r="AN740" s="60" t="b">
        <f t="shared" si="81"/>
        <v>0</v>
      </c>
      <c r="AO740" s="60" t="b">
        <f t="shared" si="82"/>
        <v>0</v>
      </c>
      <c r="AP740" s="60" t="b">
        <f t="shared" si="83"/>
        <v>0</v>
      </c>
      <c r="AQ740" s="60" t="b">
        <f t="shared" si="84"/>
        <v>0</v>
      </c>
      <c r="AR740" s="60" t="str">
        <f t="shared" si="85"/>
        <v>No</v>
      </c>
      <c r="AS740" s="60" t="str">
        <f t="shared" si="86"/>
        <v>No</v>
      </c>
    </row>
    <row r="741" spans="1:45" ht="15" hidden="1">
      <c r="A741" s="103">
        <v>45244</v>
      </c>
      <c r="B741" s="117" t="s">
        <v>3292</v>
      </c>
      <c r="C741" s="28" t="s">
        <v>612</v>
      </c>
      <c r="D741" s="28" t="s">
        <v>3299</v>
      </c>
      <c r="F741" s="28" t="s">
        <v>3300</v>
      </c>
      <c r="G741" s="28" t="s">
        <v>958</v>
      </c>
      <c r="H741" s="28" t="s">
        <v>1735</v>
      </c>
      <c r="I741" s="28" t="s">
        <v>516</v>
      </c>
      <c r="J741" s="28" t="s">
        <v>517</v>
      </c>
      <c r="K741" s="28" t="s">
        <v>518</v>
      </c>
      <c r="L741" s="28" t="s">
        <v>2100</v>
      </c>
      <c r="M741" s="28" t="s">
        <v>535</v>
      </c>
      <c r="N741" s="28" t="s">
        <v>619</v>
      </c>
      <c r="O741" s="28" t="s">
        <v>1492</v>
      </c>
      <c r="P741" s="28" t="s">
        <v>544</v>
      </c>
      <c r="S741" s="28" t="s">
        <v>718</v>
      </c>
      <c r="T741" s="28" t="s">
        <v>1918</v>
      </c>
      <c r="U741" s="28" t="s">
        <v>1918</v>
      </c>
      <c r="V741" s="28" t="s">
        <v>517</v>
      </c>
      <c r="W741" s="28" t="s">
        <v>821</v>
      </c>
      <c r="Z741" s="118" t="s">
        <v>526</v>
      </c>
      <c r="AA741" s="118"/>
      <c r="AB741" s="118"/>
      <c r="AD741" s="118" t="s">
        <v>954</v>
      </c>
      <c r="AE741" s="28" t="s">
        <v>563</v>
      </c>
      <c r="AF741" s="117" t="s">
        <v>3301</v>
      </c>
      <c r="AG741" s="28" t="s">
        <v>563</v>
      </c>
      <c r="AK741" s="60" t="s">
        <v>2927</v>
      </c>
      <c r="AL741" s="117">
        <f>1/COUNTIF(Tableau6[LAT],B741)</f>
        <v>0.16666666666666666</v>
      </c>
      <c r="AM741" s="60" t="b">
        <f t="shared" si="80"/>
        <v>0</v>
      </c>
      <c r="AN741" s="60" t="b">
        <f t="shared" si="81"/>
        <v>0</v>
      </c>
      <c r="AO741" s="60" t="b">
        <f t="shared" si="82"/>
        <v>0</v>
      </c>
      <c r="AP741" s="60" t="b">
        <f t="shared" si="83"/>
        <v>0</v>
      </c>
      <c r="AQ741" s="60" t="b">
        <f t="shared" si="84"/>
        <v>0</v>
      </c>
      <c r="AR741" s="60" t="str">
        <f t="shared" si="85"/>
        <v>No</v>
      </c>
      <c r="AS741" s="60" t="str">
        <f t="shared" si="86"/>
        <v>No</v>
      </c>
    </row>
    <row r="742" spans="1:45" ht="15" hidden="1">
      <c r="A742" s="103">
        <v>45244</v>
      </c>
      <c r="B742" s="117" t="s">
        <v>3292</v>
      </c>
      <c r="C742" s="28" t="s">
        <v>691</v>
      </c>
      <c r="D742" s="28" t="s">
        <v>3302</v>
      </c>
      <c r="E742" s="28" t="s">
        <v>3303</v>
      </c>
      <c r="F742" s="28" t="s">
        <v>3295</v>
      </c>
      <c r="G742" s="28" t="s">
        <v>1077</v>
      </c>
      <c r="H742" s="28" t="s">
        <v>3296</v>
      </c>
      <c r="I742" s="28" t="s">
        <v>516</v>
      </c>
      <c r="J742" s="28" t="s">
        <v>517</v>
      </c>
      <c r="K742" s="28" t="s">
        <v>518</v>
      </c>
      <c r="L742" s="28" t="s">
        <v>2100</v>
      </c>
      <c r="M742" s="28" t="s">
        <v>535</v>
      </c>
      <c r="N742" s="28" t="s">
        <v>619</v>
      </c>
      <c r="O742" s="28" t="s">
        <v>1492</v>
      </c>
      <c r="P742" s="28" t="s">
        <v>544</v>
      </c>
      <c r="S742" s="28" t="s">
        <v>718</v>
      </c>
      <c r="T742" s="28" t="s">
        <v>1918</v>
      </c>
      <c r="U742" s="28" t="s">
        <v>1918</v>
      </c>
      <c r="V742" s="28" t="s">
        <v>517</v>
      </c>
      <c r="W742" s="28" t="s">
        <v>3304</v>
      </c>
      <c r="X742" s="28" t="s">
        <v>670</v>
      </c>
      <c r="Z742" s="118" t="s">
        <v>526</v>
      </c>
      <c r="AA742" s="118"/>
      <c r="AB742" s="118"/>
      <c r="AD742" s="118" t="s">
        <v>954</v>
      </c>
      <c r="AE742" s="28" t="s">
        <v>563</v>
      </c>
      <c r="AF742" s="117" t="s">
        <v>3299</v>
      </c>
      <c r="AG742" s="28" t="s">
        <v>563</v>
      </c>
      <c r="AK742" s="60" t="s">
        <v>2927</v>
      </c>
      <c r="AL742" s="117">
        <f>1/COUNTIF(Tableau6[LAT],B742)</f>
        <v>0.16666666666666666</v>
      </c>
      <c r="AM742" s="60" t="b">
        <f t="shared" si="80"/>
        <v>0</v>
      </c>
      <c r="AN742" s="60" t="b">
        <f t="shared" si="81"/>
        <v>0</v>
      </c>
      <c r="AO742" s="60" t="b">
        <f t="shared" si="82"/>
        <v>0</v>
      </c>
      <c r="AP742" s="60" t="b">
        <f t="shared" si="83"/>
        <v>0</v>
      </c>
      <c r="AQ742" s="60" t="b">
        <f t="shared" si="84"/>
        <v>0</v>
      </c>
      <c r="AR742" s="60" t="str">
        <f t="shared" si="85"/>
        <v>No</v>
      </c>
      <c r="AS742" s="60" t="str">
        <f t="shared" si="86"/>
        <v>No</v>
      </c>
    </row>
    <row r="743" spans="1:45" ht="15" hidden="1">
      <c r="A743" s="103">
        <v>45244</v>
      </c>
      <c r="B743" s="117" t="s">
        <v>3292</v>
      </c>
      <c r="C743" s="28" t="s">
        <v>866</v>
      </c>
      <c r="D743" s="28" t="s">
        <v>3305</v>
      </c>
      <c r="F743" s="28" t="s">
        <v>3300</v>
      </c>
      <c r="G743" s="28" t="s">
        <v>958</v>
      </c>
      <c r="H743" s="28" t="s">
        <v>1735</v>
      </c>
      <c r="I743" s="28" t="s">
        <v>516</v>
      </c>
      <c r="J743" s="28" t="s">
        <v>517</v>
      </c>
      <c r="K743" s="28" t="s">
        <v>518</v>
      </c>
      <c r="L743" s="28" t="s">
        <v>2100</v>
      </c>
      <c r="M743" s="28" t="s">
        <v>535</v>
      </c>
      <c r="N743" s="28" t="s">
        <v>619</v>
      </c>
      <c r="O743" s="28" t="s">
        <v>1492</v>
      </c>
      <c r="P743" s="28" t="s">
        <v>544</v>
      </c>
      <c r="S743" s="28" t="s">
        <v>718</v>
      </c>
      <c r="T743" s="28" t="s">
        <v>1918</v>
      </c>
      <c r="U743" s="28" t="s">
        <v>1918</v>
      </c>
      <c r="V743" s="28" t="s">
        <v>517</v>
      </c>
      <c r="W743" s="28" t="s">
        <v>821</v>
      </c>
      <c r="Z743" s="118" t="s">
        <v>526</v>
      </c>
      <c r="AA743" s="118"/>
      <c r="AB743" s="118"/>
      <c r="AD743" s="118" t="s">
        <v>954</v>
      </c>
      <c r="AE743" s="28" t="s">
        <v>563</v>
      </c>
      <c r="AF743" s="117" t="s">
        <v>3302</v>
      </c>
      <c r="AG743" s="28" t="s">
        <v>563</v>
      </c>
      <c r="AK743" s="60" t="s">
        <v>2927</v>
      </c>
      <c r="AL743" s="117">
        <f>1/COUNTIF(Tableau6[LAT],B743)</f>
        <v>0.16666666666666666</v>
      </c>
      <c r="AM743" s="60" t="b">
        <f t="shared" si="80"/>
        <v>0</v>
      </c>
      <c r="AN743" s="60" t="b">
        <f t="shared" si="81"/>
        <v>0</v>
      </c>
      <c r="AO743" s="60" t="b">
        <f t="shared" si="82"/>
        <v>0</v>
      </c>
      <c r="AP743" s="60" t="b">
        <f t="shared" si="83"/>
        <v>0</v>
      </c>
      <c r="AQ743" s="60" t="b">
        <f t="shared" si="84"/>
        <v>0</v>
      </c>
      <c r="AR743" s="60" t="str">
        <f t="shared" si="85"/>
        <v>No</v>
      </c>
      <c r="AS743" s="60" t="str">
        <f t="shared" si="86"/>
        <v>No</v>
      </c>
    </row>
    <row r="744" spans="1:45" ht="15" hidden="1">
      <c r="A744" s="103">
        <v>45244</v>
      </c>
      <c r="B744" s="117" t="s">
        <v>3292</v>
      </c>
      <c r="C744" s="28" t="s">
        <v>868</v>
      </c>
      <c r="D744" s="28" t="s">
        <v>3306</v>
      </c>
      <c r="F744" s="28" t="s">
        <v>3307</v>
      </c>
      <c r="G744" s="28" t="s">
        <v>514</v>
      </c>
      <c r="H744" s="28" t="s">
        <v>3158</v>
      </c>
      <c r="I744" s="28" t="s">
        <v>516</v>
      </c>
      <c r="J744" s="28" t="s">
        <v>517</v>
      </c>
      <c r="K744" s="28" t="s">
        <v>518</v>
      </c>
      <c r="L744" s="28" t="s">
        <v>2100</v>
      </c>
      <c r="M744" s="28" t="s">
        <v>535</v>
      </c>
      <c r="N744" s="28" t="s">
        <v>619</v>
      </c>
      <c r="O744" s="28" t="s">
        <v>1492</v>
      </c>
      <c r="P744" s="28" t="s">
        <v>544</v>
      </c>
      <c r="S744" s="28" t="s">
        <v>718</v>
      </c>
      <c r="T744" s="28" t="s">
        <v>1918</v>
      </c>
      <c r="U744" s="28" t="s">
        <v>1918</v>
      </c>
      <c r="V744" s="28" t="s">
        <v>517</v>
      </c>
      <c r="W744" s="28" t="s">
        <v>821</v>
      </c>
      <c r="Z744" s="118" t="s">
        <v>526</v>
      </c>
      <c r="AA744" s="118"/>
      <c r="AB744" s="118"/>
      <c r="AD744" s="118" t="s">
        <v>954</v>
      </c>
      <c r="AE744" s="28" t="s">
        <v>563</v>
      </c>
      <c r="AF744" s="117" t="s">
        <v>3308</v>
      </c>
      <c r="AG744" s="28" t="s">
        <v>563</v>
      </c>
      <c r="AK744" s="60" t="s">
        <v>2927</v>
      </c>
      <c r="AL744" s="117">
        <f>1/COUNTIF(Tableau6[LAT],B744)</f>
        <v>0.16666666666666666</v>
      </c>
      <c r="AM744" s="60" t="b">
        <f t="shared" si="80"/>
        <v>0</v>
      </c>
      <c r="AN744" s="60" t="b">
        <f t="shared" si="81"/>
        <v>0</v>
      </c>
      <c r="AO744" s="60" t="b">
        <f t="shared" si="82"/>
        <v>0</v>
      </c>
      <c r="AP744" s="60" t="b">
        <f t="shared" si="83"/>
        <v>0</v>
      </c>
      <c r="AQ744" s="60" t="b">
        <f t="shared" si="84"/>
        <v>0</v>
      </c>
      <c r="AR744" s="60" t="str">
        <f t="shared" si="85"/>
        <v>No</v>
      </c>
      <c r="AS744" s="60" t="str">
        <f t="shared" si="86"/>
        <v>No</v>
      </c>
    </row>
    <row r="745" spans="1:45" ht="15" hidden="1">
      <c r="A745" s="103">
        <v>45244</v>
      </c>
      <c r="B745" s="117" t="s">
        <v>3292</v>
      </c>
      <c r="C745" s="28" t="s">
        <v>870</v>
      </c>
      <c r="D745" s="28" t="s">
        <v>3309</v>
      </c>
      <c r="F745" s="28" t="s">
        <v>3307</v>
      </c>
      <c r="G745" s="28" t="s">
        <v>514</v>
      </c>
      <c r="H745" s="28" t="s">
        <v>3158</v>
      </c>
      <c r="I745" s="28" t="s">
        <v>516</v>
      </c>
      <c r="J745" s="28" t="s">
        <v>517</v>
      </c>
      <c r="K745" s="28" t="s">
        <v>518</v>
      </c>
      <c r="L745" s="28" t="s">
        <v>2100</v>
      </c>
      <c r="M745" s="28" t="s">
        <v>535</v>
      </c>
      <c r="N745" s="28" t="s">
        <v>619</v>
      </c>
      <c r="O745" s="28" t="s">
        <v>1492</v>
      </c>
      <c r="P745" s="28" t="s">
        <v>544</v>
      </c>
      <c r="S745" s="28" t="s">
        <v>718</v>
      </c>
      <c r="T745" s="28" t="s">
        <v>1918</v>
      </c>
      <c r="U745" s="28" t="s">
        <v>1918</v>
      </c>
      <c r="V745" s="28" t="s">
        <v>517</v>
      </c>
      <c r="Z745" s="118" t="s">
        <v>526</v>
      </c>
      <c r="AA745" s="118"/>
      <c r="AB745" s="118"/>
      <c r="AF745" s="117" t="s">
        <v>3283</v>
      </c>
      <c r="AK745" s="60" t="s">
        <v>2927</v>
      </c>
      <c r="AL745" s="117">
        <f>1/COUNTIF(Tableau6[LAT],B745)</f>
        <v>0.16666666666666666</v>
      </c>
      <c r="AM745" s="60" t="b">
        <f t="shared" si="80"/>
        <v>0</v>
      </c>
      <c r="AN745" s="60" t="b">
        <f t="shared" si="81"/>
        <v>0</v>
      </c>
      <c r="AO745" s="60" t="b">
        <f t="shared" si="82"/>
        <v>0</v>
      </c>
      <c r="AP745" s="60" t="b">
        <f t="shared" si="83"/>
        <v>0</v>
      </c>
      <c r="AQ745" s="60" t="b">
        <f t="shared" si="84"/>
        <v>0</v>
      </c>
      <c r="AR745" s="60" t="str">
        <f t="shared" si="85"/>
        <v>No</v>
      </c>
      <c r="AS745" s="60" t="str">
        <f t="shared" si="86"/>
        <v>No</v>
      </c>
    </row>
    <row r="746" spans="1:45" ht="15" hidden="1">
      <c r="A746" s="103">
        <v>45244</v>
      </c>
      <c r="B746" s="117" t="s">
        <v>3310</v>
      </c>
      <c r="C746" s="28" t="s">
        <v>511</v>
      </c>
      <c r="D746" s="28" t="s">
        <v>3311</v>
      </c>
      <c r="F746" s="28" t="s">
        <v>3312</v>
      </c>
      <c r="G746" s="28" t="s">
        <v>514</v>
      </c>
      <c r="H746" s="28" t="s">
        <v>828</v>
      </c>
      <c r="I746" s="28" t="s">
        <v>516</v>
      </c>
      <c r="J746" s="28" t="s">
        <v>517</v>
      </c>
      <c r="K746" s="28" t="s">
        <v>518</v>
      </c>
      <c r="L746" s="28" t="s">
        <v>3313</v>
      </c>
      <c r="M746" s="28" t="s">
        <v>520</v>
      </c>
      <c r="N746" s="28" t="s">
        <v>522</v>
      </c>
      <c r="S746" s="28" t="s">
        <v>545</v>
      </c>
      <c r="T746" s="28" t="s">
        <v>698</v>
      </c>
      <c r="U746" s="28" t="s">
        <v>698</v>
      </c>
      <c r="V746" s="28" t="s">
        <v>517</v>
      </c>
      <c r="W746" s="28" t="s">
        <v>3314</v>
      </c>
      <c r="Z746" s="118" t="s">
        <v>563</v>
      </c>
      <c r="AA746" s="118"/>
      <c r="AB746" s="118" t="s">
        <v>527</v>
      </c>
      <c r="AF746" s="117" t="s">
        <v>1083</v>
      </c>
      <c r="AK746" s="60" t="s">
        <v>2927</v>
      </c>
      <c r="AL746" s="117">
        <f>1/COUNTIF(Tableau6[LAT],B746)</f>
        <v>1</v>
      </c>
      <c r="AM746" s="60" t="b">
        <f t="shared" si="80"/>
        <v>0</v>
      </c>
      <c r="AN746" s="60" t="b">
        <f t="shared" si="81"/>
        <v>0</v>
      </c>
      <c r="AO746" s="60" t="b">
        <f t="shared" si="82"/>
        <v>0</v>
      </c>
      <c r="AP746" s="60" t="b">
        <f t="shared" si="83"/>
        <v>0</v>
      </c>
      <c r="AQ746" s="60" t="b">
        <f t="shared" si="84"/>
        <v>0</v>
      </c>
      <c r="AR746" s="60" t="str">
        <f t="shared" si="85"/>
        <v>No</v>
      </c>
      <c r="AS746" s="60" t="str">
        <f t="shared" si="86"/>
        <v>No</v>
      </c>
    </row>
    <row r="747" spans="1:45" ht="15" hidden="1">
      <c r="A747" s="103">
        <v>45244</v>
      </c>
      <c r="B747" s="117" t="s">
        <v>3315</v>
      </c>
      <c r="C747" s="28" t="s">
        <v>511</v>
      </c>
      <c r="D747" s="28" t="s">
        <v>3316</v>
      </c>
      <c r="F747" s="28" t="s">
        <v>1137</v>
      </c>
      <c r="G747" s="28" t="s">
        <v>514</v>
      </c>
      <c r="H747" s="28" t="s">
        <v>3317</v>
      </c>
      <c r="I747" s="28" t="s">
        <v>517</v>
      </c>
      <c r="J747" s="28" t="s">
        <v>517</v>
      </c>
      <c r="K747" s="28" t="s">
        <v>518</v>
      </c>
      <c r="L747" s="28" t="s">
        <v>809</v>
      </c>
      <c r="M747" s="28" t="s">
        <v>520</v>
      </c>
      <c r="N747" s="28" t="s">
        <v>627</v>
      </c>
      <c r="S747" s="28" t="s">
        <v>573</v>
      </c>
      <c r="T747" s="28" t="s">
        <v>811</v>
      </c>
      <c r="U747" s="28" t="s">
        <v>811</v>
      </c>
      <c r="V747" s="28" t="s">
        <v>517</v>
      </c>
      <c r="W747" s="28" t="s">
        <v>591</v>
      </c>
      <c r="Z747" s="118" t="s">
        <v>563</v>
      </c>
      <c r="AA747" s="118"/>
      <c r="AB747" s="73" t="s">
        <v>609</v>
      </c>
      <c r="AD747" s="28" t="s">
        <v>954</v>
      </c>
      <c r="AE747" s="28" t="s">
        <v>563</v>
      </c>
      <c r="AF747" s="117" t="s">
        <v>3316</v>
      </c>
      <c r="AG747" s="28" t="s">
        <v>563</v>
      </c>
      <c r="AK747" s="60" t="s">
        <v>2927</v>
      </c>
      <c r="AL747" s="117">
        <f>1/COUNTIF(Tableau6[LAT],B747)</f>
        <v>1</v>
      </c>
      <c r="AM747" s="60" t="b">
        <f t="shared" si="80"/>
        <v>0</v>
      </c>
      <c r="AN747" s="60" t="b">
        <f t="shared" si="81"/>
        <v>0</v>
      </c>
      <c r="AO747" s="60" t="b">
        <f t="shared" si="82"/>
        <v>0</v>
      </c>
      <c r="AP747" s="60" t="b">
        <f t="shared" si="83"/>
        <v>0</v>
      </c>
      <c r="AQ747" s="60" t="b">
        <f t="shared" si="84"/>
        <v>0</v>
      </c>
      <c r="AR747" s="60" t="str">
        <f t="shared" si="85"/>
        <v>No</v>
      </c>
      <c r="AS747" s="60" t="str">
        <f t="shared" si="86"/>
        <v>No</v>
      </c>
    </row>
    <row r="748" spans="1:45" ht="15" hidden="1">
      <c r="A748" s="103">
        <v>45244</v>
      </c>
      <c r="B748" s="117" t="s">
        <v>3318</v>
      </c>
      <c r="C748" s="28" t="s">
        <v>511</v>
      </c>
      <c r="D748" s="28" t="s">
        <v>3319</v>
      </c>
      <c r="F748" s="28" t="s">
        <v>2804</v>
      </c>
      <c r="G748" s="28" t="s">
        <v>514</v>
      </c>
      <c r="H748" s="28" t="s">
        <v>3320</v>
      </c>
      <c r="I748" s="28" t="s">
        <v>516</v>
      </c>
      <c r="J748" s="28" t="s">
        <v>517</v>
      </c>
      <c r="K748" s="28" t="s">
        <v>518</v>
      </c>
      <c r="L748" s="28" t="s">
        <v>588</v>
      </c>
      <c r="M748" s="28" t="s">
        <v>605</v>
      </c>
      <c r="N748" s="28" t="s">
        <v>522</v>
      </c>
      <c r="S748" s="28" t="s">
        <v>740</v>
      </c>
      <c r="T748" s="28" t="s">
        <v>590</v>
      </c>
      <c r="U748" s="28" t="s">
        <v>590</v>
      </c>
      <c r="V748" s="28" t="s">
        <v>517</v>
      </c>
      <c r="W748" s="28" t="s">
        <v>3321</v>
      </c>
      <c r="Z748" s="118" t="s">
        <v>563</v>
      </c>
      <c r="AA748" s="118"/>
      <c r="AB748" s="118" t="s">
        <v>527</v>
      </c>
      <c r="AD748" s="28" t="s">
        <v>954</v>
      </c>
      <c r="AE748" s="28" t="s">
        <v>563</v>
      </c>
      <c r="AF748" s="117" t="s">
        <v>3319</v>
      </c>
      <c r="AG748" s="28" t="s">
        <v>563</v>
      </c>
      <c r="AK748" s="60" t="s">
        <v>2927</v>
      </c>
      <c r="AL748" s="117">
        <f>1/COUNTIF(Tableau6[LAT],B748)</f>
        <v>1</v>
      </c>
      <c r="AM748" s="60" t="b">
        <f t="shared" si="80"/>
        <v>0</v>
      </c>
      <c r="AN748" s="60" t="b">
        <f t="shared" si="81"/>
        <v>0</v>
      </c>
      <c r="AO748" s="60" t="b">
        <f t="shared" si="82"/>
        <v>0</v>
      </c>
      <c r="AP748" s="60" t="b">
        <f t="shared" si="83"/>
        <v>0</v>
      </c>
      <c r="AQ748" s="60" t="b">
        <f t="shared" si="84"/>
        <v>0</v>
      </c>
      <c r="AR748" s="60" t="str">
        <f t="shared" si="85"/>
        <v>No</v>
      </c>
      <c r="AS748" s="60" t="str">
        <f t="shared" si="86"/>
        <v>No</v>
      </c>
    </row>
    <row r="749" spans="1:45" ht="15" hidden="1">
      <c r="A749" s="103">
        <v>45244</v>
      </c>
      <c r="B749" s="117" t="s">
        <v>3322</v>
      </c>
      <c r="C749" s="28" t="s">
        <v>511</v>
      </c>
      <c r="D749" s="28" t="s">
        <v>3323</v>
      </c>
      <c r="F749" s="28" t="s">
        <v>3324</v>
      </c>
      <c r="G749" s="28" t="s">
        <v>958</v>
      </c>
      <c r="H749" s="28" t="s">
        <v>2486</v>
      </c>
      <c r="I749" s="28" t="s">
        <v>516</v>
      </c>
      <c r="J749" s="28" t="s">
        <v>517</v>
      </c>
      <c r="K749" s="28" t="s">
        <v>518</v>
      </c>
      <c r="L749" s="28" t="s">
        <v>809</v>
      </c>
      <c r="M749" s="28" t="s">
        <v>535</v>
      </c>
      <c r="S749" s="28" t="s">
        <v>740</v>
      </c>
      <c r="T749" s="28" t="s">
        <v>811</v>
      </c>
      <c r="U749" s="28" t="s">
        <v>811</v>
      </c>
      <c r="V749" s="28" t="s">
        <v>517</v>
      </c>
      <c r="W749" s="28" t="s">
        <v>3325</v>
      </c>
      <c r="Z749" s="118" t="s">
        <v>563</v>
      </c>
      <c r="AA749" s="118"/>
      <c r="AB749" s="118" t="s">
        <v>527</v>
      </c>
      <c r="AD749" s="28" t="s">
        <v>528</v>
      </c>
      <c r="AE749" s="28" t="s">
        <v>563</v>
      </c>
      <c r="AF749" s="117" t="s">
        <v>3323</v>
      </c>
      <c r="AG749" s="28" t="s">
        <v>563</v>
      </c>
      <c r="AK749" s="60" t="s">
        <v>2927</v>
      </c>
      <c r="AL749" s="117">
        <f>1/COUNTIF(Tableau6[LAT],B749)</f>
        <v>1</v>
      </c>
      <c r="AM749" s="60" t="b">
        <f t="shared" si="80"/>
        <v>0</v>
      </c>
      <c r="AN749" s="60" t="b">
        <f t="shared" si="81"/>
        <v>0</v>
      </c>
      <c r="AO749" s="60" t="b">
        <f t="shared" si="82"/>
        <v>0</v>
      </c>
      <c r="AP749" s="60" t="b">
        <f t="shared" si="83"/>
        <v>0</v>
      </c>
      <c r="AQ749" s="60" t="b">
        <f t="shared" si="84"/>
        <v>0</v>
      </c>
      <c r="AR749" s="60" t="str">
        <f t="shared" si="85"/>
        <v>No</v>
      </c>
      <c r="AS749" s="60" t="str">
        <f t="shared" si="86"/>
        <v>No</v>
      </c>
    </row>
    <row r="750" spans="1:45" ht="15" hidden="1">
      <c r="A750" s="103">
        <v>45244</v>
      </c>
      <c r="B750" s="117" t="s">
        <v>3326</v>
      </c>
      <c r="C750" s="28" t="s">
        <v>511</v>
      </c>
      <c r="D750" s="28" t="s">
        <v>3327</v>
      </c>
      <c r="E750" s="28" t="s">
        <v>3328</v>
      </c>
      <c r="F750" s="28" t="s">
        <v>3329</v>
      </c>
      <c r="G750" s="28" t="s">
        <v>514</v>
      </c>
      <c r="H750" s="28" t="s">
        <v>2832</v>
      </c>
      <c r="I750" s="28" t="s">
        <v>517</v>
      </c>
      <c r="J750" s="28" t="s">
        <v>517</v>
      </c>
      <c r="K750" s="28" t="s">
        <v>518</v>
      </c>
      <c r="L750" s="28" t="s">
        <v>3330</v>
      </c>
      <c r="M750" s="28" t="s">
        <v>535</v>
      </c>
      <c r="N750" s="28" t="s">
        <v>1124</v>
      </c>
      <c r="O750" s="28" t="s">
        <v>557</v>
      </c>
      <c r="P750" s="28" t="s">
        <v>1523</v>
      </c>
      <c r="Q750" s="28" t="s">
        <v>522</v>
      </c>
      <c r="S750" s="28" t="s">
        <v>573</v>
      </c>
      <c r="T750" s="28" t="s">
        <v>3331</v>
      </c>
      <c r="U750" s="28" t="s">
        <v>3331</v>
      </c>
      <c r="V750" s="28" t="s">
        <v>517</v>
      </c>
      <c r="W750" s="28" t="s">
        <v>3332</v>
      </c>
      <c r="Z750" s="118" t="s">
        <v>563</v>
      </c>
      <c r="AA750" s="118"/>
      <c r="AB750" s="73" t="s">
        <v>609</v>
      </c>
      <c r="AD750" s="28" t="s">
        <v>954</v>
      </c>
      <c r="AE750" s="28" t="s">
        <v>563</v>
      </c>
      <c r="AF750" s="117" t="s">
        <v>3327</v>
      </c>
      <c r="AG750" s="28" t="s">
        <v>563</v>
      </c>
      <c r="AK750" s="60" t="s">
        <v>2927</v>
      </c>
      <c r="AL750" s="117">
        <f>1/COUNTIF(Tableau6[LAT],B750)</f>
        <v>1</v>
      </c>
      <c r="AM750" s="60" t="b">
        <f t="shared" si="80"/>
        <v>0</v>
      </c>
      <c r="AN750" s="60" t="b">
        <f t="shared" si="81"/>
        <v>0</v>
      </c>
      <c r="AO750" s="60" t="b">
        <f t="shared" si="82"/>
        <v>0</v>
      </c>
      <c r="AP750" s="60" t="b">
        <f t="shared" si="83"/>
        <v>0</v>
      </c>
      <c r="AQ750" s="60" t="b">
        <f t="shared" si="84"/>
        <v>0</v>
      </c>
      <c r="AR750" s="60" t="str">
        <f t="shared" si="85"/>
        <v>No</v>
      </c>
      <c r="AS750" s="60" t="str">
        <f t="shared" si="86"/>
        <v>No</v>
      </c>
    </row>
    <row r="751" spans="1:45" ht="15" hidden="1">
      <c r="A751" s="103">
        <v>45244</v>
      </c>
      <c r="B751" s="117" t="s">
        <v>3333</v>
      </c>
      <c r="C751" s="28" t="s">
        <v>511</v>
      </c>
      <c r="D751" s="28" t="s">
        <v>3334</v>
      </c>
      <c r="E751" s="28" t="s">
        <v>3335</v>
      </c>
      <c r="F751" s="28" t="s">
        <v>3336</v>
      </c>
      <c r="G751" s="28" t="s">
        <v>657</v>
      </c>
      <c r="H751" s="28" t="s">
        <v>3337</v>
      </c>
      <c r="I751" s="28" t="s">
        <v>516</v>
      </c>
      <c r="J751" s="28" t="s">
        <v>517</v>
      </c>
      <c r="K751" s="28" t="s">
        <v>518</v>
      </c>
      <c r="L751" s="28" t="s">
        <v>3338</v>
      </c>
      <c r="M751" s="28" t="s">
        <v>535</v>
      </c>
      <c r="N751" s="28" t="s">
        <v>557</v>
      </c>
      <c r="S751" s="28" t="s">
        <v>581</v>
      </c>
      <c r="T751" s="28" t="s">
        <v>3083</v>
      </c>
      <c r="U751" s="28" t="s">
        <v>3083</v>
      </c>
      <c r="V751" s="28" t="s">
        <v>517</v>
      </c>
      <c r="W751" s="28" t="s">
        <v>3339</v>
      </c>
      <c r="X751" s="28" t="s">
        <v>670</v>
      </c>
      <c r="Z751" s="118" t="s">
        <v>563</v>
      </c>
      <c r="AA751" s="118"/>
      <c r="AB751" s="118" t="s">
        <v>527</v>
      </c>
      <c r="AD751" s="28" t="s">
        <v>528</v>
      </c>
      <c r="AE751" s="28" t="s">
        <v>563</v>
      </c>
      <c r="AF751" s="117" t="s">
        <v>3334</v>
      </c>
      <c r="AG751" s="28" t="s">
        <v>563</v>
      </c>
      <c r="AK751" s="60" t="s">
        <v>2927</v>
      </c>
      <c r="AL751" s="117">
        <f>1/COUNTIF(Tableau6[LAT],B751)</f>
        <v>1</v>
      </c>
      <c r="AM751" s="60" t="b">
        <f t="shared" si="80"/>
        <v>0</v>
      </c>
      <c r="AN751" s="60" t="b">
        <f t="shared" si="81"/>
        <v>0</v>
      </c>
      <c r="AO751" s="60" t="b">
        <f t="shared" si="82"/>
        <v>0</v>
      </c>
      <c r="AP751" s="60" t="b">
        <f t="shared" si="83"/>
        <v>0</v>
      </c>
      <c r="AQ751" s="60" t="b">
        <f t="shared" si="84"/>
        <v>0</v>
      </c>
      <c r="AR751" s="60" t="str">
        <f t="shared" si="85"/>
        <v>No</v>
      </c>
      <c r="AS751" s="60" t="str">
        <f t="shared" si="86"/>
        <v>No</v>
      </c>
    </row>
    <row r="752" spans="1:45" ht="15" hidden="1">
      <c r="A752" s="103">
        <v>45244</v>
      </c>
      <c r="B752" s="117" t="s">
        <v>3340</v>
      </c>
      <c r="C752" s="28" t="s">
        <v>511</v>
      </c>
      <c r="D752" s="28" t="s">
        <v>3341</v>
      </c>
      <c r="F752" s="28" t="s">
        <v>3342</v>
      </c>
      <c r="G752" s="28" t="s">
        <v>514</v>
      </c>
      <c r="H752" s="28" t="s">
        <v>939</v>
      </c>
      <c r="I752" s="28" t="s">
        <v>516</v>
      </c>
      <c r="J752" s="28" t="s">
        <v>517</v>
      </c>
      <c r="K752" s="28" t="s">
        <v>518</v>
      </c>
      <c r="L752" s="28" t="s">
        <v>717</v>
      </c>
      <c r="M752" s="28" t="s">
        <v>520</v>
      </c>
      <c r="N752" s="28" t="s">
        <v>544</v>
      </c>
      <c r="S752" s="28" t="s">
        <v>786</v>
      </c>
      <c r="T752" s="28" t="s">
        <v>719</v>
      </c>
      <c r="U752" s="28" t="s">
        <v>719</v>
      </c>
      <c r="V752" s="28" t="s">
        <v>517</v>
      </c>
      <c r="W752" s="28" t="s">
        <v>3343</v>
      </c>
      <c r="Z752" s="118" t="s">
        <v>526</v>
      </c>
      <c r="AA752" s="118"/>
      <c r="AB752" s="118"/>
      <c r="AF752" s="117" t="s">
        <v>1083</v>
      </c>
      <c r="AK752" s="60" t="s">
        <v>2927</v>
      </c>
      <c r="AL752" s="117">
        <f>1/COUNTIF(Tableau6[LAT],B752)</f>
        <v>1</v>
      </c>
      <c r="AM752" s="60" t="b">
        <f t="shared" si="80"/>
        <v>0</v>
      </c>
      <c r="AN752" s="60" t="b">
        <f t="shared" si="81"/>
        <v>0</v>
      </c>
      <c r="AO752" s="60" t="b">
        <f t="shared" si="82"/>
        <v>0</v>
      </c>
      <c r="AP752" s="60" t="b">
        <f t="shared" si="83"/>
        <v>0</v>
      </c>
      <c r="AQ752" s="60" t="b">
        <f t="shared" si="84"/>
        <v>0</v>
      </c>
      <c r="AR752" s="60" t="str">
        <f t="shared" si="85"/>
        <v>No</v>
      </c>
      <c r="AS752" s="60" t="str">
        <f t="shared" si="86"/>
        <v>No</v>
      </c>
    </row>
    <row r="753" spans="1:45" ht="15" hidden="1">
      <c r="A753" s="103">
        <v>45244</v>
      </c>
      <c r="B753" s="117" t="s">
        <v>3344</v>
      </c>
      <c r="C753" s="28" t="s">
        <v>511</v>
      </c>
      <c r="D753" s="28" t="s">
        <v>3345</v>
      </c>
      <c r="F753" s="28" t="s">
        <v>3346</v>
      </c>
      <c r="G753" s="28" t="s">
        <v>514</v>
      </c>
      <c r="H753" s="28" t="s">
        <v>756</v>
      </c>
      <c r="I753" s="28" t="s">
        <v>516</v>
      </c>
      <c r="J753" s="28" t="s">
        <v>517</v>
      </c>
      <c r="K753" s="28" t="s">
        <v>518</v>
      </c>
      <c r="L753" s="28" t="s">
        <v>3313</v>
      </c>
      <c r="M753" s="28" t="s">
        <v>520</v>
      </c>
      <c r="N753" s="28" t="s">
        <v>557</v>
      </c>
      <c r="O753" s="28" t="s">
        <v>559</v>
      </c>
      <c r="S753" s="28" t="s">
        <v>1857</v>
      </c>
      <c r="T753" s="28" t="s">
        <v>705</v>
      </c>
      <c r="U753" s="28" t="s">
        <v>705</v>
      </c>
      <c r="V753" s="28" t="s">
        <v>517</v>
      </c>
      <c r="W753" s="28" t="s">
        <v>3122</v>
      </c>
      <c r="Z753" s="118" t="s">
        <v>563</v>
      </c>
      <c r="AA753" s="118"/>
      <c r="AB753" s="118" t="s">
        <v>527</v>
      </c>
      <c r="AD753" s="28" t="s">
        <v>528</v>
      </c>
      <c r="AE753" s="28" t="s">
        <v>563</v>
      </c>
      <c r="AF753" s="117" t="s">
        <v>3345</v>
      </c>
      <c r="AG753" s="28" t="s">
        <v>563</v>
      </c>
      <c r="AK753" s="60" t="s">
        <v>2927</v>
      </c>
      <c r="AL753" s="117">
        <f>1/COUNTIF(Tableau6[LAT],B753)</f>
        <v>1</v>
      </c>
      <c r="AM753" s="60" t="b">
        <f t="shared" si="80"/>
        <v>0</v>
      </c>
      <c r="AN753" s="60" t="b">
        <f t="shared" si="81"/>
        <v>0</v>
      </c>
      <c r="AO753" s="60" t="b">
        <f t="shared" si="82"/>
        <v>0</v>
      </c>
      <c r="AP753" s="60" t="b">
        <f t="shared" si="83"/>
        <v>0</v>
      </c>
      <c r="AQ753" s="60" t="b">
        <f t="shared" si="84"/>
        <v>0</v>
      </c>
      <c r="AR753" s="60" t="str">
        <f t="shared" si="85"/>
        <v>No</v>
      </c>
      <c r="AS753" s="60" t="str">
        <f t="shared" si="86"/>
        <v>No</v>
      </c>
    </row>
    <row r="754" spans="1:45" ht="15" hidden="1">
      <c r="A754" s="103">
        <v>45244</v>
      </c>
      <c r="B754" s="117" t="s">
        <v>3347</v>
      </c>
      <c r="C754" s="28" t="s">
        <v>511</v>
      </c>
      <c r="D754" s="28" t="s">
        <v>3348</v>
      </c>
      <c r="F754" s="28" t="s">
        <v>3349</v>
      </c>
      <c r="G754" s="28" t="s">
        <v>724</v>
      </c>
      <c r="H754" s="28" t="s">
        <v>568</v>
      </c>
      <c r="I754" s="28" t="s">
        <v>517</v>
      </c>
      <c r="J754" s="28" t="s">
        <v>517</v>
      </c>
      <c r="K754" s="28" t="s">
        <v>518</v>
      </c>
      <c r="L754" s="28" t="s">
        <v>596</v>
      </c>
      <c r="M754" s="28" t="s">
        <v>535</v>
      </c>
      <c r="N754" s="28" t="s">
        <v>521</v>
      </c>
      <c r="O754" s="28" t="s">
        <v>1523</v>
      </c>
      <c r="P754" s="28" t="s">
        <v>559</v>
      </c>
      <c r="S754" s="28" t="s">
        <v>573</v>
      </c>
      <c r="T754" s="28" t="s">
        <v>3350</v>
      </c>
      <c r="U754" s="28" t="s">
        <v>597</v>
      </c>
      <c r="V754" s="28" t="s">
        <v>517</v>
      </c>
      <c r="W754" s="28" t="s">
        <v>3351</v>
      </c>
      <c r="Z754" s="118" t="s">
        <v>563</v>
      </c>
      <c r="AA754" s="118"/>
      <c r="AB754" s="73" t="s">
        <v>609</v>
      </c>
      <c r="AD754" s="28" t="s">
        <v>954</v>
      </c>
      <c r="AE754" s="28" t="s">
        <v>563</v>
      </c>
      <c r="AF754" s="117" t="s">
        <v>3348</v>
      </c>
      <c r="AG754" s="28" t="s">
        <v>563</v>
      </c>
      <c r="AK754" s="60" t="s">
        <v>2927</v>
      </c>
      <c r="AL754" s="117">
        <f>1/COUNTIF(Tableau6[LAT],B754)</f>
        <v>1</v>
      </c>
      <c r="AM754" s="60" t="b">
        <f t="shared" si="80"/>
        <v>0</v>
      </c>
      <c r="AN754" s="60" t="b">
        <f t="shared" si="81"/>
        <v>0</v>
      </c>
      <c r="AO754" s="60" t="b">
        <f t="shared" si="82"/>
        <v>0</v>
      </c>
      <c r="AP754" s="60" t="b">
        <f t="shared" si="83"/>
        <v>0</v>
      </c>
      <c r="AQ754" s="60" t="b">
        <f t="shared" si="84"/>
        <v>0</v>
      </c>
      <c r="AR754" s="60" t="str">
        <f t="shared" si="85"/>
        <v>No</v>
      </c>
      <c r="AS754" s="60" t="str">
        <f t="shared" si="86"/>
        <v>No</v>
      </c>
    </row>
    <row r="755" spans="1:45" ht="15" hidden="1">
      <c r="A755" s="103">
        <v>45244</v>
      </c>
      <c r="B755" s="117" t="s">
        <v>3352</v>
      </c>
      <c r="C755" s="28" t="s">
        <v>511</v>
      </c>
      <c r="D755" s="28" t="s">
        <v>3353</v>
      </c>
      <c r="F755" s="28" t="s">
        <v>3354</v>
      </c>
      <c r="G755" s="28" t="s">
        <v>1163</v>
      </c>
      <c r="H755" s="28" t="s">
        <v>1096</v>
      </c>
      <c r="I755" s="28" t="s">
        <v>516</v>
      </c>
      <c r="J755" s="28" t="s">
        <v>517</v>
      </c>
      <c r="K755" s="28" t="s">
        <v>518</v>
      </c>
      <c r="L755" s="28" t="s">
        <v>1491</v>
      </c>
      <c r="M755" s="28" t="s">
        <v>520</v>
      </c>
      <c r="S755" s="28" t="s">
        <v>3355</v>
      </c>
      <c r="T755" s="28" t="s">
        <v>1494</v>
      </c>
      <c r="U755" s="28" t="s">
        <v>1494</v>
      </c>
      <c r="V755" s="28" t="s">
        <v>517</v>
      </c>
      <c r="W755" s="28" t="s">
        <v>821</v>
      </c>
      <c r="Z755" s="118" t="s">
        <v>526</v>
      </c>
      <c r="AA755" s="118"/>
      <c r="AB755" s="118"/>
      <c r="AD755" s="28" t="s">
        <v>528</v>
      </c>
      <c r="AE755" s="28" t="s">
        <v>563</v>
      </c>
      <c r="AF755" s="117" t="s">
        <v>3353</v>
      </c>
      <c r="AG755" s="28" t="s">
        <v>563</v>
      </c>
      <c r="AK755" s="60" t="s">
        <v>2927</v>
      </c>
      <c r="AL755" s="117">
        <f>1/COUNTIF(Tableau6[LAT],B755)</f>
        <v>1</v>
      </c>
      <c r="AM755" s="60" t="b">
        <f t="shared" si="80"/>
        <v>0</v>
      </c>
      <c r="AN755" s="60" t="b">
        <f t="shared" si="81"/>
        <v>0</v>
      </c>
      <c r="AO755" s="60" t="b">
        <f t="shared" si="82"/>
        <v>0</v>
      </c>
      <c r="AP755" s="60" t="b">
        <f t="shared" si="83"/>
        <v>0</v>
      </c>
      <c r="AQ755" s="60" t="b">
        <f t="shared" si="84"/>
        <v>0</v>
      </c>
      <c r="AR755" s="60" t="str">
        <f t="shared" si="85"/>
        <v>No</v>
      </c>
      <c r="AS755" s="60" t="str">
        <f t="shared" si="86"/>
        <v>No</v>
      </c>
    </row>
    <row r="756" spans="1:45" ht="15" hidden="1">
      <c r="A756" s="103">
        <v>45244</v>
      </c>
      <c r="B756" s="117" t="s">
        <v>3356</v>
      </c>
      <c r="C756" s="28" t="s">
        <v>511</v>
      </c>
      <c r="D756" s="28" t="s">
        <v>3357</v>
      </c>
      <c r="F756" s="28" t="s">
        <v>3358</v>
      </c>
      <c r="G756" s="28" t="s">
        <v>958</v>
      </c>
      <c r="H756" s="28" t="s">
        <v>1715</v>
      </c>
      <c r="I756" s="28" t="s">
        <v>516</v>
      </c>
      <c r="J756" s="28" t="s">
        <v>517</v>
      </c>
      <c r="K756" s="28" t="s">
        <v>518</v>
      </c>
      <c r="L756" s="28" t="s">
        <v>2925</v>
      </c>
      <c r="M756" s="28" t="s">
        <v>520</v>
      </c>
      <c r="N756" s="28" t="s">
        <v>521</v>
      </c>
      <c r="O756" s="28" t="s">
        <v>544</v>
      </c>
      <c r="P756" s="28" t="s">
        <v>522</v>
      </c>
      <c r="S756" s="28" t="s">
        <v>1494</v>
      </c>
      <c r="T756" s="28" t="s">
        <v>1042</v>
      </c>
      <c r="U756" s="28" t="s">
        <v>1042</v>
      </c>
      <c r="V756" s="28" t="s">
        <v>517</v>
      </c>
      <c r="W756" s="28" t="s">
        <v>889</v>
      </c>
      <c r="Z756" s="118" t="s">
        <v>563</v>
      </c>
      <c r="AA756" s="118"/>
      <c r="AB756" s="118" t="s">
        <v>527</v>
      </c>
      <c r="AD756" s="28" t="s">
        <v>528</v>
      </c>
      <c r="AE756" s="28" t="s">
        <v>563</v>
      </c>
      <c r="AF756" s="117" t="s">
        <v>3357</v>
      </c>
      <c r="AG756" s="28" t="s">
        <v>563</v>
      </c>
      <c r="AK756" s="60" t="s">
        <v>2927</v>
      </c>
      <c r="AL756" s="117">
        <f>1/COUNTIF(Tableau6[LAT],B756)</f>
        <v>1</v>
      </c>
      <c r="AM756" s="60" t="b">
        <f t="shared" ref="AM756:AM819" si="87">IF(N756="ALM","Yes",IF(N756="ALI","Yes",IF(N756="CAO","Yes",IF(N756="ICE","Yes",IF(N756="MAG","Yes",IF(N756="MAG","Yes",IF(N756="RBI","Yes",IF(N756="RBM","Yes",IF(N756="RCL","Yes",IF(N756="RCM","Yes",IF(N756="RCX","Yes",IF(N756="RDS","Yes",IF(N756="REQ","Yes",IF(N756="REX","Yes",IF(N756="RFG","Yes",IF(N756="RFL","Yes",IF(N756="RFS","Yes",IF(N756="RFW","Yes",IF(N756="RGX","Yes",IF(N756="RIS",IF(N756="RLI","Yes",IF(N756="RLM","Yes",IF(N756="RMD","Yes",IF(N756="RNG","Yes",IF(N756="ROP","Yes",IF(N756="ROX","Yes",IF(N756="RPB","Yes",IF(N756="RPG","Yes",IF(N756="RRE","Yes",IF(N756="RRW","Yes",IF(N756="RRY","Yes",IF(N756="RSB","Yes",IF(N756="RSC","Yes",IF(N756="RXB","Yes",IF(N756="RXC","Yes",IF(N756="RXD","Yes",IF(N756="RXE","Yes",IF(N756="RXG","Yes",IF(N756="RXS","Yes",)))))))))))))))))))))))))))))))))))))))</f>
        <v>0</v>
      </c>
      <c r="AN756" s="60" t="b">
        <f t="shared" ref="AN756:AN819" si="88">IF(O756="ALM","Yes",IF(O756="ALI","Yes",IF(O756="CAO","Yes",IF(O756="ICE","Yes",IF(O756="MAG","Yes",IF(O756="MAG","Yes",IF(O756="RBI","Yes",IF(O756="RBM","Yes",IF(O756="RCL","Yes",IF(O756="RCM","Yes",IF(O756="RCX","Yes",IF(O756="RDS","Yes",IF(O756="REQ","Yes",IF(O756="REX","Yes",IF(O756="RFG","Yes",IF(O756="RFL","Yes",IF(O756="RFS","Yes",IF(O756="RFW","Yes",IF(O756="RGX","Yes",IF(O756="RIS",IF(O756="RLI","Yes",IF(O756="RLM","Yes",IF(O756="RMD","Yes",IF(O756="RNG","Yes",IF(O756="ROP","Yes",IF(O756="ROX","Yes",IF(O756="RPB","Yes",IF(O756="RPG","Yes",IF(O756="RRE","Yes",IF(O756="RRW","Yes",IF(O756="RRY","Yes",IF(O756="RSB","Yes",IF(O756="RSC","Yes",IF(O756="RXB","Yes",IF(O756="RXC","Yes",IF(O756="RXD","Yes",IF(O756="RXE","Yes",IF(O756="RXG","Yes",IF(O756="RXS","Yes",)))))))))))))))))))))))))))))))))))))))</f>
        <v>0</v>
      </c>
      <c r="AO756" s="60" t="b">
        <f t="shared" ref="AO756:AO819" si="89">IF(P756="ALM","Yes",IF(P756="ALI","Yes",IF(P756="CAO","Yes",IF(P756="ICE","Yes",IF(P756="MAG","Yes",IF(P756="MAG","Yes",IF(P756="RBI","Yes",IF(P756="RBM","Yes",IF(P756="RCL","Yes",IF(P756="RCM","Yes",IF(P756="RCX","Yes",IF(P756="RDS","Yes",IF(P756="REQ","Yes",IF(P756="REX","Yes",IF(P756="RFG","Yes",IF(P756="RFL","Yes",IF(P756="RFS","Yes",IF(P756="RFW","Yes",IF(P756="RGX","Yes",IF(P756="RIS",IF(P756="RLI","Yes",IF(P756="RLM","Yes",IF(P756="RMD","Yes",IF(P756="RNG","Yes",IF(P756="ROP","Yes",IF(P756="ROX","Yes",IF(P756="RPB","Yes",IF(P756="RPG","Yes",IF(P756="RRE","Yes",IF(P756="RRW","Yes",IF(P756="RRY","Yes",IF(P756="RSB","Yes",IF(P756="RSC","Yes",IF(P756="RXB","Yes",IF(P756="RXC","Yes",IF(P756="RXD","Yes",IF(P756="RXE","Yes",IF(P756="RXG","Yes",IF(P756="RXS","Yes",)))))))))))))))))))))))))))))))))))))))</f>
        <v>0</v>
      </c>
      <c r="AP756" s="60" t="b">
        <f t="shared" ref="AP756:AP819" si="90">IF(Q756="ALM","Yes",IF(Q756="ALI","Yes",IF(Q756="CAO","Yes",IF(Q756="ICE","Yes",IF(Q756="MAG","Yes",IF(Q756="MAG","Yes",IF(Q756="RBI","Yes",IF(Q756="RBM","Yes",IF(Q756="RCL","Yes",IF(Q756="RCM","Yes",IF(Q756="RCX","Yes",IF(Q756="RDS","Yes",IF(Q756="REQ","Yes",IF(Q756="REX","Yes",IF(Q756="RFG","Yes",IF(Q756="RFL","Yes",IF(Q756="RFS","Yes",IF(Q756="RFW","Yes",IF(Q756="RGX","Yes",IF(Q756="RIS",IF(Q756="RLI","Yes",IF(Q756="RLM","Yes",IF(Q756="RMD","Yes",IF(Q756="RNG","Yes",IF(Q756="ROP","Yes",IF(Q756="ROX","Yes",IF(Q756="RPB","Yes",IF(Q756="RPG","Yes",IF(Q756="RRE","Yes",IF(Q756="RRW","Yes",IF(Q756="RRY","Yes",IF(Q756="RSB","Yes",IF(Q756="RSC","Yes",IF(Q756="RXB","Yes",IF(Q756="RXC","Yes",IF(Q756="RXD","Yes",IF(Q756="RXE","Yes",IF(Q756="RXG","Yes",IF(Q756="RXS","Yes",)))))))))))))))))))))))))))))))))))))))</f>
        <v>0</v>
      </c>
      <c r="AQ756" s="60" t="b">
        <f t="shared" ref="AQ756:AQ819" si="91">IF(R756="ALM","Yes",IF(R756="ALI","Yes",IF(R756="CAO","Yes",IF(R756="ICE","Yes",IF(R756="MAG","Yes",IF(R756="MAG","Yes",IF(R756="RBI","Yes",IF(R756="RBM","Yes",IF(R756="RCL","Yes",IF(R756="RCM","Yes",IF(R756="RCX","Yes",IF(R756="RDS","Yes",IF(R756="REQ","Yes",IF(R756="REX","Yes",IF(R756="RFG","Yes",IF(R756="RFL","Yes",IF(R756="RFS","Yes",IF(R756="RFW","Yes",IF(R756="RGX","Yes",IF(R756="RIS",IF(R756="RLI","Yes",IF(R756="RLM","Yes",IF(R756="RMD","Yes",IF(R756="RNG","Yes",IF(R756="ROP","Yes",IF(R756="ROX","Yes",IF(R756="RPB","Yes",IF(R756="RPG","Yes",IF(R756="RRE","Yes",IF(R756="RRW","Yes",IF(R756="RRY","Yes",IF(R756="RSB","Yes",IF(R756="RSC","Yes",IF(R756="RXB","Yes",IF(R756="RXC","Yes",IF(R756="RXD","Yes",IF(R756="RXE","Yes",IF(R756="RXG","Yes",IF(R756="RXS","Yes",)))))))))))))))))))))))))))))))))))))))</f>
        <v>0</v>
      </c>
      <c r="AR756" s="60" t="str">
        <f t="shared" ref="AR756:AR819" si="92">IF(AM756="Yes","Yes",IF(AN756="Yes","Yes",IF(AO756="yes","Yes",IF(AP756="Yes","Yes","No"))))</f>
        <v>No</v>
      </c>
      <c r="AS756" s="60" t="str">
        <f t="shared" ref="AS756:AS819" si="93">IF(S756="QFA","Yes",IF(S756="LCJ","Yes",IF(S756="CAJ","Yes",IF(S756="WRO","Yes",IF(S756="BEY","Yes",IF(S756="TUN","Yes",IF(S756="LFW","Yes",IF(S756="DLA","Yes",IF(S756="NSI","Yes",IF(S756="OUA","Yes",IF(S756="IAH","Yes",IF(S756="LYS","Yes",IF(S756="DSS","Yes",IF(S756="BKO","Yes",IF(S756="BZV","Yes",IF(S756="COO","Yes",IF(S756="EZE","Yes",IF(S756="CKY","Yes",IF(S756="PTP","Yes",IF(S756="ORD","Yes",IF(S756="CFE","Yes",IF(S756="NKC","Yes",IF(S756="FDF","Yes",IF(S756="SDQ","Yes",IF(S756="PNR","Yes",IF(S756="ICAY","Yes",IF(S756="DTW","Yes",IF(S756="TNR","Yes",IF(S756="RUN","Yes",IF(S756="NIM","Yes","No"))))))))))))))))))))))))))))))</f>
        <v>No</v>
      </c>
    </row>
    <row r="757" spans="1:45" ht="15" hidden="1">
      <c r="A757" s="103">
        <v>45244</v>
      </c>
      <c r="B757" s="117" t="s">
        <v>3359</v>
      </c>
      <c r="C757" s="28" t="s">
        <v>511</v>
      </c>
      <c r="D757" s="28" t="s">
        <v>3360</v>
      </c>
      <c r="F757" s="28" t="s">
        <v>3361</v>
      </c>
      <c r="G757" s="28" t="s">
        <v>514</v>
      </c>
      <c r="H757" s="28" t="s">
        <v>1394</v>
      </c>
      <c r="I757" s="28" t="s">
        <v>516</v>
      </c>
      <c r="J757" s="28" t="s">
        <v>517</v>
      </c>
      <c r="K757" s="28" t="s">
        <v>518</v>
      </c>
      <c r="L757" s="28" t="s">
        <v>2272</v>
      </c>
      <c r="M757" s="28" t="s">
        <v>605</v>
      </c>
      <c r="N757" s="28" t="s">
        <v>557</v>
      </c>
      <c r="O757" s="28" t="s">
        <v>544</v>
      </c>
      <c r="P757" s="28" t="s">
        <v>522</v>
      </c>
      <c r="S757" s="28" t="s">
        <v>896</v>
      </c>
      <c r="T757" s="28" t="s">
        <v>733</v>
      </c>
      <c r="U757" s="28" t="s">
        <v>733</v>
      </c>
      <c r="V757" s="28" t="s">
        <v>517</v>
      </c>
      <c r="W757" s="28" t="s">
        <v>3362</v>
      </c>
      <c r="Z757" s="118" t="s">
        <v>526</v>
      </c>
      <c r="AA757" s="118"/>
      <c r="AB757" s="118"/>
      <c r="AD757" s="28" t="s">
        <v>954</v>
      </c>
      <c r="AE757" s="28" t="s">
        <v>563</v>
      </c>
      <c r="AF757" s="117" t="s">
        <v>3360</v>
      </c>
      <c r="AG757" s="28" t="s">
        <v>563</v>
      </c>
      <c r="AK757" s="60" t="s">
        <v>2927</v>
      </c>
      <c r="AL757" s="117">
        <f>1/COUNTIF(Tableau6[LAT],B757)</f>
        <v>1</v>
      </c>
      <c r="AM757" s="60" t="b">
        <f t="shared" si="87"/>
        <v>0</v>
      </c>
      <c r="AN757" s="60" t="b">
        <f t="shared" si="88"/>
        <v>0</v>
      </c>
      <c r="AO757" s="60" t="b">
        <f t="shared" si="89"/>
        <v>0</v>
      </c>
      <c r="AP757" s="60" t="b">
        <f t="shared" si="90"/>
        <v>0</v>
      </c>
      <c r="AQ757" s="60" t="b">
        <f t="shared" si="91"/>
        <v>0</v>
      </c>
      <c r="AR757" s="60" t="str">
        <f t="shared" si="92"/>
        <v>No</v>
      </c>
      <c r="AS757" s="60" t="str">
        <f t="shared" si="93"/>
        <v>No</v>
      </c>
    </row>
    <row r="758" spans="1:45" ht="15" hidden="1">
      <c r="A758" s="103">
        <v>45244</v>
      </c>
      <c r="B758" s="117" t="s">
        <v>3363</v>
      </c>
      <c r="C758" s="28" t="s">
        <v>511</v>
      </c>
      <c r="D758" s="28" t="s">
        <v>3364</v>
      </c>
      <c r="F758" s="28" t="s">
        <v>3365</v>
      </c>
      <c r="G758" s="28" t="s">
        <v>514</v>
      </c>
      <c r="H758" s="28" t="s">
        <v>3158</v>
      </c>
      <c r="I758" s="28" t="s">
        <v>516</v>
      </c>
      <c r="J758" s="28" t="s">
        <v>517</v>
      </c>
      <c r="K758" s="28" t="s">
        <v>518</v>
      </c>
      <c r="L758" s="28" t="s">
        <v>519</v>
      </c>
      <c r="M758" s="28" t="s">
        <v>535</v>
      </c>
      <c r="N758" s="28" t="s">
        <v>521</v>
      </c>
      <c r="O758" s="28" t="s">
        <v>544</v>
      </c>
      <c r="P758" s="28" t="s">
        <v>522</v>
      </c>
      <c r="S758" s="28" t="s">
        <v>607</v>
      </c>
      <c r="T758" s="28" t="s">
        <v>524</v>
      </c>
      <c r="U758" s="28" t="s">
        <v>524</v>
      </c>
      <c r="V758" s="28" t="s">
        <v>517</v>
      </c>
      <c r="W758" s="28" t="s">
        <v>3366</v>
      </c>
      <c r="Z758" s="118" t="s">
        <v>526</v>
      </c>
      <c r="AA758" s="118"/>
      <c r="AB758" s="118"/>
      <c r="AD758" s="28" t="s">
        <v>954</v>
      </c>
      <c r="AE758" s="28" t="s">
        <v>563</v>
      </c>
      <c r="AF758" s="117" t="s">
        <v>3364</v>
      </c>
      <c r="AG758" s="28" t="s">
        <v>563</v>
      </c>
      <c r="AK758" s="60" t="s">
        <v>2927</v>
      </c>
      <c r="AL758" s="117">
        <f>1/COUNTIF(Tableau6[LAT],B758)</f>
        <v>0.5</v>
      </c>
      <c r="AM758" s="60" t="b">
        <f t="shared" si="87"/>
        <v>0</v>
      </c>
      <c r="AN758" s="60" t="b">
        <f t="shared" si="88"/>
        <v>0</v>
      </c>
      <c r="AO758" s="60" t="b">
        <f t="shared" si="89"/>
        <v>0</v>
      </c>
      <c r="AP758" s="60" t="b">
        <f t="shared" si="90"/>
        <v>0</v>
      </c>
      <c r="AQ758" s="60" t="b">
        <f t="shared" si="91"/>
        <v>0</v>
      </c>
      <c r="AR758" s="60" t="str">
        <f t="shared" si="92"/>
        <v>No</v>
      </c>
      <c r="AS758" s="60" t="str">
        <f t="shared" si="93"/>
        <v>No</v>
      </c>
    </row>
    <row r="759" spans="1:45" ht="15" hidden="1">
      <c r="A759" s="103">
        <v>45244</v>
      </c>
      <c r="B759" s="117" t="s">
        <v>3363</v>
      </c>
      <c r="C759" s="28" t="s">
        <v>548</v>
      </c>
      <c r="D759" s="28" t="s">
        <v>3367</v>
      </c>
      <c r="F759" s="28" t="s">
        <v>3365</v>
      </c>
      <c r="G759" s="28" t="s">
        <v>514</v>
      </c>
      <c r="H759" s="28" t="s">
        <v>3158</v>
      </c>
      <c r="I759" s="28" t="s">
        <v>516</v>
      </c>
      <c r="J759" s="28" t="s">
        <v>517</v>
      </c>
      <c r="K759" s="28" t="s">
        <v>518</v>
      </c>
      <c r="L759" s="28" t="s">
        <v>519</v>
      </c>
      <c r="M759" s="28" t="s">
        <v>535</v>
      </c>
      <c r="N759" s="28" t="s">
        <v>521</v>
      </c>
      <c r="O759" s="28" t="s">
        <v>544</v>
      </c>
      <c r="P759" s="28" t="s">
        <v>522</v>
      </c>
      <c r="S759" s="28" t="s">
        <v>607</v>
      </c>
      <c r="T759" s="28" t="s">
        <v>524</v>
      </c>
      <c r="U759" s="28" t="s">
        <v>524</v>
      </c>
      <c r="V759" s="28" t="s">
        <v>517</v>
      </c>
      <c r="W759" s="28" t="s">
        <v>3368</v>
      </c>
      <c r="Z759" s="118" t="s">
        <v>526</v>
      </c>
      <c r="AA759" s="118"/>
      <c r="AB759" s="118"/>
      <c r="AD759" s="28" t="s">
        <v>954</v>
      </c>
      <c r="AE759" s="28" t="s">
        <v>563</v>
      </c>
      <c r="AF759" s="117" t="s">
        <v>3367</v>
      </c>
      <c r="AG759" s="28" t="s">
        <v>563</v>
      </c>
      <c r="AK759" s="60" t="s">
        <v>2927</v>
      </c>
      <c r="AL759" s="117">
        <f>1/COUNTIF(Tableau6[LAT],B759)</f>
        <v>0.5</v>
      </c>
      <c r="AM759" s="60" t="b">
        <f t="shared" si="87"/>
        <v>0</v>
      </c>
      <c r="AN759" s="60" t="b">
        <f t="shared" si="88"/>
        <v>0</v>
      </c>
      <c r="AO759" s="60" t="b">
        <f t="shared" si="89"/>
        <v>0</v>
      </c>
      <c r="AP759" s="60" t="b">
        <f t="shared" si="90"/>
        <v>0</v>
      </c>
      <c r="AQ759" s="60" t="b">
        <f t="shared" si="91"/>
        <v>0</v>
      </c>
      <c r="AR759" s="60" t="str">
        <f t="shared" si="92"/>
        <v>No</v>
      </c>
      <c r="AS759" s="60" t="str">
        <f t="shared" si="93"/>
        <v>No</v>
      </c>
    </row>
    <row r="760" spans="1:45" ht="15" hidden="1">
      <c r="A760" s="103">
        <v>45244</v>
      </c>
      <c r="B760" s="117" t="s">
        <v>3369</v>
      </c>
      <c r="C760" s="28" t="s">
        <v>511</v>
      </c>
      <c r="D760" s="28" t="s">
        <v>3370</v>
      </c>
      <c r="F760" s="28" t="s">
        <v>3371</v>
      </c>
      <c r="G760" s="28" t="s">
        <v>514</v>
      </c>
      <c r="H760" s="28" t="s">
        <v>1605</v>
      </c>
      <c r="I760" s="28" t="s">
        <v>516</v>
      </c>
      <c r="J760" s="28" t="s">
        <v>517</v>
      </c>
      <c r="K760" s="28" t="s">
        <v>518</v>
      </c>
      <c r="L760" s="28" t="s">
        <v>2325</v>
      </c>
      <c r="M760" s="28" t="s">
        <v>535</v>
      </c>
      <c r="N760" s="28" t="s">
        <v>544</v>
      </c>
      <c r="S760" s="28" t="s">
        <v>820</v>
      </c>
      <c r="T760" s="28" t="s">
        <v>2326</v>
      </c>
      <c r="U760" s="28" t="s">
        <v>2326</v>
      </c>
      <c r="V760" s="28" t="s">
        <v>517</v>
      </c>
      <c r="W760" s="28" t="s">
        <v>3372</v>
      </c>
      <c r="Z760" s="118" t="s">
        <v>563</v>
      </c>
      <c r="AA760" s="118"/>
      <c r="AB760" s="118" t="s">
        <v>527</v>
      </c>
      <c r="AD760" s="28" t="s">
        <v>528</v>
      </c>
      <c r="AE760" s="28" t="s">
        <v>563</v>
      </c>
      <c r="AF760" s="117" t="s">
        <v>3370</v>
      </c>
      <c r="AG760" s="28" t="s">
        <v>563</v>
      </c>
      <c r="AK760" s="60" t="s">
        <v>2927</v>
      </c>
      <c r="AL760" s="117">
        <f>1/COUNTIF(Tableau6[LAT],B760)</f>
        <v>0.2</v>
      </c>
      <c r="AM760" s="60" t="b">
        <f t="shared" si="87"/>
        <v>0</v>
      </c>
      <c r="AN760" s="60" t="b">
        <f t="shared" si="88"/>
        <v>0</v>
      </c>
      <c r="AO760" s="60" t="b">
        <f t="shared" si="89"/>
        <v>0</v>
      </c>
      <c r="AP760" s="60" t="b">
        <f t="shared" si="90"/>
        <v>0</v>
      </c>
      <c r="AQ760" s="60" t="b">
        <f t="shared" si="91"/>
        <v>0</v>
      </c>
      <c r="AR760" s="60" t="str">
        <f t="shared" si="92"/>
        <v>No</v>
      </c>
      <c r="AS760" s="60" t="str">
        <f t="shared" si="93"/>
        <v>No</v>
      </c>
    </row>
    <row r="761" spans="1:45" ht="15" hidden="1">
      <c r="A761" s="103">
        <v>45244</v>
      </c>
      <c r="B761" s="117" t="s">
        <v>3369</v>
      </c>
      <c r="C761" s="28" t="s">
        <v>548</v>
      </c>
      <c r="D761" s="28" t="s">
        <v>3373</v>
      </c>
      <c r="F761" s="28" t="s">
        <v>3371</v>
      </c>
      <c r="G761" s="28" t="s">
        <v>514</v>
      </c>
      <c r="H761" s="28" t="s">
        <v>1605</v>
      </c>
      <c r="I761" s="28" t="s">
        <v>516</v>
      </c>
      <c r="J761" s="28" t="s">
        <v>517</v>
      </c>
      <c r="K761" s="28" t="s">
        <v>518</v>
      </c>
      <c r="L761" s="28" t="s">
        <v>2325</v>
      </c>
      <c r="M761" s="28" t="s">
        <v>535</v>
      </c>
      <c r="N761" s="28" t="s">
        <v>544</v>
      </c>
      <c r="S761" s="28" t="s">
        <v>820</v>
      </c>
      <c r="T761" s="28" t="s">
        <v>2326</v>
      </c>
      <c r="U761" s="28" t="s">
        <v>2326</v>
      </c>
      <c r="V761" s="28" t="s">
        <v>517</v>
      </c>
      <c r="W761" s="28" t="s">
        <v>3372</v>
      </c>
      <c r="Z761" s="118" t="s">
        <v>563</v>
      </c>
      <c r="AA761" s="118"/>
      <c r="AB761" s="118" t="s">
        <v>527</v>
      </c>
      <c r="AD761" s="28" t="s">
        <v>528</v>
      </c>
      <c r="AE761" s="28" t="s">
        <v>563</v>
      </c>
      <c r="AF761" s="117" t="s">
        <v>3373</v>
      </c>
      <c r="AG761" s="28" t="s">
        <v>563</v>
      </c>
      <c r="AK761" s="60" t="s">
        <v>2927</v>
      </c>
      <c r="AL761" s="117">
        <f>1/COUNTIF(Tableau6[LAT],B761)</f>
        <v>0.2</v>
      </c>
      <c r="AM761" s="60" t="b">
        <f t="shared" si="87"/>
        <v>0</v>
      </c>
      <c r="AN761" s="60" t="b">
        <f t="shared" si="88"/>
        <v>0</v>
      </c>
      <c r="AO761" s="60" t="b">
        <f t="shared" si="89"/>
        <v>0</v>
      </c>
      <c r="AP761" s="60" t="b">
        <f t="shared" si="90"/>
        <v>0</v>
      </c>
      <c r="AQ761" s="60" t="b">
        <f t="shared" si="91"/>
        <v>0</v>
      </c>
      <c r="AR761" s="60" t="str">
        <f t="shared" si="92"/>
        <v>No</v>
      </c>
      <c r="AS761" s="60" t="str">
        <f t="shared" si="93"/>
        <v>No</v>
      </c>
    </row>
    <row r="762" spans="1:45" ht="15" hidden="1">
      <c r="A762" s="103">
        <v>45244</v>
      </c>
      <c r="B762" s="117" t="s">
        <v>3369</v>
      </c>
      <c r="C762" s="28" t="s">
        <v>612</v>
      </c>
      <c r="D762" s="28" t="s">
        <v>3374</v>
      </c>
      <c r="F762" s="28" t="s">
        <v>3371</v>
      </c>
      <c r="G762" s="28" t="s">
        <v>514</v>
      </c>
      <c r="H762" s="28" t="s">
        <v>1605</v>
      </c>
      <c r="I762" s="28" t="s">
        <v>516</v>
      </c>
      <c r="J762" s="28" t="s">
        <v>517</v>
      </c>
      <c r="K762" s="28" t="s">
        <v>518</v>
      </c>
      <c r="L762" s="28" t="s">
        <v>2325</v>
      </c>
      <c r="M762" s="28" t="s">
        <v>535</v>
      </c>
      <c r="N762" s="28" t="s">
        <v>544</v>
      </c>
      <c r="S762" s="28" t="s">
        <v>820</v>
      </c>
      <c r="T762" s="28" t="s">
        <v>2326</v>
      </c>
      <c r="U762" s="28" t="s">
        <v>2326</v>
      </c>
      <c r="V762" s="28" t="s">
        <v>517</v>
      </c>
      <c r="W762" s="28" t="s">
        <v>3372</v>
      </c>
      <c r="Z762" s="118" t="s">
        <v>563</v>
      </c>
      <c r="AA762" s="118"/>
      <c r="AB762" s="118" t="s">
        <v>527</v>
      </c>
      <c r="AD762" s="28" t="s">
        <v>528</v>
      </c>
      <c r="AE762" s="28" t="s">
        <v>563</v>
      </c>
      <c r="AF762" s="117" t="s">
        <v>3374</v>
      </c>
      <c r="AG762" s="28" t="s">
        <v>563</v>
      </c>
      <c r="AK762" s="60" t="s">
        <v>2927</v>
      </c>
      <c r="AL762" s="117">
        <f>1/COUNTIF(Tableau6[LAT],B762)</f>
        <v>0.2</v>
      </c>
      <c r="AM762" s="60" t="b">
        <f t="shared" si="87"/>
        <v>0</v>
      </c>
      <c r="AN762" s="60" t="b">
        <f t="shared" si="88"/>
        <v>0</v>
      </c>
      <c r="AO762" s="60" t="b">
        <f t="shared" si="89"/>
        <v>0</v>
      </c>
      <c r="AP762" s="60" t="b">
        <f t="shared" si="90"/>
        <v>0</v>
      </c>
      <c r="AQ762" s="60" t="b">
        <f t="shared" si="91"/>
        <v>0</v>
      </c>
      <c r="AR762" s="60" t="str">
        <f t="shared" si="92"/>
        <v>No</v>
      </c>
      <c r="AS762" s="60" t="str">
        <f t="shared" si="93"/>
        <v>No</v>
      </c>
    </row>
    <row r="763" spans="1:45" ht="15" hidden="1">
      <c r="A763" s="103">
        <v>45244</v>
      </c>
      <c r="B763" s="117" t="s">
        <v>3369</v>
      </c>
      <c r="C763" s="28" t="s">
        <v>691</v>
      </c>
      <c r="D763" s="28" t="s">
        <v>3375</v>
      </c>
      <c r="F763" s="28" t="s">
        <v>3371</v>
      </c>
      <c r="G763" s="28" t="s">
        <v>514</v>
      </c>
      <c r="H763" s="28" t="s">
        <v>1605</v>
      </c>
      <c r="I763" s="28" t="s">
        <v>516</v>
      </c>
      <c r="J763" s="28" t="s">
        <v>517</v>
      </c>
      <c r="K763" s="28" t="s">
        <v>518</v>
      </c>
      <c r="L763" s="28" t="s">
        <v>2325</v>
      </c>
      <c r="M763" s="28" t="s">
        <v>535</v>
      </c>
      <c r="N763" s="28" t="s">
        <v>544</v>
      </c>
      <c r="S763" s="28" t="s">
        <v>820</v>
      </c>
      <c r="T763" s="28" t="s">
        <v>2326</v>
      </c>
      <c r="U763" s="28" t="s">
        <v>2326</v>
      </c>
      <c r="V763" s="28" t="s">
        <v>517</v>
      </c>
      <c r="W763" s="28" t="s">
        <v>3372</v>
      </c>
      <c r="Z763" s="118" t="s">
        <v>563</v>
      </c>
      <c r="AA763" s="118"/>
      <c r="AB763" s="118" t="s">
        <v>527</v>
      </c>
      <c r="AD763" s="28" t="s">
        <v>528</v>
      </c>
      <c r="AE763" s="28" t="s">
        <v>563</v>
      </c>
      <c r="AF763" s="117" t="s">
        <v>3375</v>
      </c>
      <c r="AG763" s="28" t="s">
        <v>563</v>
      </c>
      <c r="AK763" s="60" t="s">
        <v>2927</v>
      </c>
      <c r="AL763" s="117">
        <f>1/COUNTIF(Tableau6[LAT],B763)</f>
        <v>0.2</v>
      </c>
      <c r="AM763" s="60" t="b">
        <f t="shared" si="87"/>
        <v>0</v>
      </c>
      <c r="AN763" s="60" t="b">
        <f t="shared" si="88"/>
        <v>0</v>
      </c>
      <c r="AO763" s="60" t="b">
        <f t="shared" si="89"/>
        <v>0</v>
      </c>
      <c r="AP763" s="60" t="b">
        <f t="shared" si="90"/>
        <v>0</v>
      </c>
      <c r="AQ763" s="60" t="b">
        <f t="shared" si="91"/>
        <v>0</v>
      </c>
      <c r="AR763" s="60" t="str">
        <f t="shared" si="92"/>
        <v>No</v>
      </c>
      <c r="AS763" s="60" t="str">
        <f t="shared" si="93"/>
        <v>No</v>
      </c>
    </row>
    <row r="764" spans="1:45" ht="15" hidden="1">
      <c r="A764" s="103">
        <v>45244</v>
      </c>
      <c r="B764" s="117" t="s">
        <v>3369</v>
      </c>
      <c r="C764" s="28" t="s">
        <v>859</v>
      </c>
      <c r="D764" s="28" t="s">
        <v>3376</v>
      </c>
      <c r="F764" s="28" t="s">
        <v>3371</v>
      </c>
      <c r="G764" s="28" t="s">
        <v>514</v>
      </c>
      <c r="H764" s="28" t="s">
        <v>1605</v>
      </c>
      <c r="I764" s="28" t="s">
        <v>516</v>
      </c>
      <c r="J764" s="28" t="s">
        <v>517</v>
      </c>
      <c r="K764" s="28" t="s">
        <v>518</v>
      </c>
      <c r="L764" s="28" t="s">
        <v>2325</v>
      </c>
      <c r="M764" s="28" t="s">
        <v>535</v>
      </c>
      <c r="N764" s="28" t="s">
        <v>544</v>
      </c>
      <c r="S764" s="28" t="s">
        <v>820</v>
      </c>
      <c r="T764" s="28" t="s">
        <v>2326</v>
      </c>
      <c r="U764" s="28" t="s">
        <v>2326</v>
      </c>
      <c r="V764" s="28" t="s">
        <v>517</v>
      </c>
      <c r="W764" s="28" t="s">
        <v>3372</v>
      </c>
      <c r="Z764" s="118" t="s">
        <v>563</v>
      </c>
      <c r="AA764" s="118"/>
      <c r="AB764" s="118" t="s">
        <v>527</v>
      </c>
      <c r="AD764" s="28" t="s">
        <v>528</v>
      </c>
      <c r="AE764" s="28" t="s">
        <v>563</v>
      </c>
      <c r="AF764" s="117" t="s">
        <v>3376</v>
      </c>
      <c r="AG764" s="28" t="s">
        <v>563</v>
      </c>
      <c r="AK764" s="60" t="s">
        <v>2927</v>
      </c>
      <c r="AL764" s="117">
        <f>1/COUNTIF(Tableau6[LAT],B764)</f>
        <v>0.2</v>
      </c>
      <c r="AM764" s="60" t="b">
        <f t="shared" si="87"/>
        <v>0</v>
      </c>
      <c r="AN764" s="60" t="b">
        <f t="shared" si="88"/>
        <v>0</v>
      </c>
      <c r="AO764" s="60" t="b">
        <f t="shared" si="89"/>
        <v>0</v>
      </c>
      <c r="AP764" s="60" t="b">
        <f t="shared" si="90"/>
        <v>0</v>
      </c>
      <c r="AQ764" s="60" t="b">
        <f t="shared" si="91"/>
        <v>0</v>
      </c>
      <c r="AR764" s="60" t="str">
        <f t="shared" si="92"/>
        <v>No</v>
      </c>
      <c r="AS764" s="60" t="str">
        <f t="shared" si="93"/>
        <v>No</v>
      </c>
    </row>
    <row r="765" spans="1:45" ht="15" hidden="1">
      <c r="A765" s="103">
        <v>45244</v>
      </c>
      <c r="B765" s="117" t="s">
        <v>3377</v>
      </c>
      <c r="C765" s="28" t="s">
        <v>511</v>
      </c>
      <c r="D765" s="28" t="s">
        <v>3378</v>
      </c>
      <c r="F765" s="28" t="s">
        <v>3379</v>
      </c>
      <c r="G765" s="28" t="s">
        <v>514</v>
      </c>
      <c r="H765" s="28" t="s">
        <v>1809</v>
      </c>
      <c r="I765" s="28" t="s">
        <v>516</v>
      </c>
      <c r="J765" s="28" t="s">
        <v>517</v>
      </c>
      <c r="K765" s="28" t="s">
        <v>518</v>
      </c>
      <c r="L765" s="28" t="s">
        <v>2884</v>
      </c>
      <c r="M765" s="28" t="s">
        <v>535</v>
      </c>
      <c r="N765" s="28" t="s">
        <v>521</v>
      </c>
      <c r="O765" s="28" t="s">
        <v>544</v>
      </c>
      <c r="P765" s="28" t="s">
        <v>522</v>
      </c>
      <c r="S765" s="28" t="s">
        <v>840</v>
      </c>
      <c r="T765" s="28" t="s">
        <v>2885</v>
      </c>
      <c r="U765" s="28" t="s">
        <v>2885</v>
      </c>
      <c r="V765" s="28" t="s">
        <v>517</v>
      </c>
      <c r="W765" s="28" t="s">
        <v>3380</v>
      </c>
      <c r="Z765" s="118" t="s">
        <v>563</v>
      </c>
      <c r="AA765" s="118"/>
      <c r="AB765" s="118" t="s">
        <v>527</v>
      </c>
      <c r="AD765" s="28" t="s">
        <v>528</v>
      </c>
      <c r="AE765" s="28" t="s">
        <v>563</v>
      </c>
      <c r="AF765" s="117" t="s">
        <v>3378</v>
      </c>
      <c r="AG765" s="28" t="s">
        <v>563</v>
      </c>
      <c r="AK765" s="60" t="s">
        <v>2927</v>
      </c>
      <c r="AL765" s="117">
        <f>1/COUNTIF(Tableau6[LAT],B765)</f>
        <v>1</v>
      </c>
      <c r="AM765" s="60" t="b">
        <f t="shared" si="87"/>
        <v>0</v>
      </c>
      <c r="AN765" s="60" t="b">
        <f t="shared" si="88"/>
        <v>0</v>
      </c>
      <c r="AO765" s="60" t="b">
        <f t="shared" si="89"/>
        <v>0</v>
      </c>
      <c r="AP765" s="60" t="b">
        <f t="shared" si="90"/>
        <v>0</v>
      </c>
      <c r="AQ765" s="60" t="b">
        <f t="shared" si="91"/>
        <v>0</v>
      </c>
      <c r="AR765" s="60" t="str">
        <f t="shared" si="92"/>
        <v>No</v>
      </c>
      <c r="AS765" s="60" t="str">
        <f t="shared" si="93"/>
        <v>No</v>
      </c>
    </row>
    <row r="766" spans="1:45" ht="15" hidden="1">
      <c r="A766" s="103">
        <v>45244</v>
      </c>
      <c r="B766" s="117" t="s">
        <v>3381</v>
      </c>
      <c r="C766" s="28" t="s">
        <v>511</v>
      </c>
      <c r="D766" s="108">
        <v>5709646416001</v>
      </c>
      <c r="F766" s="28" t="s">
        <v>3382</v>
      </c>
      <c r="G766" s="28" t="s">
        <v>514</v>
      </c>
      <c r="H766" s="28" t="s">
        <v>3158</v>
      </c>
      <c r="I766" s="28" t="s">
        <v>516</v>
      </c>
      <c r="J766" s="28" t="s">
        <v>517</v>
      </c>
      <c r="K766" s="28" t="s">
        <v>518</v>
      </c>
      <c r="L766" s="28" t="s">
        <v>1536</v>
      </c>
      <c r="M766" s="28" t="s">
        <v>1374</v>
      </c>
      <c r="N766" s="28" t="s">
        <v>1415</v>
      </c>
      <c r="O766" s="28" t="s">
        <v>572</v>
      </c>
      <c r="P766" s="28" t="s">
        <v>521</v>
      </c>
      <c r="Q766" s="28" t="s">
        <v>544</v>
      </c>
      <c r="R766" s="28" t="s">
        <v>522</v>
      </c>
      <c r="S766" s="28" t="s">
        <v>1375</v>
      </c>
      <c r="T766" s="28" t="s">
        <v>1537</v>
      </c>
      <c r="U766" s="28" t="s">
        <v>1537</v>
      </c>
      <c r="V766" s="28" t="s">
        <v>517</v>
      </c>
      <c r="W766" s="28" t="s">
        <v>3383</v>
      </c>
      <c r="Z766" s="118" t="s">
        <v>526</v>
      </c>
      <c r="AA766" s="118"/>
      <c r="AB766" s="118"/>
      <c r="AD766" s="28" t="s">
        <v>528</v>
      </c>
      <c r="AE766" s="28" t="s">
        <v>529</v>
      </c>
      <c r="AF766" s="117" t="s">
        <v>3384</v>
      </c>
      <c r="AG766" s="28" t="s">
        <v>529</v>
      </c>
      <c r="AK766" s="60" t="s">
        <v>2927</v>
      </c>
      <c r="AL766" s="117">
        <f>1/COUNTIF(Tableau6[LAT],B766)</f>
        <v>0.5</v>
      </c>
      <c r="AM766" s="60" t="str">
        <f t="shared" si="87"/>
        <v>Yes</v>
      </c>
      <c r="AN766" s="60" t="b">
        <f t="shared" si="88"/>
        <v>0</v>
      </c>
      <c r="AO766" s="60" t="b">
        <f t="shared" si="89"/>
        <v>0</v>
      </c>
      <c r="AP766" s="60" t="b">
        <f t="shared" si="90"/>
        <v>0</v>
      </c>
      <c r="AQ766" s="60" t="b">
        <f t="shared" si="91"/>
        <v>0</v>
      </c>
      <c r="AR766" s="60" t="str">
        <f t="shared" si="92"/>
        <v>Yes</v>
      </c>
      <c r="AS766" s="60" t="str">
        <f t="shared" si="93"/>
        <v>No</v>
      </c>
    </row>
    <row r="767" spans="1:45" ht="15" hidden="1">
      <c r="A767" s="103">
        <v>45244</v>
      </c>
      <c r="B767" s="117" t="s">
        <v>3381</v>
      </c>
      <c r="C767" s="28" t="s">
        <v>548</v>
      </c>
      <c r="D767" s="108">
        <v>5709646416002</v>
      </c>
      <c r="F767" s="28" t="s">
        <v>3382</v>
      </c>
      <c r="G767" s="28" t="s">
        <v>514</v>
      </c>
      <c r="H767" s="28" t="s">
        <v>3161</v>
      </c>
      <c r="I767" s="28" t="s">
        <v>516</v>
      </c>
      <c r="J767" s="28" t="s">
        <v>517</v>
      </c>
      <c r="K767" s="28" t="s">
        <v>518</v>
      </c>
      <c r="L767" s="28" t="s">
        <v>1536</v>
      </c>
      <c r="M767" s="28" t="s">
        <v>1374</v>
      </c>
      <c r="N767" s="28" t="s">
        <v>1415</v>
      </c>
      <c r="O767" s="28" t="s">
        <v>572</v>
      </c>
      <c r="P767" s="28" t="s">
        <v>521</v>
      </c>
      <c r="Q767" s="28" t="s">
        <v>544</v>
      </c>
      <c r="R767" s="28" t="s">
        <v>522</v>
      </c>
      <c r="S767" s="28" t="s">
        <v>1375</v>
      </c>
      <c r="T767" s="28" t="s">
        <v>1537</v>
      </c>
      <c r="U767" s="28" t="s">
        <v>1537</v>
      </c>
      <c r="V767" s="28" t="s">
        <v>517</v>
      </c>
      <c r="W767" s="28" t="s">
        <v>3385</v>
      </c>
      <c r="Z767" s="118" t="s">
        <v>526</v>
      </c>
      <c r="AA767" s="118"/>
      <c r="AB767" s="118"/>
      <c r="AD767" s="28" t="s">
        <v>528</v>
      </c>
      <c r="AE767" s="28" t="s">
        <v>529</v>
      </c>
      <c r="AF767" s="117" t="s">
        <v>3386</v>
      </c>
      <c r="AG767" s="28" t="s">
        <v>529</v>
      </c>
      <c r="AK767" s="60" t="s">
        <v>2927</v>
      </c>
      <c r="AL767" s="117">
        <f>1/COUNTIF(Tableau6[LAT],B767)</f>
        <v>0.5</v>
      </c>
      <c r="AM767" s="60" t="str">
        <f t="shared" si="87"/>
        <v>Yes</v>
      </c>
      <c r="AN767" s="60" t="b">
        <f t="shared" si="88"/>
        <v>0</v>
      </c>
      <c r="AO767" s="60" t="b">
        <f t="shared" si="89"/>
        <v>0</v>
      </c>
      <c r="AP767" s="60" t="b">
        <f t="shared" si="90"/>
        <v>0</v>
      </c>
      <c r="AQ767" s="60" t="b">
        <f t="shared" si="91"/>
        <v>0</v>
      </c>
      <c r="AR767" s="60" t="str">
        <f t="shared" si="92"/>
        <v>Yes</v>
      </c>
      <c r="AS767" s="60" t="str">
        <f t="shared" si="93"/>
        <v>No</v>
      </c>
    </row>
    <row r="768" spans="1:45" ht="15" hidden="1">
      <c r="A768" s="103">
        <v>45244</v>
      </c>
      <c r="B768" s="117" t="s">
        <v>3387</v>
      </c>
      <c r="C768" s="28" t="s">
        <v>511</v>
      </c>
      <c r="D768" s="28" t="s">
        <v>3388</v>
      </c>
      <c r="E768" s="28" t="s">
        <v>3389</v>
      </c>
      <c r="F768" s="28" t="s">
        <v>3390</v>
      </c>
      <c r="G768" s="28" t="s">
        <v>724</v>
      </c>
      <c r="H768" s="28" t="s">
        <v>3121</v>
      </c>
      <c r="I768" s="28" t="s">
        <v>516</v>
      </c>
      <c r="J768" s="28" t="s">
        <v>517</v>
      </c>
      <c r="K768" s="28" t="s">
        <v>518</v>
      </c>
      <c r="L768" s="28" t="s">
        <v>2833</v>
      </c>
      <c r="M768" s="28" t="s">
        <v>535</v>
      </c>
      <c r="N768" s="28" t="s">
        <v>1430</v>
      </c>
      <c r="O768" s="28" t="s">
        <v>934</v>
      </c>
      <c r="P768" s="28" t="s">
        <v>544</v>
      </c>
      <c r="S768" s="28" t="s">
        <v>718</v>
      </c>
      <c r="T768" s="28" t="s">
        <v>2834</v>
      </c>
      <c r="U768" s="28" t="s">
        <v>2834</v>
      </c>
      <c r="V768" s="28" t="s">
        <v>517</v>
      </c>
      <c r="W768" s="28" t="s">
        <v>3391</v>
      </c>
      <c r="X768" s="28" t="s">
        <v>670</v>
      </c>
      <c r="Z768" s="118" t="s">
        <v>526</v>
      </c>
      <c r="AA768" s="118"/>
      <c r="AB768" s="118"/>
      <c r="AF768" s="117" t="s">
        <v>1083</v>
      </c>
      <c r="AK768" s="60" t="s">
        <v>2927</v>
      </c>
      <c r="AL768" s="117">
        <f>1/COUNTIF(Tableau6[LAT],B768)</f>
        <v>1</v>
      </c>
      <c r="AM768" s="60" t="b">
        <f t="shared" si="87"/>
        <v>0</v>
      </c>
      <c r="AN768" s="60" t="b">
        <f t="shared" si="88"/>
        <v>0</v>
      </c>
      <c r="AO768" s="60" t="b">
        <f t="shared" si="89"/>
        <v>0</v>
      </c>
      <c r="AP768" s="60" t="b">
        <f t="shared" si="90"/>
        <v>0</v>
      </c>
      <c r="AQ768" s="60" t="b">
        <f t="shared" si="91"/>
        <v>0</v>
      </c>
      <c r="AR768" s="60" t="str">
        <f t="shared" si="92"/>
        <v>No</v>
      </c>
      <c r="AS768" s="60" t="str">
        <f t="shared" si="93"/>
        <v>No</v>
      </c>
    </row>
    <row r="769" spans="1:45" ht="15" hidden="1">
      <c r="A769" s="103">
        <v>45244</v>
      </c>
      <c r="B769" s="117" t="s">
        <v>3392</v>
      </c>
      <c r="C769" s="28" t="s">
        <v>548</v>
      </c>
      <c r="D769" s="28" t="s">
        <v>3393</v>
      </c>
      <c r="F769" s="28" t="s">
        <v>3394</v>
      </c>
      <c r="G769" s="28" t="s">
        <v>514</v>
      </c>
      <c r="H769" s="28" t="s">
        <v>1957</v>
      </c>
      <c r="I769" s="28" t="s">
        <v>516</v>
      </c>
      <c r="J769" s="28" t="s">
        <v>517</v>
      </c>
      <c r="K769" s="28" t="s">
        <v>518</v>
      </c>
      <c r="L769" s="28" t="s">
        <v>519</v>
      </c>
      <c r="M769" s="28" t="s">
        <v>535</v>
      </c>
      <c r="N769" s="28" t="s">
        <v>521</v>
      </c>
      <c r="O769" s="28" t="s">
        <v>522</v>
      </c>
      <c r="S769" s="28" t="s">
        <v>740</v>
      </c>
      <c r="T769" s="28" t="s">
        <v>524</v>
      </c>
      <c r="U769" s="28" t="s">
        <v>524</v>
      </c>
      <c r="V769" s="28" t="s">
        <v>517</v>
      </c>
      <c r="W769" s="28" t="s">
        <v>3395</v>
      </c>
      <c r="Z769" s="118" t="s">
        <v>526</v>
      </c>
      <c r="AA769" s="118"/>
      <c r="AB769" s="118"/>
      <c r="AD769" s="28" t="s">
        <v>954</v>
      </c>
      <c r="AE769" s="28" t="s">
        <v>563</v>
      </c>
      <c r="AF769" s="117" t="s">
        <v>3396</v>
      </c>
      <c r="AG769" s="28" t="s">
        <v>563</v>
      </c>
      <c r="AK769" s="60" t="s">
        <v>2927</v>
      </c>
      <c r="AL769" s="117">
        <f>1/COUNTIF(Tableau6[LAT],B769)</f>
        <v>0.2</v>
      </c>
      <c r="AM769" s="60" t="b">
        <f t="shared" si="87"/>
        <v>0</v>
      </c>
      <c r="AN769" s="60" t="b">
        <f t="shared" si="88"/>
        <v>0</v>
      </c>
      <c r="AO769" s="60" t="b">
        <f t="shared" si="89"/>
        <v>0</v>
      </c>
      <c r="AP769" s="60" t="b">
        <f t="shared" si="90"/>
        <v>0</v>
      </c>
      <c r="AQ769" s="60" t="b">
        <f t="shared" si="91"/>
        <v>0</v>
      </c>
      <c r="AR769" s="60" t="str">
        <f t="shared" si="92"/>
        <v>No</v>
      </c>
      <c r="AS769" s="60" t="str">
        <f t="shared" si="93"/>
        <v>No</v>
      </c>
    </row>
    <row r="770" spans="1:45" ht="15" hidden="1">
      <c r="A770" s="103">
        <v>45244</v>
      </c>
      <c r="B770" s="117" t="s">
        <v>3392</v>
      </c>
      <c r="C770" s="28" t="s">
        <v>612</v>
      </c>
      <c r="D770" s="28" t="s">
        <v>3397</v>
      </c>
      <c r="F770" s="28" t="s">
        <v>3394</v>
      </c>
      <c r="G770" s="28" t="s">
        <v>514</v>
      </c>
      <c r="H770" s="28" t="s">
        <v>1957</v>
      </c>
      <c r="I770" s="28" t="s">
        <v>516</v>
      </c>
      <c r="J770" s="28" t="s">
        <v>517</v>
      </c>
      <c r="K770" s="28" t="s">
        <v>518</v>
      </c>
      <c r="L770" s="28" t="s">
        <v>519</v>
      </c>
      <c r="M770" s="28" t="s">
        <v>535</v>
      </c>
      <c r="N770" s="28" t="s">
        <v>521</v>
      </c>
      <c r="O770" s="28" t="s">
        <v>522</v>
      </c>
      <c r="S770" s="28" t="s">
        <v>740</v>
      </c>
      <c r="T770" s="28" t="s">
        <v>524</v>
      </c>
      <c r="U770" s="28" t="s">
        <v>524</v>
      </c>
      <c r="V770" s="28" t="s">
        <v>517</v>
      </c>
      <c r="W770" s="28" t="s">
        <v>3398</v>
      </c>
      <c r="Z770" s="118" t="s">
        <v>526</v>
      </c>
      <c r="AA770" s="118"/>
      <c r="AB770" s="118"/>
      <c r="AD770" s="28" t="s">
        <v>954</v>
      </c>
      <c r="AE770" s="28" t="s">
        <v>563</v>
      </c>
      <c r="AF770" s="117" t="s">
        <v>3393</v>
      </c>
      <c r="AG770" s="28" t="s">
        <v>563</v>
      </c>
      <c r="AK770" s="60" t="s">
        <v>2927</v>
      </c>
      <c r="AL770" s="117">
        <f>1/COUNTIF(Tableau6[LAT],B770)</f>
        <v>0.2</v>
      </c>
      <c r="AM770" s="60" t="b">
        <f t="shared" si="87"/>
        <v>0</v>
      </c>
      <c r="AN770" s="60" t="b">
        <f t="shared" si="88"/>
        <v>0</v>
      </c>
      <c r="AO770" s="60" t="b">
        <f t="shared" si="89"/>
        <v>0</v>
      </c>
      <c r="AP770" s="60" t="b">
        <f t="shared" si="90"/>
        <v>0</v>
      </c>
      <c r="AQ770" s="60" t="b">
        <f t="shared" si="91"/>
        <v>0</v>
      </c>
      <c r="AR770" s="60" t="str">
        <f t="shared" si="92"/>
        <v>No</v>
      </c>
      <c r="AS770" s="60" t="str">
        <f t="shared" si="93"/>
        <v>No</v>
      </c>
    </row>
    <row r="771" spans="1:45" ht="15" hidden="1">
      <c r="A771" s="103">
        <v>45244</v>
      </c>
      <c r="B771" s="117" t="s">
        <v>3392</v>
      </c>
      <c r="C771" s="28" t="s">
        <v>691</v>
      </c>
      <c r="D771" s="28" t="s">
        <v>3399</v>
      </c>
      <c r="F771" s="28" t="s">
        <v>3400</v>
      </c>
      <c r="G771" s="28" t="s">
        <v>958</v>
      </c>
      <c r="H771" s="28" t="s">
        <v>1457</v>
      </c>
      <c r="I771" s="28" t="s">
        <v>516</v>
      </c>
      <c r="J771" s="28" t="s">
        <v>517</v>
      </c>
      <c r="K771" s="28" t="s">
        <v>518</v>
      </c>
      <c r="L771" s="28" t="s">
        <v>519</v>
      </c>
      <c r="M771" s="28" t="s">
        <v>535</v>
      </c>
      <c r="N771" s="28" t="s">
        <v>521</v>
      </c>
      <c r="O771" s="28" t="s">
        <v>522</v>
      </c>
      <c r="S771" s="28" t="s">
        <v>740</v>
      </c>
      <c r="T771" s="28" t="s">
        <v>524</v>
      </c>
      <c r="U771" s="28" t="s">
        <v>524</v>
      </c>
      <c r="V771" s="28" t="s">
        <v>517</v>
      </c>
      <c r="W771" s="28" t="s">
        <v>3401</v>
      </c>
      <c r="Z771" s="118" t="s">
        <v>526</v>
      </c>
      <c r="AA771" s="118"/>
      <c r="AB771" s="118"/>
      <c r="AD771" s="28" t="s">
        <v>954</v>
      </c>
      <c r="AE771" s="28" t="s">
        <v>563</v>
      </c>
      <c r="AF771" s="117" t="s">
        <v>3397</v>
      </c>
      <c r="AG771" s="28" t="s">
        <v>563</v>
      </c>
      <c r="AK771" s="60" t="s">
        <v>2927</v>
      </c>
      <c r="AL771" s="117">
        <f>1/COUNTIF(Tableau6[LAT],B771)</f>
        <v>0.2</v>
      </c>
      <c r="AM771" s="60" t="b">
        <f t="shared" si="87"/>
        <v>0</v>
      </c>
      <c r="AN771" s="60" t="b">
        <f t="shared" si="88"/>
        <v>0</v>
      </c>
      <c r="AO771" s="60" t="b">
        <f t="shared" si="89"/>
        <v>0</v>
      </c>
      <c r="AP771" s="60" t="b">
        <f t="shared" si="90"/>
        <v>0</v>
      </c>
      <c r="AQ771" s="60" t="b">
        <f t="shared" si="91"/>
        <v>0</v>
      </c>
      <c r="AR771" s="60" t="str">
        <f t="shared" si="92"/>
        <v>No</v>
      </c>
      <c r="AS771" s="60" t="str">
        <f t="shared" si="93"/>
        <v>No</v>
      </c>
    </row>
    <row r="772" spans="1:45" ht="15" hidden="1">
      <c r="A772" s="103">
        <v>45244</v>
      </c>
      <c r="B772" s="117" t="s">
        <v>3392</v>
      </c>
      <c r="C772" s="28" t="s">
        <v>859</v>
      </c>
      <c r="D772" s="28" t="s">
        <v>3402</v>
      </c>
      <c r="F772" s="28" t="s">
        <v>3403</v>
      </c>
      <c r="G772" s="28" t="s">
        <v>2061</v>
      </c>
      <c r="H772" s="28" t="s">
        <v>2861</v>
      </c>
      <c r="I772" s="28" t="s">
        <v>516</v>
      </c>
      <c r="J772" s="28" t="s">
        <v>517</v>
      </c>
      <c r="K772" s="28" t="s">
        <v>518</v>
      </c>
      <c r="L772" s="28" t="s">
        <v>519</v>
      </c>
      <c r="M772" s="28" t="s">
        <v>535</v>
      </c>
      <c r="N772" s="28" t="s">
        <v>521</v>
      </c>
      <c r="O772" s="28" t="s">
        <v>522</v>
      </c>
      <c r="S772" s="28" t="s">
        <v>740</v>
      </c>
      <c r="T772" s="28" t="s">
        <v>524</v>
      </c>
      <c r="U772" s="28" t="s">
        <v>524</v>
      </c>
      <c r="V772" s="28" t="s">
        <v>517</v>
      </c>
      <c r="W772" s="28" t="s">
        <v>3404</v>
      </c>
      <c r="Z772" s="118" t="s">
        <v>526</v>
      </c>
      <c r="AA772" s="118"/>
      <c r="AB772" s="118"/>
      <c r="AD772" s="28" t="s">
        <v>954</v>
      </c>
      <c r="AE772" s="28" t="s">
        <v>563</v>
      </c>
      <c r="AF772" s="117" t="s">
        <v>3399</v>
      </c>
      <c r="AG772" s="28" t="s">
        <v>563</v>
      </c>
      <c r="AK772" s="60" t="s">
        <v>2927</v>
      </c>
      <c r="AL772" s="117">
        <f>1/COUNTIF(Tableau6[LAT],B772)</f>
        <v>0.2</v>
      </c>
      <c r="AM772" s="60" t="b">
        <f t="shared" si="87"/>
        <v>0</v>
      </c>
      <c r="AN772" s="60" t="b">
        <f t="shared" si="88"/>
        <v>0</v>
      </c>
      <c r="AO772" s="60" t="b">
        <f t="shared" si="89"/>
        <v>0</v>
      </c>
      <c r="AP772" s="60" t="b">
        <f t="shared" si="90"/>
        <v>0</v>
      </c>
      <c r="AQ772" s="60" t="b">
        <f t="shared" si="91"/>
        <v>0</v>
      </c>
      <c r="AR772" s="60" t="str">
        <f t="shared" si="92"/>
        <v>No</v>
      </c>
      <c r="AS772" s="60" t="str">
        <f t="shared" si="93"/>
        <v>No</v>
      </c>
    </row>
    <row r="773" spans="1:45" ht="15" hidden="1">
      <c r="A773" s="103">
        <v>45244</v>
      </c>
      <c r="B773" s="117" t="s">
        <v>3392</v>
      </c>
      <c r="C773" s="28" t="s">
        <v>861</v>
      </c>
      <c r="D773" s="28" t="s">
        <v>3405</v>
      </c>
      <c r="F773" s="28" t="s">
        <v>3394</v>
      </c>
      <c r="G773" s="28" t="s">
        <v>514</v>
      </c>
      <c r="H773" s="28" t="s">
        <v>1957</v>
      </c>
      <c r="I773" s="28" t="s">
        <v>516</v>
      </c>
      <c r="J773" s="28" t="s">
        <v>517</v>
      </c>
      <c r="K773" s="28" t="s">
        <v>518</v>
      </c>
      <c r="L773" s="28" t="s">
        <v>519</v>
      </c>
      <c r="M773" s="28" t="s">
        <v>535</v>
      </c>
      <c r="N773" s="28" t="s">
        <v>521</v>
      </c>
      <c r="O773" s="28" t="s">
        <v>522</v>
      </c>
      <c r="S773" s="28" t="s">
        <v>740</v>
      </c>
      <c r="T773" s="28" t="s">
        <v>524</v>
      </c>
      <c r="U773" s="28" t="s">
        <v>524</v>
      </c>
      <c r="V773" s="28" t="s">
        <v>517</v>
      </c>
      <c r="W773" s="28" t="s">
        <v>3406</v>
      </c>
      <c r="Z773" s="118" t="s">
        <v>526</v>
      </c>
      <c r="AA773" s="118"/>
      <c r="AB773" s="118"/>
      <c r="AD773" s="28" t="s">
        <v>954</v>
      </c>
      <c r="AE773" s="28" t="s">
        <v>563</v>
      </c>
      <c r="AF773" s="117" t="s">
        <v>3402</v>
      </c>
      <c r="AG773" s="28" t="s">
        <v>563</v>
      </c>
      <c r="AK773" s="60" t="s">
        <v>2927</v>
      </c>
      <c r="AL773" s="117">
        <f>1/COUNTIF(Tableau6[LAT],B773)</f>
        <v>0.2</v>
      </c>
      <c r="AM773" s="60" t="b">
        <f t="shared" si="87"/>
        <v>0</v>
      </c>
      <c r="AN773" s="60" t="b">
        <f t="shared" si="88"/>
        <v>0</v>
      </c>
      <c r="AO773" s="60" t="b">
        <f t="shared" si="89"/>
        <v>0</v>
      </c>
      <c r="AP773" s="60" t="b">
        <f t="shared" si="90"/>
        <v>0</v>
      </c>
      <c r="AQ773" s="60" t="b">
        <f t="shared" si="91"/>
        <v>0</v>
      </c>
      <c r="AR773" s="60" t="str">
        <f t="shared" si="92"/>
        <v>No</v>
      </c>
      <c r="AS773" s="60" t="str">
        <f t="shared" si="93"/>
        <v>No</v>
      </c>
    </row>
    <row r="774" spans="1:45" ht="15" hidden="1">
      <c r="A774" s="103">
        <v>45244</v>
      </c>
      <c r="B774" s="117" t="s">
        <v>3407</v>
      </c>
      <c r="C774" s="28" t="s">
        <v>511</v>
      </c>
      <c r="D774" s="28" t="s">
        <v>3408</v>
      </c>
      <c r="F774" s="28" t="s">
        <v>3409</v>
      </c>
      <c r="G774" s="28" t="s">
        <v>514</v>
      </c>
      <c r="H774" s="28" t="s">
        <v>1813</v>
      </c>
      <c r="I774" s="28" t="s">
        <v>516</v>
      </c>
      <c r="J774" s="28" t="s">
        <v>517</v>
      </c>
      <c r="K774" s="28" t="s">
        <v>518</v>
      </c>
      <c r="L774" s="28" t="s">
        <v>916</v>
      </c>
      <c r="M774" s="28" t="s">
        <v>520</v>
      </c>
      <c r="N774" s="28" t="s">
        <v>1124</v>
      </c>
      <c r="O774" s="28" t="s">
        <v>1430</v>
      </c>
      <c r="P774" s="28" t="s">
        <v>557</v>
      </c>
      <c r="Q774" s="28" t="s">
        <v>544</v>
      </c>
      <c r="R774" s="28" t="s">
        <v>559</v>
      </c>
      <c r="S774" s="28" t="s">
        <v>928</v>
      </c>
      <c r="T774" s="28" t="s">
        <v>917</v>
      </c>
      <c r="U774" s="28" t="s">
        <v>917</v>
      </c>
      <c r="V774" s="28" t="s">
        <v>517</v>
      </c>
      <c r="W774" s="28" t="s">
        <v>3410</v>
      </c>
      <c r="Z774" s="118" t="s">
        <v>526</v>
      </c>
      <c r="AA774" s="118"/>
      <c r="AB774" s="118"/>
      <c r="AD774" s="28" t="s">
        <v>954</v>
      </c>
      <c r="AE774" s="28" t="s">
        <v>563</v>
      </c>
      <c r="AF774" s="117" t="s">
        <v>3408</v>
      </c>
      <c r="AG774" s="28" t="s">
        <v>563</v>
      </c>
      <c r="AK774" s="60" t="s">
        <v>2927</v>
      </c>
      <c r="AL774" s="117">
        <f>1/COUNTIF(Tableau6[LAT],B774)</f>
        <v>7.1428571428571425E-2</v>
      </c>
      <c r="AM774" s="60" t="b">
        <f t="shared" si="87"/>
        <v>0</v>
      </c>
      <c r="AN774" s="60" t="b">
        <f t="shared" si="88"/>
        <v>0</v>
      </c>
      <c r="AO774" s="60" t="b">
        <f t="shared" si="89"/>
        <v>0</v>
      </c>
      <c r="AP774" s="60" t="b">
        <f t="shared" si="90"/>
        <v>0</v>
      </c>
      <c r="AQ774" s="60" t="b">
        <f t="shared" si="91"/>
        <v>0</v>
      </c>
      <c r="AR774" s="60" t="str">
        <f t="shared" si="92"/>
        <v>No</v>
      </c>
      <c r="AS774" s="60" t="str">
        <f t="shared" si="93"/>
        <v>No</v>
      </c>
    </row>
    <row r="775" spans="1:45" ht="15" hidden="1">
      <c r="A775" s="103">
        <v>45244</v>
      </c>
      <c r="B775" s="117" t="s">
        <v>3407</v>
      </c>
      <c r="C775" s="28" t="s">
        <v>548</v>
      </c>
      <c r="D775" s="28" t="s">
        <v>3411</v>
      </c>
      <c r="F775" s="28" t="s">
        <v>3409</v>
      </c>
      <c r="G775" s="28" t="s">
        <v>514</v>
      </c>
      <c r="H775" s="28" t="s">
        <v>3412</v>
      </c>
      <c r="I775" s="28" t="s">
        <v>516</v>
      </c>
      <c r="J775" s="28" t="s">
        <v>517</v>
      </c>
      <c r="K775" s="28" t="s">
        <v>518</v>
      </c>
      <c r="L775" s="28" t="s">
        <v>916</v>
      </c>
      <c r="M775" s="28" t="s">
        <v>520</v>
      </c>
      <c r="N775" s="28" t="s">
        <v>1124</v>
      </c>
      <c r="O775" s="28" t="s">
        <v>1430</v>
      </c>
      <c r="P775" s="28" t="s">
        <v>557</v>
      </c>
      <c r="Q775" s="28" t="s">
        <v>544</v>
      </c>
      <c r="R775" s="28" t="s">
        <v>559</v>
      </c>
      <c r="S775" s="28" t="s">
        <v>928</v>
      </c>
      <c r="T775" s="28" t="s">
        <v>917</v>
      </c>
      <c r="U775" s="28" t="s">
        <v>917</v>
      </c>
      <c r="V775" s="28" t="s">
        <v>517</v>
      </c>
      <c r="W775" s="28" t="s">
        <v>3413</v>
      </c>
      <c r="Z775" s="118" t="s">
        <v>526</v>
      </c>
      <c r="AA775" s="118"/>
      <c r="AB775" s="118"/>
      <c r="AD775" s="28" t="s">
        <v>954</v>
      </c>
      <c r="AE775" s="28" t="s">
        <v>563</v>
      </c>
      <c r="AF775" s="117" t="s">
        <v>3411</v>
      </c>
      <c r="AG775" s="28" t="s">
        <v>563</v>
      </c>
      <c r="AK775" s="60" t="s">
        <v>2927</v>
      </c>
      <c r="AL775" s="117">
        <f>1/COUNTIF(Tableau6[LAT],B775)</f>
        <v>7.1428571428571425E-2</v>
      </c>
      <c r="AM775" s="60" t="b">
        <f t="shared" si="87"/>
        <v>0</v>
      </c>
      <c r="AN775" s="60" t="b">
        <f t="shared" si="88"/>
        <v>0</v>
      </c>
      <c r="AO775" s="60" t="b">
        <f t="shared" si="89"/>
        <v>0</v>
      </c>
      <c r="AP775" s="60" t="b">
        <f t="shared" si="90"/>
        <v>0</v>
      </c>
      <c r="AQ775" s="60" t="b">
        <f t="shared" si="91"/>
        <v>0</v>
      </c>
      <c r="AR775" s="60" t="str">
        <f t="shared" si="92"/>
        <v>No</v>
      </c>
      <c r="AS775" s="60" t="str">
        <f t="shared" si="93"/>
        <v>No</v>
      </c>
    </row>
    <row r="776" spans="1:45" ht="15" hidden="1">
      <c r="A776" s="103">
        <v>45244</v>
      </c>
      <c r="B776" s="117" t="s">
        <v>3407</v>
      </c>
      <c r="C776" s="28" t="s">
        <v>612</v>
      </c>
      <c r="D776" s="28" t="s">
        <v>3414</v>
      </c>
      <c r="F776" s="28" t="s">
        <v>3409</v>
      </c>
      <c r="G776" s="28" t="s">
        <v>514</v>
      </c>
      <c r="H776" s="28" t="s">
        <v>1813</v>
      </c>
      <c r="I776" s="28" t="s">
        <v>516</v>
      </c>
      <c r="J776" s="28" t="s">
        <v>517</v>
      </c>
      <c r="K776" s="28" t="s">
        <v>518</v>
      </c>
      <c r="L776" s="28" t="s">
        <v>916</v>
      </c>
      <c r="M776" s="28" t="s">
        <v>520</v>
      </c>
      <c r="N776" s="28" t="s">
        <v>1124</v>
      </c>
      <c r="O776" s="28" t="s">
        <v>1430</v>
      </c>
      <c r="P776" s="28" t="s">
        <v>557</v>
      </c>
      <c r="Q776" s="28" t="s">
        <v>544</v>
      </c>
      <c r="R776" s="28" t="s">
        <v>559</v>
      </c>
      <c r="S776" s="28" t="s">
        <v>928</v>
      </c>
      <c r="T776" s="28" t="s">
        <v>917</v>
      </c>
      <c r="U776" s="28" t="s">
        <v>917</v>
      </c>
      <c r="V776" s="28" t="s">
        <v>517</v>
      </c>
      <c r="W776" s="28" t="s">
        <v>3415</v>
      </c>
      <c r="Z776" s="118" t="s">
        <v>526</v>
      </c>
      <c r="AA776" s="118"/>
      <c r="AB776" s="118"/>
      <c r="AD776" s="28" t="s">
        <v>954</v>
      </c>
      <c r="AE776" s="28" t="s">
        <v>563</v>
      </c>
      <c r="AF776" s="117" t="s">
        <v>3414</v>
      </c>
      <c r="AG776" s="28" t="s">
        <v>563</v>
      </c>
      <c r="AK776" s="60" t="s">
        <v>2927</v>
      </c>
      <c r="AL776" s="117">
        <f>1/COUNTIF(Tableau6[LAT],B776)</f>
        <v>7.1428571428571425E-2</v>
      </c>
      <c r="AM776" s="60" t="b">
        <f t="shared" si="87"/>
        <v>0</v>
      </c>
      <c r="AN776" s="60" t="b">
        <f t="shared" si="88"/>
        <v>0</v>
      </c>
      <c r="AO776" s="60" t="b">
        <f t="shared" si="89"/>
        <v>0</v>
      </c>
      <c r="AP776" s="60" t="b">
        <f t="shared" si="90"/>
        <v>0</v>
      </c>
      <c r="AQ776" s="60" t="b">
        <f t="shared" si="91"/>
        <v>0</v>
      </c>
      <c r="AR776" s="60" t="str">
        <f t="shared" si="92"/>
        <v>No</v>
      </c>
      <c r="AS776" s="60" t="str">
        <f t="shared" si="93"/>
        <v>No</v>
      </c>
    </row>
    <row r="777" spans="1:45" ht="15" hidden="1">
      <c r="A777" s="103">
        <v>45244</v>
      </c>
      <c r="B777" s="117" t="s">
        <v>3407</v>
      </c>
      <c r="C777" s="28" t="s">
        <v>859</v>
      </c>
      <c r="D777" s="28" t="s">
        <v>3416</v>
      </c>
      <c r="F777" s="28" t="s">
        <v>3409</v>
      </c>
      <c r="G777" s="28" t="s">
        <v>514</v>
      </c>
      <c r="H777" s="28" t="s">
        <v>3412</v>
      </c>
      <c r="I777" s="28" t="s">
        <v>516</v>
      </c>
      <c r="J777" s="28" t="s">
        <v>517</v>
      </c>
      <c r="K777" s="28" t="s">
        <v>518</v>
      </c>
      <c r="L777" s="28" t="s">
        <v>916</v>
      </c>
      <c r="M777" s="28" t="s">
        <v>520</v>
      </c>
      <c r="N777" s="28" t="s">
        <v>1124</v>
      </c>
      <c r="O777" s="28" t="s">
        <v>1430</v>
      </c>
      <c r="P777" s="28" t="s">
        <v>557</v>
      </c>
      <c r="Q777" s="28" t="s">
        <v>544</v>
      </c>
      <c r="R777" s="28" t="s">
        <v>559</v>
      </c>
      <c r="S777" s="28" t="s">
        <v>928</v>
      </c>
      <c r="T777" s="28" t="s">
        <v>917</v>
      </c>
      <c r="U777" s="28" t="s">
        <v>917</v>
      </c>
      <c r="V777" s="28" t="s">
        <v>517</v>
      </c>
      <c r="W777" s="28" t="s">
        <v>3417</v>
      </c>
      <c r="Z777" s="118" t="s">
        <v>526</v>
      </c>
      <c r="AA777" s="118"/>
      <c r="AB777" s="118"/>
      <c r="AD777" s="28" t="s">
        <v>954</v>
      </c>
      <c r="AE777" s="28" t="s">
        <v>563</v>
      </c>
      <c r="AF777" s="117" t="s">
        <v>3418</v>
      </c>
      <c r="AG777" s="28" t="s">
        <v>563</v>
      </c>
      <c r="AK777" s="60" t="s">
        <v>2927</v>
      </c>
      <c r="AL777" s="117">
        <f>1/COUNTIF(Tableau6[LAT],B777)</f>
        <v>7.1428571428571425E-2</v>
      </c>
      <c r="AM777" s="60" t="b">
        <f t="shared" si="87"/>
        <v>0</v>
      </c>
      <c r="AN777" s="60" t="b">
        <f t="shared" si="88"/>
        <v>0</v>
      </c>
      <c r="AO777" s="60" t="b">
        <f t="shared" si="89"/>
        <v>0</v>
      </c>
      <c r="AP777" s="60" t="b">
        <f t="shared" si="90"/>
        <v>0</v>
      </c>
      <c r="AQ777" s="60" t="b">
        <f t="shared" si="91"/>
        <v>0</v>
      </c>
      <c r="AR777" s="60" t="str">
        <f t="shared" si="92"/>
        <v>No</v>
      </c>
      <c r="AS777" s="60" t="str">
        <f t="shared" si="93"/>
        <v>No</v>
      </c>
    </row>
    <row r="778" spans="1:45" ht="15" hidden="1">
      <c r="A778" s="103">
        <v>45244</v>
      </c>
      <c r="B778" s="117" t="s">
        <v>3407</v>
      </c>
      <c r="C778" s="28" t="s">
        <v>861</v>
      </c>
      <c r="D778" s="28" t="s">
        <v>3419</v>
      </c>
      <c r="F778" s="28" t="s">
        <v>3409</v>
      </c>
      <c r="G778" s="28" t="s">
        <v>514</v>
      </c>
      <c r="H778" s="28" t="s">
        <v>1813</v>
      </c>
      <c r="I778" s="28" t="s">
        <v>516</v>
      </c>
      <c r="J778" s="28" t="s">
        <v>517</v>
      </c>
      <c r="K778" s="28" t="s">
        <v>518</v>
      </c>
      <c r="L778" s="28" t="s">
        <v>916</v>
      </c>
      <c r="M778" s="28" t="s">
        <v>520</v>
      </c>
      <c r="N778" s="28" t="s">
        <v>1124</v>
      </c>
      <c r="O778" s="28" t="s">
        <v>1430</v>
      </c>
      <c r="P778" s="28" t="s">
        <v>557</v>
      </c>
      <c r="Q778" s="28" t="s">
        <v>544</v>
      </c>
      <c r="R778" s="28" t="s">
        <v>559</v>
      </c>
      <c r="S778" s="28" t="s">
        <v>928</v>
      </c>
      <c r="T778" s="28" t="s">
        <v>917</v>
      </c>
      <c r="U778" s="28" t="s">
        <v>917</v>
      </c>
      <c r="V778" s="28" t="s">
        <v>517</v>
      </c>
      <c r="W778" s="28" t="s">
        <v>3415</v>
      </c>
      <c r="Z778" s="118" t="s">
        <v>526</v>
      </c>
      <c r="AA778" s="118"/>
      <c r="AB778" s="118"/>
      <c r="AD778" s="28" t="s">
        <v>954</v>
      </c>
      <c r="AE778" s="28" t="s">
        <v>563</v>
      </c>
      <c r="AF778" s="117" t="s">
        <v>3416</v>
      </c>
      <c r="AG778" s="28" t="s">
        <v>563</v>
      </c>
      <c r="AK778" s="60" t="s">
        <v>2927</v>
      </c>
      <c r="AL778" s="117">
        <f>1/COUNTIF(Tableau6[LAT],B778)</f>
        <v>7.1428571428571425E-2</v>
      </c>
      <c r="AM778" s="60" t="b">
        <f t="shared" si="87"/>
        <v>0</v>
      </c>
      <c r="AN778" s="60" t="b">
        <f t="shared" si="88"/>
        <v>0</v>
      </c>
      <c r="AO778" s="60" t="b">
        <f t="shared" si="89"/>
        <v>0</v>
      </c>
      <c r="AP778" s="60" t="b">
        <f t="shared" si="90"/>
        <v>0</v>
      </c>
      <c r="AQ778" s="60" t="b">
        <f t="shared" si="91"/>
        <v>0</v>
      </c>
      <c r="AR778" s="60" t="str">
        <f t="shared" si="92"/>
        <v>No</v>
      </c>
      <c r="AS778" s="60" t="str">
        <f t="shared" si="93"/>
        <v>No</v>
      </c>
    </row>
    <row r="779" spans="1:45" ht="15" hidden="1">
      <c r="A779" s="103">
        <v>45244</v>
      </c>
      <c r="B779" s="117" t="s">
        <v>3407</v>
      </c>
      <c r="D779" s="28" t="s">
        <v>3420</v>
      </c>
      <c r="F779" s="28" t="s">
        <v>3409</v>
      </c>
      <c r="G779" s="28" t="s">
        <v>514</v>
      </c>
      <c r="H779" s="28" t="s">
        <v>1813</v>
      </c>
      <c r="I779" s="28" t="s">
        <v>516</v>
      </c>
      <c r="J779" s="28" t="s">
        <v>517</v>
      </c>
      <c r="K779" s="28" t="s">
        <v>518</v>
      </c>
      <c r="L779" s="28" t="s">
        <v>916</v>
      </c>
      <c r="M779" s="28" t="s">
        <v>520</v>
      </c>
      <c r="N779" s="28" t="s">
        <v>1124</v>
      </c>
      <c r="O779" s="28" t="s">
        <v>1430</v>
      </c>
      <c r="P779" s="28" t="s">
        <v>557</v>
      </c>
      <c r="Q779" s="28" t="s">
        <v>544</v>
      </c>
      <c r="R779" s="28" t="s">
        <v>559</v>
      </c>
      <c r="S779" s="28" t="s">
        <v>928</v>
      </c>
      <c r="T779" s="28" t="s">
        <v>917</v>
      </c>
      <c r="U779" s="28" t="s">
        <v>917</v>
      </c>
      <c r="V779" s="28" t="s">
        <v>517</v>
      </c>
      <c r="W779" s="28" t="s">
        <v>3415</v>
      </c>
      <c r="Z779" s="118" t="s">
        <v>526</v>
      </c>
      <c r="AA779" s="118"/>
      <c r="AB779" s="118"/>
      <c r="AF779" s="117" t="s">
        <v>3419</v>
      </c>
      <c r="AK779" s="60" t="s">
        <v>2927</v>
      </c>
      <c r="AL779" s="117">
        <f>1/COUNTIF(Tableau6[LAT],B779)</f>
        <v>7.1428571428571425E-2</v>
      </c>
      <c r="AM779" s="60" t="b">
        <f t="shared" si="87"/>
        <v>0</v>
      </c>
      <c r="AN779" s="60" t="b">
        <f t="shared" si="88"/>
        <v>0</v>
      </c>
      <c r="AO779" s="60" t="b">
        <f t="shared" si="89"/>
        <v>0</v>
      </c>
      <c r="AP779" s="60" t="b">
        <f t="shared" si="90"/>
        <v>0</v>
      </c>
      <c r="AQ779" s="60" t="b">
        <f t="shared" si="91"/>
        <v>0</v>
      </c>
      <c r="AR779" s="60" t="str">
        <f t="shared" si="92"/>
        <v>No</v>
      </c>
      <c r="AS779" s="60" t="str">
        <f t="shared" si="93"/>
        <v>No</v>
      </c>
    </row>
    <row r="780" spans="1:45" ht="15" hidden="1">
      <c r="A780" s="103">
        <v>45244</v>
      </c>
      <c r="B780" s="117" t="s">
        <v>3407</v>
      </c>
      <c r="C780" s="28" t="s">
        <v>864</v>
      </c>
      <c r="D780" s="28" t="s">
        <v>3421</v>
      </c>
      <c r="F780" s="28" t="s">
        <v>3409</v>
      </c>
      <c r="G780" s="28" t="s">
        <v>514</v>
      </c>
      <c r="H780" s="28" t="s">
        <v>1813</v>
      </c>
      <c r="I780" s="28" t="s">
        <v>516</v>
      </c>
      <c r="J780" s="28" t="s">
        <v>517</v>
      </c>
      <c r="K780" s="28" t="s">
        <v>518</v>
      </c>
      <c r="L780" s="28" t="s">
        <v>916</v>
      </c>
      <c r="M780" s="28" t="s">
        <v>520</v>
      </c>
      <c r="N780" s="28" t="s">
        <v>1124</v>
      </c>
      <c r="O780" s="28" t="s">
        <v>1430</v>
      </c>
      <c r="P780" s="28" t="s">
        <v>557</v>
      </c>
      <c r="Q780" s="28" t="s">
        <v>544</v>
      </c>
      <c r="R780" s="28" t="s">
        <v>559</v>
      </c>
      <c r="S780" s="28" t="s">
        <v>928</v>
      </c>
      <c r="T780" s="28" t="s">
        <v>917</v>
      </c>
      <c r="U780" s="28" t="s">
        <v>917</v>
      </c>
      <c r="V780" s="28" t="s">
        <v>517</v>
      </c>
      <c r="W780" s="28" t="s">
        <v>3422</v>
      </c>
      <c r="Z780" s="118" t="s">
        <v>526</v>
      </c>
      <c r="AA780" s="118"/>
      <c r="AB780" s="118"/>
      <c r="AF780" s="117" t="s">
        <v>3418</v>
      </c>
      <c r="AK780" s="60" t="s">
        <v>2927</v>
      </c>
      <c r="AL780" s="117">
        <f>1/COUNTIF(Tableau6[LAT],B780)</f>
        <v>7.1428571428571425E-2</v>
      </c>
      <c r="AM780" s="60" t="b">
        <f t="shared" si="87"/>
        <v>0</v>
      </c>
      <c r="AN780" s="60" t="b">
        <f t="shared" si="88"/>
        <v>0</v>
      </c>
      <c r="AO780" s="60" t="b">
        <f t="shared" si="89"/>
        <v>0</v>
      </c>
      <c r="AP780" s="60" t="b">
        <f t="shared" si="90"/>
        <v>0</v>
      </c>
      <c r="AQ780" s="60" t="b">
        <f t="shared" si="91"/>
        <v>0</v>
      </c>
      <c r="AR780" s="60" t="str">
        <f t="shared" si="92"/>
        <v>No</v>
      </c>
      <c r="AS780" s="60" t="str">
        <f t="shared" si="93"/>
        <v>No</v>
      </c>
    </row>
    <row r="781" spans="1:45" ht="15" hidden="1">
      <c r="A781" s="103">
        <v>45244</v>
      </c>
      <c r="B781" s="117" t="s">
        <v>3407</v>
      </c>
      <c r="C781" s="28" t="s">
        <v>866</v>
      </c>
      <c r="D781" s="28" t="s">
        <v>3423</v>
      </c>
      <c r="F781" s="28" t="s">
        <v>3409</v>
      </c>
      <c r="G781" s="28" t="s">
        <v>514</v>
      </c>
      <c r="H781" s="28" t="s">
        <v>1813</v>
      </c>
      <c r="I781" s="28" t="s">
        <v>516</v>
      </c>
      <c r="J781" s="28" t="s">
        <v>517</v>
      </c>
      <c r="K781" s="28" t="s">
        <v>518</v>
      </c>
      <c r="L781" s="28" t="s">
        <v>916</v>
      </c>
      <c r="M781" s="28" t="s">
        <v>520</v>
      </c>
      <c r="N781" s="28" t="s">
        <v>1124</v>
      </c>
      <c r="O781" s="28" t="s">
        <v>1430</v>
      </c>
      <c r="P781" s="28" t="s">
        <v>557</v>
      </c>
      <c r="Q781" s="28" t="s">
        <v>544</v>
      </c>
      <c r="R781" s="28" t="s">
        <v>559</v>
      </c>
      <c r="S781" s="28" t="s">
        <v>928</v>
      </c>
      <c r="T781" s="28" t="s">
        <v>917</v>
      </c>
      <c r="U781" s="28" t="s">
        <v>917</v>
      </c>
      <c r="V781" s="28" t="s">
        <v>517</v>
      </c>
      <c r="W781" s="28" t="s">
        <v>3415</v>
      </c>
      <c r="Z781" s="118" t="s">
        <v>526</v>
      </c>
      <c r="AA781" s="118"/>
      <c r="AB781" s="118"/>
      <c r="AF781" s="117" t="s">
        <v>3418</v>
      </c>
      <c r="AK781" s="60" t="s">
        <v>2927</v>
      </c>
      <c r="AL781" s="117">
        <f>1/COUNTIF(Tableau6[LAT],B781)</f>
        <v>7.1428571428571425E-2</v>
      </c>
      <c r="AM781" s="60" t="b">
        <f t="shared" si="87"/>
        <v>0</v>
      </c>
      <c r="AN781" s="60" t="b">
        <f t="shared" si="88"/>
        <v>0</v>
      </c>
      <c r="AO781" s="60" t="b">
        <f t="shared" si="89"/>
        <v>0</v>
      </c>
      <c r="AP781" s="60" t="b">
        <f t="shared" si="90"/>
        <v>0</v>
      </c>
      <c r="AQ781" s="60" t="b">
        <f t="shared" si="91"/>
        <v>0</v>
      </c>
      <c r="AR781" s="60" t="str">
        <f t="shared" si="92"/>
        <v>No</v>
      </c>
      <c r="AS781" s="60" t="str">
        <f t="shared" si="93"/>
        <v>No</v>
      </c>
    </row>
    <row r="782" spans="1:45" ht="15" hidden="1">
      <c r="A782" s="103">
        <v>45244</v>
      </c>
      <c r="B782" s="117" t="s">
        <v>3407</v>
      </c>
      <c r="C782" s="28" t="s">
        <v>868</v>
      </c>
      <c r="D782" s="28" t="s">
        <v>3424</v>
      </c>
      <c r="F782" s="28" t="s">
        <v>3409</v>
      </c>
      <c r="G782" s="28" t="s">
        <v>514</v>
      </c>
      <c r="H782" s="28" t="s">
        <v>1813</v>
      </c>
      <c r="I782" s="28" t="s">
        <v>516</v>
      </c>
      <c r="J782" s="28" t="s">
        <v>517</v>
      </c>
      <c r="K782" s="28" t="s">
        <v>518</v>
      </c>
      <c r="L782" s="28" t="s">
        <v>916</v>
      </c>
      <c r="M782" s="28" t="s">
        <v>520</v>
      </c>
      <c r="N782" s="28" t="s">
        <v>1124</v>
      </c>
      <c r="O782" s="28" t="s">
        <v>1430</v>
      </c>
      <c r="P782" s="28" t="s">
        <v>557</v>
      </c>
      <c r="Q782" s="28" t="s">
        <v>544</v>
      </c>
      <c r="R782" s="28" t="s">
        <v>559</v>
      </c>
      <c r="S782" s="28" t="s">
        <v>928</v>
      </c>
      <c r="T782" s="28" t="s">
        <v>917</v>
      </c>
      <c r="U782" s="28" t="s">
        <v>917</v>
      </c>
      <c r="V782" s="28" t="s">
        <v>517</v>
      </c>
      <c r="W782" s="28" t="s">
        <v>3415</v>
      </c>
      <c r="Z782" s="118" t="s">
        <v>526</v>
      </c>
      <c r="AA782" s="118"/>
      <c r="AB782" s="118"/>
      <c r="AF782" s="117" t="s">
        <v>3418</v>
      </c>
      <c r="AK782" s="60" t="s">
        <v>2927</v>
      </c>
      <c r="AL782" s="117">
        <f>1/COUNTIF(Tableau6[LAT],B782)</f>
        <v>7.1428571428571425E-2</v>
      </c>
      <c r="AM782" s="60" t="b">
        <f t="shared" si="87"/>
        <v>0</v>
      </c>
      <c r="AN782" s="60" t="b">
        <f t="shared" si="88"/>
        <v>0</v>
      </c>
      <c r="AO782" s="60" t="b">
        <f t="shared" si="89"/>
        <v>0</v>
      </c>
      <c r="AP782" s="60" t="b">
        <f t="shared" si="90"/>
        <v>0</v>
      </c>
      <c r="AQ782" s="60" t="b">
        <f t="shared" si="91"/>
        <v>0</v>
      </c>
      <c r="AR782" s="60" t="str">
        <f t="shared" si="92"/>
        <v>No</v>
      </c>
      <c r="AS782" s="60" t="str">
        <f t="shared" si="93"/>
        <v>No</v>
      </c>
    </row>
    <row r="783" spans="1:45" ht="15" hidden="1">
      <c r="A783" s="103">
        <v>45244</v>
      </c>
      <c r="B783" s="117" t="s">
        <v>3407</v>
      </c>
      <c r="C783" s="28" t="s">
        <v>870</v>
      </c>
      <c r="D783" s="28" t="s">
        <v>3425</v>
      </c>
      <c r="F783" s="28" t="s">
        <v>3409</v>
      </c>
      <c r="G783" s="28" t="s">
        <v>514</v>
      </c>
      <c r="H783" s="28" t="s">
        <v>1813</v>
      </c>
      <c r="I783" s="28" t="s">
        <v>516</v>
      </c>
      <c r="J783" s="28" t="s">
        <v>517</v>
      </c>
      <c r="K783" s="28" t="s">
        <v>518</v>
      </c>
      <c r="L783" s="28" t="s">
        <v>916</v>
      </c>
      <c r="M783" s="28" t="s">
        <v>520</v>
      </c>
      <c r="N783" s="28" t="s">
        <v>1124</v>
      </c>
      <c r="O783" s="28" t="s">
        <v>1430</v>
      </c>
      <c r="P783" s="28" t="s">
        <v>557</v>
      </c>
      <c r="Q783" s="28" t="s">
        <v>544</v>
      </c>
      <c r="R783" s="28" t="s">
        <v>559</v>
      </c>
      <c r="S783" s="28" t="s">
        <v>928</v>
      </c>
      <c r="T783" s="28" t="s">
        <v>917</v>
      </c>
      <c r="U783" s="28" t="s">
        <v>917</v>
      </c>
      <c r="V783" s="28" t="s">
        <v>517</v>
      </c>
      <c r="W783" s="28" t="s">
        <v>856</v>
      </c>
      <c r="Z783" s="118" t="s">
        <v>526</v>
      </c>
      <c r="AA783" s="118"/>
      <c r="AB783" s="118"/>
      <c r="AF783" s="117" t="s">
        <v>3418</v>
      </c>
      <c r="AK783" s="60" t="s">
        <v>2927</v>
      </c>
      <c r="AL783" s="117">
        <f>1/COUNTIF(Tableau6[LAT],B783)</f>
        <v>7.1428571428571425E-2</v>
      </c>
      <c r="AM783" s="60" t="b">
        <f t="shared" si="87"/>
        <v>0</v>
      </c>
      <c r="AN783" s="60" t="b">
        <f t="shared" si="88"/>
        <v>0</v>
      </c>
      <c r="AO783" s="60" t="b">
        <f t="shared" si="89"/>
        <v>0</v>
      </c>
      <c r="AP783" s="60" t="b">
        <f t="shared" si="90"/>
        <v>0</v>
      </c>
      <c r="AQ783" s="60" t="b">
        <f t="shared" si="91"/>
        <v>0</v>
      </c>
      <c r="AR783" s="60" t="str">
        <f t="shared" si="92"/>
        <v>No</v>
      </c>
      <c r="AS783" s="60" t="str">
        <f t="shared" si="93"/>
        <v>No</v>
      </c>
    </row>
    <row r="784" spans="1:45" ht="15" hidden="1">
      <c r="A784" s="103">
        <v>45244</v>
      </c>
      <c r="B784" s="117" t="s">
        <v>3407</v>
      </c>
      <c r="C784" s="28" t="s">
        <v>872</v>
      </c>
      <c r="D784" s="28" t="s">
        <v>3426</v>
      </c>
      <c r="F784" s="28" t="s">
        <v>3409</v>
      </c>
      <c r="G784" s="28" t="s">
        <v>514</v>
      </c>
      <c r="H784" s="28" t="s">
        <v>1813</v>
      </c>
      <c r="I784" s="28" t="s">
        <v>516</v>
      </c>
      <c r="J784" s="28" t="s">
        <v>517</v>
      </c>
      <c r="K784" s="28" t="s">
        <v>518</v>
      </c>
      <c r="L784" s="28" t="s">
        <v>916</v>
      </c>
      <c r="M784" s="28" t="s">
        <v>520</v>
      </c>
      <c r="N784" s="28" t="s">
        <v>1124</v>
      </c>
      <c r="O784" s="28" t="s">
        <v>1430</v>
      </c>
      <c r="P784" s="28" t="s">
        <v>557</v>
      </c>
      <c r="Q784" s="28" t="s">
        <v>544</v>
      </c>
      <c r="R784" s="28" t="s">
        <v>559</v>
      </c>
      <c r="S784" s="28" t="s">
        <v>928</v>
      </c>
      <c r="T784" s="28" t="s">
        <v>917</v>
      </c>
      <c r="U784" s="28" t="s">
        <v>917</v>
      </c>
      <c r="V784" s="28" t="s">
        <v>517</v>
      </c>
      <c r="W784" s="28" t="s">
        <v>3415</v>
      </c>
      <c r="Z784" s="118" t="s">
        <v>526</v>
      </c>
      <c r="AA784" s="118"/>
      <c r="AB784" s="118"/>
      <c r="AF784" s="117" t="s">
        <v>3418</v>
      </c>
      <c r="AK784" s="60" t="s">
        <v>2927</v>
      </c>
      <c r="AL784" s="117">
        <f>1/COUNTIF(Tableau6[LAT],B784)</f>
        <v>7.1428571428571425E-2</v>
      </c>
      <c r="AM784" s="60" t="b">
        <f t="shared" si="87"/>
        <v>0</v>
      </c>
      <c r="AN784" s="60" t="b">
        <f t="shared" si="88"/>
        <v>0</v>
      </c>
      <c r="AO784" s="60" t="b">
        <f t="shared" si="89"/>
        <v>0</v>
      </c>
      <c r="AP784" s="60" t="b">
        <f t="shared" si="90"/>
        <v>0</v>
      </c>
      <c r="AQ784" s="60" t="b">
        <f t="shared" si="91"/>
        <v>0</v>
      </c>
      <c r="AR784" s="60" t="str">
        <f t="shared" si="92"/>
        <v>No</v>
      </c>
      <c r="AS784" s="60" t="str">
        <f t="shared" si="93"/>
        <v>No</v>
      </c>
    </row>
    <row r="785" spans="1:45" ht="15" hidden="1">
      <c r="A785" s="103">
        <v>45244</v>
      </c>
      <c r="B785" s="117" t="s">
        <v>3407</v>
      </c>
      <c r="C785" s="28" t="s">
        <v>874</v>
      </c>
      <c r="D785" s="28" t="s">
        <v>3427</v>
      </c>
      <c r="F785" s="28" t="s">
        <v>3409</v>
      </c>
      <c r="G785" s="28" t="s">
        <v>514</v>
      </c>
      <c r="H785" s="28" t="s">
        <v>1813</v>
      </c>
      <c r="I785" s="28" t="s">
        <v>516</v>
      </c>
      <c r="J785" s="28" t="s">
        <v>517</v>
      </c>
      <c r="K785" s="28" t="s">
        <v>518</v>
      </c>
      <c r="L785" s="28" t="s">
        <v>916</v>
      </c>
      <c r="M785" s="28" t="s">
        <v>520</v>
      </c>
      <c r="N785" s="28" t="s">
        <v>1124</v>
      </c>
      <c r="O785" s="28" t="s">
        <v>1430</v>
      </c>
      <c r="P785" s="28" t="s">
        <v>557</v>
      </c>
      <c r="Q785" s="28" t="s">
        <v>544</v>
      </c>
      <c r="R785" s="28" t="s">
        <v>559</v>
      </c>
      <c r="S785" s="28" t="s">
        <v>928</v>
      </c>
      <c r="T785" s="28" t="s">
        <v>917</v>
      </c>
      <c r="U785" s="28" t="s">
        <v>917</v>
      </c>
      <c r="V785" s="28" t="s">
        <v>517</v>
      </c>
      <c r="W785" s="28" t="s">
        <v>3415</v>
      </c>
      <c r="Z785" s="118" t="s">
        <v>526</v>
      </c>
      <c r="AA785" s="118"/>
      <c r="AB785" s="118"/>
      <c r="AF785" s="117" t="s">
        <v>3418</v>
      </c>
      <c r="AK785" s="60" t="s">
        <v>2927</v>
      </c>
      <c r="AL785" s="117">
        <f>1/COUNTIF(Tableau6[LAT],B785)</f>
        <v>7.1428571428571425E-2</v>
      </c>
      <c r="AM785" s="60" t="b">
        <f t="shared" si="87"/>
        <v>0</v>
      </c>
      <c r="AN785" s="60" t="b">
        <f t="shared" si="88"/>
        <v>0</v>
      </c>
      <c r="AO785" s="60" t="b">
        <f t="shared" si="89"/>
        <v>0</v>
      </c>
      <c r="AP785" s="60" t="b">
        <f t="shared" si="90"/>
        <v>0</v>
      </c>
      <c r="AQ785" s="60" t="b">
        <f t="shared" si="91"/>
        <v>0</v>
      </c>
      <c r="AR785" s="60" t="str">
        <f t="shared" si="92"/>
        <v>No</v>
      </c>
      <c r="AS785" s="60" t="str">
        <f t="shared" si="93"/>
        <v>No</v>
      </c>
    </row>
    <row r="786" spans="1:45" ht="15" hidden="1">
      <c r="A786" s="103">
        <v>45244</v>
      </c>
      <c r="B786" s="117" t="s">
        <v>3407</v>
      </c>
      <c r="C786" s="28" t="s">
        <v>876</v>
      </c>
      <c r="D786" s="28" t="s">
        <v>3428</v>
      </c>
      <c r="F786" s="28" t="s">
        <v>3409</v>
      </c>
      <c r="G786" s="28" t="s">
        <v>514</v>
      </c>
      <c r="H786" s="28" t="s">
        <v>1813</v>
      </c>
      <c r="I786" s="28" t="s">
        <v>516</v>
      </c>
      <c r="J786" s="28" t="s">
        <v>517</v>
      </c>
      <c r="K786" s="28" t="s">
        <v>518</v>
      </c>
      <c r="L786" s="28" t="s">
        <v>916</v>
      </c>
      <c r="M786" s="28" t="s">
        <v>520</v>
      </c>
      <c r="N786" s="28" t="s">
        <v>1124</v>
      </c>
      <c r="O786" s="28" t="s">
        <v>1430</v>
      </c>
      <c r="P786" s="28" t="s">
        <v>557</v>
      </c>
      <c r="Q786" s="28" t="s">
        <v>544</v>
      </c>
      <c r="R786" s="28" t="s">
        <v>559</v>
      </c>
      <c r="S786" s="28" t="s">
        <v>928</v>
      </c>
      <c r="T786" s="28" t="s">
        <v>917</v>
      </c>
      <c r="U786" s="28" t="s">
        <v>917</v>
      </c>
      <c r="V786" s="28" t="s">
        <v>517</v>
      </c>
      <c r="W786" s="28" t="s">
        <v>856</v>
      </c>
      <c r="Z786" s="118" t="s">
        <v>526</v>
      </c>
      <c r="AA786" s="118"/>
      <c r="AB786" s="118"/>
      <c r="AF786" s="117" t="s">
        <v>3418</v>
      </c>
      <c r="AK786" s="60" t="s">
        <v>2927</v>
      </c>
      <c r="AL786" s="117">
        <f>1/COUNTIF(Tableau6[LAT],B786)</f>
        <v>7.1428571428571425E-2</v>
      </c>
      <c r="AM786" s="60" t="b">
        <f t="shared" si="87"/>
        <v>0</v>
      </c>
      <c r="AN786" s="60" t="b">
        <f t="shared" si="88"/>
        <v>0</v>
      </c>
      <c r="AO786" s="60" t="b">
        <f t="shared" si="89"/>
        <v>0</v>
      </c>
      <c r="AP786" s="60" t="b">
        <f t="shared" si="90"/>
        <v>0</v>
      </c>
      <c r="AQ786" s="60" t="b">
        <f t="shared" si="91"/>
        <v>0</v>
      </c>
      <c r="AR786" s="60" t="str">
        <f t="shared" si="92"/>
        <v>No</v>
      </c>
      <c r="AS786" s="60" t="str">
        <f t="shared" si="93"/>
        <v>No</v>
      </c>
    </row>
    <row r="787" spans="1:45" ht="15" hidden="1">
      <c r="A787" s="103">
        <v>45244</v>
      </c>
      <c r="B787" s="117" t="s">
        <v>3407</v>
      </c>
      <c r="C787" s="28" t="s">
        <v>878</v>
      </c>
      <c r="D787" s="28" t="s">
        <v>3429</v>
      </c>
      <c r="F787" s="28" t="s">
        <v>3409</v>
      </c>
      <c r="G787" s="28" t="s">
        <v>514</v>
      </c>
      <c r="H787" s="28" t="s">
        <v>1813</v>
      </c>
      <c r="I787" s="28" t="s">
        <v>516</v>
      </c>
      <c r="J787" s="28" t="s">
        <v>517</v>
      </c>
      <c r="K787" s="28" t="s">
        <v>518</v>
      </c>
      <c r="L787" s="28" t="s">
        <v>916</v>
      </c>
      <c r="M787" s="28" t="s">
        <v>520</v>
      </c>
      <c r="N787" s="28" t="s">
        <v>1124</v>
      </c>
      <c r="O787" s="28" t="s">
        <v>1430</v>
      </c>
      <c r="P787" s="28" t="s">
        <v>557</v>
      </c>
      <c r="Q787" s="28" t="s">
        <v>544</v>
      </c>
      <c r="R787" s="28" t="s">
        <v>559</v>
      </c>
      <c r="S787" s="28" t="s">
        <v>928</v>
      </c>
      <c r="T787" s="28" t="s">
        <v>917</v>
      </c>
      <c r="U787" s="28" t="s">
        <v>917</v>
      </c>
      <c r="V787" s="28" t="s">
        <v>517</v>
      </c>
      <c r="W787" s="28" t="s">
        <v>3430</v>
      </c>
      <c r="Z787" s="118" t="s">
        <v>526</v>
      </c>
      <c r="AA787" s="118"/>
      <c r="AB787" s="118"/>
      <c r="AF787" s="117" t="s">
        <v>3418</v>
      </c>
      <c r="AK787" s="60" t="s">
        <v>2927</v>
      </c>
      <c r="AL787" s="117">
        <f>1/COUNTIF(Tableau6[LAT],B787)</f>
        <v>7.1428571428571425E-2</v>
      </c>
      <c r="AM787" s="60" t="b">
        <f t="shared" si="87"/>
        <v>0</v>
      </c>
      <c r="AN787" s="60" t="b">
        <f t="shared" si="88"/>
        <v>0</v>
      </c>
      <c r="AO787" s="60" t="b">
        <f t="shared" si="89"/>
        <v>0</v>
      </c>
      <c r="AP787" s="60" t="b">
        <f t="shared" si="90"/>
        <v>0</v>
      </c>
      <c r="AQ787" s="60" t="b">
        <f t="shared" si="91"/>
        <v>0</v>
      </c>
      <c r="AR787" s="60" t="str">
        <f t="shared" si="92"/>
        <v>No</v>
      </c>
      <c r="AS787" s="60" t="str">
        <f t="shared" si="93"/>
        <v>No</v>
      </c>
    </row>
    <row r="788" spans="1:45" ht="15" hidden="1">
      <c r="A788" s="103">
        <v>45244</v>
      </c>
      <c r="B788" s="117" t="s">
        <v>3431</v>
      </c>
      <c r="C788" s="28" t="s">
        <v>511</v>
      </c>
      <c r="D788" s="28" t="s">
        <v>3432</v>
      </c>
      <c r="F788" s="28" t="s">
        <v>680</v>
      </c>
      <c r="G788" s="28" t="s">
        <v>514</v>
      </c>
      <c r="H788" s="28" t="s">
        <v>1138</v>
      </c>
      <c r="I788" s="28" t="s">
        <v>516</v>
      </c>
      <c r="J788" s="28" t="s">
        <v>517</v>
      </c>
      <c r="K788" s="28" t="s">
        <v>518</v>
      </c>
      <c r="L788" s="28" t="s">
        <v>2325</v>
      </c>
      <c r="M788" s="28" t="s">
        <v>535</v>
      </c>
      <c r="N788" s="28" t="s">
        <v>521</v>
      </c>
      <c r="O788" s="28" t="s">
        <v>544</v>
      </c>
      <c r="P788" s="28" t="s">
        <v>559</v>
      </c>
      <c r="S788" s="28" t="s">
        <v>2199</v>
      </c>
      <c r="T788" s="28" t="s">
        <v>2326</v>
      </c>
      <c r="U788" s="28" t="s">
        <v>2326</v>
      </c>
      <c r="V788" s="28" t="s">
        <v>517</v>
      </c>
      <c r="W788" s="28" t="s">
        <v>3433</v>
      </c>
      <c r="Z788" s="118" t="s">
        <v>526</v>
      </c>
      <c r="AA788" s="118"/>
      <c r="AB788" s="118"/>
      <c r="AD788" s="28" t="s">
        <v>528</v>
      </c>
      <c r="AE788" s="28" t="s">
        <v>529</v>
      </c>
      <c r="AF788" s="117" t="s">
        <v>3432</v>
      </c>
      <c r="AG788" s="28" t="s">
        <v>529</v>
      </c>
      <c r="AK788" s="60" t="s">
        <v>2927</v>
      </c>
      <c r="AL788" s="117">
        <f>1/COUNTIF(Tableau6[LAT],B788)</f>
        <v>1</v>
      </c>
      <c r="AM788" s="60" t="b">
        <f t="shared" si="87"/>
        <v>0</v>
      </c>
      <c r="AN788" s="60" t="b">
        <f t="shared" si="88"/>
        <v>0</v>
      </c>
      <c r="AO788" s="60" t="b">
        <f t="shared" si="89"/>
        <v>0</v>
      </c>
      <c r="AP788" s="60" t="b">
        <f t="shared" si="90"/>
        <v>0</v>
      </c>
      <c r="AQ788" s="60" t="b">
        <f t="shared" si="91"/>
        <v>0</v>
      </c>
      <c r="AR788" s="60" t="str">
        <f t="shared" si="92"/>
        <v>No</v>
      </c>
      <c r="AS788" s="60" t="str">
        <f t="shared" si="93"/>
        <v>No</v>
      </c>
    </row>
    <row r="789" spans="1:45" ht="15" hidden="1">
      <c r="A789" s="103">
        <v>45244</v>
      </c>
      <c r="B789" s="117" t="s">
        <v>3434</v>
      </c>
      <c r="C789" s="28" t="s">
        <v>511</v>
      </c>
      <c r="D789" s="28" t="s">
        <v>3435</v>
      </c>
      <c r="F789" s="28" t="s">
        <v>3265</v>
      </c>
      <c r="G789" s="28" t="s">
        <v>514</v>
      </c>
      <c r="H789" s="28" t="s">
        <v>2904</v>
      </c>
      <c r="I789" s="28" t="s">
        <v>516</v>
      </c>
      <c r="J789" s="28" t="s">
        <v>517</v>
      </c>
      <c r="K789" s="28" t="s">
        <v>518</v>
      </c>
      <c r="L789" s="28" t="s">
        <v>751</v>
      </c>
      <c r="M789" s="28" t="s">
        <v>520</v>
      </c>
      <c r="N789" s="28" t="s">
        <v>544</v>
      </c>
      <c r="O789" s="28" t="s">
        <v>522</v>
      </c>
      <c r="P789" s="28" t="s">
        <v>627</v>
      </c>
      <c r="S789" s="28" t="s">
        <v>740</v>
      </c>
      <c r="T789" s="28" t="s">
        <v>753</v>
      </c>
      <c r="U789" s="28" t="s">
        <v>753</v>
      </c>
      <c r="V789" s="28" t="s">
        <v>517</v>
      </c>
      <c r="W789" s="28" t="s">
        <v>3436</v>
      </c>
      <c r="Z789" s="118" t="s">
        <v>563</v>
      </c>
      <c r="AA789" s="118"/>
      <c r="AB789" s="118" t="s">
        <v>527</v>
      </c>
      <c r="AD789" s="28" t="s">
        <v>528</v>
      </c>
      <c r="AE789" s="28" t="s">
        <v>563</v>
      </c>
      <c r="AF789" s="117" t="s">
        <v>3435</v>
      </c>
      <c r="AG789" s="28" t="s">
        <v>563</v>
      </c>
      <c r="AK789" s="60" t="s">
        <v>2927</v>
      </c>
      <c r="AL789" s="117">
        <f>1/COUNTIF(Tableau6[LAT],B789)</f>
        <v>1</v>
      </c>
      <c r="AM789" s="60" t="b">
        <f t="shared" si="87"/>
        <v>0</v>
      </c>
      <c r="AN789" s="60" t="b">
        <f t="shared" si="88"/>
        <v>0</v>
      </c>
      <c r="AO789" s="60" t="b">
        <f t="shared" si="89"/>
        <v>0</v>
      </c>
      <c r="AP789" s="60" t="b">
        <f t="shared" si="90"/>
        <v>0</v>
      </c>
      <c r="AQ789" s="60" t="b">
        <f t="shared" si="91"/>
        <v>0</v>
      </c>
      <c r="AR789" s="60" t="str">
        <f t="shared" si="92"/>
        <v>No</v>
      </c>
      <c r="AS789" s="60" t="str">
        <f t="shared" si="93"/>
        <v>No</v>
      </c>
    </row>
    <row r="790" spans="1:45" ht="15" hidden="1">
      <c r="A790" s="103">
        <v>45244</v>
      </c>
      <c r="B790" s="117" t="s">
        <v>3437</v>
      </c>
      <c r="C790" s="28" t="s">
        <v>511</v>
      </c>
      <c r="D790" s="28" t="s">
        <v>3438</v>
      </c>
      <c r="E790" s="28" t="s">
        <v>3439</v>
      </c>
      <c r="F790" s="28" t="s">
        <v>3440</v>
      </c>
      <c r="G790" s="28" t="s">
        <v>3441</v>
      </c>
      <c r="H790" s="28" t="s">
        <v>3442</v>
      </c>
      <c r="I790" s="28" t="s">
        <v>516</v>
      </c>
      <c r="J790" s="28" t="s">
        <v>517</v>
      </c>
      <c r="K790" s="28" t="s">
        <v>518</v>
      </c>
      <c r="L790" s="28" t="s">
        <v>1548</v>
      </c>
      <c r="M790" s="28" t="s">
        <v>605</v>
      </c>
      <c r="S790" s="28" t="s">
        <v>1042</v>
      </c>
      <c r="T790" s="28" t="s">
        <v>1549</v>
      </c>
      <c r="U790" s="28" t="s">
        <v>1549</v>
      </c>
      <c r="V790" s="28" t="s">
        <v>517</v>
      </c>
      <c r="W790" s="28" t="s">
        <v>3443</v>
      </c>
      <c r="X790" s="28" t="s">
        <v>1071</v>
      </c>
      <c r="Z790" s="118" t="s">
        <v>563</v>
      </c>
      <c r="AA790" s="118"/>
      <c r="AB790" s="28" t="s">
        <v>923</v>
      </c>
      <c r="AC790" s="28" t="s">
        <v>3444</v>
      </c>
      <c r="AF790" s="117" t="s">
        <v>1083</v>
      </c>
      <c r="AK790" s="60" t="s">
        <v>2927</v>
      </c>
      <c r="AL790" s="117">
        <f>1/COUNTIF(Tableau6[LAT],B790)</f>
        <v>1</v>
      </c>
      <c r="AM790" s="60" t="b">
        <f t="shared" si="87"/>
        <v>0</v>
      </c>
      <c r="AN790" s="60" t="b">
        <f t="shared" si="88"/>
        <v>0</v>
      </c>
      <c r="AO790" s="60" t="b">
        <f t="shared" si="89"/>
        <v>0</v>
      </c>
      <c r="AP790" s="60" t="b">
        <f t="shared" si="90"/>
        <v>0</v>
      </c>
      <c r="AQ790" s="60" t="b">
        <f t="shared" si="91"/>
        <v>0</v>
      </c>
      <c r="AR790" s="60" t="str">
        <f t="shared" si="92"/>
        <v>No</v>
      </c>
      <c r="AS790" s="60" t="str">
        <f t="shared" si="93"/>
        <v>No</v>
      </c>
    </row>
    <row r="791" spans="1:45" ht="15" hidden="1">
      <c r="A791" s="103">
        <v>45244</v>
      </c>
      <c r="B791" s="117" t="s">
        <v>3445</v>
      </c>
      <c r="C791" s="28" t="s">
        <v>511</v>
      </c>
      <c r="D791" s="28" t="s">
        <v>3446</v>
      </c>
      <c r="F791" s="28" t="s">
        <v>3447</v>
      </c>
      <c r="G791" s="28" t="s">
        <v>514</v>
      </c>
      <c r="H791" s="28" t="s">
        <v>1241</v>
      </c>
      <c r="I791" s="28" t="s">
        <v>516</v>
      </c>
      <c r="J791" s="28" t="s">
        <v>517</v>
      </c>
      <c r="K791" s="28" t="s">
        <v>518</v>
      </c>
      <c r="L791" s="28" t="s">
        <v>809</v>
      </c>
      <c r="M791" s="28" t="s">
        <v>520</v>
      </c>
      <c r="N791" s="28" t="s">
        <v>557</v>
      </c>
      <c r="O791" s="28" t="s">
        <v>934</v>
      </c>
      <c r="P791" s="28" t="s">
        <v>544</v>
      </c>
      <c r="Q791" s="28" t="s">
        <v>522</v>
      </c>
      <c r="S791" s="28" t="s">
        <v>1795</v>
      </c>
      <c r="T791" s="28" t="s">
        <v>811</v>
      </c>
      <c r="U791" s="28" t="s">
        <v>811</v>
      </c>
      <c r="V791" s="28" t="s">
        <v>517</v>
      </c>
      <c r="W791" s="28" t="s">
        <v>3448</v>
      </c>
      <c r="Z791" s="118" t="s">
        <v>563</v>
      </c>
      <c r="AA791" s="118"/>
      <c r="AB791" s="118" t="s">
        <v>527</v>
      </c>
      <c r="AD791" s="28" t="s">
        <v>528</v>
      </c>
      <c r="AE791" s="28" t="s">
        <v>563</v>
      </c>
      <c r="AF791" s="117" t="s">
        <v>3446</v>
      </c>
      <c r="AG791" s="28" t="s">
        <v>563</v>
      </c>
      <c r="AK791" s="60" t="s">
        <v>2927</v>
      </c>
      <c r="AL791" s="117">
        <f>1/COUNTIF(Tableau6[LAT],B791)</f>
        <v>0.33333333333333331</v>
      </c>
      <c r="AM791" s="60" t="b">
        <f t="shared" si="87"/>
        <v>0</v>
      </c>
      <c r="AN791" s="60" t="b">
        <f t="shared" si="88"/>
        <v>0</v>
      </c>
      <c r="AO791" s="60" t="b">
        <f t="shared" si="89"/>
        <v>0</v>
      </c>
      <c r="AP791" s="60" t="b">
        <f t="shared" si="90"/>
        <v>0</v>
      </c>
      <c r="AQ791" s="60" t="b">
        <f t="shared" si="91"/>
        <v>0</v>
      </c>
      <c r="AR791" s="60" t="str">
        <f t="shared" si="92"/>
        <v>No</v>
      </c>
      <c r="AS791" s="60" t="str">
        <f t="shared" si="93"/>
        <v>No</v>
      </c>
    </row>
    <row r="792" spans="1:45" ht="15" hidden="1">
      <c r="A792" s="103">
        <v>45244</v>
      </c>
      <c r="B792" s="117" t="s">
        <v>3445</v>
      </c>
      <c r="C792" s="28" t="s">
        <v>548</v>
      </c>
      <c r="D792" s="28" t="s">
        <v>3449</v>
      </c>
      <c r="F792" s="28" t="s">
        <v>3447</v>
      </c>
      <c r="G792" s="28" t="s">
        <v>514</v>
      </c>
      <c r="H792" s="28" t="s">
        <v>1241</v>
      </c>
      <c r="I792" s="28" t="s">
        <v>516</v>
      </c>
      <c r="J792" s="28" t="s">
        <v>517</v>
      </c>
      <c r="K792" s="28" t="s">
        <v>518</v>
      </c>
      <c r="L792" s="28" t="s">
        <v>809</v>
      </c>
      <c r="M792" s="28" t="s">
        <v>520</v>
      </c>
      <c r="N792" s="28" t="s">
        <v>557</v>
      </c>
      <c r="O792" s="28" t="s">
        <v>934</v>
      </c>
      <c r="P792" s="28" t="s">
        <v>544</v>
      </c>
      <c r="Q792" s="28" t="s">
        <v>522</v>
      </c>
      <c r="S792" s="28" t="s">
        <v>1795</v>
      </c>
      <c r="T792" s="28" t="s">
        <v>811</v>
      </c>
      <c r="U792" s="28" t="s">
        <v>811</v>
      </c>
      <c r="V792" s="28" t="s">
        <v>517</v>
      </c>
      <c r="W792" s="28" t="s">
        <v>3448</v>
      </c>
      <c r="Z792" s="118" t="s">
        <v>563</v>
      </c>
      <c r="AA792" s="118"/>
      <c r="AB792" s="118" t="s">
        <v>527</v>
      </c>
      <c r="AD792" s="28" t="s">
        <v>528</v>
      </c>
      <c r="AE792" s="28" t="s">
        <v>563</v>
      </c>
      <c r="AF792" s="117" t="s">
        <v>3449</v>
      </c>
      <c r="AG792" s="28" t="s">
        <v>563</v>
      </c>
      <c r="AK792" s="60" t="s">
        <v>2927</v>
      </c>
      <c r="AL792" s="117">
        <f>1/COUNTIF(Tableau6[LAT],B792)</f>
        <v>0.33333333333333331</v>
      </c>
      <c r="AM792" s="60" t="b">
        <f t="shared" si="87"/>
        <v>0</v>
      </c>
      <c r="AN792" s="60" t="b">
        <f t="shared" si="88"/>
        <v>0</v>
      </c>
      <c r="AO792" s="60" t="b">
        <f t="shared" si="89"/>
        <v>0</v>
      </c>
      <c r="AP792" s="60" t="b">
        <f t="shared" si="90"/>
        <v>0</v>
      </c>
      <c r="AQ792" s="60" t="b">
        <f t="shared" si="91"/>
        <v>0</v>
      </c>
      <c r="AR792" s="60" t="str">
        <f t="shared" si="92"/>
        <v>No</v>
      </c>
      <c r="AS792" s="60" t="str">
        <f t="shared" si="93"/>
        <v>No</v>
      </c>
    </row>
    <row r="793" spans="1:45" ht="15" hidden="1">
      <c r="A793" s="103">
        <v>45244</v>
      </c>
      <c r="B793" s="117" t="s">
        <v>3445</v>
      </c>
      <c r="C793" s="28" t="s">
        <v>612</v>
      </c>
      <c r="D793" s="28" t="s">
        <v>3450</v>
      </c>
      <c r="F793" s="28" t="s">
        <v>3451</v>
      </c>
      <c r="G793" s="28" t="s">
        <v>514</v>
      </c>
      <c r="H793" s="28" t="s">
        <v>1241</v>
      </c>
      <c r="I793" s="28" t="s">
        <v>516</v>
      </c>
      <c r="J793" s="28" t="s">
        <v>517</v>
      </c>
      <c r="K793" s="28" t="s">
        <v>518</v>
      </c>
      <c r="L793" s="28" t="s">
        <v>809</v>
      </c>
      <c r="M793" s="28" t="s">
        <v>520</v>
      </c>
      <c r="N793" s="28" t="s">
        <v>557</v>
      </c>
      <c r="O793" s="28" t="s">
        <v>934</v>
      </c>
      <c r="P793" s="28" t="s">
        <v>544</v>
      </c>
      <c r="Q793" s="28" t="s">
        <v>522</v>
      </c>
      <c r="S793" s="28" t="s">
        <v>1795</v>
      </c>
      <c r="T793" s="28" t="s">
        <v>811</v>
      </c>
      <c r="U793" s="28" t="s">
        <v>811</v>
      </c>
      <c r="V793" s="28" t="s">
        <v>517</v>
      </c>
      <c r="W793" s="28" t="s">
        <v>3452</v>
      </c>
      <c r="Z793" s="118" t="s">
        <v>563</v>
      </c>
      <c r="AA793" s="118"/>
      <c r="AB793" s="118" t="s">
        <v>527</v>
      </c>
      <c r="AD793" s="28" t="s">
        <v>528</v>
      </c>
      <c r="AE793" s="28" t="s">
        <v>563</v>
      </c>
      <c r="AF793" s="117" t="s">
        <v>3450</v>
      </c>
      <c r="AG793" s="28" t="s">
        <v>563</v>
      </c>
      <c r="AK793" s="60" t="s">
        <v>2927</v>
      </c>
      <c r="AL793" s="117">
        <f>1/COUNTIF(Tableau6[LAT],B793)</f>
        <v>0.33333333333333331</v>
      </c>
      <c r="AM793" s="60" t="b">
        <f t="shared" si="87"/>
        <v>0</v>
      </c>
      <c r="AN793" s="60" t="b">
        <f t="shared" si="88"/>
        <v>0</v>
      </c>
      <c r="AO793" s="60" t="b">
        <f t="shared" si="89"/>
        <v>0</v>
      </c>
      <c r="AP793" s="60" t="b">
        <f t="shared" si="90"/>
        <v>0</v>
      </c>
      <c r="AQ793" s="60" t="b">
        <f t="shared" si="91"/>
        <v>0</v>
      </c>
      <c r="AR793" s="60" t="str">
        <f t="shared" si="92"/>
        <v>No</v>
      </c>
      <c r="AS793" s="60" t="str">
        <f t="shared" si="93"/>
        <v>No</v>
      </c>
    </row>
    <row r="794" spans="1:45" ht="15" hidden="1">
      <c r="A794" s="103">
        <v>45244</v>
      </c>
      <c r="B794" s="117" t="s">
        <v>3453</v>
      </c>
      <c r="C794" s="28" t="s">
        <v>511</v>
      </c>
      <c r="D794" s="28" t="s">
        <v>3454</v>
      </c>
      <c r="F794" s="28" t="s">
        <v>3455</v>
      </c>
      <c r="G794" s="28" t="s">
        <v>665</v>
      </c>
      <c r="H794" s="28" t="s">
        <v>3150</v>
      </c>
      <c r="I794" s="28" t="s">
        <v>516</v>
      </c>
      <c r="J794" s="28" t="s">
        <v>517</v>
      </c>
      <c r="K794" s="28" t="s">
        <v>518</v>
      </c>
      <c r="L794" s="28" t="s">
        <v>2925</v>
      </c>
      <c r="M794" s="28" t="s">
        <v>520</v>
      </c>
      <c r="N794" s="28" t="s">
        <v>521</v>
      </c>
      <c r="O794" s="28" t="s">
        <v>522</v>
      </c>
      <c r="S794" s="28" t="s">
        <v>668</v>
      </c>
      <c r="T794" s="28" t="s">
        <v>1042</v>
      </c>
      <c r="U794" s="28" t="s">
        <v>1042</v>
      </c>
      <c r="V794" s="28" t="s">
        <v>517</v>
      </c>
      <c r="W794" s="28" t="s">
        <v>3456</v>
      </c>
      <c r="Z794" s="118" t="s">
        <v>563</v>
      </c>
      <c r="AA794" s="118"/>
      <c r="AB794" s="118" t="s">
        <v>527</v>
      </c>
      <c r="AD794" s="28" t="s">
        <v>954</v>
      </c>
      <c r="AE794" s="28" t="s">
        <v>563</v>
      </c>
      <c r="AF794" s="117" t="s">
        <v>3454</v>
      </c>
      <c r="AG794" s="28" t="s">
        <v>563</v>
      </c>
      <c r="AK794" s="60" t="s">
        <v>2927</v>
      </c>
      <c r="AL794" s="117">
        <f>1/COUNTIF(Tableau6[LAT],B794)</f>
        <v>1</v>
      </c>
      <c r="AM794" s="60" t="b">
        <f t="shared" si="87"/>
        <v>0</v>
      </c>
      <c r="AN794" s="60" t="b">
        <f t="shared" si="88"/>
        <v>0</v>
      </c>
      <c r="AO794" s="60" t="b">
        <f t="shared" si="89"/>
        <v>0</v>
      </c>
      <c r="AP794" s="60" t="b">
        <f t="shared" si="90"/>
        <v>0</v>
      </c>
      <c r="AQ794" s="60" t="b">
        <f t="shared" si="91"/>
        <v>0</v>
      </c>
      <c r="AR794" s="60" t="str">
        <f t="shared" si="92"/>
        <v>No</v>
      </c>
      <c r="AS794" s="60" t="str">
        <f t="shared" si="93"/>
        <v>No</v>
      </c>
    </row>
    <row r="795" spans="1:45" ht="15" hidden="1">
      <c r="A795" s="103">
        <v>45244</v>
      </c>
      <c r="B795" s="117" t="s">
        <v>3457</v>
      </c>
      <c r="C795" s="28" t="s">
        <v>511</v>
      </c>
      <c r="D795" s="28" t="s">
        <v>3458</v>
      </c>
      <c r="F795" s="28" t="s">
        <v>3459</v>
      </c>
      <c r="G795" s="28" t="s">
        <v>657</v>
      </c>
      <c r="H795" s="28" t="s">
        <v>1335</v>
      </c>
      <c r="I795" s="28" t="s">
        <v>516</v>
      </c>
      <c r="J795" s="28" t="s">
        <v>517</v>
      </c>
      <c r="K795" s="28" t="s">
        <v>518</v>
      </c>
      <c r="L795" s="28" t="s">
        <v>3460</v>
      </c>
      <c r="M795" s="28" t="s">
        <v>535</v>
      </c>
      <c r="N795" s="28" t="s">
        <v>557</v>
      </c>
      <c r="O795" s="28" t="s">
        <v>559</v>
      </c>
      <c r="S795" s="28" t="s">
        <v>606</v>
      </c>
      <c r="T795" s="28" t="s">
        <v>811</v>
      </c>
      <c r="U795" s="28" t="s">
        <v>3461</v>
      </c>
      <c r="V795" s="28" t="s">
        <v>517</v>
      </c>
      <c r="W795" s="28" t="s">
        <v>2102</v>
      </c>
      <c r="Z795" s="118" t="s">
        <v>526</v>
      </c>
      <c r="AA795" s="118"/>
      <c r="AB795" s="118"/>
      <c r="AD795" s="28" t="s">
        <v>954</v>
      </c>
      <c r="AE795" s="28" t="s">
        <v>563</v>
      </c>
      <c r="AF795" s="117" t="s">
        <v>3458</v>
      </c>
      <c r="AG795" s="28" t="s">
        <v>563</v>
      </c>
      <c r="AK795" s="60" t="s">
        <v>2927</v>
      </c>
      <c r="AL795" s="117">
        <f>1/COUNTIF(Tableau6[LAT],B795)</f>
        <v>0.2</v>
      </c>
      <c r="AM795" s="60" t="b">
        <f t="shared" si="87"/>
        <v>0</v>
      </c>
      <c r="AN795" s="60" t="b">
        <f t="shared" si="88"/>
        <v>0</v>
      </c>
      <c r="AO795" s="60" t="b">
        <f t="shared" si="89"/>
        <v>0</v>
      </c>
      <c r="AP795" s="60" t="b">
        <f t="shared" si="90"/>
        <v>0</v>
      </c>
      <c r="AQ795" s="60" t="b">
        <f t="shared" si="91"/>
        <v>0</v>
      </c>
      <c r="AR795" s="60" t="str">
        <f t="shared" si="92"/>
        <v>No</v>
      </c>
      <c r="AS795" s="60" t="str">
        <f t="shared" si="93"/>
        <v>No</v>
      </c>
    </row>
    <row r="796" spans="1:45" ht="15" hidden="1">
      <c r="A796" s="103">
        <v>45244</v>
      </c>
      <c r="B796" s="117" t="s">
        <v>3457</v>
      </c>
      <c r="C796" s="28" t="s">
        <v>612</v>
      </c>
      <c r="D796" s="28" t="s">
        <v>3462</v>
      </c>
      <c r="F796" s="28" t="s">
        <v>3459</v>
      </c>
      <c r="G796" s="28" t="s">
        <v>657</v>
      </c>
      <c r="H796" s="28" t="s">
        <v>1335</v>
      </c>
      <c r="I796" s="28" t="s">
        <v>516</v>
      </c>
      <c r="J796" s="28" t="s">
        <v>517</v>
      </c>
      <c r="K796" s="28" t="s">
        <v>518</v>
      </c>
      <c r="L796" s="28" t="s">
        <v>3460</v>
      </c>
      <c r="M796" s="28" t="s">
        <v>535</v>
      </c>
      <c r="N796" s="28" t="s">
        <v>557</v>
      </c>
      <c r="O796" s="28" t="s">
        <v>559</v>
      </c>
      <c r="S796" s="28" t="s">
        <v>606</v>
      </c>
      <c r="T796" s="28" t="s">
        <v>811</v>
      </c>
      <c r="U796" s="28" t="s">
        <v>3461</v>
      </c>
      <c r="V796" s="28" t="s">
        <v>517</v>
      </c>
      <c r="W796" s="28" t="s">
        <v>2102</v>
      </c>
      <c r="Z796" s="118" t="s">
        <v>526</v>
      </c>
      <c r="AA796" s="118"/>
      <c r="AB796" s="118"/>
      <c r="AD796" s="28" t="s">
        <v>954</v>
      </c>
      <c r="AE796" s="28" t="s">
        <v>563</v>
      </c>
      <c r="AF796" s="117" t="s">
        <v>3463</v>
      </c>
      <c r="AG796" s="28" t="s">
        <v>563</v>
      </c>
      <c r="AK796" s="60" t="s">
        <v>2927</v>
      </c>
      <c r="AL796" s="117">
        <f>1/COUNTIF(Tableau6[LAT],B796)</f>
        <v>0.2</v>
      </c>
      <c r="AM796" s="60" t="b">
        <f t="shared" si="87"/>
        <v>0</v>
      </c>
      <c r="AN796" s="60" t="b">
        <f t="shared" si="88"/>
        <v>0</v>
      </c>
      <c r="AO796" s="60" t="b">
        <f t="shared" si="89"/>
        <v>0</v>
      </c>
      <c r="AP796" s="60" t="b">
        <f t="shared" si="90"/>
        <v>0</v>
      </c>
      <c r="AQ796" s="60" t="b">
        <f t="shared" si="91"/>
        <v>0</v>
      </c>
      <c r="AR796" s="60" t="str">
        <f t="shared" si="92"/>
        <v>No</v>
      </c>
      <c r="AS796" s="60" t="str">
        <f t="shared" si="93"/>
        <v>No</v>
      </c>
    </row>
    <row r="797" spans="1:45" ht="15" hidden="1">
      <c r="A797" s="103">
        <v>45244</v>
      </c>
      <c r="B797" s="117" t="s">
        <v>3457</v>
      </c>
      <c r="C797" s="28" t="s">
        <v>691</v>
      </c>
      <c r="D797" s="28" t="s">
        <v>3464</v>
      </c>
      <c r="F797" s="28" t="s">
        <v>3459</v>
      </c>
      <c r="G797" s="28" t="s">
        <v>657</v>
      </c>
      <c r="H797" s="28" t="s">
        <v>1335</v>
      </c>
      <c r="I797" s="28" t="s">
        <v>516</v>
      </c>
      <c r="J797" s="28" t="s">
        <v>517</v>
      </c>
      <c r="K797" s="28" t="s">
        <v>518</v>
      </c>
      <c r="L797" s="28" t="s">
        <v>3460</v>
      </c>
      <c r="M797" s="28" t="s">
        <v>535</v>
      </c>
      <c r="N797" s="28" t="s">
        <v>557</v>
      </c>
      <c r="O797" s="28" t="s">
        <v>559</v>
      </c>
      <c r="S797" s="28" t="s">
        <v>606</v>
      </c>
      <c r="T797" s="28" t="s">
        <v>811</v>
      </c>
      <c r="U797" s="28" t="s">
        <v>3461</v>
      </c>
      <c r="V797" s="28" t="s">
        <v>517</v>
      </c>
      <c r="W797" s="28" t="s">
        <v>2102</v>
      </c>
      <c r="Z797" s="118" t="s">
        <v>526</v>
      </c>
      <c r="AA797" s="118"/>
      <c r="AB797" s="118"/>
      <c r="AD797" s="28" t="s">
        <v>954</v>
      </c>
      <c r="AE797" s="28" t="s">
        <v>563</v>
      </c>
      <c r="AF797" s="117" t="s">
        <v>3462</v>
      </c>
      <c r="AG797" s="28" t="s">
        <v>563</v>
      </c>
      <c r="AK797" s="60" t="s">
        <v>2927</v>
      </c>
      <c r="AL797" s="117">
        <f>1/COUNTIF(Tableau6[LAT],B797)</f>
        <v>0.2</v>
      </c>
      <c r="AM797" s="60" t="b">
        <f t="shared" si="87"/>
        <v>0</v>
      </c>
      <c r="AN797" s="60" t="b">
        <f t="shared" si="88"/>
        <v>0</v>
      </c>
      <c r="AO797" s="60" t="b">
        <f t="shared" si="89"/>
        <v>0</v>
      </c>
      <c r="AP797" s="60" t="b">
        <f t="shared" si="90"/>
        <v>0</v>
      </c>
      <c r="AQ797" s="60" t="b">
        <f t="shared" si="91"/>
        <v>0</v>
      </c>
      <c r="AR797" s="60" t="str">
        <f t="shared" si="92"/>
        <v>No</v>
      </c>
      <c r="AS797" s="60" t="str">
        <f t="shared" si="93"/>
        <v>No</v>
      </c>
    </row>
    <row r="798" spans="1:45" ht="15" hidden="1">
      <c r="A798" s="103">
        <v>45244</v>
      </c>
      <c r="B798" s="117" t="s">
        <v>3457</v>
      </c>
      <c r="C798" s="28" t="s">
        <v>859</v>
      </c>
      <c r="D798" s="28" t="s">
        <v>3465</v>
      </c>
      <c r="F798" s="28" t="s">
        <v>3459</v>
      </c>
      <c r="G798" s="28" t="s">
        <v>657</v>
      </c>
      <c r="H798" s="28" t="s">
        <v>1335</v>
      </c>
      <c r="I798" s="28" t="s">
        <v>516</v>
      </c>
      <c r="J798" s="28" t="s">
        <v>517</v>
      </c>
      <c r="K798" s="28" t="s">
        <v>518</v>
      </c>
      <c r="L798" s="28" t="s">
        <v>3460</v>
      </c>
      <c r="M798" s="28" t="s">
        <v>535</v>
      </c>
      <c r="N798" s="28" t="s">
        <v>557</v>
      </c>
      <c r="O798" s="28" t="s">
        <v>559</v>
      </c>
      <c r="S798" s="28" t="s">
        <v>606</v>
      </c>
      <c r="T798" s="28" t="s">
        <v>811</v>
      </c>
      <c r="U798" s="28" t="s">
        <v>3461</v>
      </c>
      <c r="V798" s="28" t="s">
        <v>517</v>
      </c>
      <c r="W798" s="28" t="s">
        <v>2102</v>
      </c>
      <c r="Z798" s="118" t="s">
        <v>526</v>
      </c>
      <c r="AA798" s="118" t="s">
        <v>3466</v>
      </c>
      <c r="AB798" s="118"/>
      <c r="AD798" s="28" t="s">
        <v>954</v>
      </c>
      <c r="AE798" s="28" t="s">
        <v>563</v>
      </c>
      <c r="AF798" s="117" t="s">
        <v>3464</v>
      </c>
      <c r="AG798" s="28" t="s">
        <v>563</v>
      </c>
      <c r="AK798" s="60" t="s">
        <v>2927</v>
      </c>
      <c r="AL798" s="117">
        <f>1/COUNTIF(Tableau6[LAT],B798)</f>
        <v>0.2</v>
      </c>
      <c r="AM798" s="60" t="b">
        <f t="shared" si="87"/>
        <v>0</v>
      </c>
      <c r="AN798" s="60" t="b">
        <f t="shared" si="88"/>
        <v>0</v>
      </c>
      <c r="AO798" s="60" t="b">
        <f t="shared" si="89"/>
        <v>0</v>
      </c>
      <c r="AP798" s="60" t="b">
        <f t="shared" si="90"/>
        <v>0</v>
      </c>
      <c r="AQ798" s="60" t="b">
        <f t="shared" si="91"/>
        <v>0</v>
      </c>
      <c r="AR798" s="60" t="str">
        <f t="shared" si="92"/>
        <v>No</v>
      </c>
      <c r="AS798" s="60" t="str">
        <f t="shared" si="93"/>
        <v>No</v>
      </c>
    </row>
    <row r="799" spans="1:45" ht="15" hidden="1">
      <c r="A799" s="103">
        <v>45244</v>
      </c>
      <c r="B799" s="117" t="s">
        <v>3457</v>
      </c>
      <c r="C799" s="28" t="s">
        <v>861</v>
      </c>
      <c r="D799" s="28" t="s">
        <v>3467</v>
      </c>
      <c r="E799" s="28" t="s">
        <v>3468</v>
      </c>
      <c r="F799" s="28" t="s">
        <v>3469</v>
      </c>
      <c r="G799" s="28" t="s">
        <v>2895</v>
      </c>
      <c r="H799" s="28" t="s">
        <v>3470</v>
      </c>
      <c r="I799" s="28" t="s">
        <v>516</v>
      </c>
      <c r="J799" s="28" t="s">
        <v>517</v>
      </c>
      <c r="K799" s="28" t="s">
        <v>518</v>
      </c>
      <c r="L799" s="28" t="s">
        <v>3460</v>
      </c>
      <c r="M799" s="28" t="s">
        <v>535</v>
      </c>
      <c r="N799" s="28" t="s">
        <v>557</v>
      </c>
      <c r="O799" s="28" t="s">
        <v>559</v>
      </c>
      <c r="S799" s="28" t="s">
        <v>606</v>
      </c>
      <c r="T799" s="28" t="s">
        <v>811</v>
      </c>
      <c r="U799" s="28" t="s">
        <v>3461</v>
      </c>
      <c r="V799" s="28" t="s">
        <v>517</v>
      </c>
      <c r="W799" s="28" t="s">
        <v>3471</v>
      </c>
      <c r="X799" s="28" t="s">
        <v>1913</v>
      </c>
      <c r="Z799" s="118" t="s">
        <v>526</v>
      </c>
      <c r="AA799" s="118"/>
      <c r="AB799" s="118"/>
      <c r="AD799" s="28" t="s">
        <v>954</v>
      </c>
      <c r="AE799" s="28" t="s">
        <v>563</v>
      </c>
      <c r="AF799" s="117" t="s">
        <v>3465</v>
      </c>
      <c r="AG799" s="28" t="s">
        <v>563</v>
      </c>
      <c r="AK799" s="60" t="s">
        <v>2927</v>
      </c>
      <c r="AL799" s="117">
        <f>1/COUNTIF(Tableau6[LAT],B799)</f>
        <v>0.2</v>
      </c>
      <c r="AM799" s="60" t="b">
        <f t="shared" si="87"/>
        <v>0</v>
      </c>
      <c r="AN799" s="60" t="b">
        <f t="shared" si="88"/>
        <v>0</v>
      </c>
      <c r="AO799" s="60" t="b">
        <f t="shared" si="89"/>
        <v>0</v>
      </c>
      <c r="AP799" s="60" t="b">
        <f t="shared" si="90"/>
        <v>0</v>
      </c>
      <c r="AQ799" s="60" t="b">
        <f t="shared" si="91"/>
        <v>0</v>
      </c>
      <c r="AR799" s="60" t="str">
        <f t="shared" si="92"/>
        <v>No</v>
      </c>
      <c r="AS799" s="60" t="str">
        <f t="shared" si="93"/>
        <v>No</v>
      </c>
    </row>
    <row r="800" spans="1:45" ht="15" hidden="1">
      <c r="A800" s="103">
        <v>45244</v>
      </c>
      <c r="B800" s="117" t="s">
        <v>3472</v>
      </c>
      <c r="C800" s="28" t="s">
        <v>511</v>
      </c>
      <c r="D800" s="28" t="s">
        <v>3473</v>
      </c>
      <c r="F800" s="28" t="s">
        <v>594</v>
      </c>
      <c r="G800" s="28" t="s">
        <v>514</v>
      </c>
      <c r="H800" s="28" t="s">
        <v>2557</v>
      </c>
      <c r="I800" s="28" t="s">
        <v>516</v>
      </c>
      <c r="J800" s="28" t="s">
        <v>517</v>
      </c>
      <c r="K800" s="28" t="s">
        <v>518</v>
      </c>
      <c r="L800" s="28" t="s">
        <v>809</v>
      </c>
      <c r="M800" s="28" t="s">
        <v>535</v>
      </c>
      <c r="N800" s="28" t="s">
        <v>544</v>
      </c>
      <c r="S800" s="28" t="s">
        <v>820</v>
      </c>
      <c r="T800" s="28" t="s">
        <v>811</v>
      </c>
      <c r="U800" s="28" t="s">
        <v>811</v>
      </c>
      <c r="V800" s="28" t="s">
        <v>517</v>
      </c>
      <c r="W800" s="28" t="s">
        <v>3474</v>
      </c>
      <c r="Z800" s="118" t="s">
        <v>526</v>
      </c>
      <c r="AA800" s="118"/>
      <c r="AB800" s="118"/>
      <c r="AD800" s="28" t="s">
        <v>954</v>
      </c>
      <c r="AE800" s="28" t="s">
        <v>563</v>
      </c>
      <c r="AF800" s="117" t="s">
        <v>3473</v>
      </c>
      <c r="AG800" s="28" t="s">
        <v>563</v>
      </c>
      <c r="AK800" s="60" t="s">
        <v>2927</v>
      </c>
      <c r="AL800" s="117">
        <f>1/COUNTIF(Tableau6[LAT],B800)</f>
        <v>1</v>
      </c>
      <c r="AM800" s="60" t="b">
        <f t="shared" si="87"/>
        <v>0</v>
      </c>
      <c r="AN800" s="60" t="b">
        <f t="shared" si="88"/>
        <v>0</v>
      </c>
      <c r="AO800" s="60" t="b">
        <f t="shared" si="89"/>
        <v>0</v>
      </c>
      <c r="AP800" s="60" t="b">
        <f t="shared" si="90"/>
        <v>0</v>
      </c>
      <c r="AQ800" s="60" t="b">
        <f t="shared" si="91"/>
        <v>0</v>
      </c>
      <c r="AR800" s="60" t="str">
        <f t="shared" si="92"/>
        <v>No</v>
      </c>
      <c r="AS800" s="60" t="str">
        <f t="shared" si="93"/>
        <v>No</v>
      </c>
    </row>
    <row r="801" spans="1:45" ht="15" hidden="1">
      <c r="A801" s="103">
        <v>45244</v>
      </c>
      <c r="B801" s="117" t="s">
        <v>3475</v>
      </c>
      <c r="C801" s="28" t="s">
        <v>511</v>
      </c>
      <c r="D801" s="28" t="s">
        <v>3476</v>
      </c>
      <c r="F801" s="28" t="s">
        <v>3477</v>
      </c>
      <c r="G801" s="28" t="s">
        <v>514</v>
      </c>
      <c r="H801" s="28" t="s">
        <v>624</v>
      </c>
      <c r="I801" s="28" t="s">
        <v>516</v>
      </c>
      <c r="J801" s="28" t="s">
        <v>517</v>
      </c>
      <c r="K801" s="28" t="s">
        <v>518</v>
      </c>
      <c r="L801" s="28" t="s">
        <v>3338</v>
      </c>
      <c r="M801" s="28" t="s">
        <v>520</v>
      </c>
      <c r="N801" s="28" t="s">
        <v>544</v>
      </c>
      <c r="S801" s="28" t="s">
        <v>740</v>
      </c>
      <c r="T801" s="28" t="s">
        <v>3083</v>
      </c>
      <c r="U801" s="28" t="s">
        <v>3083</v>
      </c>
      <c r="V801" s="28" t="s">
        <v>517</v>
      </c>
      <c r="W801" s="28" t="s">
        <v>3478</v>
      </c>
      <c r="Z801" s="118" t="s">
        <v>563</v>
      </c>
      <c r="AA801" s="118"/>
      <c r="AB801" s="118" t="s">
        <v>527</v>
      </c>
      <c r="AD801" s="28" t="s">
        <v>954</v>
      </c>
      <c r="AE801" s="28" t="s">
        <v>563</v>
      </c>
      <c r="AF801" s="117" t="s">
        <v>3476</v>
      </c>
      <c r="AG801" s="28" t="s">
        <v>563</v>
      </c>
      <c r="AK801" s="60" t="s">
        <v>2927</v>
      </c>
      <c r="AL801" s="117">
        <f>1/COUNTIF(Tableau6[LAT],B801)</f>
        <v>0.5</v>
      </c>
      <c r="AM801" s="60" t="b">
        <f t="shared" si="87"/>
        <v>0</v>
      </c>
      <c r="AN801" s="60" t="b">
        <f t="shared" si="88"/>
        <v>0</v>
      </c>
      <c r="AO801" s="60" t="b">
        <f t="shared" si="89"/>
        <v>0</v>
      </c>
      <c r="AP801" s="60" t="b">
        <f t="shared" si="90"/>
        <v>0</v>
      </c>
      <c r="AQ801" s="60" t="b">
        <f t="shared" si="91"/>
        <v>0</v>
      </c>
      <c r="AR801" s="60" t="str">
        <f t="shared" si="92"/>
        <v>No</v>
      </c>
      <c r="AS801" s="60" t="str">
        <f t="shared" si="93"/>
        <v>No</v>
      </c>
    </row>
    <row r="802" spans="1:45" ht="15" hidden="1">
      <c r="A802" s="103">
        <v>45244</v>
      </c>
      <c r="B802" s="117" t="s">
        <v>3475</v>
      </c>
      <c r="C802" s="28" t="s">
        <v>548</v>
      </c>
      <c r="D802" s="28" t="s">
        <v>3479</v>
      </c>
      <c r="F802" s="28" t="s">
        <v>3477</v>
      </c>
      <c r="G802" s="28" t="s">
        <v>514</v>
      </c>
      <c r="H802" s="28" t="s">
        <v>624</v>
      </c>
      <c r="I802" s="28" t="s">
        <v>516</v>
      </c>
      <c r="J802" s="28" t="s">
        <v>517</v>
      </c>
      <c r="K802" s="28" t="s">
        <v>518</v>
      </c>
      <c r="L802" s="28" t="s">
        <v>3338</v>
      </c>
      <c r="M802" s="28" t="s">
        <v>520</v>
      </c>
      <c r="N802" s="28" t="s">
        <v>544</v>
      </c>
      <c r="S802" s="28" t="s">
        <v>740</v>
      </c>
      <c r="T802" s="28" t="s">
        <v>3083</v>
      </c>
      <c r="U802" s="28" t="s">
        <v>3083</v>
      </c>
      <c r="V802" s="28" t="s">
        <v>517</v>
      </c>
      <c r="W802" s="28" t="s">
        <v>3480</v>
      </c>
      <c r="Z802" s="118" t="s">
        <v>563</v>
      </c>
      <c r="AA802" s="118"/>
      <c r="AB802" s="118" t="s">
        <v>527</v>
      </c>
      <c r="AD802" s="28" t="s">
        <v>954</v>
      </c>
      <c r="AE802" s="28" t="s">
        <v>563</v>
      </c>
      <c r="AF802" s="117" t="s">
        <v>3479</v>
      </c>
      <c r="AG802" s="28" t="s">
        <v>563</v>
      </c>
      <c r="AK802" s="60" t="s">
        <v>2927</v>
      </c>
      <c r="AL802" s="117">
        <f>1/COUNTIF(Tableau6[LAT],B802)</f>
        <v>0.5</v>
      </c>
      <c r="AM802" s="60" t="b">
        <f t="shared" si="87"/>
        <v>0</v>
      </c>
      <c r="AN802" s="60" t="b">
        <f t="shared" si="88"/>
        <v>0</v>
      </c>
      <c r="AO802" s="60" t="b">
        <f t="shared" si="89"/>
        <v>0</v>
      </c>
      <c r="AP802" s="60" t="b">
        <f t="shared" si="90"/>
        <v>0</v>
      </c>
      <c r="AQ802" s="60" t="b">
        <f t="shared" si="91"/>
        <v>0</v>
      </c>
      <c r="AR802" s="60" t="str">
        <f t="shared" si="92"/>
        <v>No</v>
      </c>
      <c r="AS802" s="60" t="str">
        <f t="shared" si="93"/>
        <v>No</v>
      </c>
    </row>
    <row r="803" spans="1:45" ht="15" hidden="1">
      <c r="A803" s="103">
        <v>45244</v>
      </c>
      <c r="B803" s="117" t="s">
        <v>3481</v>
      </c>
      <c r="C803" s="28" t="s">
        <v>511</v>
      </c>
      <c r="D803" s="28" t="s">
        <v>3482</v>
      </c>
      <c r="F803" s="28" t="s">
        <v>3483</v>
      </c>
      <c r="G803" s="28" t="s">
        <v>724</v>
      </c>
      <c r="H803" s="28" t="s">
        <v>1091</v>
      </c>
      <c r="I803" s="28" t="s">
        <v>516</v>
      </c>
      <c r="J803" s="28" t="s">
        <v>517</v>
      </c>
      <c r="K803" s="28" t="s">
        <v>518</v>
      </c>
      <c r="L803" s="28" t="s">
        <v>697</v>
      </c>
      <c r="M803" s="28" t="s">
        <v>535</v>
      </c>
      <c r="N803" s="28" t="s">
        <v>557</v>
      </c>
      <c r="O803" s="28" t="s">
        <v>522</v>
      </c>
      <c r="S803" s="28" t="s">
        <v>1494</v>
      </c>
      <c r="T803" s="28" t="s">
        <v>699</v>
      </c>
      <c r="U803" s="28" t="s">
        <v>699</v>
      </c>
      <c r="V803" s="28" t="s">
        <v>517</v>
      </c>
      <c r="W803" s="28" t="s">
        <v>3484</v>
      </c>
      <c r="Z803" s="118" t="s">
        <v>563</v>
      </c>
      <c r="AA803" s="118"/>
      <c r="AB803" s="118" t="s">
        <v>527</v>
      </c>
      <c r="AD803" s="28" t="s">
        <v>528</v>
      </c>
      <c r="AE803" s="28" t="s">
        <v>563</v>
      </c>
      <c r="AF803" s="117" t="s">
        <v>3482</v>
      </c>
      <c r="AG803" s="28" t="s">
        <v>563</v>
      </c>
      <c r="AK803" s="60" t="s">
        <v>2927</v>
      </c>
      <c r="AL803" s="117">
        <f>1/COUNTIF(Tableau6[LAT],B803)</f>
        <v>0.5</v>
      </c>
      <c r="AM803" s="60" t="b">
        <f t="shared" si="87"/>
        <v>0</v>
      </c>
      <c r="AN803" s="60" t="b">
        <f t="shared" si="88"/>
        <v>0</v>
      </c>
      <c r="AO803" s="60" t="b">
        <f t="shared" si="89"/>
        <v>0</v>
      </c>
      <c r="AP803" s="60" t="b">
        <f t="shared" si="90"/>
        <v>0</v>
      </c>
      <c r="AQ803" s="60" t="b">
        <f t="shared" si="91"/>
        <v>0</v>
      </c>
      <c r="AR803" s="60" t="str">
        <f t="shared" si="92"/>
        <v>No</v>
      </c>
      <c r="AS803" s="60" t="str">
        <f t="shared" si="93"/>
        <v>No</v>
      </c>
    </row>
    <row r="804" spans="1:45" ht="15" hidden="1">
      <c r="A804" s="103">
        <v>45244</v>
      </c>
      <c r="B804" s="117" t="s">
        <v>3481</v>
      </c>
      <c r="C804" s="28" t="s">
        <v>548</v>
      </c>
      <c r="D804" s="28" t="s">
        <v>3485</v>
      </c>
      <c r="F804" s="28" t="s">
        <v>3486</v>
      </c>
      <c r="G804" s="28" t="s">
        <v>724</v>
      </c>
      <c r="H804" s="28" t="s">
        <v>1394</v>
      </c>
      <c r="I804" s="28" t="s">
        <v>516</v>
      </c>
      <c r="J804" s="28" t="s">
        <v>517</v>
      </c>
      <c r="K804" s="28" t="s">
        <v>518</v>
      </c>
      <c r="L804" s="28" t="s">
        <v>697</v>
      </c>
      <c r="M804" s="28" t="s">
        <v>535</v>
      </c>
      <c r="N804" s="28" t="s">
        <v>557</v>
      </c>
      <c r="O804" s="28" t="s">
        <v>522</v>
      </c>
      <c r="S804" s="28" t="s">
        <v>1494</v>
      </c>
      <c r="T804" s="28" t="s">
        <v>699</v>
      </c>
      <c r="U804" s="28" t="s">
        <v>699</v>
      </c>
      <c r="V804" s="28" t="s">
        <v>517</v>
      </c>
      <c r="W804" s="28" t="s">
        <v>3487</v>
      </c>
      <c r="Z804" s="118" t="s">
        <v>563</v>
      </c>
      <c r="AA804" s="118"/>
      <c r="AB804" s="118" t="s">
        <v>527</v>
      </c>
      <c r="AD804" s="28" t="s">
        <v>528</v>
      </c>
      <c r="AE804" s="28" t="s">
        <v>563</v>
      </c>
      <c r="AF804" s="117" t="s">
        <v>3485</v>
      </c>
      <c r="AG804" s="28" t="s">
        <v>563</v>
      </c>
      <c r="AK804" s="60" t="s">
        <v>2927</v>
      </c>
      <c r="AL804" s="117">
        <f>1/COUNTIF(Tableau6[LAT],B804)</f>
        <v>0.5</v>
      </c>
      <c r="AM804" s="60" t="b">
        <f t="shared" si="87"/>
        <v>0</v>
      </c>
      <c r="AN804" s="60" t="b">
        <f t="shared" si="88"/>
        <v>0</v>
      </c>
      <c r="AO804" s="60" t="b">
        <f t="shared" si="89"/>
        <v>0</v>
      </c>
      <c r="AP804" s="60" t="b">
        <f t="shared" si="90"/>
        <v>0</v>
      </c>
      <c r="AQ804" s="60" t="b">
        <f t="shared" si="91"/>
        <v>0</v>
      </c>
      <c r="AR804" s="60" t="str">
        <f t="shared" si="92"/>
        <v>No</v>
      </c>
      <c r="AS804" s="60" t="str">
        <f t="shared" si="93"/>
        <v>No</v>
      </c>
    </row>
    <row r="805" spans="1:45" ht="15" hidden="1">
      <c r="A805" s="103">
        <v>45244</v>
      </c>
      <c r="B805" s="117" t="s">
        <v>3488</v>
      </c>
      <c r="C805" s="28" t="s">
        <v>511</v>
      </c>
      <c r="D805" s="28" t="s">
        <v>3489</v>
      </c>
      <c r="E805" s="28" t="s">
        <v>3490</v>
      </c>
      <c r="F805" s="28" t="s">
        <v>3491</v>
      </c>
      <c r="G805" s="28" t="s">
        <v>514</v>
      </c>
      <c r="H805" s="28" t="s">
        <v>555</v>
      </c>
      <c r="I805" s="28" t="s">
        <v>516</v>
      </c>
      <c r="J805" s="28" t="s">
        <v>516</v>
      </c>
      <c r="K805" s="28" t="s">
        <v>518</v>
      </c>
      <c r="L805" s="28" t="s">
        <v>2272</v>
      </c>
      <c r="M805" s="28" t="s">
        <v>535</v>
      </c>
      <c r="N805" s="28" t="s">
        <v>544</v>
      </c>
      <c r="O805" s="28" t="s">
        <v>558</v>
      </c>
      <c r="P805" s="28" t="s">
        <v>559</v>
      </c>
      <c r="S805" s="28" t="s">
        <v>732</v>
      </c>
      <c r="T805" s="28" t="s">
        <v>733</v>
      </c>
      <c r="U805" s="28" t="s">
        <v>733</v>
      </c>
      <c r="V805" s="28" t="s">
        <v>517</v>
      </c>
      <c r="W805" s="28" t="s">
        <v>3492</v>
      </c>
      <c r="X805" s="28" t="s">
        <v>670</v>
      </c>
      <c r="Z805" s="118" t="s">
        <v>563</v>
      </c>
      <c r="AA805" s="118"/>
      <c r="AB805" s="118" t="s">
        <v>527</v>
      </c>
      <c r="AD805" s="118" t="s">
        <v>954</v>
      </c>
      <c r="AE805" s="118"/>
      <c r="AF805" s="138" t="s">
        <v>3490</v>
      </c>
      <c r="AG805" s="118" t="s">
        <v>563</v>
      </c>
      <c r="AK805" s="60" t="s">
        <v>2927</v>
      </c>
      <c r="AL805" s="117">
        <f>1/COUNTIF(Tableau6[LAT],B805)</f>
        <v>1</v>
      </c>
      <c r="AM805" s="60" t="b">
        <f t="shared" si="87"/>
        <v>0</v>
      </c>
      <c r="AN805" s="60" t="b">
        <f t="shared" si="88"/>
        <v>0</v>
      </c>
      <c r="AO805" s="60" t="b">
        <f t="shared" si="89"/>
        <v>0</v>
      </c>
      <c r="AP805" s="60" t="b">
        <f t="shared" si="90"/>
        <v>0</v>
      </c>
      <c r="AQ805" s="60" t="b">
        <f t="shared" si="91"/>
        <v>0</v>
      </c>
      <c r="AR805" s="60" t="str">
        <f t="shared" si="92"/>
        <v>No</v>
      </c>
      <c r="AS805" s="60" t="str">
        <f t="shared" si="93"/>
        <v>No</v>
      </c>
    </row>
    <row r="806" spans="1:45" ht="15" hidden="1">
      <c r="A806" s="103">
        <v>45244</v>
      </c>
      <c r="B806" s="117" t="s">
        <v>3493</v>
      </c>
      <c r="C806" s="28" t="s">
        <v>511</v>
      </c>
      <c r="D806" s="28" t="s">
        <v>3494</v>
      </c>
      <c r="F806" s="28" t="s">
        <v>3495</v>
      </c>
      <c r="G806" s="28" t="s">
        <v>514</v>
      </c>
      <c r="H806" s="28" t="s">
        <v>2486</v>
      </c>
      <c r="I806" s="28" t="s">
        <v>516</v>
      </c>
      <c r="J806" s="28" t="s">
        <v>517</v>
      </c>
      <c r="K806" s="28" t="s">
        <v>682</v>
      </c>
      <c r="L806" s="28" t="s">
        <v>683</v>
      </c>
      <c r="M806" s="28" t="s">
        <v>535</v>
      </c>
      <c r="N806" s="28" t="s">
        <v>557</v>
      </c>
      <c r="O806" s="28" t="s">
        <v>934</v>
      </c>
      <c r="P806" s="28" t="s">
        <v>559</v>
      </c>
      <c r="S806" s="28" t="s">
        <v>523</v>
      </c>
      <c r="T806" s="28" t="s">
        <v>545</v>
      </c>
      <c r="U806" s="28" t="s">
        <v>545</v>
      </c>
      <c r="V806" s="28" t="s">
        <v>517</v>
      </c>
      <c r="W806" s="28" t="s">
        <v>3496</v>
      </c>
      <c r="Z806" s="118" t="s">
        <v>563</v>
      </c>
      <c r="AA806" s="118"/>
      <c r="AB806" s="118" t="s">
        <v>527</v>
      </c>
      <c r="AD806" s="28" t="s">
        <v>528</v>
      </c>
      <c r="AE806" s="28" t="s">
        <v>563</v>
      </c>
      <c r="AF806" s="117" t="s">
        <v>3494</v>
      </c>
      <c r="AG806" s="28" t="s">
        <v>563</v>
      </c>
      <c r="AK806" s="60" t="s">
        <v>2927</v>
      </c>
      <c r="AL806" s="117">
        <f>1/COUNTIF(Tableau6[LAT],B806)</f>
        <v>1</v>
      </c>
      <c r="AM806" s="60" t="b">
        <f t="shared" si="87"/>
        <v>0</v>
      </c>
      <c r="AN806" s="60" t="b">
        <f t="shared" si="88"/>
        <v>0</v>
      </c>
      <c r="AO806" s="60" t="b">
        <f t="shared" si="89"/>
        <v>0</v>
      </c>
      <c r="AP806" s="60" t="b">
        <f t="shared" si="90"/>
        <v>0</v>
      </c>
      <c r="AQ806" s="60" t="b">
        <f t="shared" si="91"/>
        <v>0</v>
      </c>
      <c r="AR806" s="60" t="str">
        <f t="shared" si="92"/>
        <v>No</v>
      </c>
      <c r="AS806" s="60" t="str">
        <f t="shared" si="93"/>
        <v>No</v>
      </c>
    </row>
    <row r="807" spans="1:45" ht="15" hidden="1">
      <c r="A807" s="103">
        <v>45244</v>
      </c>
      <c r="B807" s="117" t="s">
        <v>3497</v>
      </c>
      <c r="C807" s="28" t="s">
        <v>511</v>
      </c>
      <c r="D807" s="28" t="s">
        <v>3498</v>
      </c>
      <c r="F807" s="28" t="s">
        <v>3499</v>
      </c>
      <c r="G807" s="28" t="s">
        <v>514</v>
      </c>
      <c r="H807" s="28" t="s">
        <v>1554</v>
      </c>
      <c r="I807" s="28" t="s">
        <v>516</v>
      </c>
      <c r="J807" s="28" t="s">
        <v>517</v>
      </c>
      <c r="K807" s="28" t="s">
        <v>518</v>
      </c>
      <c r="L807" s="28" t="s">
        <v>649</v>
      </c>
      <c r="M807" s="28" t="s">
        <v>535</v>
      </c>
      <c r="S807" s="28" t="s">
        <v>928</v>
      </c>
      <c r="T807" s="28" t="s">
        <v>651</v>
      </c>
      <c r="U807" s="28" t="s">
        <v>651</v>
      </c>
      <c r="V807" s="28" t="s">
        <v>517</v>
      </c>
      <c r="W807" s="28" t="s">
        <v>3500</v>
      </c>
      <c r="Z807" s="118" t="s">
        <v>526</v>
      </c>
      <c r="AA807" s="118"/>
      <c r="AB807" s="118"/>
      <c r="AD807" s="28" t="s">
        <v>954</v>
      </c>
      <c r="AE807" s="28" t="s">
        <v>563</v>
      </c>
      <c r="AF807" s="117" t="s">
        <v>3498</v>
      </c>
      <c r="AG807" s="28" t="s">
        <v>563</v>
      </c>
      <c r="AK807" s="60" t="s">
        <v>2927</v>
      </c>
      <c r="AL807" s="117">
        <f>1/COUNTIF(Tableau6[LAT],B807)</f>
        <v>0.5</v>
      </c>
      <c r="AM807" s="60" t="b">
        <f t="shared" si="87"/>
        <v>0</v>
      </c>
      <c r="AN807" s="60" t="b">
        <f t="shared" si="88"/>
        <v>0</v>
      </c>
      <c r="AO807" s="60" t="b">
        <f t="shared" si="89"/>
        <v>0</v>
      </c>
      <c r="AP807" s="60" t="b">
        <f t="shared" si="90"/>
        <v>0</v>
      </c>
      <c r="AQ807" s="60" t="b">
        <f t="shared" si="91"/>
        <v>0</v>
      </c>
      <c r="AR807" s="60" t="str">
        <f t="shared" si="92"/>
        <v>No</v>
      </c>
      <c r="AS807" s="60" t="str">
        <f t="shared" si="93"/>
        <v>No</v>
      </c>
    </row>
    <row r="808" spans="1:45" ht="15" hidden="1">
      <c r="A808" s="103">
        <v>45244</v>
      </c>
      <c r="B808" s="117" t="s">
        <v>3497</v>
      </c>
      <c r="C808" s="28" t="s">
        <v>548</v>
      </c>
      <c r="D808" s="28" t="s">
        <v>3501</v>
      </c>
      <c r="F808" s="28" t="s">
        <v>3499</v>
      </c>
      <c r="G808" s="28" t="s">
        <v>514</v>
      </c>
      <c r="H808" s="28" t="s">
        <v>1554</v>
      </c>
      <c r="I808" s="28" t="s">
        <v>516</v>
      </c>
      <c r="J808" s="28" t="s">
        <v>517</v>
      </c>
      <c r="K808" s="28" t="s">
        <v>518</v>
      </c>
      <c r="L808" s="28" t="s">
        <v>649</v>
      </c>
      <c r="M808" s="28" t="s">
        <v>535</v>
      </c>
      <c r="S808" s="28" t="s">
        <v>928</v>
      </c>
      <c r="T808" s="28" t="s">
        <v>651</v>
      </c>
      <c r="U808" s="28" t="s">
        <v>651</v>
      </c>
      <c r="V808" s="28" t="s">
        <v>517</v>
      </c>
      <c r="W808" s="28" t="s">
        <v>922</v>
      </c>
      <c r="Z808" s="118" t="s">
        <v>526</v>
      </c>
      <c r="AA808" s="118"/>
      <c r="AB808" s="118"/>
      <c r="AD808" s="28" t="s">
        <v>954</v>
      </c>
      <c r="AE808" s="28" t="s">
        <v>563</v>
      </c>
      <c r="AF808" s="117" t="s">
        <v>3498</v>
      </c>
      <c r="AG808" s="28" t="s">
        <v>563</v>
      </c>
      <c r="AK808" s="60" t="s">
        <v>2927</v>
      </c>
      <c r="AL808" s="117">
        <f>1/COUNTIF(Tableau6[LAT],B808)</f>
        <v>0.5</v>
      </c>
      <c r="AM808" s="60" t="b">
        <f t="shared" si="87"/>
        <v>0</v>
      </c>
      <c r="AN808" s="60" t="b">
        <f t="shared" si="88"/>
        <v>0</v>
      </c>
      <c r="AO808" s="60" t="b">
        <f t="shared" si="89"/>
        <v>0</v>
      </c>
      <c r="AP808" s="60" t="b">
        <f t="shared" si="90"/>
        <v>0</v>
      </c>
      <c r="AQ808" s="60" t="b">
        <f t="shared" si="91"/>
        <v>0</v>
      </c>
      <c r="AR808" s="60" t="str">
        <f t="shared" si="92"/>
        <v>No</v>
      </c>
      <c r="AS808" s="60" t="str">
        <f t="shared" si="93"/>
        <v>No</v>
      </c>
    </row>
    <row r="809" spans="1:45" ht="15" hidden="1">
      <c r="A809" s="103">
        <v>45244</v>
      </c>
      <c r="B809" s="117" t="s">
        <v>3502</v>
      </c>
      <c r="C809" s="28" t="s">
        <v>511</v>
      </c>
      <c r="D809" s="28" t="s">
        <v>3503</v>
      </c>
      <c r="E809" s="28" t="s">
        <v>3504</v>
      </c>
      <c r="F809" s="28" t="s">
        <v>3505</v>
      </c>
      <c r="G809" s="28" t="s">
        <v>514</v>
      </c>
      <c r="H809" s="28" t="s">
        <v>555</v>
      </c>
      <c r="I809" s="28" t="s">
        <v>517</v>
      </c>
      <c r="J809" s="28" t="s">
        <v>516</v>
      </c>
      <c r="K809" s="28" t="s">
        <v>518</v>
      </c>
      <c r="L809" s="28" t="s">
        <v>1917</v>
      </c>
      <c r="M809" s="28" t="s">
        <v>520</v>
      </c>
      <c r="N809" s="28" t="s">
        <v>2359</v>
      </c>
      <c r="O809" s="28" t="s">
        <v>544</v>
      </c>
      <c r="P809" s="28" t="s">
        <v>558</v>
      </c>
      <c r="Q809" s="28" t="s">
        <v>559</v>
      </c>
      <c r="S809" s="28" t="s">
        <v>573</v>
      </c>
      <c r="T809" s="28" t="s">
        <v>1918</v>
      </c>
      <c r="U809" s="28" t="s">
        <v>1918</v>
      </c>
      <c r="V809" s="28" t="s">
        <v>517</v>
      </c>
      <c r="W809" s="28" t="s">
        <v>3506</v>
      </c>
      <c r="X809" s="28" t="s">
        <v>670</v>
      </c>
      <c r="Z809" s="118" t="s">
        <v>563</v>
      </c>
      <c r="AA809" s="118"/>
      <c r="AB809" s="73" t="s">
        <v>609</v>
      </c>
      <c r="AD809" s="118" t="s">
        <v>954</v>
      </c>
      <c r="AE809" s="118"/>
      <c r="AF809" s="138" t="s">
        <v>3504</v>
      </c>
      <c r="AG809" s="118" t="s">
        <v>563</v>
      </c>
      <c r="AK809" s="60" t="s">
        <v>2927</v>
      </c>
      <c r="AL809" s="117">
        <f>1/COUNTIF(Tableau6[LAT],B809)</f>
        <v>0.33333333333333331</v>
      </c>
      <c r="AM809" s="60" t="b">
        <f t="shared" si="87"/>
        <v>0</v>
      </c>
      <c r="AN809" s="60" t="b">
        <f t="shared" si="88"/>
        <v>0</v>
      </c>
      <c r="AO809" s="60" t="b">
        <f t="shared" si="89"/>
        <v>0</v>
      </c>
      <c r="AP809" s="60" t="b">
        <f t="shared" si="90"/>
        <v>0</v>
      </c>
      <c r="AQ809" s="60" t="b">
        <f t="shared" si="91"/>
        <v>0</v>
      </c>
      <c r="AR809" s="60" t="str">
        <f t="shared" si="92"/>
        <v>No</v>
      </c>
      <c r="AS809" s="60" t="str">
        <f t="shared" si="93"/>
        <v>No</v>
      </c>
    </row>
    <row r="810" spans="1:45" ht="15" hidden="1">
      <c r="A810" s="103">
        <v>45244</v>
      </c>
      <c r="B810" s="117" t="s">
        <v>3502</v>
      </c>
      <c r="C810" s="28" t="s">
        <v>548</v>
      </c>
      <c r="D810" s="28" t="s">
        <v>3507</v>
      </c>
      <c r="E810" s="28" t="s">
        <v>3508</v>
      </c>
      <c r="F810" s="28" t="s">
        <v>3509</v>
      </c>
      <c r="G810" s="28" t="s">
        <v>514</v>
      </c>
      <c r="H810" s="28" t="s">
        <v>555</v>
      </c>
      <c r="I810" s="28" t="s">
        <v>517</v>
      </c>
      <c r="J810" s="28" t="s">
        <v>516</v>
      </c>
      <c r="K810" s="28" t="s">
        <v>518</v>
      </c>
      <c r="L810" s="28" t="s">
        <v>1917</v>
      </c>
      <c r="M810" s="28" t="s">
        <v>520</v>
      </c>
      <c r="N810" s="28" t="s">
        <v>2359</v>
      </c>
      <c r="O810" s="28" t="s">
        <v>544</v>
      </c>
      <c r="P810" s="28" t="s">
        <v>558</v>
      </c>
      <c r="Q810" s="28" t="s">
        <v>559</v>
      </c>
      <c r="S810" s="28" t="s">
        <v>573</v>
      </c>
      <c r="T810" s="28" t="s">
        <v>1918</v>
      </c>
      <c r="U810" s="28" t="s">
        <v>1918</v>
      </c>
      <c r="V810" s="28" t="s">
        <v>517</v>
      </c>
      <c r="W810" s="28" t="s">
        <v>3510</v>
      </c>
      <c r="X810" s="28" t="s">
        <v>670</v>
      </c>
      <c r="Z810" s="118" t="s">
        <v>563</v>
      </c>
      <c r="AA810" s="118"/>
      <c r="AB810" s="73" t="s">
        <v>609</v>
      </c>
      <c r="AD810" s="118" t="s">
        <v>954</v>
      </c>
      <c r="AE810" s="118"/>
      <c r="AF810" s="138" t="s">
        <v>3508</v>
      </c>
      <c r="AG810" s="118" t="s">
        <v>563</v>
      </c>
      <c r="AK810" s="60" t="s">
        <v>2927</v>
      </c>
      <c r="AL810" s="117">
        <f>1/COUNTIF(Tableau6[LAT],B810)</f>
        <v>0.33333333333333331</v>
      </c>
      <c r="AM810" s="60" t="b">
        <f t="shared" si="87"/>
        <v>0</v>
      </c>
      <c r="AN810" s="60" t="b">
        <f t="shared" si="88"/>
        <v>0</v>
      </c>
      <c r="AO810" s="60" t="b">
        <f t="shared" si="89"/>
        <v>0</v>
      </c>
      <c r="AP810" s="60" t="b">
        <f t="shared" si="90"/>
        <v>0</v>
      </c>
      <c r="AQ810" s="60" t="b">
        <f t="shared" si="91"/>
        <v>0</v>
      </c>
      <c r="AR810" s="60" t="str">
        <f t="shared" si="92"/>
        <v>No</v>
      </c>
      <c r="AS810" s="60" t="str">
        <f t="shared" si="93"/>
        <v>No</v>
      </c>
    </row>
    <row r="811" spans="1:45" ht="15" hidden="1">
      <c r="A811" s="103">
        <v>45244</v>
      </c>
      <c r="B811" s="117" t="s">
        <v>3502</v>
      </c>
      <c r="C811" s="28" t="s">
        <v>612</v>
      </c>
      <c r="D811" s="28" t="s">
        <v>3511</v>
      </c>
      <c r="E811" s="28" t="s">
        <v>3512</v>
      </c>
      <c r="F811" s="28" t="s">
        <v>3509</v>
      </c>
      <c r="G811" s="28" t="s">
        <v>514</v>
      </c>
      <c r="H811" s="28" t="s">
        <v>555</v>
      </c>
      <c r="I811" s="28" t="s">
        <v>517</v>
      </c>
      <c r="J811" s="28" t="s">
        <v>516</v>
      </c>
      <c r="K811" s="28" t="s">
        <v>518</v>
      </c>
      <c r="L811" s="28" t="s">
        <v>1917</v>
      </c>
      <c r="M811" s="28" t="s">
        <v>520</v>
      </c>
      <c r="N811" s="28" t="s">
        <v>2359</v>
      </c>
      <c r="O811" s="28" t="s">
        <v>544</v>
      </c>
      <c r="P811" s="28" t="s">
        <v>558</v>
      </c>
      <c r="Q811" s="28" t="s">
        <v>559</v>
      </c>
      <c r="S811" s="28" t="s">
        <v>573</v>
      </c>
      <c r="T811" s="28" t="s">
        <v>1918</v>
      </c>
      <c r="U811" s="28" t="s">
        <v>1918</v>
      </c>
      <c r="V811" s="28" t="s">
        <v>517</v>
      </c>
      <c r="W811" s="28" t="s">
        <v>3513</v>
      </c>
      <c r="X811" s="28" t="s">
        <v>670</v>
      </c>
      <c r="Z811" s="118" t="s">
        <v>563</v>
      </c>
      <c r="AA811" s="118"/>
      <c r="AB811" s="73" t="s">
        <v>609</v>
      </c>
      <c r="AD811" s="118" t="s">
        <v>954</v>
      </c>
      <c r="AE811" s="118"/>
      <c r="AF811" s="137" t="s">
        <v>3418</v>
      </c>
      <c r="AG811" s="118" t="s">
        <v>563</v>
      </c>
      <c r="AK811" s="60" t="s">
        <v>2927</v>
      </c>
      <c r="AL811" s="117">
        <f>1/COUNTIF(Tableau6[LAT],B811)</f>
        <v>0.33333333333333331</v>
      </c>
      <c r="AM811" s="60" t="b">
        <f t="shared" si="87"/>
        <v>0</v>
      </c>
      <c r="AN811" s="60" t="b">
        <f t="shared" si="88"/>
        <v>0</v>
      </c>
      <c r="AO811" s="60" t="b">
        <f t="shared" si="89"/>
        <v>0</v>
      </c>
      <c r="AP811" s="60" t="b">
        <f t="shared" si="90"/>
        <v>0</v>
      </c>
      <c r="AQ811" s="60" t="b">
        <f t="shared" si="91"/>
        <v>0</v>
      </c>
      <c r="AR811" s="60" t="str">
        <f t="shared" si="92"/>
        <v>No</v>
      </c>
      <c r="AS811" s="60" t="str">
        <f t="shared" si="93"/>
        <v>No</v>
      </c>
    </row>
    <row r="812" spans="1:45" ht="15" hidden="1">
      <c r="A812" s="103">
        <v>45244</v>
      </c>
      <c r="B812" s="117" t="s">
        <v>3514</v>
      </c>
      <c r="C812" s="28" t="s">
        <v>511</v>
      </c>
      <c r="D812" s="28" t="s">
        <v>3515</v>
      </c>
      <c r="F812" s="28" t="s">
        <v>3199</v>
      </c>
      <c r="G812" s="28" t="s">
        <v>514</v>
      </c>
      <c r="H812" s="28" t="s">
        <v>3516</v>
      </c>
      <c r="I812" s="28" t="s">
        <v>516</v>
      </c>
      <c r="J812" s="28" t="s">
        <v>517</v>
      </c>
      <c r="K812" s="28" t="s">
        <v>518</v>
      </c>
      <c r="L812" s="28" t="s">
        <v>751</v>
      </c>
      <c r="M812" s="28" t="s">
        <v>605</v>
      </c>
      <c r="N812" s="28" t="s">
        <v>557</v>
      </c>
      <c r="O812" s="28" t="s">
        <v>544</v>
      </c>
      <c r="P812" s="28" t="s">
        <v>522</v>
      </c>
      <c r="S812" s="28" t="s">
        <v>606</v>
      </c>
      <c r="T812" s="28" t="s">
        <v>753</v>
      </c>
      <c r="U812" s="28" t="s">
        <v>753</v>
      </c>
      <c r="V812" s="28" t="s">
        <v>517</v>
      </c>
      <c r="W812" s="28" t="s">
        <v>3517</v>
      </c>
      <c r="Z812" s="118" t="s">
        <v>563</v>
      </c>
      <c r="AA812" s="118"/>
      <c r="AB812" s="118" t="s">
        <v>527</v>
      </c>
      <c r="AD812" s="28" t="s">
        <v>954</v>
      </c>
      <c r="AE812" s="28" t="s">
        <v>563</v>
      </c>
      <c r="AF812" s="117" t="s">
        <v>3515</v>
      </c>
      <c r="AG812" s="28" t="s">
        <v>563</v>
      </c>
      <c r="AK812" s="60" t="s">
        <v>2927</v>
      </c>
      <c r="AL812" s="117">
        <f>1/COUNTIF(Tableau6[LAT],B812)</f>
        <v>1</v>
      </c>
      <c r="AM812" s="60" t="b">
        <f t="shared" si="87"/>
        <v>0</v>
      </c>
      <c r="AN812" s="60" t="b">
        <f t="shared" si="88"/>
        <v>0</v>
      </c>
      <c r="AO812" s="60" t="b">
        <f t="shared" si="89"/>
        <v>0</v>
      </c>
      <c r="AP812" s="60" t="b">
        <f t="shared" si="90"/>
        <v>0</v>
      </c>
      <c r="AQ812" s="60" t="b">
        <f t="shared" si="91"/>
        <v>0</v>
      </c>
      <c r="AR812" s="60" t="str">
        <f t="shared" si="92"/>
        <v>No</v>
      </c>
      <c r="AS812" s="60" t="str">
        <f t="shared" si="93"/>
        <v>No</v>
      </c>
    </row>
    <row r="813" spans="1:45" ht="15" hidden="1">
      <c r="A813" s="103">
        <v>45244</v>
      </c>
      <c r="B813" s="117" t="s">
        <v>3518</v>
      </c>
      <c r="C813" s="28" t="s">
        <v>548</v>
      </c>
      <c r="D813" s="28" t="s">
        <v>3519</v>
      </c>
      <c r="F813" s="28" t="s">
        <v>1969</v>
      </c>
      <c r="G813" s="28" t="s">
        <v>514</v>
      </c>
      <c r="H813" s="28" t="s">
        <v>966</v>
      </c>
      <c r="I813" s="28" t="s">
        <v>516</v>
      </c>
      <c r="J813" s="28" t="s">
        <v>517</v>
      </c>
      <c r="K813" s="28" t="s">
        <v>518</v>
      </c>
      <c r="L813" s="28" t="s">
        <v>2147</v>
      </c>
      <c r="M813" s="28" t="s">
        <v>520</v>
      </c>
      <c r="N813" s="28" t="s">
        <v>557</v>
      </c>
      <c r="O813" s="28" t="s">
        <v>934</v>
      </c>
      <c r="P813" s="28" t="s">
        <v>522</v>
      </c>
      <c r="S813" s="28" t="s">
        <v>705</v>
      </c>
      <c r="T813" s="28" t="s">
        <v>733</v>
      </c>
      <c r="U813" s="28" t="s">
        <v>733</v>
      </c>
      <c r="V813" s="28" t="s">
        <v>517</v>
      </c>
      <c r="W813" s="28" t="s">
        <v>3520</v>
      </c>
      <c r="Z813" s="118" t="s">
        <v>526</v>
      </c>
      <c r="AA813" s="118"/>
      <c r="AB813" s="118"/>
      <c r="AD813" s="28" t="s">
        <v>528</v>
      </c>
      <c r="AE813" s="28" t="s">
        <v>529</v>
      </c>
      <c r="AF813" s="117" t="s">
        <v>3521</v>
      </c>
      <c r="AG813" s="28" t="s">
        <v>529</v>
      </c>
      <c r="AK813" s="60" t="s">
        <v>2927</v>
      </c>
      <c r="AL813" s="117">
        <f>1/COUNTIF(Tableau6[LAT],B813)</f>
        <v>0.5</v>
      </c>
      <c r="AM813" s="60" t="b">
        <f t="shared" si="87"/>
        <v>0</v>
      </c>
      <c r="AN813" s="60" t="b">
        <f t="shared" si="88"/>
        <v>0</v>
      </c>
      <c r="AO813" s="60" t="b">
        <f t="shared" si="89"/>
        <v>0</v>
      </c>
      <c r="AP813" s="60" t="b">
        <f t="shared" si="90"/>
        <v>0</v>
      </c>
      <c r="AQ813" s="60" t="b">
        <f t="shared" si="91"/>
        <v>0</v>
      </c>
      <c r="AR813" s="60" t="str">
        <f t="shared" si="92"/>
        <v>No</v>
      </c>
      <c r="AS813" s="60" t="str">
        <f t="shared" si="93"/>
        <v>No</v>
      </c>
    </row>
    <row r="814" spans="1:45" ht="15" hidden="1">
      <c r="A814" s="103">
        <v>45244</v>
      </c>
      <c r="B814" s="117" t="s">
        <v>3518</v>
      </c>
      <c r="C814" s="28" t="s">
        <v>612</v>
      </c>
      <c r="D814" s="28" t="s">
        <v>3522</v>
      </c>
      <c r="F814" s="28" t="s">
        <v>1969</v>
      </c>
      <c r="G814" s="28" t="s">
        <v>514</v>
      </c>
      <c r="H814" s="28" t="s">
        <v>966</v>
      </c>
      <c r="I814" s="28" t="s">
        <v>516</v>
      </c>
      <c r="J814" s="28" t="s">
        <v>517</v>
      </c>
      <c r="K814" s="28" t="s">
        <v>518</v>
      </c>
      <c r="L814" s="28" t="s">
        <v>2147</v>
      </c>
      <c r="M814" s="28" t="s">
        <v>520</v>
      </c>
      <c r="N814" s="28" t="s">
        <v>557</v>
      </c>
      <c r="O814" s="28" t="s">
        <v>934</v>
      </c>
      <c r="P814" s="28" t="s">
        <v>522</v>
      </c>
      <c r="S814" s="28" t="s">
        <v>705</v>
      </c>
      <c r="T814" s="28" t="s">
        <v>733</v>
      </c>
      <c r="U814" s="28" t="s">
        <v>733</v>
      </c>
      <c r="V814" s="28" t="s">
        <v>517</v>
      </c>
      <c r="W814" s="28" t="s">
        <v>3523</v>
      </c>
      <c r="Z814" s="118" t="s">
        <v>526</v>
      </c>
      <c r="AA814" s="118"/>
      <c r="AB814" s="118"/>
      <c r="AD814" s="28" t="s">
        <v>528</v>
      </c>
      <c r="AE814" s="28" t="s">
        <v>529</v>
      </c>
      <c r="AF814" s="117" t="s">
        <v>3519</v>
      </c>
      <c r="AG814" s="28" t="s">
        <v>529</v>
      </c>
      <c r="AK814" s="60" t="s">
        <v>2927</v>
      </c>
      <c r="AL814" s="117">
        <f>1/COUNTIF(Tableau6[LAT],B814)</f>
        <v>0.5</v>
      </c>
      <c r="AM814" s="60" t="b">
        <f t="shared" si="87"/>
        <v>0</v>
      </c>
      <c r="AN814" s="60" t="b">
        <f t="shared" si="88"/>
        <v>0</v>
      </c>
      <c r="AO814" s="60" t="b">
        <f t="shared" si="89"/>
        <v>0</v>
      </c>
      <c r="AP814" s="60" t="b">
        <f t="shared" si="90"/>
        <v>0</v>
      </c>
      <c r="AQ814" s="60" t="b">
        <f t="shared" si="91"/>
        <v>0</v>
      </c>
      <c r="AR814" s="60" t="str">
        <f t="shared" si="92"/>
        <v>No</v>
      </c>
      <c r="AS814" s="60" t="str">
        <f t="shared" si="93"/>
        <v>No</v>
      </c>
    </row>
    <row r="815" spans="1:45" ht="15" hidden="1">
      <c r="A815" s="103">
        <v>45244</v>
      </c>
      <c r="B815" s="117" t="s">
        <v>3524</v>
      </c>
      <c r="C815" s="28" t="s">
        <v>511</v>
      </c>
      <c r="D815" s="28" t="s">
        <v>3525</v>
      </c>
      <c r="F815" s="28" t="s">
        <v>3030</v>
      </c>
      <c r="G815" s="28" t="s">
        <v>958</v>
      </c>
      <c r="H815" s="28" t="s">
        <v>2072</v>
      </c>
      <c r="I815" s="28" t="s">
        <v>516</v>
      </c>
      <c r="J815" s="28" t="s">
        <v>517</v>
      </c>
      <c r="K815" s="28" t="s">
        <v>518</v>
      </c>
      <c r="L815" s="28" t="s">
        <v>739</v>
      </c>
      <c r="M815" s="28" t="s">
        <v>535</v>
      </c>
      <c r="S815" s="28" t="s">
        <v>803</v>
      </c>
      <c r="T815" s="28" t="s">
        <v>741</v>
      </c>
      <c r="U815" s="28" t="s">
        <v>741</v>
      </c>
      <c r="V815" s="28" t="s">
        <v>517</v>
      </c>
      <c r="W815" s="28" t="s">
        <v>3526</v>
      </c>
      <c r="Z815" s="118" t="s">
        <v>563</v>
      </c>
      <c r="AA815" s="118"/>
      <c r="AB815" s="73" t="s">
        <v>609</v>
      </c>
      <c r="AD815" s="28" t="s">
        <v>528</v>
      </c>
      <c r="AE815" s="28" t="s">
        <v>563</v>
      </c>
      <c r="AF815" s="117" t="s">
        <v>3525</v>
      </c>
      <c r="AG815" s="28" t="s">
        <v>563</v>
      </c>
      <c r="AK815" s="60" t="s">
        <v>2927</v>
      </c>
      <c r="AL815" s="117">
        <f>1/COUNTIF(Tableau6[LAT],B815)</f>
        <v>1</v>
      </c>
      <c r="AM815" s="60" t="b">
        <f t="shared" si="87"/>
        <v>0</v>
      </c>
      <c r="AN815" s="60" t="b">
        <f t="shared" si="88"/>
        <v>0</v>
      </c>
      <c r="AO815" s="60" t="b">
        <f t="shared" si="89"/>
        <v>0</v>
      </c>
      <c r="AP815" s="60" t="b">
        <f t="shared" si="90"/>
        <v>0</v>
      </c>
      <c r="AQ815" s="60" t="b">
        <f t="shared" si="91"/>
        <v>0</v>
      </c>
      <c r="AR815" s="60" t="str">
        <f t="shared" si="92"/>
        <v>No</v>
      </c>
      <c r="AS815" s="60" t="str">
        <f t="shared" si="93"/>
        <v>No</v>
      </c>
    </row>
    <row r="816" spans="1:45" ht="15" hidden="1">
      <c r="A816" s="103">
        <v>45244</v>
      </c>
      <c r="B816" s="117" t="s">
        <v>3527</v>
      </c>
      <c r="C816" s="28" t="s">
        <v>511</v>
      </c>
      <c r="D816" s="28" t="s">
        <v>3528</v>
      </c>
      <c r="F816" s="28" t="s">
        <v>3529</v>
      </c>
      <c r="G816" s="28" t="s">
        <v>514</v>
      </c>
      <c r="H816" s="28" t="s">
        <v>674</v>
      </c>
      <c r="I816" s="28" t="s">
        <v>516</v>
      </c>
      <c r="J816" s="28" t="s">
        <v>517</v>
      </c>
      <c r="K816" s="28" t="s">
        <v>518</v>
      </c>
      <c r="L816" s="28" t="s">
        <v>974</v>
      </c>
      <c r="M816" s="28" t="s">
        <v>535</v>
      </c>
      <c r="N816" s="28" t="s">
        <v>1140</v>
      </c>
      <c r="O816" s="28" t="s">
        <v>544</v>
      </c>
      <c r="S816" s="28" t="s">
        <v>803</v>
      </c>
      <c r="T816" s="28" t="s">
        <v>897</v>
      </c>
      <c r="U816" s="28" t="s">
        <v>897</v>
      </c>
      <c r="V816" s="28" t="s">
        <v>517</v>
      </c>
      <c r="W816" s="28" t="s">
        <v>777</v>
      </c>
      <c r="Z816" s="118" t="s">
        <v>563</v>
      </c>
      <c r="AA816" s="118"/>
      <c r="AB816" s="73" t="s">
        <v>609</v>
      </c>
      <c r="AD816" s="28" t="s">
        <v>528</v>
      </c>
      <c r="AE816" s="28" t="s">
        <v>563</v>
      </c>
      <c r="AF816" s="117" t="s">
        <v>3528</v>
      </c>
      <c r="AG816" s="28" t="s">
        <v>563</v>
      </c>
      <c r="AK816" s="60" t="s">
        <v>2927</v>
      </c>
      <c r="AL816" s="117">
        <f>1/COUNTIF(Tableau6[LAT],B816)</f>
        <v>1</v>
      </c>
      <c r="AM816" s="60" t="b">
        <f t="shared" si="87"/>
        <v>0</v>
      </c>
      <c r="AN816" s="60" t="b">
        <f t="shared" si="88"/>
        <v>0</v>
      </c>
      <c r="AO816" s="60" t="b">
        <f t="shared" si="89"/>
        <v>0</v>
      </c>
      <c r="AP816" s="60" t="b">
        <f t="shared" si="90"/>
        <v>0</v>
      </c>
      <c r="AQ816" s="60" t="b">
        <f t="shared" si="91"/>
        <v>0</v>
      </c>
      <c r="AR816" s="60" t="str">
        <f t="shared" si="92"/>
        <v>No</v>
      </c>
      <c r="AS816" s="60" t="str">
        <f t="shared" si="93"/>
        <v>No</v>
      </c>
    </row>
    <row r="817" spans="1:45" ht="15" hidden="1">
      <c r="A817" s="103">
        <v>45244</v>
      </c>
      <c r="B817" s="117" t="s">
        <v>3530</v>
      </c>
      <c r="C817" s="28" t="s">
        <v>548</v>
      </c>
      <c r="D817" s="28" t="s">
        <v>3531</v>
      </c>
      <c r="F817" s="28" t="s">
        <v>3532</v>
      </c>
      <c r="G817" s="28" t="s">
        <v>514</v>
      </c>
      <c r="H817" s="28" t="s">
        <v>3533</v>
      </c>
      <c r="I817" s="28" t="s">
        <v>516</v>
      </c>
      <c r="J817" s="28" t="s">
        <v>517</v>
      </c>
      <c r="K817" s="28" t="s">
        <v>518</v>
      </c>
      <c r="L817" s="28" t="s">
        <v>751</v>
      </c>
      <c r="M817" s="28" t="s">
        <v>520</v>
      </c>
      <c r="N817" s="28" t="s">
        <v>557</v>
      </c>
      <c r="O817" s="28" t="s">
        <v>544</v>
      </c>
      <c r="S817" s="28" t="s">
        <v>733</v>
      </c>
      <c r="T817" s="28" t="s">
        <v>753</v>
      </c>
      <c r="U817" s="28" t="s">
        <v>753</v>
      </c>
      <c r="V817" s="28" t="s">
        <v>517</v>
      </c>
      <c r="W817" s="28" t="s">
        <v>3534</v>
      </c>
      <c r="Z817" s="118" t="s">
        <v>526</v>
      </c>
      <c r="AA817" s="118"/>
      <c r="AB817" s="118"/>
      <c r="AD817" s="28" t="s">
        <v>528</v>
      </c>
      <c r="AE817" s="28" t="s">
        <v>529</v>
      </c>
      <c r="AF817" s="117" t="s">
        <v>3535</v>
      </c>
      <c r="AG817" s="28" t="s">
        <v>529</v>
      </c>
      <c r="AK817" s="60" t="s">
        <v>2927</v>
      </c>
      <c r="AL817" s="117">
        <f>1/COUNTIF(Tableau6[LAT],B817)</f>
        <v>0.5</v>
      </c>
      <c r="AM817" s="60" t="b">
        <f t="shared" si="87"/>
        <v>0</v>
      </c>
      <c r="AN817" s="60" t="b">
        <f t="shared" si="88"/>
        <v>0</v>
      </c>
      <c r="AO817" s="60" t="b">
        <f t="shared" si="89"/>
        <v>0</v>
      </c>
      <c r="AP817" s="60" t="b">
        <f t="shared" si="90"/>
        <v>0</v>
      </c>
      <c r="AQ817" s="60" t="b">
        <f t="shared" si="91"/>
        <v>0</v>
      </c>
      <c r="AR817" s="60" t="str">
        <f t="shared" si="92"/>
        <v>No</v>
      </c>
      <c r="AS817" s="60" t="str">
        <f t="shared" si="93"/>
        <v>Yes</v>
      </c>
    </row>
    <row r="818" spans="1:45" ht="15" hidden="1">
      <c r="A818" s="103">
        <v>45244</v>
      </c>
      <c r="B818" s="117" t="s">
        <v>3536</v>
      </c>
      <c r="C818" s="28" t="s">
        <v>511</v>
      </c>
      <c r="D818" s="28" t="s">
        <v>3537</v>
      </c>
      <c r="F818" s="28" t="s">
        <v>3538</v>
      </c>
      <c r="G818" s="28" t="s">
        <v>514</v>
      </c>
      <c r="H818" s="28" t="s">
        <v>1992</v>
      </c>
      <c r="I818" s="28" t="s">
        <v>516</v>
      </c>
      <c r="J818" s="28" t="s">
        <v>517</v>
      </c>
      <c r="K818" s="28" t="s">
        <v>518</v>
      </c>
      <c r="L818" s="28" t="s">
        <v>739</v>
      </c>
      <c r="M818" s="28" t="s">
        <v>520</v>
      </c>
      <c r="S818" s="28" t="s">
        <v>1958</v>
      </c>
      <c r="T818" s="28" t="s">
        <v>741</v>
      </c>
      <c r="U818" s="28" t="s">
        <v>741</v>
      </c>
      <c r="V818" s="28" t="s">
        <v>517</v>
      </c>
      <c r="W818" s="28" t="s">
        <v>3539</v>
      </c>
      <c r="Z818" s="118" t="s">
        <v>526</v>
      </c>
      <c r="AA818" s="118"/>
      <c r="AB818" s="118"/>
      <c r="AD818" s="28" t="s">
        <v>528</v>
      </c>
      <c r="AE818" s="28" t="s">
        <v>529</v>
      </c>
      <c r="AF818" s="117" t="s">
        <v>3537</v>
      </c>
      <c r="AG818" s="28" t="s">
        <v>529</v>
      </c>
      <c r="AK818" s="60" t="s">
        <v>2927</v>
      </c>
      <c r="AL818" s="117">
        <f>1/COUNTIF(Tableau6[LAT],B818)</f>
        <v>0.5</v>
      </c>
      <c r="AM818" s="60" t="b">
        <f t="shared" si="87"/>
        <v>0</v>
      </c>
      <c r="AN818" s="60" t="b">
        <f t="shared" si="88"/>
        <v>0</v>
      </c>
      <c r="AO818" s="60" t="b">
        <f t="shared" si="89"/>
        <v>0</v>
      </c>
      <c r="AP818" s="60" t="b">
        <f t="shared" si="90"/>
        <v>0</v>
      </c>
      <c r="AQ818" s="60" t="b">
        <f t="shared" si="91"/>
        <v>0</v>
      </c>
      <c r="AR818" s="60" t="str">
        <f t="shared" si="92"/>
        <v>No</v>
      </c>
      <c r="AS818" s="60" t="str">
        <f t="shared" si="93"/>
        <v>No</v>
      </c>
    </row>
    <row r="819" spans="1:45" ht="15" hidden="1">
      <c r="A819" s="103">
        <v>45244</v>
      </c>
      <c r="B819" s="117" t="s">
        <v>3536</v>
      </c>
      <c r="C819" s="28" t="s">
        <v>548</v>
      </c>
      <c r="D819" s="28" t="s">
        <v>3540</v>
      </c>
      <c r="F819" s="28" t="s">
        <v>3541</v>
      </c>
      <c r="G819" s="28" t="s">
        <v>724</v>
      </c>
      <c r="H819" s="28" t="s">
        <v>2701</v>
      </c>
      <c r="I819" s="28" t="s">
        <v>516</v>
      </c>
      <c r="J819" s="28" t="s">
        <v>517</v>
      </c>
      <c r="K819" s="28" t="s">
        <v>518</v>
      </c>
      <c r="L819" s="28" t="s">
        <v>739</v>
      </c>
      <c r="M819" s="28" t="s">
        <v>520</v>
      </c>
      <c r="S819" s="28" t="s">
        <v>1958</v>
      </c>
      <c r="T819" s="28" t="s">
        <v>741</v>
      </c>
      <c r="U819" s="28" t="s">
        <v>741</v>
      </c>
      <c r="V819" s="28" t="s">
        <v>517</v>
      </c>
      <c r="W819" s="28" t="s">
        <v>3542</v>
      </c>
      <c r="Z819" s="118" t="s">
        <v>526</v>
      </c>
      <c r="AA819" s="118"/>
      <c r="AB819" s="118"/>
      <c r="AD819" s="28" t="s">
        <v>528</v>
      </c>
      <c r="AE819" s="28" t="s">
        <v>529</v>
      </c>
      <c r="AF819" s="117" t="s">
        <v>3540</v>
      </c>
      <c r="AG819" s="28" t="s">
        <v>529</v>
      </c>
      <c r="AK819" s="60" t="s">
        <v>2927</v>
      </c>
      <c r="AL819" s="117">
        <f>1/COUNTIF(Tableau6[LAT],B819)</f>
        <v>0.5</v>
      </c>
      <c r="AM819" s="60" t="b">
        <f t="shared" si="87"/>
        <v>0</v>
      </c>
      <c r="AN819" s="60" t="b">
        <f t="shared" si="88"/>
        <v>0</v>
      </c>
      <c r="AO819" s="60" t="b">
        <f t="shared" si="89"/>
        <v>0</v>
      </c>
      <c r="AP819" s="60" t="b">
        <f t="shared" si="90"/>
        <v>0</v>
      </c>
      <c r="AQ819" s="60" t="b">
        <f t="shared" si="91"/>
        <v>0</v>
      </c>
      <c r="AR819" s="60" t="str">
        <f t="shared" si="92"/>
        <v>No</v>
      </c>
      <c r="AS819" s="60" t="str">
        <f t="shared" si="93"/>
        <v>No</v>
      </c>
    </row>
    <row r="820" spans="1:45" ht="15" hidden="1">
      <c r="A820" s="103">
        <v>45244</v>
      </c>
      <c r="B820" s="117" t="s">
        <v>3543</v>
      </c>
      <c r="C820" s="28" t="s">
        <v>511</v>
      </c>
      <c r="D820" s="28" t="s">
        <v>3544</v>
      </c>
      <c r="F820" s="28" t="s">
        <v>3545</v>
      </c>
      <c r="G820" s="28" t="s">
        <v>514</v>
      </c>
      <c r="H820" s="28" t="s">
        <v>1217</v>
      </c>
      <c r="I820" s="28" t="s">
        <v>516</v>
      </c>
      <c r="J820" s="28" t="s">
        <v>517</v>
      </c>
      <c r="K820" s="28" t="s">
        <v>518</v>
      </c>
      <c r="L820" s="28" t="s">
        <v>739</v>
      </c>
      <c r="M820" s="28" t="s">
        <v>520</v>
      </c>
      <c r="S820" s="28" t="s">
        <v>1958</v>
      </c>
      <c r="T820" s="28" t="s">
        <v>741</v>
      </c>
      <c r="U820" s="28" t="s">
        <v>741</v>
      </c>
      <c r="V820" s="28" t="s">
        <v>517</v>
      </c>
      <c r="W820" s="28" t="s">
        <v>3546</v>
      </c>
      <c r="Z820" s="118" t="s">
        <v>526</v>
      </c>
      <c r="AA820" s="118"/>
      <c r="AB820" s="118"/>
      <c r="AD820" s="28" t="s">
        <v>528</v>
      </c>
      <c r="AE820" s="28" t="s">
        <v>529</v>
      </c>
      <c r="AF820" s="117" t="s">
        <v>3544</v>
      </c>
      <c r="AG820" s="28" t="s">
        <v>529</v>
      </c>
      <c r="AK820" s="60" t="s">
        <v>2927</v>
      </c>
      <c r="AL820" s="117">
        <f>1/COUNTIF(Tableau6[LAT],B820)</f>
        <v>0.5</v>
      </c>
      <c r="AM820" s="60" t="b">
        <f t="shared" ref="AM820:AM883" si="94">IF(N820="ALM","Yes",IF(N820="ALI","Yes",IF(N820="CAO","Yes",IF(N820="ICE","Yes",IF(N820="MAG","Yes",IF(N820="MAG","Yes",IF(N820="RBI","Yes",IF(N820="RBM","Yes",IF(N820="RCL","Yes",IF(N820="RCM","Yes",IF(N820="RCX","Yes",IF(N820="RDS","Yes",IF(N820="REQ","Yes",IF(N820="REX","Yes",IF(N820="RFG","Yes",IF(N820="RFL","Yes",IF(N820="RFS","Yes",IF(N820="RFW","Yes",IF(N820="RGX","Yes",IF(N820="RIS",IF(N820="RLI","Yes",IF(N820="RLM","Yes",IF(N820="RMD","Yes",IF(N820="RNG","Yes",IF(N820="ROP","Yes",IF(N820="ROX","Yes",IF(N820="RPB","Yes",IF(N820="RPG","Yes",IF(N820="RRE","Yes",IF(N820="RRW","Yes",IF(N820="RRY","Yes",IF(N820="RSB","Yes",IF(N820="RSC","Yes",IF(N820="RXB","Yes",IF(N820="RXC","Yes",IF(N820="RXD","Yes",IF(N820="RXE","Yes",IF(N820="RXG","Yes",IF(N820="RXS","Yes",)))))))))))))))))))))))))))))))))))))))</f>
        <v>0</v>
      </c>
      <c r="AN820" s="60" t="b">
        <f t="shared" ref="AN820:AN883" si="95">IF(O820="ALM","Yes",IF(O820="ALI","Yes",IF(O820="CAO","Yes",IF(O820="ICE","Yes",IF(O820="MAG","Yes",IF(O820="MAG","Yes",IF(O820="RBI","Yes",IF(O820="RBM","Yes",IF(O820="RCL","Yes",IF(O820="RCM","Yes",IF(O820="RCX","Yes",IF(O820="RDS","Yes",IF(O820="REQ","Yes",IF(O820="REX","Yes",IF(O820="RFG","Yes",IF(O820="RFL","Yes",IF(O820="RFS","Yes",IF(O820="RFW","Yes",IF(O820="RGX","Yes",IF(O820="RIS",IF(O820="RLI","Yes",IF(O820="RLM","Yes",IF(O820="RMD","Yes",IF(O820="RNG","Yes",IF(O820="ROP","Yes",IF(O820="ROX","Yes",IF(O820="RPB","Yes",IF(O820="RPG","Yes",IF(O820="RRE","Yes",IF(O820="RRW","Yes",IF(O820="RRY","Yes",IF(O820="RSB","Yes",IF(O820="RSC","Yes",IF(O820="RXB","Yes",IF(O820="RXC","Yes",IF(O820="RXD","Yes",IF(O820="RXE","Yes",IF(O820="RXG","Yes",IF(O820="RXS","Yes",)))))))))))))))))))))))))))))))))))))))</f>
        <v>0</v>
      </c>
      <c r="AO820" s="60" t="b">
        <f t="shared" ref="AO820:AO883" si="96">IF(P820="ALM","Yes",IF(P820="ALI","Yes",IF(P820="CAO","Yes",IF(P820="ICE","Yes",IF(P820="MAG","Yes",IF(P820="MAG","Yes",IF(P820="RBI","Yes",IF(P820="RBM","Yes",IF(P820="RCL","Yes",IF(P820="RCM","Yes",IF(P820="RCX","Yes",IF(P820="RDS","Yes",IF(P820="REQ","Yes",IF(P820="REX","Yes",IF(P820="RFG","Yes",IF(P820="RFL","Yes",IF(P820="RFS","Yes",IF(P820="RFW","Yes",IF(P820="RGX","Yes",IF(P820="RIS",IF(P820="RLI","Yes",IF(P820="RLM","Yes",IF(P820="RMD","Yes",IF(P820="RNG","Yes",IF(P820="ROP","Yes",IF(P820="ROX","Yes",IF(P820="RPB","Yes",IF(P820="RPG","Yes",IF(P820="RRE","Yes",IF(P820="RRW","Yes",IF(P820="RRY","Yes",IF(P820="RSB","Yes",IF(P820="RSC","Yes",IF(P820="RXB","Yes",IF(P820="RXC","Yes",IF(P820="RXD","Yes",IF(P820="RXE","Yes",IF(P820="RXG","Yes",IF(P820="RXS","Yes",)))))))))))))))))))))))))))))))))))))))</f>
        <v>0</v>
      </c>
      <c r="AP820" s="60" t="b">
        <f t="shared" ref="AP820:AP883" si="97">IF(Q820="ALM","Yes",IF(Q820="ALI","Yes",IF(Q820="CAO","Yes",IF(Q820="ICE","Yes",IF(Q820="MAG","Yes",IF(Q820="MAG","Yes",IF(Q820="RBI","Yes",IF(Q820="RBM","Yes",IF(Q820="RCL","Yes",IF(Q820="RCM","Yes",IF(Q820="RCX","Yes",IF(Q820="RDS","Yes",IF(Q820="REQ","Yes",IF(Q820="REX","Yes",IF(Q820="RFG","Yes",IF(Q820="RFL","Yes",IF(Q820="RFS","Yes",IF(Q820="RFW","Yes",IF(Q820="RGX","Yes",IF(Q820="RIS",IF(Q820="RLI","Yes",IF(Q820="RLM","Yes",IF(Q820="RMD","Yes",IF(Q820="RNG","Yes",IF(Q820="ROP","Yes",IF(Q820="ROX","Yes",IF(Q820="RPB","Yes",IF(Q820="RPG","Yes",IF(Q820="RRE","Yes",IF(Q820="RRW","Yes",IF(Q820="RRY","Yes",IF(Q820="RSB","Yes",IF(Q820="RSC","Yes",IF(Q820="RXB","Yes",IF(Q820="RXC","Yes",IF(Q820="RXD","Yes",IF(Q820="RXE","Yes",IF(Q820="RXG","Yes",IF(Q820="RXS","Yes",)))))))))))))))))))))))))))))))))))))))</f>
        <v>0</v>
      </c>
      <c r="AQ820" s="60" t="b">
        <f t="shared" ref="AQ820:AQ883" si="98">IF(R820="ALM","Yes",IF(R820="ALI","Yes",IF(R820="CAO","Yes",IF(R820="ICE","Yes",IF(R820="MAG","Yes",IF(R820="MAG","Yes",IF(R820="RBI","Yes",IF(R820="RBM","Yes",IF(R820="RCL","Yes",IF(R820="RCM","Yes",IF(R820="RCX","Yes",IF(R820="RDS","Yes",IF(R820="REQ","Yes",IF(R820="REX","Yes",IF(R820="RFG","Yes",IF(R820="RFL","Yes",IF(R820="RFS","Yes",IF(R820="RFW","Yes",IF(R820="RGX","Yes",IF(R820="RIS",IF(R820="RLI","Yes",IF(R820="RLM","Yes",IF(R820="RMD","Yes",IF(R820="RNG","Yes",IF(R820="ROP","Yes",IF(R820="ROX","Yes",IF(R820="RPB","Yes",IF(R820="RPG","Yes",IF(R820="RRE","Yes",IF(R820="RRW","Yes",IF(R820="RRY","Yes",IF(R820="RSB","Yes",IF(R820="RSC","Yes",IF(R820="RXB","Yes",IF(R820="RXC","Yes",IF(R820="RXD","Yes",IF(R820="RXE","Yes",IF(R820="RXG","Yes",IF(R820="RXS","Yes",)))))))))))))))))))))))))))))))))))))))</f>
        <v>0</v>
      </c>
      <c r="AR820" s="60" t="str">
        <f t="shared" ref="AR820:AR883" si="99">IF(AM820="Yes","Yes",IF(AN820="Yes","Yes",IF(AO820="yes","Yes",IF(AP820="Yes","Yes","No"))))</f>
        <v>No</v>
      </c>
      <c r="AS820" s="60" t="str">
        <f t="shared" ref="AS820:AS883" si="100">IF(S820="QFA","Yes",IF(S820="LCJ","Yes",IF(S820="CAJ","Yes",IF(S820="WRO","Yes",IF(S820="BEY","Yes",IF(S820="TUN","Yes",IF(S820="LFW","Yes",IF(S820="DLA","Yes",IF(S820="NSI","Yes",IF(S820="OUA","Yes",IF(S820="IAH","Yes",IF(S820="LYS","Yes",IF(S820="DSS","Yes",IF(S820="BKO","Yes",IF(S820="BZV","Yes",IF(S820="COO","Yes",IF(S820="EZE","Yes",IF(S820="CKY","Yes",IF(S820="PTP","Yes",IF(S820="ORD","Yes",IF(S820="CFE","Yes",IF(S820="NKC","Yes",IF(S820="FDF","Yes",IF(S820="SDQ","Yes",IF(S820="PNR","Yes",IF(S820="ICAY","Yes",IF(S820="DTW","Yes",IF(S820="TNR","Yes",IF(S820="RUN","Yes",IF(S820="NIM","Yes","No"))))))))))))))))))))))))))))))</f>
        <v>No</v>
      </c>
    </row>
    <row r="821" spans="1:45" ht="15" hidden="1">
      <c r="A821" s="103">
        <v>45244</v>
      </c>
      <c r="B821" s="117" t="s">
        <v>3543</v>
      </c>
      <c r="C821" s="28" t="s">
        <v>548</v>
      </c>
      <c r="D821" s="28" t="s">
        <v>3547</v>
      </c>
      <c r="F821" s="28" t="s">
        <v>3548</v>
      </c>
      <c r="G821" s="28" t="s">
        <v>958</v>
      </c>
      <c r="H821" s="28" t="s">
        <v>2227</v>
      </c>
      <c r="I821" s="28" t="s">
        <v>516</v>
      </c>
      <c r="J821" s="28" t="s">
        <v>517</v>
      </c>
      <c r="K821" s="28" t="s">
        <v>518</v>
      </c>
      <c r="L821" s="28" t="s">
        <v>739</v>
      </c>
      <c r="M821" s="28" t="s">
        <v>520</v>
      </c>
      <c r="S821" s="28" t="s">
        <v>1958</v>
      </c>
      <c r="T821" s="28" t="s">
        <v>741</v>
      </c>
      <c r="U821" s="28" t="s">
        <v>741</v>
      </c>
      <c r="V821" s="28" t="s">
        <v>517</v>
      </c>
      <c r="W821" s="28" t="s">
        <v>3549</v>
      </c>
      <c r="Z821" s="118" t="s">
        <v>526</v>
      </c>
      <c r="AA821" s="118"/>
      <c r="AB821" s="118"/>
      <c r="AD821" s="28" t="s">
        <v>528</v>
      </c>
      <c r="AE821" s="28" t="s">
        <v>529</v>
      </c>
      <c r="AF821" s="117" t="s">
        <v>3547</v>
      </c>
      <c r="AG821" s="28" t="s">
        <v>529</v>
      </c>
      <c r="AK821" s="60" t="s">
        <v>2927</v>
      </c>
      <c r="AL821" s="117">
        <f>1/COUNTIF(Tableau6[LAT],B821)</f>
        <v>0.5</v>
      </c>
      <c r="AM821" s="60" t="b">
        <f t="shared" si="94"/>
        <v>0</v>
      </c>
      <c r="AN821" s="60" t="b">
        <f t="shared" si="95"/>
        <v>0</v>
      </c>
      <c r="AO821" s="60" t="b">
        <f t="shared" si="96"/>
        <v>0</v>
      </c>
      <c r="AP821" s="60" t="b">
        <f t="shared" si="97"/>
        <v>0</v>
      </c>
      <c r="AQ821" s="60" t="b">
        <f t="shared" si="98"/>
        <v>0</v>
      </c>
      <c r="AR821" s="60" t="str">
        <f t="shared" si="99"/>
        <v>No</v>
      </c>
      <c r="AS821" s="60" t="str">
        <f t="shared" si="100"/>
        <v>No</v>
      </c>
    </row>
    <row r="822" spans="1:45" ht="15" hidden="1">
      <c r="A822" s="103">
        <v>45244</v>
      </c>
      <c r="B822" s="117" t="s">
        <v>3550</v>
      </c>
      <c r="C822" s="28" t="s">
        <v>511</v>
      </c>
      <c r="D822" s="28" t="s">
        <v>3551</v>
      </c>
      <c r="F822" s="28" t="s">
        <v>3552</v>
      </c>
      <c r="G822" s="28" t="s">
        <v>514</v>
      </c>
      <c r="H822" s="28" t="s">
        <v>1615</v>
      </c>
      <c r="I822" s="28" t="s">
        <v>516</v>
      </c>
      <c r="J822" s="28" t="s">
        <v>517</v>
      </c>
      <c r="K822" s="28" t="s">
        <v>518</v>
      </c>
      <c r="L822" s="28" t="s">
        <v>3553</v>
      </c>
      <c r="M822" s="28" t="s">
        <v>535</v>
      </c>
      <c r="N822" s="28" t="s">
        <v>521</v>
      </c>
      <c r="O822" s="28" t="s">
        <v>544</v>
      </c>
      <c r="P822" s="28" t="s">
        <v>522</v>
      </c>
      <c r="S822" s="28" t="s">
        <v>536</v>
      </c>
      <c r="T822" s="28" t="s">
        <v>1366</v>
      </c>
      <c r="U822" s="28" t="s">
        <v>1366</v>
      </c>
      <c r="V822" s="28" t="s">
        <v>517</v>
      </c>
      <c r="W822" s="28" t="s">
        <v>2559</v>
      </c>
      <c r="Z822" s="118" t="s">
        <v>563</v>
      </c>
      <c r="AA822" s="118"/>
      <c r="AB822" s="118" t="s">
        <v>527</v>
      </c>
      <c r="AD822" s="28" t="s">
        <v>528</v>
      </c>
      <c r="AE822" s="28" t="s">
        <v>563</v>
      </c>
      <c r="AF822" s="117" t="s">
        <v>3551</v>
      </c>
      <c r="AG822" s="28" t="s">
        <v>563</v>
      </c>
      <c r="AK822" s="60" t="s">
        <v>2927</v>
      </c>
      <c r="AL822" s="117">
        <f>1/COUNTIF(Tableau6[LAT],B822)</f>
        <v>0.33333333333333331</v>
      </c>
      <c r="AM822" s="60" t="b">
        <f t="shared" si="94"/>
        <v>0</v>
      </c>
      <c r="AN822" s="60" t="b">
        <f t="shared" si="95"/>
        <v>0</v>
      </c>
      <c r="AO822" s="60" t="b">
        <f t="shared" si="96"/>
        <v>0</v>
      </c>
      <c r="AP822" s="60" t="b">
        <f t="shared" si="97"/>
        <v>0</v>
      </c>
      <c r="AQ822" s="60" t="b">
        <f t="shared" si="98"/>
        <v>0</v>
      </c>
      <c r="AR822" s="60" t="str">
        <f t="shared" si="99"/>
        <v>No</v>
      </c>
      <c r="AS822" s="60" t="str">
        <f t="shared" si="100"/>
        <v>Yes</v>
      </c>
    </row>
    <row r="823" spans="1:45" ht="15" hidden="1">
      <c r="A823" s="103">
        <v>45244</v>
      </c>
      <c r="B823" s="117" t="s">
        <v>3550</v>
      </c>
      <c r="C823" s="28" t="s">
        <v>548</v>
      </c>
      <c r="D823" s="28" t="s">
        <v>3554</v>
      </c>
      <c r="F823" s="28" t="s">
        <v>3552</v>
      </c>
      <c r="G823" s="28" t="s">
        <v>514</v>
      </c>
      <c r="H823" s="28" t="s">
        <v>1615</v>
      </c>
      <c r="I823" s="28" t="s">
        <v>516</v>
      </c>
      <c r="J823" s="28" t="s">
        <v>517</v>
      </c>
      <c r="K823" s="28" t="s">
        <v>518</v>
      </c>
      <c r="L823" s="28" t="s">
        <v>3553</v>
      </c>
      <c r="M823" s="28" t="s">
        <v>535</v>
      </c>
      <c r="N823" s="28" t="s">
        <v>521</v>
      </c>
      <c r="O823" s="28" t="s">
        <v>544</v>
      </c>
      <c r="P823" s="28" t="s">
        <v>522</v>
      </c>
      <c r="S823" s="28" t="s">
        <v>536</v>
      </c>
      <c r="T823" s="28" t="s">
        <v>1366</v>
      </c>
      <c r="U823" s="28" t="s">
        <v>1366</v>
      </c>
      <c r="V823" s="28" t="s">
        <v>517</v>
      </c>
      <c r="W823" s="28" t="s">
        <v>3555</v>
      </c>
      <c r="Z823" s="118" t="s">
        <v>563</v>
      </c>
      <c r="AA823" s="118"/>
      <c r="AB823" s="118" t="s">
        <v>527</v>
      </c>
      <c r="AD823" s="28" t="s">
        <v>528</v>
      </c>
      <c r="AE823" s="28" t="s">
        <v>563</v>
      </c>
      <c r="AF823" s="117" t="s">
        <v>3554</v>
      </c>
      <c r="AG823" s="28" t="s">
        <v>563</v>
      </c>
      <c r="AK823" s="60" t="s">
        <v>2927</v>
      </c>
      <c r="AL823" s="117">
        <f>1/COUNTIF(Tableau6[LAT],B823)</f>
        <v>0.33333333333333331</v>
      </c>
      <c r="AM823" s="60" t="b">
        <f t="shared" si="94"/>
        <v>0</v>
      </c>
      <c r="AN823" s="60" t="b">
        <f t="shared" si="95"/>
        <v>0</v>
      </c>
      <c r="AO823" s="60" t="b">
        <f t="shared" si="96"/>
        <v>0</v>
      </c>
      <c r="AP823" s="60" t="b">
        <f t="shared" si="97"/>
        <v>0</v>
      </c>
      <c r="AQ823" s="60" t="b">
        <f t="shared" si="98"/>
        <v>0</v>
      </c>
      <c r="AR823" s="60" t="str">
        <f t="shared" si="99"/>
        <v>No</v>
      </c>
      <c r="AS823" s="60" t="str">
        <f t="shared" si="100"/>
        <v>Yes</v>
      </c>
    </row>
    <row r="824" spans="1:45" ht="15" hidden="1">
      <c r="A824" s="103">
        <v>45244</v>
      </c>
      <c r="B824" s="117" t="s">
        <v>3550</v>
      </c>
      <c r="C824" s="28" t="s">
        <v>612</v>
      </c>
      <c r="D824" s="28" t="s">
        <v>3556</v>
      </c>
      <c r="F824" s="28" t="s">
        <v>3552</v>
      </c>
      <c r="G824" s="28" t="s">
        <v>514</v>
      </c>
      <c r="H824" s="28" t="s">
        <v>1615</v>
      </c>
      <c r="I824" s="28" t="s">
        <v>516</v>
      </c>
      <c r="J824" s="28" t="s">
        <v>517</v>
      </c>
      <c r="K824" s="28" t="s">
        <v>518</v>
      </c>
      <c r="L824" s="28" t="s">
        <v>3553</v>
      </c>
      <c r="M824" s="28" t="s">
        <v>535</v>
      </c>
      <c r="N824" s="28" t="s">
        <v>521</v>
      </c>
      <c r="O824" s="28" t="s">
        <v>544</v>
      </c>
      <c r="P824" s="28" t="s">
        <v>522</v>
      </c>
      <c r="S824" s="28" t="s">
        <v>536</v>
      </c>
      <c r="T824" s="28" t="s">
        <v>1366</v>
      </c>
      <c r="U824" s="28" t="s">
        <v>1366</v>
      </c>
      <c r="V824" s="28" t="s">
        <v>517</v>
      </c>
      <c r="W824" s="28" t="s">
        <v>591</v>
      </c>
      <c r="Z824" s="118" t="s">
        <v>563</v>
      </c>
      <c r="AA824" s="118"/>
      <c r="AB824" s="118" t="s">
        <v>527</v>
      </c>
      <c r="AD824" s="28" t="s">
        <v>528</v>
      </c>
      <c r="AE824" s="28" t="s">
        <v>563</v>
      </c>
      <c r="AF824" s="117" t="s">
        <v>3556</v>
      </c>
      <c r="AG824" s="28" t="s">
        <v>563</v>
      </c>
      <c r="AK824" s="60" t="s">
        <v>2927</v>
      </c>
      <c r="AL824" s="117">
        <f>1/COUNTIF(Tableau6[LAT],B824)</f>
        <v>0.33333333333333331</v>
      </c>
      <c r="AM824" s="60" t="b">
        <f t="shared" si="94"/>
        <v>0</v>
      </c>
      <c r="AN824" s="60" t="b">
        <f t="shared" si="95"/>
        <v>0</v>
      </c>
      <c r="AO824" s="60" t="b">
        <f t="shared" si="96"/>
        <v>0</v>
      </c>
      <c r="AP824" s="60" t="b">
        <f t="shared" si="97"/>
        <v>0</v>
      </c>
      <c r="AQ824" s="60" t="b">
        <f t="shared" si="98"/>
        <v>0</v>
      </c>
      <c r="AR824" s="60" t="str">
        <f t="shared" si="99"/>
        <v>No</v>
      </c>
      <c r="AS824" s="60" t="str">
        <f t="shared" si="100"/>
        <v>Yes</v>
      </c>
    </row>
    <row r="825" spans="1:45" ht="15" hidden="1">
      <c r="A825" s="103">
        <v>45244</v>
      </c>
      <c r="B825" s="117" t="s">
        <v>3557</v>
      </c>
      <c r="C825" s="28" t="s">
        <v>511</v>
      </c>
      <c r="D825" s="28" t="s">
        <v>3558</v>
      </c>
      <c r="F825" s="28" t="s">
        <v>3559</v>
      </c>
      <c r="G825" s="28" t="s">
        <v>514</v>
      </c>
      <c r="H825" s="28" t="s">
        <v>2668</v>
      </c>
      <c r="I825" s="28" t="s">
        <v>516</v>
      </c>
      <c r="J825" s="28" t="s">
        <v>517</v>
      </c>
      <c r="K825" s="28" t="s">
        <v>518</v>
      </c>
      <c r="L825" s="28" t="s">
        <v>809</v>
      </c>
      <c r="M825" s="28" t="s">
        <v>535</v>
      </c>
      <c r="N825" s="28" t="s">
        <v>557</v>
      </c>
      <c r="O825" s="28" t="s">
        <v>522</v>
      </c>
      <c r="S825" s="28" t="s">
        <v>928</v>
      </c>
      <c r="T825" s="28" t="s">
        <v>811</v>
      </c>
      <c r="U825" s="28" t="s">
        <v>811</v>
      </c>
      <c r="V825" s="28" t="s">
        <v>517</v>
      </c>
      <c r="W825" s="28" t="s">
        <v>3560</v>
      </c>
      <c r="Z825" s="118" t="s">
        <v>563</v>
      </c>
      <c r="AA825" s="118"/>
      <c r="AB825" s="118" t="s">
        <v>527</v>
      </c>
      <c r="AD825" s="28" t="s">
        <v>528</v>
      </c>
      <c r="AE825" s="28" t="s">
        <v>563</v>
      </c>
      <c r="AF825" s="117" t="s">
        <v>3558</v>
      </c>
      <c r="AG825" s="28" t="s">
        <v>563</v>
      </c>
      <c r="AK825" s="60" t="s">
        <v>2927</v>
      </c>
      <c r="AL825" s="117">
        <f>1/COUNTIF(Tableau6[LAT],B825)</f>
        <v>0.33333333333333331</v>
      </c>
      <c r="AM825" s="60" t="b">
        <f t="shared" si="94"/>
        <v>0</v>
      </c>
      <c r="AN825" s="60" t="b">
        <f t="shared" si="95"/>
        <v>0</v>
      </c>
      <c r="AO825" s="60" t="b">
        <f t="shared" si="96"/>
        <v>0</v>
      </c>
      <c r="AP825" s="60" t="b">
        <f t="shared" si="97"/>
        <v>0</v>
      </c>
      <c r="AQ825" s="60" t="b">
        <f t="shared" si="98"/>
        <v>0</v>
      </c>
      <c r="AR825" s="60" t="str">
        <f t="shared" si="99"/>
        <v>No</v>
      </c>
      <c r="AS825" s="60" t="str">
        <f t="shared" si="100"/>
        <v>No</v>
      </c>
    </row>
    <row r="826" spans="1:45" ht="15" hidden="1">
      <c r="A826" s="103">
        <v>45244</v>
      </c>
      <c r="B826" s="117" t="s">
        <v>3557</v>
      </c>
      <c r="C826" s="28" t="s">
        <v>548</v>
      </c>
      <c r="D826" s="28" t="s">
        <v>3561</v>
      </c>
      <c r="F826" s="28" t="s">
        <v>3559</v>
      </c>
      <c r="G826" s="28" t="s">
        <v>514</v>
      </c>
      <c r="H826" s="28" t="s">
        <v>2668</v>
      </c>
      <c r="I826" s="28" t="s">
        <v>516</v>
      </c>
      <c r="J826" s="28" t="s">
        <v>517</v>
      </c>
      <c r="K826" s="28" t="s">
        <v>518</v>
      </c>
      <c r="L826" s="28" t="s">
        <v>809</v>
      </c>
      <c r="M826" s="28" t="s">
        <v>535</v>
      </c>
      <c r="N826" s="28" t="s">
        <v>557</v>
      </c>
      <c r="O826" s="28" t="s">
        <v>522</v>
      </c>
      <c r="S826" s="28" t="s">
        <v>928</v>
      </c>
      <c r="T826" s="28" t="s">
        <v>811</v>
      </c>
      <c r="U826" s="28" t="s">
        <v>811</v>
      </c>
      <c r="V826" s="28" t="s">
        <v>517</v>
      </c>
      <c r="W826" s="28" t="s">
        <v>3562</v>
      </c>
      <c r="Z826" s="118" t="s">
        <v>563</v>
      </c>
      <c r="AA826" s="118"/>
      <c r="AB826" s="118" t="s">
        <v>527</v>
      </c>
      <c r="AD826" s="28" t="s">
        <v>528</v>
      </c>
      <c r="AE826" s="28" t="s">
        <v>563</v>
      </c>
      <c r="AF826" s="117" t="s">
        <v>3561</v>
      </c>
      <c r="AG826" s="28" t="s">
        <v>563</v>
      </c>
      <c r="AK826" s="60" t="s">
        <v>2927</v>
      </c>
      <c r="AL826" s="117">
        <f>1/COUNTIF(Tableau6[LAT],B826)</f>
        <v>0.33333333333333331</v>
      </c>
      <c r="AM826" s="60" t="b">
        <f t="shared" si="94"/>
        <v>0</v>
      </c>
      <c r="AN826" s="60" t="b">
        <f t="shared" si="95"/>
        <v>0</v>
      </c>
      <c r="AO826" s="60" t="b">
        <f t="shared" si="96"/>
        <v>0</v>
      </c>
      <c r="AP826" s="60" t="b">
        <f t="shared" si="97"/>
        <v>0</v>
      </c>
      <c r="AQ826" s="60" t="b">
        <f t="shared" si="98"/>
        <v>0</v>
      </c>
      <c r="AR826" s="60" t="str">
        <f t="shared" si="99"/>
        <v>No</v>
      </c>
      <c r="AS826" s="60" t="str">
        <f t="shared" si="100"/>
        <v>No</v>
      </c>
    </row>
    <row r="827" spans="1:45" ht="15" hidden="1">
      <c r="A827" s="103">
        <v>45244</v>
      </c>
      <c r="B827" s="117" t="s">
        <v>3557</v>
      </c>
      <c r="C827" s="28" t="s">
        <v>612</v>
      </c>
      <c r="D827" s="28" t="s">
        <v>3563</v>
      </c>
      <c r="F827" s="28" t="s">
        <v>2572</v>
      </c>
      <c r="G827" s="28" t="s">
        <v>665</v>
      </c>
      <c r="H827" s="28" t="s">
        <v>2067</v>
      </c>
      <c r="I827" s="28" t="s">
        <v>516</v>
      </c>
      <c r="J827" s="28" t="s">
        <v>517</v>
      </c>
      <c r="K827" s="28" t="s">
        <v>518</v>
      </c>
      <c r="L827" s="28" t="s">
        <v>809</v>
      </c>
      <c r="M827" s="28" t="s">
        <v>535</v>
      </c>
      <c r="N827" s="28" t="s">
        <v>557</v>
      </c>
      <c r="O827" s="28" t="s">
        <v>522</v>
      </c>
      <c r="S827" s="28" t="s">
        <v>928</v>
      </c>
      <c r="T827" s="28" t="s">
        <v>811</v>
      </c>
      <c r="U827" s="28" t="s">
        <v>811</v>
      </c>
      <c r="V827" s="28" t="s">
        <v>517</v>
      </c>
      <c r="W827" s="28" t="s">
        <v>3564</v>
      </c>
      <c r="Z827" s="118" t="s">
        <v>563</v>
      </c>
      <c r="AA827" s="118"/>
      <c r="AB827" s="118" t="s">
        <v>527</v>
      </c>
      <c r="AD827" s="28" t="s">
        <v>528</v>
      </c>
      <c r="AE827" s="28" t="s">
        <v>563</v>
      </c>
      <c r="AF827" s="117" t="s">
        <v>3563</v>
      </c>
      <c r="AG827" s="28" t="s">
        <v>563</v>
      </c>
      <c r="AK827" s="60" t="s">
        <v>2927</v>
      </c>
      <c r="AL827" s="117">
        <f>1/COUNTIF(Tableau6[LAT],B827)</f>
        <v>0.33333333333333331</v>
      </c>
      <c r="AM827" s="60" t="b">
        <f t="shared" si="94"/>
        <v>0</v>
      </c>
      <c r="AN827" s="60" t="b">
        <f t="shared" si="95"/>
        <v>0</v>
      </c>
      <c r="AO827" s="60" t="b">
        <f t="shared" si="96"/>
        <v>0</v>
      </c>
      <c r="AP827" s="60" t="b">
        <f t="shared" si="97"/>
        <v>0</v>
      </c>
      <c r="AQ827" s="60" t="b">
        <f t="shared" si="98"/>
        <v>0</v>
      </c>
      <c r="AR827" s="60" t="str">
        <f t="shared" si="99"/>
        <v>No</v>
      </c>
      <c r="AS827" s="60" t="str">
        <f t="shared" si="100"/>
        <v>No</v>
      </c>
    </row>
    <row r="828" spans="1:45" ht="15" hidden="1">
      <c r="A828" s="103">
        <v>45244</v>
      </c>
      <c r="B828" s="117" t="s">
        <v>3565</v>
      </c>
      <c r="C828" s="28" t="s">
        <v>511</v>
      </c>
      <c r="D828" s="28" t="s">
        <v>3566</v>
      </c>
      <c r="F828" s="28" t="s">
        <v>3567</v>
      </c>
      <c r="G828" s="28" t="s">
        <v>514</v>
      </c>
      <c r="H828" s="28" t="s">
        <v>2723</v>
      </c>
      <c r="I828" s="28" t="s">
        <v>516</v>
      </c>
      <c r="J828" s="28" t="s">
        <v>517</v>
      </c>
      <c r="K828" s="28" t="s">
        <v>518</v>
      </c>
      <c r="L828" s="28" t="s">
        <v>1097</v>
      </c>
      <c r="M828" s="28" t="s">
        <v>535</v>
      </c>
      <c r="N828" s="28" t="s">
        <v>544</v>
      </c>
      <c r="S828" s="28" t="s">
        <v>2402</v>
      </c>
      <c r="T828" s="28" t="s">
        <v>1098</v>
      </c>
      <c r="U828" s="28" t="s">
        <v>1098</v>
      </c>
      <c r="V828" s="28" t="s">
        <v>517</v>
      </c>
      <c r="W828" s="28" t="s">
        <v>3568</v>
      </c>
      <c r="Z828" s="118" t="s">
        <v>526</v>
      </c>
      <c r="AA828" s="118"/>
      <c r="AB828" s="118"/>
      <c r="AD828" s="28" t="s">
        <v>528</v>
      </c>
      <c r="AE828" s="28" t="s">
        <v>529</v>
      </c>
      <c r="AF828" s="117" t="s">
        <v>3566</v>
      </c>
      <c r="AG828" s="28" t="s">
        <v>529</v>
      </c>
      <c r="AK828" s="60" t="s">
        <v>2927</v>
      </c>
      <c r="AL828" s="117">
        <f>1/COUNTIF(Tableau6[LAT],B828)</f>
        <v>0.33333333333333331</v>
      </c>
      <c r="AM828" s="60" t="b">
        <f t="shared" si="94"/>
        <v>0</v>
      </c>
      <c r="AN828" s="60" t="b">
        <f t="shared" si="95"/>
        <v>0</v>
      </c>
      <c r="AO828" s="60" t="b">
        <f t="shared" si="96"/>
        <v>0</v>
      </c>
      <c r="AP828" s="60" t="b">
        <f t="shared" si="97"/>
        <v>0</v>
      </c>
      <c r="AQ828" s="60" t="b">
        <f t="shared" si="98"/>
        <v>0</v>
      </c>
      <c r="AR828" s="60" t="str">
        <f t="shared" si="99"/>
        <v>No</v>
      </c>
      <c r="AS828" s="60" t="str">
        <f t="shared" si="100"/>
        <v>No</v>
      </c>
    </row>
    <row r="829" spans="1:45" ht="15" hidden="1">
      <c r="A829" s="103">
        <v>45244</v>
      </c>
      <c r="B829" s="117" t="s">
        <v>3565</v>
      </c>
      <c r="C829" s="28" t="s">
        <v>548</v>
      </c>
      <c r="D829" s="28" t="s">
        <v>3569</v>
      </c>
      <c r="F829" s="28" t="s">
        <v>3567</v>
      </c>
      <c r="G829" s="28" t="s">
        <v>514</v>
      </c>
      <c r="H829" s="28" t="s">
        <v>2723</v>
      </c>
      <c r="I829" s="28" t="s">
        <v>516</v>
      </c>
      <c r="J829" s="28" t="s">
        <v>517</v>
      </c>
      <c r="K829" s="28" t="s">
        <v>518</v>
      </c>
      <c r="L829" s="28" t="s">
        <v>1097</v>
      </c>
      <c r="M829" s="28" t="s">
        <v>535</v>
      </c>
      <c r="N829" s="28" t="s">
        <v>544</v>
      </c>
      <c r="S829" s="28" t="s">
        <v>2402</v>
      </c>
      <c r="T829" s="28" t="s">
        <v>1098</v>
      </c>
      <c r="U829" s="28" t="s">
        <v>1098</v>
      </c>
      <c r="V829" s="28" t="s">
        <v>517</v>
      </c>
      <c r="W829" s="28" t="s">
        <v>3570</v>
      </c>
      <c r="Z829" s="118" t="s">
        <v>526</v>
      </c>
      <c r="AA829" s="118"/>
      <c r="AB829" s="118"/>
      <c r="AD829" s="28" t="s">
        <v>528</v>
      </c>
      <c r="AE829" s="28" t="s">
        <v>529</v>
      </c>
      <c r="AF829" s="117" t="s">
        <v>3569</v>
      </c>
      <c r="AG829" s="28" t="s">
        <v>529</v>
      </c>
      <c r="AK829" s="60" t="s">
        <v>2927</v>
      </c>
      <c r="AL829" s="117">
        <f>1/COUNTIF(Tableau6[LAT],B829)</f>
        <v>0.33333333333333331</v>
      </c>
      <c r="AM829" s="60" t="b">
        <f t="shared" si="94"/>
        <v>0</v>
      </c>
      <c r="AN829" s="60" t="b">
        <f t="shared" si="95"/>
        <v>0</v>
      </c>
      <c r="AO829" s="60" t="b">
        <f t="shared" si="96"/>
        <v>0</v>
      </c>
      <c r="AP829" s="60" t="b">
        <f t="shared" si="97"/>
        <v>0</v>
      </c>
      <c r="AQ829" s="60" t="b">
        <f t="shared" si="98"/>
        <v>0</v>
      </c>
      <c r="AR829" s="60" t="str">
        <f t="shared" si="99"/>
        <v>No</v>
      </c>
      <c r="AS829" s="60" t="str">
        <f t="shared" si="100"/>
        <v>No</v>
      </c>
    </row>
    <row r="830" spans="1:45" ht="15" hidden="1">
      <c r="A830" s="103">
        <v>45244</v>
      </c>
      <c r="B830" s="117" t="s">
        <v>3565</v>
      </c>
      <c r="C830" s="28" t="s">
        <v>612</v>
      </c>
      <c r="D830" s="28" t="s">
        <v>3571</v>
      </c>
      <c r="F830" s="28" t="s">
        <v>3567</v>
      </c>
      <c r="G830" s="28" t="s">
        <v>514</v>
      </c>
      <c r="H830" s="28" t="s">
        <v>2723</v>
      </c>
      <c r="I830" s="28" t="s">
        <v>516</v>
      </c>
      <c r="J830" s="28" t="s">
        <v>517</v>
      </c>
      <c r="K830" s="28" t="s">
        <v>518</v>
      </c>
      <c r="L830" s="28" t="s">
        <v>1097</v>
      </c>
      <c r="M830" s="28" t="s">
        <v>535</v>
      </c>
      <c r="N830" s="28" t="s">
        <v>544</v>
      </c>
      <c r="S830" s="28" t="s">
        <v>2402</v>
      </c>
      <c r="T830" s="28" t="s">
        <v>1098</v>
      </c>
      <c r="U830" s="28" t="s">
        <v>1098</v>
      </c>
      <c r="V830" s="28" t="s">
        <v>517</v>
      </c>
      <c r="W830" s="28" t="s">
        <v>3572</v>
      </c>
      <c r="Z830" s="118" t="s">
        <v>526</v>
      </c>
      <c r="AA830" s="118"/>
      <c r="AB830" s="118"/>
      <c r="AD830" s="28" t="s">
        <v>528</v>
      </c>
      <c r="AE830" s="28" t="s">
        <v>529</v>
      </c>
      <c r="AF830" s="117" t="s">
        <v>3571</v>
      </c>
      <c r="AG830" s="28" t="s">
        <v>529</v>
      </c>
      <c r="AK830" s="60" t="s">
        <v>2927</v>
      </c>
      <c r="AL830" s="117">
        <f>1/COUNTIF(Tableau6[LAT],B830)</f>
        <v>0.33333333333333331</v>
      </c>
      <c r="AM830" s="60" t="b">
        <f t="shared" si="94"/>
        <v>0</v>
      </c>
      <c r="AN830" s="60" t="b">
        <f t="shared" si="95"/>
        <v>0</v>
      </c>
      <c r="AO830" s="60" t="b">
        <f t="shared" si="96"/>
        <v>0</v>
      </c>
      <c r="AP830" s="60" t="b">
        <f t="shared" si="97"/>
        <v>0</v>
      </c>
      <c r="AQ830" s="60" t="b">
        <f t="shared" si="98"/>
        <v>0</v>
      </c>
      <c r="AR830" s="60" t="str">
        <f t="shared" si="99"/>
        <v>No</v>
      </c>
      <c r="AS830" s="60" t="str">
        <f t="shared" si="100"/>
        <v>No</v>
      </c>
    </row>
    <row r="831" spans="1:45" ht="15" hidden="1">
      <c r="A831" s="103">
        <v>45244</v>
      </c>
      <c r="B831" s="117" t="s">
        <v>3573</v>
      </c>
      <c r="C831" s="28" t="s">
        <v>548</v>
      </c>
      <c r="D831" s="28" t="s">
        <v>3574</v>
      </c>
      <c r="E831" s="28" t="s">
        <v>3575</v>
      </c>
      <c r="F831" s="28" t="s">
        <v>3576</v>
      </c>
      <c r="G831" s="28" t="s">
        <v>514</v>
      </c>
      <c r="H831" s="28" t="s">
        <v>3577</v>
      </c>
      <c r="I831" s="28" t="s">
        <v>516</v>
      </c>
      <c r="J831" s="28" t="s">
        <v>517</v>
      </c>
      <c r="K831" s="28" t="s">
        <v>518</v>
      </c>
      <c r="L831" s="28" t="s">
        <v>895</v>
      </c>
      <c r="M831" s="28" t="s">
        <v>605</v>
      </c>
      <c r="N831" s="28" t="s">
        <v>544</v>
      </c>
      <c r="O831" s="28" t="s">
        <v>559</v>
      </c>
      <c r="P831" s="28" t="s">
        <v>627</v>
      </c>
      <c r="S831" s="28" t="s">
        <v>740</v>
      </c>
      <c r="T831" s="28" t="s">
        <v>897</v>
      </c>
      <c r="U831" s="28" t="s">
        <v>897</v>
      </c>
      <c r="V831" s="28" t="s">
        <v>517</v>
      </c>
      <c r="W831" s="28" t="s">
        <v>3578</v>
      </c>
      <c r="X831" s="28" t="s">
        <v>670</v>
      </c>
      <c r="Z831" s="118" t="s">
        <v>563</v>
      </c>
      <c r="AA831" s="118"/>
      <c r="AB831" s="118" t="s">
        <v>527</v>
      </c>
      <c r="AD831" s="28" t="s">
        <v>954</v>
      </c>
      <c r="AE831" s="28" t="s">
        <v>563</v>
      </c>
      <c r="AF831" s="117" t="s">
        <v>3579</v>
      </c>
      <c r="AG831" s="28" t="s">
        <v>563</v>
      </c>
      <c r="AK831" s="60" t="s">
        <v>2927</v>
      </c>
      <c r="AL831" s="117">
        <f>1/COUNTIF(Tableau6[LAT],B831)</f>
        <v>0.5</v>
      </c>
      <c r="AM831" s="60" t="b">
        <f t="shared" si="94"/>
        <v>0</v>
      </c>
      <c r="AN831" s="60" t="b">
        <f t="shared" si="95"/>
        <v>0</v>
      </c>
      <c r="AO831" s="60" t="b">
        <f t="shared" si="96"/>
        <v>0</v>
      </c>
      <c r="AP831" s="60" t="b">
        <f t="shared" si="97"/>
        <v>0</v>
      </c>
      <c r="AQ831" s="60" t="b">
        <f t="shared" si="98"/>
        <v>0</v>
      </c>
      <c r="AR831" s="60" t="str">
        <f t="shared" si="99"/>
        <v>No</v>
      </c>
      <c r="AS831" s="60" t="str">
        <f t="shared" si="100"/>
        <v>No</v>
      </c>
    </row>
    <row r="832" spans="1:45" ht="15" hidden="1">
      <c r="A832" s="103">
        <v>45244</v>
      </c>
      <c r="B832" s="117" t="s">
        <v>3580</v>
      </c>
      <c r="C832" s="28" t="s">
        <v>511</v>
      </c>
      <c r="D832" s="28" t="s">
        <v>3581</v>
      </c>
      <c r="F832" s="28" t="s">
        <v>3582</v>
      </c>
      <c r="G832" s="28" t="s">
        <v>514</v>
      </c>
      <c r="H832" s="28" t="s">
        <v>1996</v>
      </c>
      <c r="I832" s="28" t="s">
        <v>517</v>
      </c>
      <c r="J832" s="28" t="s">
        <v>517</v>
      </c>
      <c r="K832" s="28" t="s">
        <v>518</v>
      </c>
      <c r="L832" s="28" t="s">
        <v>751</v>
      </c>
      <c r="M832" s="28" t="s">
        <v>520</v>
      </c>
      <c r="N832" s="28" t="s">
        <v>557</v>
      </c>
      <c r="S832" s="28" t="s">
        <v>573</v>
      </c>
      <c r="T832" s="28" t="s">
        <v>753</v>
      </c>
      <c r="U832" s="28" t="s">
        <v>753</v>
      </c>
      <c r="V832" s="28" t="s">
        <v>517</v>
      </c>
      <c r="W832" s="28" t="s">
        <v>922</v>
      </c>
      <c r="Z832" s="118" t="s">
        <v>563</v>
      </c>
      <c r="AA832" s="118"/>
      <c r="AB832" s="118" t="s">
        <v>527</v>
      </c>
      <c r="AD832" s="28" t="s">
        <v>528</v>
      </c>
      <c r="AE832" s="28" t="s">
        <v>563</v>
      </c>
      <c r="AF832" s="117" t="s">
        <v>3581</v>
      </c>
      <c r="AG832" s="28" t="s">
        <v>563</v>
      </c>
      <c r="AK832" s="60" t="s">
        <v>2927</v>
      </c>
      <c r="AL832" s="117">
        <f>1/COUNTIF(Tableau6[LAT],B832)</f>
        <v>0.33333333333333331</v>
      </c>
      <c r="AM832" s="60" t="b">
        <f t="shared" si="94"/>
        <v>0</v>
      </c>
      <c r="AN832" s="60" t="b">
        <f t="shared" si="95"/>
        <v>0</v>
      </c>
      <c r="AO832" s="60" t="b">
        <f t="shared" si="96"/>
        <v>0</v>
      </c>
      <c r="AP832" s="60" t="b">
        <f t="shared" si="97"/>
        <v>0</v>
      </c>
      <c r="AQ832" s="60" t="b">
        <f t="shared" si="98"/>
        <v>0</v>
      </c>
      <c r="AR832" s="60" t="str">
        <f t="shared" si="99"/>
        <v>No</v>
      </c>
      <c r="AS832" s="60" t="str">
        <f t="shared" si="100"/>
        <v>No</v>
      </c>
    </row>
    <row r="833" spans="1:45" ht="15" hidden="1">
      <c r="A833" s="103">
        <v>45244</v>
      </c>
      <c r="B833" s="117" t="s">
        <v>3580</v>
      </c>
      <c r="C833" s="28" t="s">
        <v>548</v>
      </c>
      <c r="D833" s="28" t="s">
        <v>3583</v>
      </c>
      <c r="F833" s="28" t="s">
        <v>3582</v>
      </c>
      <c r="G833" s="28" t="s">
        <v>514</v>
      </c>
      <c r="H833" s="28" t="s">
        <v>1996</v>
      </c>
      <c r="I833" s="28" t="s">
        <v>517</v>
      </c>
      <c r="J833" s="28" t="s">
        <v>517</v>
      </c>
      <c r="K833" s="28" t="s">
        <v>518</v>
      </c>
      <c r="L833" s="28" t="s">
        <v>751</v>
      </c>
      <c r="M833" s="28" t="s">
        <v>520</v>
      </c>
      <c r="N833" s="28" t="s">
        <v>557</v>
      </c>
      <c r="S833" s="28" t="s">
        <v>573</v>
      </c>
      <c r="T833" s="28" t="s">
        <v>753</v>
      </c>
      <c r="U833" s="28" t="s">
        <v>753</v>
      </c>
      <c r="V833" s="28" t="s">
        <v>517</v>
      </c>
      <c r="W833" s="28" t="s">
        <v>835</v>
      </c>
      <c r="Z833" s="118" t="s">
        <v>563</v>
      </c>
      <c r="AA833" s="118"/>
      <c r="AB833" s="118" t="s">
        <v>527</v>
      </c>
      <c r="AD833" s="28" t="s">
        <v>528</v>
      </c>
      <c r="AE833" s="28" t="s">
        <v>563</v>
      </c>
      <c r="AF833" s="117" t="s">
        <v>3583</v>
      </c>
      <c r="AG833" s="28" t="s">
        <v>563</v>
      </c>
      <c r="AK833" s="60" t="s">
        <v>2927</v>
      </c>
      <c r="AL833" s="117">
        <f>1/COUNTIF(Tableau6[LAT],B833)</f>
        <v>0.33333333333333331</v>
      </c>
      <c r="AM833" s="60" t="b">
        <f t="shared" si="94"/>
        <v>0</v>
      </c>
      <c r="AN833" s="60" t="b">
        <f t="shared" si="95"/>
        <v>0</v>
      </c>
      <c r="AO833" s="60" t="b">
        <f t="shared" si="96"/>
        <v>0</v>
      </c>
      <c r="AP833" s="60" t="b">
        <f t="shared" si="97"/>
        <v>0</v>
      </c>
      <c r="AQ833" s="60" t="b">
        <f t="shared" si="98"/>
        <v>0</v>
      </c>
      <c r="AR833" s="60" t="str">
        <f t="shared" si="99"/>
        <v>No</v>
      </c>
      <c r="AS833" s="60" t="str">
        <f t="shared" si="100"/>
        <v>No</v>
      </c>
    </row>
    <row r="834" spans="1:45" ht="15" hidden="1">
      <c r="A834" s="103">
        <v>45244</v>
      </c>
      <c r="B834" s="117" t="s">
        <v>3580</v>
      </c>
      <c r="C834" s="28" t="s">
        <v>612</v>
      </c>
      <c r="D834" s="28" t="s">
        <v>3584</v>
      </c>
      <c r="F834" s="28" t="s">
        <v>3585</v>
      </c>
      <c r="G834" s="28" t="s">
        <v>1077</v>
      </c>
      <c r="H834" s="28" t="s">
        <v>1793</v>
      </c>
      <c r="I834" s="28" t="s">
        <v>517</v>
      </c>
      <c r="J834" s="28" t="s">
        <v>517</v>
      </c>
      <c r="K834" s="28" t="s">
        <v>518</v>
      </c>
      <c r="L834" s="28" t="s">
        <v>751</v>
      </c>
      <c r="M834" s="28" t="s">
        <v>520</v>
      </c>
      <c r="N834" s="28" t="s">
        <v>557</v>
      </c>
      <c r="S834" s="28" t="s">
        <v>573</v>
      </c>
      <c r="T834" s="28" t="s">
        <v>753</v>
      </c>
      <c r="U834" s="28" t="s">
        <v>753</v>
      </c>
      <c r="V834" s="28" t="s">
        <v>517</v>
      </c>
      <c r="W834" s="28" t="s">
        <v>3586</v>
      </c>
      <c r="Z834" s="118" t="s">
        <v>563</v>
      </c>
      <c r="AA834" s="118"/>
      <c r="AB834" s="118" t="s">
        <v>527</v>
      </c>
      <c r="AD834" s="28" t="s">
        <v>528</v>
      </c>
      <c r="AE834" s="28" t="s">
        <v>563</v>
      </c>
      <c r="AF834" s="117" t="s">
        <v>3584</v>
      </c>
      <c r="AG834" s="28" t="s">
        <v>563</v>
      </c>
      <c r="AK834" s="60" t="s">
        <v>2927</v>
      </c>
      <c r="AL834" s="117">
        <f>1/COUNTIF(Tableau6[LAT],B834)</f>
        <v>0.33333333333333331</v>
      </c>
      <c r="AM834" s="60" t="b">
        <f t="shared" si="94"/>
        <v>0</v>
      </c>
      <c r="AN834" s="60" t="b">
        <f t="shared" si="95"/>
        <v>0</v>
      </c>
      <c r="AO834" s="60" t="b">
        <f t="shared" si="96"/>
        <v>0</v>
      </c>
      <c r="AP834" s="60" t="b">
        <f t="shared" si="97"/>
        <v>0</v>
      </c>
      <c r="AQ834" s="60" t="b">
        <f t="shared" si="98"/>
        <v>0</v>
      </c>
      <c r="AR834" s="60" t="str">
        <f t="shared" si="99"/>
        <v>No</v>
      </c>
      <c r="AS834" s="60" t="str">
        <f t="shared" si="100"/>
        <v>No</v>
      </c>
    </row>
    <row r="835" spans="1:45" ht="15" hidden="1">
      <c r="A835" s="103">
        <v>45244</v>
      </c>
      <c r="B835" s="117" t="s">
        <v>3587</v>
      </c>
      <c r="C835" s="28" t="s">
        <v>511</v>
      </c>
      <c r="D835" s="28" t="s">
        <v>3588</v>
      </c>
      <c r="F835" s="28" t="s">
        <v>3589</v>
      </c>
      <c r="G835" s="28" t="s">
        <v>648</v>
      </c>
      <c r="H835" s="28" t="s">
        <v>1123</v>
      </c>
      <c r="I835" s="28" t="s">
        <v>516</v>
      </c>
      <c r="J835" s="28" t="s">
        <v>517</v>
      </c>
      <c r="K835" s="28" t="s">
        <v>518</v>
      </c>
      <c r="L835" s="28" t="s">
        <v>1097</v>
      </c>
      <c r="M835" s="28" t="s">
        <v>520</v>
      </c>
      <c r="S835" s="28" t="s">
        <v>589</v>
      </c>
      <c r="T835" s="28" t="s">
        <v>1098</v>
      </c>
      <c r="U835" s="28" t="s">
        <v>1098</v>
      </c>
      <c r="V835" s="28" t="s">
        <v>517</v>
      </c>
      <c r="W835" s="28" t="s">
        <v>3590</v>
      </c>
      <c r="Z835" s="118" t="s">
        <v>563</v>
      </c>
      <c r="AA835" s="118"/>
      <c r="AB835" s="118" t="s">
        <v>527</v>
      </c>
      <c r="AD835" s="28" t="s">
        <v>528</v>
      </c>
      <c r="AE835" s="28" t="s">
        <v>563</v>
      </c>
      <c r="AF835" s="117" t="s">
        <v>3588</v>
      </c>
      <c r="AG835" s="28" t="s">
        <v>563</v>
      </c>
      <c r="AK835" s="60" t="s">
        <v>2927</v>
      </c>
      <c r="AL835" s="117">
        <f>1/COUNTIF(Tableau6[LAT],B835)</f>
        <v>1</v>
      </c>
      <c r="AM835" s="60" t="b">
        <f t="shared" si="94"/>
        <v>0</v>
      </c>
      <c r="AN835" s="60" t="b">
        <f t="shared" si="95"/>
        <v>0</v>
      </c>
      <c r="AO835" s="60" t="b">
        <f t="shared" si="96"/>
        <v>0</v>
      </c>
      <c r="AP835" s="60" t="b">
        <f t="shared" si="97"/>
        <v>0</v>
      </c>
      <c r="AQ835" s="60" t="b">
        <f t="shared" si="98"/>
        <v>0</v>
      </c>
      <c r="AR835" s="60" t="str">
        <f t="shared" si="99"/>
        <v>No</v>
      </c>
      <c r="AS835" s="60" t="str">
        <f t="shared" si="100"/>
        <v>No</v>
      </c>
    </row>
    <row r="836" spans="1:45" ht="15" hidden="1">
      <c r="A836" s="103">
        <v>45244</v>
      </c>
      <c r="B836" s="117" t="s">
        <v>3591</v>
      </c>
      <c r="C836" s="28" t="s">
        <v>511</v>
      </c>
      <c r="D836" s="108" t="s">
        <v>3592</v>
      </c>
      <c r="F836" s="28" t="s">
        <v>1050</v>
      </c>
      <c r="G836" s="28" t="s">
        <v>514</v>
      </c>
      <c r="H836" s="28" t="s">
        <v>3593</v>
      </c>
      <c r="I836" s="28" t="s">
        <v>516</v>
      </c>
      <c r="J836" s="28" t="s">
        <v>517</v>
      </c>
      <c r="K836" s="28" t="s">
        <v>682</v>
      </c>
      <c r="L836" s="28" t="s">
        <v>1262</v>
      </c>
      <c r="M836" s="28" t="s">
        <v>535</v>
      </c>
      <c r="N836" s="28" t="s">
        <v>1080</v>
      </c>
      <c r="O836" s="28" t="s">
        <v>557</v>
      </c>
      <c r="P836" s="28" t="s">
        <v>559</v>
      </c>
      <c r="S836" s="28" t="s">
        <v>2199</v>
      </c>
      <c r="T836" s="28" t="s">
        <v>1264</v>
      </c>
      <c r="U836" s="28" t="s">
        <v>1264</v>
      </c>
      <c r="V836" s="28" t="s">
        <v>517</v>
      </c>
      <c r="W836" s="28" t="s">
        <v>3594</v>
      </c>
      <c r="Y836" s="28" t="s">
        <v>1082</v>
      </c>
      <c r="Z836" s="118" t="s">
        <v>563</v>
      </c>
      <c r="AA836" s="118"/>
      <c r="AB836" s="118" t="s">
        <v>527</v>
      </c>
      <c r="AD836" s="28" t="s">
        <v>954</v>
      </c>
      <c r="AE836" s="28" t="s">
        <v>563</v>
      </c>
      <c r="AF836" s="117" t="s">
        <v>3592</v>
      </c>
      <c r="AG836" s="28" t="s">
        <v>563</v>
      </c>
      <c r="AK836" s="60" t="s">
        <v>2927</v>
      </c>
      <c r="AL836" s="117">
        <f>1/COUNTIF(Tableau6[LAT],B836)</f>
        <v>1</v>
      </c>
      <c r="AM836" s="60" t="str">
        <f t="shared" si="94"/>
        <v>Yes</v>
      </c>
      <c r="AN836" s="60" t="b">
        <f t="shared" si="95"/>
        <v>0</v>
      </c>
      <c r="AO836" s="60" t="b">
        <f t="shared" si="96"/>
        <v>0</v>
      </c>
      <c r="AP836" s="60" t="b">
        <f t="shared" si="97"/>
        <v>0</v>
      </c>
      <c r="AQ836" s="60" t="b">
        <f t="shared" si="98"/>
        <v>0</v>
      </c>
      <c r="AR836" s="60" t="str">
        <f t="shared" si="99"/>
        <v>Yes</v>
      </c>
      <c r="AS836" s="60" t="str">
        <f t="shared" si="100"/>
        <v>No</v>
      </c>
    </row>
    <row r="837" spans="1:45" ht="15" hidden="1">
      <c r="A837" s="103">
        <v>45244</v>
      </c>
      <c r="B837" s="117" t="s">
        <v>3595</v>
      </c>
      <c r="C837" s="28" t="s">
        <v>511</v>
      </c>
      <c r="D837" s="28" t="s">
        <v>3596</v>
      </c>
      <c r="F837" s="28" t="s">
        <v>3597</v>
      </c>
      <c r="G837" s="28" t="s">
        <v>514</v>
      </c>
      <c r="H837" s="28" t="s">
        <v>3598</v>
      </c>
      <c r="I837" s="28" t="s">
        <v>516</v>
      </c>
      <c r="J837" s="28" t="s">
        <v>517</v>
      </c>
      <c r="K837" s="28" t="s">
        <v>518</v>
      </c>
      <c r="L837" s="28" t="s">
        <v>849</v>
      </c>
      <c r="M837" s="28" t="s">
        <v>605</v>
      </c>
      <c r="N837" s="28" t="s">
        <v>544</v>
      </c>
      <c r="S837" s="28" t="s">
        <v>1958</v>
      </c>
      <c r="T837" s="28" t="s">
        <v>850</v>
      </c>
      <c r="U837" s="28" t="s">
        <v>850</v>
      </c>
      <c r="V837" s="28" t="s">
        <v>517</v>
      </c>
      <c r="W837" s="28" t="s">
        <v>3599</v>
      </c>
      <c r="Z837" s="118" t="s">
        <v>526</v>
      </c>
      <c r="AA837" s="118"/>
      <c r="AB837" s="118"/>
      <c r="AF837" s="117" t="s">
        <v>1083</v>
      </c>
      <c r="AK837" s="60" t="s">
        <v>2927</v>
      </c>
      <c r="AL837" s="117">
        <f>1/COUNTIF(Tableau6[LAT],B837)</f>
        <v>1</v>
      </c>
      <c r="AM837" s="60" t="b">
        <f t="shared" si="94"/>
        <v>0</v>
      </c>
      <c r="AN837" s="60" t="b">
        <f t="shared" si="95"/>
        <v>0</v>
      </c>
      <c r="AO837" s="60" t="b">
        <f t="shared" si="96"/>
        <v>0</v>
      </c>
      <c r="AP837" s="60" t="b">
        <f t="shared" si="97"/>
        <v>0</v>
      </c>
      <c r="AQ837" s="60" t="b">
        <f t="shared" si="98"/>
        <v>0</v>
      </c>
      <c r="AR837" s="60" t="str">
        <f t="shared" si="99"/>
        <v>No</v>
      </c>
      <c r="AS837" s="60" t="str">
        <f t="shared" si="100"/>
        <v>No</v>
      </c>
    </row>
    <row r="838" spans="1:45" ht="15" hidden="1">
      <c r="A838" s="103">
        <v>45244</v>
      </c>
      <c r="B838" s="117" t="s">
        <v>3600</v>
      </c>
      <c r="C838" s="28" t="s">
        <v>511</v>
      </c>
      <c r="D838" s="28" t="s">
        <v>3601</v>
      </c>
      <c r="F838" s="28" t="s">
        <v>3451</v>
      </c>
      <c r="G838" s="28" t="s">
        <v>514</v>
      </c>
      <c r="H838" s="28" t="s">
        <v>1512</v>
      </c>
      <c r="I838" s="28" t="s">
        <v>516</v>
      </c>
      <c r="J838" s="28" t="s">
        <v>517</v>
      </c>
      <c r="K838" s="28" t="s">
        <v>518</v>
      </c>
      <c r="L838" s="28" t="s">
        <v>1040</v>
      </c>
      <c r="M838" s="28" t="s">
        <v>535</v>
      </c>
      <c r="N838" s="28" t="s">
        <v>521</v>
      </c>
      <c r="O838" s="28" t="s">
        <v>522</v>
      </c>
      <c r="S838" s="28" t="s">
        <v>3091</v>
      </c>
      <c r="T838" s="28" t="s">
        <v>1042</v>
      </c>
      <c r="U838" s="28" t="s">
        <v>1042</v>
      </c>
      <c r="V838" s="28" t="s">
        <v>517</v>
      </c>
      <c r="W838" s="28" t="s">
        <v>3602</v>
      </c>
      <c r="Z838" s="118" t="s">
        <v>563</v>
      </c>
      <c r="AA838" s="118"/>
      <c r="AB838" s="118" t="s">
        <v>527</v>
      </c>
      <c r="AD838" s="28" t="s">
        <v>528</v>
      </c>
      <c r="AE838" s="28" t="s">
        <v>563</v>
      </c>
      <c r="AF838" s="117" t="s">
        <v>3601</v>
      </c>
      <c r="AG838" s="28" t="s">
        <v>563</v>
      </c>
      <c r="AK838" s="60" t="s">
        <v>2927</v>
      </c>
      <c r="AL838" s="117">
        <f>1/COUNTIF(Tableau6[LAT],B838)</f>
        <v>1</v>
      </c>
      <c r="AM838" s="60" t="b">
        <f t="shared" si="94"/>
        <v>0</v>
      </c>
      <c r="AN838" s="60" t="b">
        <f t="shared" si="95"/>
        <v>0</v>
      </c>
      <c r="AO838" s="60" t="b">
        <f t="shared" si="96"/>
        <v>0</v>
      </c>
      <c r="AP838" s="60" t="b">
        <f t="shared" si="97"/>
        <v>0</v>
      </c>
      <c r="AQ838" s="60" t="b">
        <f t="shared" si="98"/>
        <v>0</v>
      </c>
      <c r="AR838" s="60" t="str">
        <f t="shared" si="99"/>
        <v>No</v>
      </c>
      <c r="AS838" s="60" t="str">
        <f t="shared" si="100"/>
        <v>No</v>
      </c>
    </row>
    <row r="839" spans="1:45" ht="15" hidden="1">
      <c r="A839" s="103">
        <v>45244</v>
      </c>
      <c r="B839" s="117" t="s">
        <v>3603</v>
      </c>
      <c r="C839" s="28" t="s">
        <v>511</v>
      </c>
      <c r="D839" s="28" t="s">
        <v>3604</v>
      </c>
      <c r="F839" s="28" t="s">
        <v>2249</v>
      </c>
      <c r="G839" s="28" t="s">
        <v>648</v>
      </c>
      <c r="H839" s="28" t="s">
        <v>1187</v>
      </c>
      <c r="I839" s="28" t="s">
        <v>516</v>
      </c>
      <c r="J839" s="28" t="s">
        <v>517</v>
      </c>
      <c r="K839" s="28" t="s">
        <v>518</v>
      </c>
      <c r="L839" s="28" t="s">
        <v>1040</v>
      </c>
      <c r="M839" s="28" t="s">
        <v>535</v>
      </c>
      <c r="N839" s="28" t="s">
        <v>521</v>
      </c>
      <c r="O839" s="28" t="s">
        <v>522</v>
      </c>
      <c r="S839" s="28" t="s">
        <v>3091</v>
      </c>
      <c r="T839" s="28" t="s">
        <v>1042</v>
      </c>
      <c r="U839" s="28" t="s">
        <v>1042</v>
      </c>
      <c r="V839" s="28" t="s">
        <v>517</v>
      </c>
      <c r="W839" s="28" t="s">
        <v>3605</v>
      </c>
      <c r="Z839" s="118" t="s">
        <v>563</v>
      </c>
      <c r="AA839" s="118"/>
      <c r="AB839" s="118" t="s">
        <v>527</v>
      </c>
      <c r="AD839" s="28" t="s">
        <v>528</v>
      </c>
      <c r="AE839" s="28" t="s">
        <v>563</v>
      </c>
      <c r="AF839" s="117" t="s">
        <v>3604</v>
      </c>
      <c r="AG839" s="28" t="s">
        <v>563</v>
      </c>
      <c r="AK839" s="60" t="s">
        <v>2927</v>
      </c>
      <c r="AL839" s="117">
        <f>1/COUNTIF(Tableau6[LAT],B839)</f>
        <v>1</v>
      </c>
      <c r="AM839" s="60" t="b">
        <f t="shared" si="94"/>
        <v>0</v>
      </c>
      <c r="AN839" s="60" t="b">
        <f t="shared" si="95"/>
        <v>0</v>
      </c>
      <c r="AO839" s="60" t="b">
        <f t="shared" si="96"/>
        <v>0</v>
      </c>
      <c r="AP839" s="60" t="b">
        <f t="shared" si="97"/>
        <v>0</v>
      </c>
      <c r="AQ839" s="60" t="b">
        <f t="shared" si="98"/>
        <v>0</v>
      </c>
      <c r="AR839" s="60" t="str">
        <f t="shared" si="99"/>
        <v>No</v>
      </c>
      <c r="AS839" s="60" t="str">
        <f t="shared" si="100"/>
        <v>No</v>
      </c>
    </row>
    <row r="840" spans="1:45" ht="15" hidden="1">
      <c r="A840" s="103">
        <v>45244</v>
      </c>
      <c r="B840" s="117" t="s">
        <v>3606</v>
      </c>
      <c r="C840" s="28" t="s">
        <v>511</v>
      </c>
      <c r="D840" s="28" t="s">
        <v>3607</v>
      </c>
      <c r="F840" s="28" t="s">
        <v>1688</v>
      </c>
      <c r="G840" s="28" t="s">
        <v>514</v>
      </c>
      <c r="H840" s="28" t="s">
        <v>1091</v>
      </c>
      <c r="I840" s="28" t="s">
        <v>516</v>
      </c>
      <c r="J840" s="28" t="s">
        <v>517</v>
      </c>
      <c r="K840" s="28" t="s">
        <v>518</v>
      </c>
      <c r="L840" s="28" t="s">
        <v>1040</v>
      </c>
      <c r="M840" s="28" t="s">
        <v>535</v>
      </c>
      <c r="N840" s="28" t="s">
        <v>521</v>
      </c>
      <c r="O840" s="28" t="s">
        <v>522</v>
      </c>
      <c r="S840" s="28" t="s">
        <v>3091</v>
      </c>
      <c r="T840" s="28" t="s">
        <v>1042</v>
      </c>
      <c r="U840" s="28" t="s">
        <v>1042</v>
      </c>
      <c r="V840" s="28" t="s">
        <v>517</v>
      </c>
      <c r="W840" s="28" t="s">
        <v>3087</v>
      </c>
      <c r="Z840" s="118" t="s">
        <v>563</v>
      </c>
      <c r="AA840" s="118"/>
      <c r="AB840" s="118" t="s">
        <v>527</v>
      </c>
      <c r="AD840" s="28" t="s">
        <v>528</v>
      </c>
      <c r="AE840" s="28" t="s">
        <v>563</v>
      </c>
      <c r="AF840" s="117" t="s">
        <v>3607</v>
      </c>
      <c r="AG840" s="28" t="s">
        <v>563</v>
      </c>
      <c r="AK840" s="60" t="s">
        <v>2927</v>
      </c>
      <c r="AL840" s="117">
        <f>1/COUNTIF(Tableau6[LAT],B840)</f>
        <v>1</v>
      </c>
      <c r="AM840" s="60" t="b">
        <f t="shared" si="94"/>
        <v>0</v>
      </c>
      <c r="AN840" s="60" t="b">
        <f t="shared" si="95"/>
        <v>0</v>
      </c>
      <c r="AO840" s="60" t="b">
        <f t="shared" si="96"/>
        <v>0</v>
      </c>
      <c r="AP840" s="60" t="b">
        <f t="shared" si="97"/>
        <v>0</v>
      </c>
      <c r="AQ840" s="60" t="b">
        <f t="shared" si="98"/>
        <v>0</v>
      </c>
      <c r="AR840" s="60" t="str">
        <f t="shared" si="99"/>
        <v>No</v>
      </c>
      <c r="AS840" s="60" t="str">
        <f t="shared" si="100"/>
        <v>No</v>
      </c>
    </row>
    <row r="841" spans="1:45" ht="15" hidden="1">
      <c r="A841" s="103">
        <v>45244</v>
      </c>
      <c r="B841" s="117" t="s">
        <v>3608</v>
      </c>
      <c r="C841" s="28" t="s">
        <v>511</v>
      </c>
      <c r="D841" s="28" t="s">
        <v>3609</v>
      </c>
      <c r="E841" s="28" t="s">
        <v>3610</v>
      </c>
      <c r="F841" s="28" t="s">
        <v>3611</v>
      </c>
      <c r="G841" s="28" t="s">
        <v>514</v>
      </c>
      <c r="H841" s="28" t="s">
        <v>1457</v>
      </c>
      <c r="I841" s="28" t="s">
        <v>516</v>
      </c>
      <c r="J841" s="28" t="s">
        <v>517</v>
      </c>
      <c r="K841" s="28" t="s">
        <v>518</v>
      </c>
      <c r="L841" s="28" t="s">
        <v>2925</v>
      </c>
      <c r="M841" s="28" t="s">
        <v>535</v>
      </c>
      <c r="N841" s="28" t="s">
        <v>521</v>
      </c>
      <c r="O841" s="28" t="s">
        <v>522</v>
      </c>
      <c r="S841" s="28" t="s">
        <v>3091</v>
      </c>
      <c r="T841" s="28" t="s">
        <v>1042</v>
      </c>
      <c r="U841" s="28" t="s">
        <v>1042</v>
      </c>
      <c r="V841" s="28" t="s">
        <v>517</v>
      </c>
      <c r="W841" s="28" t="s">
        <v>3612</v>
      </c>
      <c r="X841" s="28" t="s">
        <v>670</v>
      </c>
      <c r="Z841" s="118" t="s">
        <v>563</v>
      </c>
      <c r="AA841" s="118"/>
      <c r="AB841" s="118" t="s">
        <v>527</v>
      </c>
      <c r="AD841" s="28" t="s">
        <v>528</v>
      </c>
      <c r="AE841" s="28" t="s">
        <v>563</v>
      </c>
      <c r="AF841" s="117" t="s">
        <v>3609</v>
      </c>
      <c r="AG841" s="28" t="s">
        <v>563</v>
      </c>
      <c r="AK841" s="60" t="s">
        <v>2927</v>
      </c>
      <c r="AL841" s="117">
        <f>1/COUNTIF(Tableau6[LAT],B841)</f>
        <v>0.2</v>
      </c>
      <c r="AM841" s="60" t="b">
        <f t="shared" si="94"/>
        <v>0</v>
      </c>
      <c r="AN841" s="60" t="b">
        <f t="shared" si="95"/>
        <v>0</v>
      </c>
      <c r="AO841" s="60" t="b">
        <f t="shared" si="96"/>
        <v>0</v>
      </c>
      <c r="AP841" s="60" t="b">
        <f t="shared" si="97"/>
        <v>0</v>
      </c>
      <c r="AQ841" s="60" t="b">
        <f t="shared" si="98"/>
        <v>0</v>
      </c>
      <c r="AR841" s="60" t="str">
        <f t="shared" si="99"/>
        <v>No</v>
      </c>
      <c r="AS841" s="60" t="str">
        <f t="shared" si="100"/>
        <v>No</v>
      </c>
    </row>
    <row r="842" spans="1:45" ht="15" hidden="1">
      <c r="A842" s="103">
        <v>45244</v>
      </c>
      <c r="B842" s="117" t="s">
        <v>3608</v>
      </c>
      <c r="C842" s="28" t="s">
        <v>548</v>
      </c>
      <c r="D842" s="28" t="s">
        <v>3613</v>
      </c>
      <c r="E842" s="28" t="s">
        <v>3610</v>
      </c>
      <c r="F842" s="28" t="s">
        <v>3614</v>
      </c>
      <c r="G842" s="28" t="s">
        <v>1077</v>
      </c>
      <c r="H842" s="28" t="s">
        <v>2642</v>
      </c>
      <c r="I842" s="28" t="s">
        <v>516</v>
      </c>
      <c r="J842" s="28" t="s">
        <v>517</v>
      </c>
      <c r="K842" s="28" t="s">
        <v>518</v>
      </c>
      <c r="L842" s="28" t="s">
        <v>2925</v>
      </c>
      <c r="M842" s="28" t="s">
        <v>535</v>
      </c>
      <c r="N842" s="28" t="s">
        <v>521</v>
      </c>
      <c r="O842" s="28" t="s">
        <v>522</v>
      </c>
      <c r="S842" s="28" t="s">
        <v>3091</v>
      </c>
      <c r="T842" s="28" t="s">
        <v>1042</v>
      </c>
      <c r="U842" s="28" t="s">
        <v>1042</v>
      </c>
      <c r="V842" s="28" t="s">
        <v>517</v>
      </c>
      <c r="W842" s="28" t="s">
        <v>3612</v>
      </c>
      <c r="X842" s="28" t="s">
        <v>670</v>
      </c>
      <c r="Z842" s="118" t="s">
        <v>563</v>
      </c>
      <c r="AA842" s="118"/>
      <c r="AB842" s="118" t="s">
        <v>527</v>
      </c>
      <c r="AD842" s="28" t="s">
        <v>528</v>
      </c>
      <c r="AE842" s="28" t="s">
        <v>563</v>
      </c>
      <c r="AF842" s="117" t="s">
        <v>3613</v>
      </c>
      <c r="AG842" s="28" t="s">
        <v>563</v>
      </c>
      <c r="AK842" s="60" t="s">
        <v>2927</v>
      </c>
      <c r="AL842" s="117">
        <f>1/COUNTIF(Tableau6[LAT],B842)</f>
        <v>0.2</v>
      </c>
      <c r="AM842" s="60" t="b">
        <f t="shared" si="94"/>
        <v>0</v>
      </c>
      <c r="AN842" s="60" t="b">
        <f t="shared" si="95"/>
        <v>0</v>
      </c>
      <c r="AO842" s="60" t="b">
        <f t="shared" si="96"/>
        <v>0</v>
      </c>
      <c r="AP842" s="60" t="b">
        <f t="shared" si="97"/>
        <v>0</v>
      </c>
      <c r="AQ842" s="60" t="b">
        <f t="shared" si="98"/>
        <v>0</v>
      </c>
      <c r="AR842" s="60" t="str">
        <f t="shared" si="99"/>
        <v>No</v>
      </c>
      <c r="AS842" s="60" t="str">
        <f t="shared" si="100"/>
        <v>No</v>
      </c>
    </row>
    <row r="843" spans="1:45" ht="15" hidden="1">
      <c r="A843" s="103">
        <v>45244</v>
      </c>
      <c r="B843" s="117" t="s">
        <v>3608</v>
      </c>
      <c r="C843" s="28" t="s">
        <v>612</v>
      </c>
      <c r="D843" s="28" t="s">
        <v>3615</v>
      </c>
      <c r="E843" s="28" t="s">
        <v>3610</v>
      </c>
      <c r="F843" s="28" t="s">
        <v>3616</v>
      </c>
      <c r="G843" s="28" t="s">
        <v>958</v>
      </c>
      <c r="H843" s="28" t="s">
        <v>756</v>
      </c>
      <c r="I843" s="28" t="s">
        <v>516</v>
      </c>
      <c r="J843" s="28" t="s">
        <v>517</v>
      </c>
      <c r="K843" s="28" t="s">
        <v>518</v>
      </c>
      <c r="L843" s="28" t="s">
        <v>2925</v>
      </c>
      <c r="M843" s="28" t="s">
        <v>535</v>
      </c>
      <c r="N843" s="28" t="s">
        <v>521</v>
      </c>
      <c r="O843" s="28" t="s">
        <v>522</v>
      </c>
      <c r="S843" s="28" t="s">
        <v>3091</v>
      </c>
      <c r="T843" s="28" t="s">
        <v>1042</v>
      </c>
      <c r="U843" s="28" t="s">
        <v>1042</v>
      </c>
      <c r="V843" s="28" t="s">
        <v>517</v>
      </c>
      <c r="W843" s="28" t="s">
        <v>3612</v>
      </c>
      <c r="X843" s="28" t="s">
        <v>670</v>
      </c>
      <c r="Z843" s="118" t="s">
        <v>563</v>
      </c>
      <c r="AA843" s="118"/>
      <c r="AB843" s="118" t="s">
        <v>527</v>
      </c>
      <c r="AD843" s="28" t="s">
        <v>528</v>
      </c>
      <c r="AE843" s="28" t="s">
        <v>563</v>
      </c>
      <c r="AF843" s="117" t="s">
        <v>3615</v>
      </c>
      <c r="AG843" s="28" t="s">
        <v>563</v>
      </c>
      <c r="AK843" s="60" t="s">
        <v>2927</v>
      </c>
      <c r="AL843" s="117">
        <f>1/COUNTIF(Tableau6[LAT],B843)</f>
        <v>0.2</v>
      </c>
      <c r="AM843" s="60" t="b">
        <f t="shared" si="94"/>
        <v>0</v>
      </c>
      <c r="AN843" s="60" t="b">
        <f t="shared" si="95"/>
        <v>0</v>
      </c>
      <c r="AO843" s="60" t="b">
        <f t="shared" si="96"/>
        <v>0</v>
      </c>
      <c r="AP843" s="60" t="b">
        <f t="shared" si="97"/>
        <v>0</v>
      </c>
      <c r="AQ843" s="60" t="b">
        <f t="shared" si="98"/>
        <v>0</v>
      </c>
      <c r="AR843" s="60" t="str">
        <f t="shared" si="99"/>
        <v>No</v>
      </c>
      <c r="AS843" s="60" t="str">
        <f t="shared" si="100"/>
        <v>No</v>
      </c>
    </row>
    <row r="844" spans="1:45" ht="15" hidden="1">
      <c r="A844" s="103">
        <v>45244</v>
      </c>
      <c r="B844" s="117" t="s">
        <v>3608</v>
      </c>
      <c r="C844" s="28" t="s">
        <v>691</v>
      </c>
      <c r="D844" s="28" t="s">
        <v>3617</v>
      </c>
      <c r="E844" s="28" t="s">
        <v>3610</v>
      </c>
      <c r="F844" s="28" t="s">
        <v>3611</v>
      </c>
      <c r="G844" s="28" t="s">
        <v>514</v>
      </c>
      <c r="H844" s="28" t="s">
        <v>1457</v>
      </c>
      <c r="I844" s="28" t="s">
        <v>516</v>
      </c>
      <c r="J844" s="28" t="s">
        <v>517</v>
      </c>
      <c r="K844" s="28" t="s">
        <v>518</v>
      </c>
      <c r="L844" s="28" t="s">
        <v>2925</v>
      </c>
      <c r="M844" s="28" t="s">
        <v>535</v>
      </c>
      <c r="N844" s="28" t="s">
        <v>521</v>
      </c>
      <c r="O844" s="28" t="s">
        <v>522</v>
      </c>
      <c r="S844" s="28" t="s">
        <v>3091</v>
      </c>
      <c r="T844" s="28" t="s">
        <v>1042</v>
      </c>
      <c r="U844" s="28" t="s">
        <v>1042</v>
      </c>
      <c r="V844" s="28" t="s">
        <v>517</v>
      </c>
      <c r="W844" s="28" t="s">
        <v>3612</v>
      </c>
      <c r="X844" s="28" t="s">
        <v>670</v>
      </c>
      <c r="Z844" s="118" t="s">
        <v>563</v>
      </c>
      <c r="AA844" s="118"/>
      <c r="AB844" s="118" t="s">
        <v>527</v>
      </c>
      <c r="AD844" s="28" t="s">
        <v>528</v>
      </c>
      <c r="AE844" s="28" t="s">
        <v>563</v>
      </c>
      <c r="AF844" s="117" t="s">
        <v>3617</v>
      </c>
      <c r="AG844" s="28" t="s">
        <v>563</v>
      </c>
      <c r="AK844" s="60" t="s">
        <v>2927</v>
      </c>
      <c r="AL844" s="117">
        <f>1/COUNTIF(Tableau6[LAT],B844)</f>
        <v>0.2</v>
      </c>
      <c r="AM844" s="60" t="b">
        <f t="shared" si="94"/>
        <v>0</v>
      </c>
      <c r="AN844" s="60" t="b">
        <f t="shared" si="95"/>
        <v>0</v>
      </c>
      <c r="AO844" s="60" t="b">
        <f t="shared" si="96"/>
        <v>0</v>
      </c>
      <c r="AP844" s="60" t="b">
        <f t="shared" si="97"/>
        <v>0</v>
      </c>
      <c r="AQ844" s="60" t="b">
        <f t="shared" si="98"/>
        <v>0</v>
      </c>
      <c r="AR844" s="60" t="str">
        <f t="shared" si="99"/>
        <v>No</v>
      </c>
      <c r="AS844" s="60" t="str">
        <f t="shared" si="100"/>
        <v>No</v>
      </c>
    </row>
    <row r="845" spans="1:45" ht="15" hidden="1">
      <c r="A845" s="103">
        <v>45244</v>
      </c>
      <c r="B845" s="117" t="s">
        <v>3608</v>
      </c>
      <c r="C845" s="28" t="s">
        <v>859</v>
      </c>
      <c r="D845" s="28" t="s">
        <v>3618</v>
      </c>
      <c r="E845" s="28" t="s">
        <v>3610</v>
      </c>
      <c r="F845" s="28" t="s">
        <v>3611</v>
      </c>
      <c r="G845" s="28" t="s">
        <v>514</v>
      </c>
      <c r="H845" s="28" t="s">
        <v>1457</v>
      </c>
      <c r="I845" s="28" t="s">
        <v>516</v>
      </c>
      <c r="J845" s="28" t="s">
        <v>517</v>
      </c>
      <c r="K845" s="28" t="s">
        <v>518</v>
      </c>
      <c r="L845" s="28" t="s">
        <v>2925</v>
      </c>
      <c r="M845" s="28" t="s">
        <v>535</v>
      </c>
      <c r="N845" s="28" t="s">
        <v>521</v>
      </c>
      <c r="O845" s="28" t="s">
        <v>522</v>
      </c>
      <c r="S845" s="28" t="s">
        <v>3091</v>
      </c>
      <c r="T845" s="28" t="s">
        <v>1042</v>
      </c>
      <c r="U845" s="28" t="s">
        <v>1042</v>
      </c>
      <c r="V845" s="28" t="s">
        <v>517</v>
      </c>
      <c r="W845" s="28" t="s">
        <v>3612</v>
      </c>
      <c r="X845" s="28" t="s">
        <v>670</v>
      </c>
      <c r="Z845" s="118" t="s">
        <v>563</v>
      </c>
      <c r="AA845" s="118"/>
      <c r="AB845" s="118" t="s">
        <v>527</v>
      </c>
      <c r="AD845" s="28" t="s">
        <v>528</v>
      </c>
      <c r="AE845" s="28" t="s">
        <v>563</v>
      </c>
      <c r="AF845" s="117" t="s">
        <v>3618</v>
      </c>
      <c r="AG845" s="28" t="s">
        <v>563</v>
      </c>
      <c r="AK845" s="60" t="s">
        <v>2927</v>
      </c>
      <c r="AL845" s="117">
        <f>1/COUNTIF(Tableau6[LAT],B845)</f>
        <v>0.2</v>
      </c>
      <c r="AM845" s="60" t="b">
        <f t="shared" si="94"/>
        <v>0</v>
      </c>
      <c r="AN845" s="60" t="b">
        <f t="shared" si="95"/>
        <v>0</v>
      </c>
      <c r="AO845" s="60" t="b">
        <f t="shared" si="96"/>
        <v>0</v>
      </c>
      <c r="AP845" s="60" t="b">
        <f t="shared" si="97"/>
        <v>0</v>
      </c>
      <c r="AQ845" s="60" t="b">
        <f t="shared" si="98"/>
        <v>0</v>
      </c>
      <c r="AR845" s="60" t="str">
        <f t="shared" si="99"/>
        <v>No</v>
      </c>
      <c r="AS845" s="60" t="str">
        <f t="shared" si="100"/>
        <v>No</v>
      </c>
    </row>
    <row r="846" spans="1:45" ht="15" hidden="1">
      <c r="A846" s="103">
        <v>45244</v>
      </c>
      <c r="B846" s="117" t="s">
        <v>3619</v>
      </c>
      <c r="C846" s="28" t="s">
        <v>511</v>
      </c>
      <c r="D846" s="28" t="s">
        <v>3620</v>
      </c>
      <c r="F846" s="28" t="s">
        <v>1761</v>
      </c>
      <c r="G846" s="28" t="s">
        <v>665</v>
      </c>
      <c r="H846" s="28" t="s">
        <v>2135</v>
      </c>
      <c r="I846" s="28" t="s">
        <v>516</v>
      </c>
      <c r="J846" s="28" t="s">
        <v>517</v>
      </c>
      <c r="K846" s="28" t="s">
        <v>518</v>
      </c>
      <c r="L846" s="28" t="s">
        <v>1040</v>
      </c>
      <c r="M846" s="28" t="s">
        <v>535</v>
      </c>
      <c r="N846" s="28" t="s">
        <v>521</v>
      </c>
      <c r="O846" s="28" t="s">
        <v>522</v>
      </c>
      <c r="S846" s="28" t="s">
        <v>3091</v>
      </c>
      <c r="T846" s="28" t="s">
        <v>1042</v>
      </c>
      <c r="U846" s="28" t="s">
        <v>1042</v>
      </c>
      <c r="V846" s="28" t="s">
        <v>517</v>
      </c>
      <c r="W846" s="28" t="s">
        <v>3621</v>
      </c>
      <c r="Z846" s="118" t="s">
        <v>563</v>
      </c>
      <c r="AA846" s="118"/>
      <c r="AB846" s="118" t="s">
        <v>527</v>
      </c>
      <c r="AD846" s="28" t="s">
        <v>528</v>
      </c>
      <c r="AE846" s="28" t="s">
        <v>563</v>
      </c>
      <c r="AF846" s="117" t="s">
        <v>3620</v>
      </c>
      <c r="AG846" s="28" t="s">
        <v>563</v>
      </c>
      <c r="AK846" s="60" t="s">
        <v>2927</v>
      </c>
      <c r="AL846" s="117">
        <f>1/COUNTIF(Tableau6[LAT],B846)</f>
        <v>0.5</v>
      </c>
      <c r="AM846" s="60" t="b">
        <f t="shared" si="94"/>
        <v>0</v>
      </c>
      <c r="AN846" s="60" t="b">
        <f t="shared" si="95"/>
        <v>0</v>
      </c>
      <c r="AO846" s="60" t="b">
        <f t="shared" si="96"/>
        <v>0</v>
      </c>
      <c r="AP846" s="60" t="b">
        <f t="shared" si="97"/>
        <v>0</v>
      </c>
      <c r="AQ846" s="60" t="b">
        <f t="shared" si="98"/>
        <v>0</v>
      </c>
      <c r="AR846" s="60" t="str">
        <f t="shared" si="99"/>
        <v>No</v>
      </c>
      <c r="AS846" s="60" t="str">
        <f t="shared" si="100"/>
        <v>No</v>
      </c>
    </row>
    <row r="847" spans="1:45" ht="15" hidden="1">
      <c r="A847" s="103">
        <v>45244</v>
      </c>
      <c r="B847" s="117" t="s">
        <v>3619</v>
      </c>
      <c r="C847" s="28" t="s">
        <v>548</v>
      </c>
      <c r="D847" s="28" t="s">
        <v>3622</v>
      </c>
      <c r="F847" s="28" t="s">
        <v>3623</v>
      </c>
      <c r="G847" s="28" t="s">
        <v>514</v>
      </c>
      <c r="H847" s="28" t="s">
        <v>883</v>
      </c>
      <c r="I847" s="28" t="s">
        <v>516</v>
      </c>
      <c r="J847" s="28" t="s">
        <v>517</v>
      </c>
      <c r="K847" s="28" t="s">
        <v>518</v>
      </c>
      <c r="L847" s="28" t="s">
        <v>1040</v>
      </c>
      <c r="M847" s="28" t="s">
        <v>535</v>
      </c>
      <c r="N847" s="28" t="s">
        <v>521</v>
      </c>
      <c r="O847" s="28" t="s">
        <v>522</v>
      </c>
      <c r="S847" s="28" t="s">
        <v>3091</v>
      </c>
      <c r="T847" s="28" t="s">
        <v>1042</v>
      </c>
      <c r="U847" s="28" t="s">
        <v>1042</v>
      </c>
      <c r="V847" s="28" t="s">
        <v>517</v>
      </c>
      <c r="W847" s="28" t="s">
        <v>3624</v>
      </c>
      <c r="Z847" s="118" t="s">
        <v>563</v>
      </c>
      <c r="AA847" s="118"/>
      <c r="AB847" s="118" t="s">
        <v>527</v>
      </c>
      <c r="AD847" s="28" t="s">
        <v>528</v>
      </c>
      <c r="AE847" s="28" t="s">
        <v>563</v>
      </c>
      <c r="AF847" s="117" t="s">
        <v>3622</v>
      </c>
      <c r="AG847" s="28" t="s">
        <v>563</v>
      </c>
      <c r="AK847" s="60" t="s">
        <v>2927</v>
      </c>
      <c r="AL847" s="117">
        <f>1/COUNTIF(Tableau6[LAT],B847)</f>
        <v>0.5</v>
      </c>
      <c r="AM847" s="60" t="b">
        <f t="shared" si="94"/>
        <v>0</v>
      </c>
      <c r="AN847" s="60" t="b">
        <f t="shared" si="95"/>
        <v>0</v>
      </c>
      <c r="AO847" s="60" t="b">
        <f t="shared" si="96"/>
        <v>0</v>
      </c>
      <c r="AP847" s="60" t="b">
        <f t="shared" si="97"/>
        <v>0</v>
      </c>
      <c r="AQ847" s="60" t="b">
        <f t="shared" si="98"/>
        <v>0</v>
      </c>
      <c r="AR847" s="60" t="str">
        <f t="shared" si="99"/>
        <v>No</v>
      </c>
      <c r="AS847" s="60" t="str">
        <f t="shared" si="100"/>
        <v>No</v>
      </c>
    </row>
    <row r="848" spans="1:45" ht="15" hidden="1">
      <c r="A848" s="103">
        <v>45244</v>
      </c>
      <c r="B848" s="117" t="s">
        <v>3625</v>
      </c>
      <c r="C848" s="28" t="s">
        <v>511</v>
      </c>
      <c r="D848" s="28" t="s">
        <v>3626</v>
      </c>
      <c r="E848" s="28" t="s">
        <v>3610</v>
      </c>
      <c r="F848" s="28" t="s">
        <v>3627</v>
      </c>
      <c r="G848" s="28" t="s">
        <v>514</v>
      </c>
      <c r="H848" s="28" t="s">
        <v>3628</v>
      </c>
      <c r="I848" s="28" t="s">
        <v>516</v>
      </c>
      <c r="J848" s="28" t="s">
        <v>517</v>
      </c>
      <c r="K848" s="28" t="s">
        <v>518</v>
      </c>
      <c r="L848" s="28" t="s">
        <v>2925</v>
      </c>
      <c r="M848" s="28" t="s">
        <v>535</v>
      </c>
      <c r="N848" s="28" t="s">
        <v>521</v>
      </c>
      <c r="O848" s="28" t="s">
        <v>544</v>
      </c>
      <c r="P848" s="28" t="s">
        <v>522</v>
      </c>
      <c r="S848" s="28" t="s">
        <v>3091</v>
      </c>
      <c r="T848" s="28" t="s">
        <v>1042</v>
      </c>
      <c r="U848" s="28" t="s">
        <v>1042</v>
      </c>
      <c r="V848" s="28" t="s">
        <v>517</v>
      </c>
      <c r="W848" s="28" t="s">
        <v>3612</v>
      </c>
      <c r="X848" s="28" t="s">
        <v>670</v>
      </c>
      <c r="Z848" s="118" t="s">
        <v>563</v>
      </c>
      <c r="AA848" s="118"/>
      <c r="AB848" s="118" t="s">
        <v>527</v>
      </c>
      <c r="AD848" s="28" t="s">
        <v>528</v>
      </c>
      <c r="AE848" s="28" t="s">
        <v>563</v>
      </c>
      <c r="AF848" s="117" t="s">
        <v>3626</v>
      </c>
      <c r="AG848" s="28" t="s">
        <v>563</v>
      </c>
      <c r="AK848" s="60" t="s">
        <v>2927</v>
      </c>
      <c r="AL848" s="117">
        <f>1/COUNTIF(Tableau6[LAT],B848)</f>
        <v>0.5</v>
      </c>
      <c r="AM848" s="60" t="b">
        <f t="shared" si="94"/>
        <v>0</v>
      </c>
      <c r="AN848" s="60" t="b">
        <f t="shared" si="95"/>
        <v>0</v>
      </c>
      <c r="AO848" s="60" t="b">
        <f t="shared" si="96"/>
        <v>0</v>
      </c>
      <c r="AP848" s="60" t="b">
        <f t="shared" si="97"/>
        <v>0</v>
      </c>
      <c r="AQ848" s="60" t="b">
        <f t="shared" si="98"/>
        <v>0</v>
      </c>
      <c r="AR848" s="60" t="str">
        <f t="shared" si="99"/>
        <v>No</v>
      </c>
      <c r="AS848" s="60" t="str">
        <f t="shared" si="100"/>
        <v>No</v>
      </c>
    </row>
    <row r="849" spans="1:45" ht="15" hidden="1">
      <c r="A849" s="103">
        <v>45244</v>
      </c>
      <c r="B849" s="117" t="s">
        <v>3625</v>
      </c>
      <c r="C849" s="28" t="s">
        <v>548</v>
      </c>
      <c r="D849" s="28" t="s">
        <v>3629</v>
      </c>
      <c r="E849" s="28" t="s">
        <v>3610</v>
      </c>
      <c r="F849" s="28" t="s">
        <v>3627</v>
      </c>
      <c r="G849" s="28" t="s">
        <v>514</v>
      </c>
      <c r="H849" s="28" t="s">
        <v>921</v>
      </c>
      <c r="I849" s="28" t="s">
        <v>516</v>
      </c>
      <c r="J849" s="28" t="s">
        <v>517</v>
      </c>
      <c r="K849" s="28" t="s">
        <v>518</v>
      </c>
      <c r="L849" s="28" t="s">
        <v>2925</v>
      </c>
      <c r="M849" s="28" t="s">
        <v>535</v>
      </c>
      <c r="N849" s="28" t="s">
        <v>521</v>
      </c>
      <c r="O849" s="28" t="s">
        <v>544</v>
      </c>
      <c r="P849" s="28" t="s">
        <v>522</v>
      </c>
      <c r="S849" s="28" t="s">
        <v>3091</v>
      </c>
      <c r="T849" s="28" t="s">
        <v>1042</v>
      </c>
      <c r="U849" s="28" t="s">
        <v>1042</v>
      </c>
      <c r="V849" s="28" t="s">
        <v>517</v>
      </c>
      <c r="W849" s="28" t="s">
        <v>3612</v>
      </c>
      <c r="X849" s="28" t="s">
        <v>670</v>
      </c>
      <c r="Z849" s="118" t="s">
        <v>563</v>
      </c>
      <c r="AA849" s="118"/>
      <c r="AB849" s="118" t="s">
        <v>527</v>
      </c>
      <c r="AD849" s="28" t="s">
        <v>528</v>
      </c>
      <c r="AE849" s="28" t="s">
        <v>563</v>
      </c>
      <c r="AF849" s="117" t="s">
        <v>3629</v>
      </c>
      <c r="AG849" s="28" t="s">
        <v>563</v>
      </c>
      <c r="AK849" s="60" t="s">
        <v>2927</v>
      </c>
      <c r="AL849" s="117">
        <f>1/COUNTIF(Tableau6[LAT],B849)</f>
        <v>0.5</v>
      </c>
      <c r="AM849" s="60" t="b">
        <f t="shared" si="94"/>
        <v>0</v>
      </c>
      <c r="AN849" s="60" t="b">
        <f t="shared" si="95"/>
        <v>0</v>
      </c>
      <c r="AO849" s="60" t="b">
        <f t="shared" si="96"/>
        <v>0</v>
      </c>
      <c r="AP849" s="60" t="b">
        <f t="shared" si="97"/>
        <v>0</v>
      </c>
      <c r="AQ849" s="60" t="b">
        <f t="shared" si="98"/>
        <v>0</v>
      </c>
      <c r="AR849" s="60" t="str">
        <f t="shared" si="99"/>
        <v>No</v>
      </c>
      <c r="AS849" s="60" t="str">
        <f t="shared" si="100"/>
        <v>No</v>
      </c>
    </row>
    <row r="850" spans="1:45" ht="15" hidden="1">
      <c r="A850" s="103">
        <v>45244</v>
      </c>
      <c r="B850" s="117" t="s">
        <v>3630</v>
      </c>
      <c r="C850" s="28" t="s">
        <v>511</v>
      </c>
      <c r="D850" s="28" t="s">
        <v>3631</v>
      </c>
      <c r="F850" s="28" t="s">
        <v>3632</v>
      </c>
      <c r="G850" s="28" t="s">
        <v>514</v>
      </c>
      <c r="H850" s="28" t="s">
        <v>1957</v>
      </c>
      <c r="I850" s="28" t="s">
        <v>516</v>
      </c>
      <c r="J850" s="28" t="s">
        <v>517</v>
      </c>
      <c r="K850" s="28" t="s">
        <v>518</v>
      </c>
      <c r="L850" s="28" t="s">
        <v>1040</v>
      </c>
      <c r="M850" s="28" t="s">
        <v>535</v>
      </c>
      <c r="N850" s="28" t="s">
        <v>521</v>
      </c>
      <c r="O850" s="28" t="s">
        <v>522</v>
      </c>
      <c r="S850" s="28" t="s">
        <v>3091</v>
      </c>
      <c r="T850" s="28" t="s">
        <v>1042</v>
      </c>
      <c r="U850" s="28" t="s">
        <v>1042</v>
      </c>
      <c r="V850" s="28" t="s">
        <v>517</v>
      </c>
      <c r="W850" s="28" t="s">
        <v>3633</v>
      </c>
      <c r="Z850" s="118" t="s">
        <v>563</v>
      </c>
      <c r="AA850" s="118"/>
      <c r="AB850" s="118" t="s">
        <v>527</v>
      </c>
      <c r="AD850" s="28" t="s">
        <v>528</v>
      </c>
      <c r="AE850" s="28" t="s">
        <v>563</v>
      </c>
      <c r="AF850" s="117" t="s">
        <v>3631</v>
      </c>
      <c r="AG850" s="28" t="s">
        <v>563</v>
      </c>
      <c r="AK850" s="60" t="s">
        <v>2927</v>
      </c>
      <c r="AL850" s="117">
        <f>1/COUNTIF(Tableau6[LAT],B850)</f>
        <v>0.5</v>
      </c>
      <c r="AM850" s="60" t="b">
        <f t="shared" si="94"/>
        <v>0</v>
      </c>
      <c r="AN850" s="60" t="b">
        <f t="shared" si="95"/>
        <v>0</v>
      </c>
      <c r="AO850" s="60" t="b">
        <f t="shared" si="96"/>
        <v>0</v>
      </c>
      <c r="AP850" s="60" t="b">
        <f t="shared" si="97"/>
        <v>0</v>
      </c>
      <c r="AQ850" s="60" t="b">
        <f t="shared" si="98"/>
        <v>0</v>
      </c>
      <c r="AR850" s="60" t="str">
        <f t="shared" si="99"/>
        <v>No</v>
      </c>
      <c r="AS850" s="60" t="str">
        <f t="shared" si="100"/>
        <v>No</v>
      </c>
    </row>
    <row r="851" spans="1:45" ht="15" hidden="1">
      <c r="A851" s="103">
        <v>45244</v>
      </c>
      <c r="B851" s="117" t="s">
        <v>3630</v>
      </c>
      <c r="C851" s="28" t="s">
        <v>548</v>
      </c>
      <c r="D851" s="28" t="s">
        <v>3634</v>
      </c>
      <c r="F851" s="28" t="s">
        <v>1579</v>
      </c>
      <c r="G851" s="28" t="s">
        <v>665</v>
      </c>
      <c r="H851" s="28" t="s">
        <v>3516</v>
      </c>
      <c r="I851" s="28" t="s">
        <v>516</v>
      </c>
      <c r="J851" s="28" t="s">
        <v>517</v>
      </c>
      <c r="K851" s="28" t="s">
        <v>518</v>
      </c>
      <c r="L851" s="28" t="s">
        <v>1040</v>
      </c>
      <c r="M851" s="28" t="s">
        <v>535</v>
      </c>
      <c r="N851" s="28" t="s">
        <v>521</v>
      </c>
      <c r="O851" s="28" t="s">
        <v>522</v>
      </c>
      <c r="S851" s="28" t="s">
        <v>3091</v>
      </c>
      <c r="T851" s="28" t="s">
        <v>1042</v>
      </c>
      <c r="U851" s="28" t="s">
        <v>1042</v>
      </c>
      <c r="V851" s="28" t="s">
        <v>517</v>
      </c>
      <c r="W851" s="28" t="s">
        <v>3635</v>
      </c>
      <c r="Z851" s="118" t="s">
        <v>563</v>
      </c>
      <c r="AA851" s="118"/>
      <c r="AB851" s="118" t="s">
        <v>527</v>
      </c>
      <c r="AD851" s="28" t="s">
        <v>528</v>
      </c>
      <c r="AE851" s="28" t="s">
        <v>563</v>
      </c>
      <c r="AF851" s="117" t="s">
        <v>3634</v>
      </c>
      <c r="AG851" s="28" t="s">
        <v>563</v>
      </c>
      <c r="AK851" s="60" t="s">
        <v>2927</v>
      </c>
      <c r="AL851" s="117">
        <f>1/COUNTIF(Tableau6[LAT],B851)</f>
        <v>0.5</v>
      </c>
      <c r="AM851" s="60" t="b">
        <f t="shared" si="94"/>
        <v>0</v>
      </c>
      <c r="AN851" s="60" t="b">
        <f t="shared" si="95"/>
        <v>0</v>
      </c>
      <c r="AO851" s="60" t="b">
        <f t="shared" si="96"/>
        <v>0</v>
      </c>
      <c r="AP851" s="60" t="b">
        <f t="shared" si="97"/>
        <v>0</v>
      </c>
      <c r="AQ851" s="60" t="b">
        <f t="shared" si="98"/>
        <v>0</v>
      </c>
      <c r="AR851" s="60" t="str">
        <f t="shared" si="99"/>
        <v>No</v>
      </c>
      <c r="AS851" s="60" t="str">
        <f t="shared" si="100"/>
        <v>No</v>
      </c>
    </row>
    <row r="852" spans="1:45" ht="15" hidden="1">
      <c r="A852" s="103">
        <v>45244</v>
      </c>
      <c r="B852" s="117" t="s">
        <v>3636</v>
      </c>
      <c r="C852" s="28" t="s">
        <v>511</v>
      </c>
      <c r="D852" s="28" t="s">
        <v>3637</v>
      </c>
      <c r="F852" s="28" t="s">
        <v>3638</v>
      </c>
      <c r="G852" s="28" t="s">
        <v>514</v>
      </c>
      <c r="H852" s="28" t="s">
        <v>639</v>
      </c>
      <c r="I852" s="28" t="s">
        <v>516</v>
      </c>
      <c r="J852" s="28" t="s">
        <v>517</v>
      </c>
      <c r="K852" s="28" t="s">
        <v>518</v>
      </c>
      <c r="L852" s="28" t="s">
        <v>3639</v>
      </c>
      <c r="M852" s="28" t="s">
        <v>535</v>
      </c>
      <c r="N852" s="28" t="s">
        <v>572</v>
      </c>
      <c r="O852" s="28" t="s">
        <v>521</v>
      </c>
      <c r="P852" s="28" t="s">
        <v>522</v>
      </c>
      <c r="S852" s="28" t="s">
        <v>523</v>
      </c>
      <c r="T852" s="28" t="s">
        <v>3640</v>
      </c>
      <c r="U852" s="28" t="s">
        <v>3640</v>
      </c>
      <c r="V852" s="28" t="s">
        <v>517</v>
      </c>
      <c r="W852" s="28" t="s">
        <v>1620</v>
      </c>
      <c r="Z852" s="118" t="s">
        <v>563</v>
      </c>
      <c r="AA852" s="118"/>
      <c r="AB852" s="118" t="s">
        <v>527</v>
      </c>
      <c r="AD852" s="28" t="s">
        <v>528</v>
      </c>
      <c r="AE852" s="28" t="s">
        <v>563</v>
      </c>
      <c r="AF852" s="117" t="s">
        <v>3637</v>
      </c>
      <c r="AG852" s="28" t="s">
        <v>563</v>
      </c>
      <c r="AK852" s="60" t="s">
        <v>2927</v>
      </c>
      <c r="AL852" s="117">
        <f>1/COUNTIF(Tableau6[LAT],B852)</f>
        <v>0.25</v>
      </c>
      <c r="AM852" s="60" t="b">
        <f t="shared" si="94"/>
        <v>0</v>
      </c>
      <c r="AN852" s="60" t="b">
        <f t="shared" si="95"/>
        <v>0</v>
      </c>
      <c r="AO852" s="60" t="b">
        <f t="shared" si="96"/>
        <v>0</v>
      </c>
      <c r="AP852" s="60" t="b">
        <f t="shared" si="97"/>
        <v>0</v>
      </c>
      <c r="AQ852" s="60" t="b">
        <f t="shared" si="98"/>
        <v>0</v>
      </c>
      <c r="AR852" s="60" t="str">
        <f t="shared" si="99"/>
        <v>No</v>
      </c>
      <c r="AS852" s="60" t="str">
        <f t="shared" si="100"/>
        <v>No</v>
      </c>
    </row>
    <row r="853" spans="1:45" ht="15" hidden="1">
      <c r="A853" s="103">
        <v>45244</v>
      </c>
      <c r="B853" s="117" t="s">
        <v>3636</v>
      </c>
      <c r="C853" s="28" t="s">
        <v>548</v>
      </c>
      <c r="D853" s="28" t="s">
        <v>3641</v>
      </c>
      <c r="F853" s="28" t="s">
        <v>3638</v>
      </c>
      <c r="G853" s="28" t="s">
        <v>514</v>
      </c>
      <c r="H853" s="28" t="s">
        <v>1284</v>
      </c>
      <c r="I853" s="28" t="s">
        <v>516</v>
      </c>
      <c r="J853" s="28" t="s">
        <v>517</v>
      </c>
      <c r="K853" s="28" t="s">
        <v>518</v>
      </c>
      <c r="L853" s="28" t="s">
        <v>3639</v>
      </c>
      <c r="M853" s="28" t="s">
        <v>535</v>
      </c>
      <c r="N853" s="28" t="s">
        <v>572</v>
      </c>
      <c r="O853" s="28" t="s">
        <v>521</v>
      </c>
      <c r="P853" s="28" t="s">
        <v>522</v>
      </c>
      <c r="S853" s="28" t="s">
        <v>523</v>
      </c>
      <c r="T853" s="28" t="s">
        <v>3640</v>
      </c>
      <c r="U853" s="28" t="s">
        <v>3640</v>
      </c>
      <c r="V853" s="28" t="s">
        <v>517</v>
      </c>
      <c r="W853" s="28" t="s">
        <v>1620</v>
      </c>
      <c r="Z853" s="118" t="s">
        <v>563</v>
      </c>
      <c r="AA853" s="118"/>
      <c r="AB853" s="118" t="s">
        <v>527</v>
      </c>
      <c r="AD853" s="28" t="s">
        <v>528</v>
      </c>
      <c r="AE853" s="28" t="s">
        <v>563</v>
      </c>
      <c r="AF853" s="117" t="s">
        <v>3641</v>
      </c>
      <c r="AG853" s="28" t="s">
        <v>563</v>
      </c>
      <c r="AK853" s="60" t="s">
        <v>2927</v>
      </c>
      <c r="AL853" s="117">
        <f>1/COUNTIF(Tableau6[LAT],B853)</f>
        <v>0.25</v>
      </c>
      <c r="AM853" s="60" t="b">
        <f t="shared" si="94"/>
        <v>0</v>
      </c>
      <c r="AN853" s="60" t="b">
        <f t="shared" si="95"/>
        <v>0</v>
      </c>
      <c r="AO853" s="60" t="b">
        <f t="shared" si="96"/>
        <v>0</v>
      </c>
      <c r="AP853" s="60" t="b">
        <f t="shared" si="97"/>
        <v>0</v>
      </c>
      <c r="AQ853" s="60" t="b">
        <f t="shared" si="98"/>
        <v>0</v>
      </c>
      <c r="AR853" s="60" t="str">
        <f t="shared" si="99"/>
        <v>No</v>
      </c>
      <c r="AS853" s="60" t="str">
        <f t="shared" si="100"/>
        <v>No</v>
      </c>
    </row>
    <row r="854" spans="1:45" ht="15" hidden="1">
      <c r="A854" s="103">
        <v>45244</v>
      </c>
      <c r="B854" s="117" t="s">
        <v>3636</v>
      </c>
      <c r="C854" s="28" t="s">
        <v>612</v>
      </c>
      <c r="D854" s="28" t="s">
        <v>3642</v>
      </c>
      <c r="F854" s="28" t="s">
        <v>3638</v>
      </c>
      <c r="G854" s="28" t="s">
        <v>514</v>
      </c>
      <c r="H854" s="28" t="s">
        <v>1284</v>
      </c>
      <c r="I854" s="28" t="s">
        <v>516</v>
      </c>
      <c r="J854" s="28" t="s">
        <v>517</v>
      </c>
      <c r="K854" s="28" t="s">
        <v>518</v>
      </c>
      <c r="L854" s="28" t="s">
        <v>3639</v>
      </c>
      <c r="M854" s="28" t="s">
        <v>535</v>
      </c>
      <c r="N854" s="28" t="s">
        <v>572</v>
      </c>
      <c r="O854" s="28" t="s">
        <v>521</v>
      </c>
      <c r="P854" s="28" t="s">
        <v>522</v>
      </c>
      <c r="S854" s="28" t="s">
        <v>523</v>
      </c>
      <c r="T854" s="28" t="s">
        <v>3640</v>
      </c>
      <c r="U854" s="28" t="s">
        <v>3640</v>
      </c>
      <c r="V854" s="28" t="s">
        <v>517</v>
      </c>
      <c r="W854" s="28" t="s">
        <v>1620</v>
      </c>
      <c r="Z854" s="118" t="s">
        <v>563</v>
      </c>
      <c r="AA854" s="118"/>
      <c r="AB854" s="118" t="s">
        <v>527</v>
      </c>
      <c r="AD854" s="28" t="s">
        <v>528</v>
      </c>
      <c r="AE854" s="28" t="s">
        <v>563</v>
      </c>
      <c r="AF854" s="117" t="s">
        <v>3642</v>
      </c>
      <c r="AG854" s="28" t="s">
        <v>563</v>
      </c>
      <c r="AK854" s="60" t="s">
        <v>2927</v>
      </c>
      <c r="AL854" s="117">
        <f>1/COUNTIF(Tableau6[LAT],B854)</f>
        <v>0.25</v>
      </c>
      <c r="AM854" s="60" t="b">
        <f t="shared" si="94"/>
        <v>0</v>
      </c>
      <c r="AN854" s="60" t="b">
        <f t="shared" si="95"/>
        <v>0</v>
      </c>
      <c r="AO854" s="60" t="b">
        <f t="shared" si="96"/>
        <v>0</v>
      </c>
      <c r="AP854" s="60" t="b">
        <f t="shared" si="97"/>
        <v>0</v>
      </c>
      <c r="AQ854" s="60" t="b">
        <f t="shared" si="98"/>
        <v>0</v>
      </c>
      <c r="AR854" s="60" t="str">
        <f t="shared" si="99"/>
        <v>No</v>
      </c>
      <c r="AS854" s="60" t="str">
        <f t="shared" si="100"/>
        <v>No</v>
      </c>
    </row>
    <row r="855" spans="1:45" ht="15" hidden="1">
      <c r="A855" s="103">
        <v>45244</v>
      </c>
      <c r="B855" s="117" t="s">
        <v>3636</v>
      </c>
      <c r="C855" s="28" t="s">
        <v>691</v>
      </c>
      <c r="D855" s="28" t="s">
        <v>3643</v>
      </c>
      <c r="F855" s="28" t="s">
        <v>3638</v>
      </c>
      <c r="G855" s="28" t="s">
        <v>514</v>
      </c>
      <c r="H855" s="28" t="s">
        <v>1284</v>
      </c>
      <c r="I855" s="28" t="s">
        <v>516</v>
      </c>
      <c r="J855" s="28" t="s">
        <v>517</v>
      </c>
      <c r="K855" s="28" t="s">
        <v>518</v>
      </c>
      <c r="L855" s="28" t="s">
        <v>3639</v>
      </c>
      <c r="M855" s="28" t="s">
        <v>535</v>
      </c>
      <c r="N855" s="28" t="s">
        <v>572</v>
      </c>
      <c r="O855" s="28" t="s">
        <v>521</v>
      </c>
      <c r="P855" s="28" t="s">
        <v>522</v>
      </c>
      <c r="S855" s="28" t="s">
        <v>523</v>
      </c>
      <c r="T855" s="28" t="s">
        <v>3640</v>
      </c>
      <c r="U855" s="28" t="s">
        <v>3640</v>
      </c>
      <c r="V855" s="28" t="s">
        <v>517</v>
      </c>
      <c r="W855" s="28" t="s">
        <v>3644</v>
      </c>
      <c r="Z855" s="118" t="s">
        <v>563</v>
      </c>
      <c r="AA855" s="118"/>
      <c r="AB855" s="118" t="s">
        <v>527</v>
      </c>
      <c r="AD855" s="28" t="s">
        <v>528</v>
      </c>
      <c r="AE855" s="28" t="s">
        <v>563</v>
      </c>
      <c r="AF855" s="117" t="s">
        <v>3643</v>
      </c>
      <c r="AG855" s="28" t="s">
        <v>563</v>
      </c>
      <c r="AK855" s="60" t="s">
        <v>2927</v>
      </c>
      <c r="AL855" s="117">
        <f>1/COUNTIF(Tableau6[LAT],B855)</f>
        <v>0.25</v>
      </c>
      <c r="AM855" s="60" t="b">
        <f t="shared" si="94"/>
        <v>0</v>
      </c>
      <c r="AN855" s="60" t="b">
        <f t="shared" si="95"/>
        <v>0</v>
      </c>
      <c r="AO855" s="60" t="b">
        <f t="shared" si="96"/>
        <v>0</v>
      </c>
      <c r="AP855" s="60" t="b">
        <f t="shared" si="97"/>
        <v>0</v>
      </c>
      <c r="AQ855" s="60" t="b">
        <f t="shared" si="98"/>
        <v>0</v>
      </c>
      <c r="AR855" s="60" t="str">
        <f t="shared" si="99"/>
        <v>No</v>
      </c>
      <c r="AS855" s="60" t="str">
        <f t="shared" si="100"/>
        <v>No</v>
      </c>
    </row>
    <row r="856" spans="1:45" ht="15" hidden="1">
      <c r="A856" s="103">
        <v>45244</v>
      </c>
      <c r="B856" s="117" t="s">
        <v>3645</v>
      </c>
      <c r="C856" s="28" t="s">
        <v>548</v>
      </c>
      <c r="D856" s="28" t="s">
        <v>3646</v>
      </c>
      <c r="F856" s="28" t="s">
        <v>3647</v>
      </c>
      <c r="G856" s="28" t="s">
        <v>514</v>
      </c>
      <c r="H856" s="28" t="s">
        <v>2146</v>
      </c>
      <c r="I856" s="28" t="s">
        <v>516</v>
      </c>
      <c r="J856" s="28" t="s">
        <v>517</v>
      </c>
      <c r="K856" s="28" t="s">
        <v>682</v>
      </c>
      <c r="L856" s="28" t="s">
        <v>3648</v>
      </c>
      <c r="M856" s="28" t="s">
        <v>535</v>
      </c>
      <c r="N856" s="28" t="s">
        <v>557</v>
      </c>
      <c r="O856" s="28" t="s">
        <v>522</v>
      </c>
      <c r="S856" s="28" t="s">
        <v>1581</v>
      </c>
      <c r="T856" s="28" t="s">
        <v>1857</v>
      </c>
      <c r="U856" s="28" t="s">
        <v>1857</v>
      </c>
      <c r="V856" s="28" t="s">
        <v>517</v>
      </c>
      <c r="W856" s="28" t="s">
        <v>3649</v>
      </c>
      <c r="Z856" s="118" t="s">
        <v>563</v>
      </c>
      <c r="AA856" s="118"/>
      <c r="AB856" s="118" t="s">
        <v>527</v>
      </c>
      <c r="AD856" s="28" t="s">
        <v>528</v>
      </c>
      <c r="AE856" s="28" t="s">
        <v>563</v>
      </c>
      <c r="AF856" s="117" t="s">
        <v>3650</v>
      </c>
      <c r="AG856" s="28" t="s">
        <v>563</v>
      </c>
      <c r="AK856" s="60" t="s">
        <v>2927</v>
      </c>
      <c r="AL856" s="117">
        <f>1/COUNTIF(Tableau6[LAT],B856)</f>
        <v>0.5</v>
      </c>
      <c r="AM856" s="60" t="b">
        <f t="shared" si="94"/>
        <v>0</v>
      </c>
      <c r="AN856" s="60" t="b">
        <f t="shared" si="95"/>
        <v>0</v>
      </c>
      <c r="AO856" s="60" t="b">
        <f t="shared" si="96"/>
        <v>0</v>
      </c>
      <c r="AP856" s="60" t="b">
        <f t="shared" si="97"/>
        <v>0</v>
      </c>
      <c r="AQ856" s="60" t="b">
        <f t="shared" si="98"/>
        <v>0</v>
      </c>
      <c r="AR856" s="60" t="str">
        <f t="shared" si="99"/>
        <v>No</v>
      </c>
      <c r="AS856" s="60" t="str">
        <f t="shared" si="100"/>
        <v>No</v>
      </c>
    </row>
    <row r="857" spans="1:45" ht="15" hidden="1">
      <c r="A857" s="103">
        <v>45244</v>
      </c>
      <c r="B857" s="117" t="s">
        <v>3645</v>
      </c>
      <c r="C857" s="28" t="s">
        <v>691</v>
      </c>
      <c r="D857" s="28" t="s">
        <v>3651</v>
      </c>
      <c r="F857" s="28" t="s">
        <v>3647</v>
      </c>
      <c r="G857" s="28" t="s">
        <v>514</v>
      </c>
      <c r="H857" s="28" t="s">
        <v>1335</v>
      </c>
      <c r="I857" s="28" t="s">
        <v>516</v>
      </c>
      <c r="J857" s="28" t="s">
        <v>517</v>
      </c>
      <c r="K857" s="28" t="s">
        <v>682</v>
      </c>
      <c r="L857" s="28" t="s">
        <v>3648</v>
      </c>
      <c r="M857" s="28" t="s">
        <v>535</v>
      </c>
      <c r="N857" s="28" t="s">
        <v>557</v>
      </c>
      <c r="O857" s="28" t="s">
        <v>522</v>
      </c>
      <c r="S857" s="28" t="s">
        <v>1581</v>
      </c>
      <c r="T857" s="28" t="s">
        <v>1857</v>
      </c>
      <c r="U857" s="28" t="s">
        <v>1857</v>
      </c>
      <c r="V857" s="28" t="s">
        <v>517</v>
      </c>
      <c r="W857" s="28" t="s">
        <v>3652</v>
      </c>
      <c r="Z857" s="118" t="s">
        <v>563</v>
      </c>
      <c r="AA857" s="118"/>
      <c r="AB857" s="118" t="s">
        <v>527</v>
      </c>
      <c r="AD857" s="28" t="s">
        <v>528</v>
      </c>
      <c r="AE857" s="28" t="s">
        <v>563</v>
      </c>
      <c r="AF857" s="117" t="s">
        <v>3646</v>
      </c>
      <c r="AG857" s="28" t="s">
        <v>563</v>
      </c>
      <c r="AK857" s="60" t="s">
        <v>2927</v>
      </c>
      <c r="AL857" s="117">
        <f>1/COUNTIF(Tableau6[LAT],B857)</f>
        <v>0.5</v>
      </c>
      <c r="AM857" s="60" t="b">
        <f t="shared" si="94"/>
        <v>0</v>
      </c>
      <c r="AN857" s="60" t="b">
        <f t="shared" si="95"/>
        <v>0</v>
      </c>
      <c r="AO857" s="60" t="b">
        <f t="shared" si="96"/>
        <v>0</v>
      </c>
      <c r="AP857" s="60" t="b">
        <f t="shared" si="97"/>
        <v>0</v>
      </c>
      <c r="AQ857" s="60" t="b">
        <f t="shared" si="98"/>
        <v>0</v>
      </c>
      <c r="AR857" s="60" t="str">
        <f t="shared" si="99"/>
        <v>No</v>
      </c>
      <c r="AS857" s="60" t="str">
        <f t="shared" si="100"/>
        <v>No</v>
      </c>
    </row>
    <row r="858" spans="1:45" ht="15" hidden="1">
      <c r="A858" s="103">
        <v>45244</v>
      </c>
      <c r="B858" s="117" t="s">
        <v>3653</v>
      </c>
      <c r="C858" s="28" t="s">
        <v>511</v>
      </c>
      <c r="D858" s="28" t="s">
        <v>3654</v>
      </c>
      <c r="E858" s="28" t="s">
        <v>3655</v>
      </c>
      <c r="F858" s="28" t="s">
        <v>3656</v>
      </c>
      <c r="G858" s="28" t="s">
        <v>514</v>
      </c>
      <c r="H858" s="28" t="s">
        <v>3158</v>
      </c>
      <c r="I858" s="28" t="s">
        <v>516</v>
      </c>
      <c r="J858" s="28" t="s">
        <v>517</v>
      </c>
      <c r="K858" s="28" t="s">
        <v>682</v>
      </c>
      <c r="L858" s="28" t="s">
        <v>3261</v>
      </c>
      <c r="M858" s="28" t="s">
        <v>535</v>
      </c>
      <c r="N858" s="28" t="s">
        <v>557</v>
      </c>
      <c r="O858" s="28" t="s">
        <v>522</v>
      </c>
      <c r="S858" s="28" t="s">
        <v>668</v>
      </c>
      <c r="T858" s="28" t="s">
        <v>1918</v>
      </c>
      <c r="U858" s="28" t="s">
        <v>1918</v>
      </c>
      <c r="V858" s="28" t="s">
        <v>517</v>
      </c>
      <c r="W858" s="28" t="s">
        <v>3657</v>
      </c>
      <c r="X858" s="28" t="s">
        <v>670</v>
      </c>
      <c r="Z858" s="118" t="s">
        <v>563</v>
      </c>
      <c r="AA858" s="118"/>
      <c r="AB858" s="118" t="s">
        <v>527</v>
      </c>
      <c r="AD858" s="28" t="s">
        <v>528</v>
      </c>
      <c r="AE858" s="28" t="s">
        <v>563</v>
      </c>
      <c r="AF858" s="117" t="s">
        <v>3654</v>
      </c>
      <c r="AG858" s="28" t="s">
        <v>563</v>
      </c>
      <c r="AK858" s="60" t="s">
        <v>2927</v>
      </c>
      <c r="AL858" s="117">
        <f>1/COUNTIF(Tableau6[LAT],B858)</f>
        <v>0.25</v>
      </c>
      <c r="AM858" s="60" t="b">
        <f t="shared" si="94"/>
        <v>0</v>
      </c>
      <c r="AN858" s="60" t="b">
        <f t="shared" si="95"/>
        <v>0</v>
      </c>
      <c r="AO858" s="60" t="b">
        <f t="shared" si="96"/>
        <v>0</v>
      </c>
      <c r="AP858" s="60" t="b">
        <f t="shared" si="97"/>
        <v>0</v>
      </c>
      <c r="AQ858" s="60" t="b">
        <f t="shared" si="98"/>
        <v>0</v>
      </c>
      <c r="AR858" s="60" t="str">
        <f t="shared" si="99"/>
        <v>No</v>
      </c>
      <c r="AS858" s="60" t="str">
        <f t="shared" si="100"/>
        <v>No</v>
      </c>
    </row>
    <row r="859" spans="1:45" ht="15" hidden="1">
      <c r="A859" s="103">
        <v>45244</v>
      </c>
      <c r="B859" s="117" t="s">
        <v>3653</v>
      </c>
      <c r="C859" s="28" t="s">
        <v>548</v>
      </c>
      <c r="D859" s="28" t="s">
        <v>3658</v>
      </c>
      <c r="E859" s="28" t="s">
        <v>3655</v>
      </c>
      <c r="F859" s="28" t="s">
        <v>3659</v>
      </c>
      <c r="G859" s="28" t="s">
        <v>514</v>
      </c>
      <c r="H859" s="28" t="s">
        <v>3158</v>
      </c>
      <c r="I859" s="28" t="s">
        <v>516</v>
      </c>
      <c r="J859" s="28" t="s">
        <v>517</v>
      </c>
      <c r="K859" s="28" t="s">
        <v>682</v>
      </c>
      <c r="L859" s="28" t="s">
        <v>3261</v>
      </c>
      <c r="M859" s="28" t="s">
        <v>535</v>
      </c>
      <c r="N859" s="28" t="s">
        <v>557</v>
      </c>
      <c r="O859" s="28" t="s">
        <v>522</v>
      </c>
      <c r="S859" s="28" t="s">
        <v>668</v>
      </c>
      <c r="T859" s="28" t="s">
        <v>1918</v>
      </c>
      <c r="U859" s="28" t="s">
        <v>1918</v>
      </c>
      <c r="V859" s="28" t="s">
        <v>517</v>
      </c>
      <c r="W859" s="28" t="s">
        <v>3657</v>
      </c>
      <c r="X859" s="28" t="s">
        <v>670</v>
      </c>
      <c r="Z859" s="118" t="s">
        <v>563</v>
      </c>
      <c r="AA859" s="118"/>
      <c r="AB859" s="118" t="s">
        <v>527</v>
      </c>
      <c r="AD859" s="28" t="s">
        <v>528</v>
      </c>
      <c r="AE859" s="28" t="s">
        <v>563</v>
      </c>
      <c r="AF859" s="117" t="s">
        <v>3658</v>
      </c>
      <c r="AG859" s="28" t="s">
        <v>563</v>
      </c>
      <c r="AK859" s="60" t="s">
        <v>2927</v>
      </c>
      <c r="AL859" s="117">
        <f>1/COUNTIF(Tableau6[LAT],B859)</f>
        <v>0.25</v>
      </c>
      <c r="AM859" s="60" t="b">
        <f t="shared" si="94"/>
        <v>0</v>
      </c>
      <c r="AN859" s="60" t="b">
        <f t="shared" si="95"/>
        <v>0</v>
      </c>
      <c r="AO859" s="60" t="b">
        <f t="shared" si="96"/>
        <v>0</v>
      </c>
      <c r="AP859" s="60" t="b">
        <f t="shared" si="97"/>
        <v>0</v>
      </c>
      <c r="AQ859" s="60" t="b">
        <f t="shared" si="98"/>
        <v>0</v>
      </c>
      <c r="AR859" s="60" t="str">
        <f t="shared" si="99"/>
        <v>No</v>
      </c>
      <c r="AS859" s="60" t="str">
        <f t="shared" si="100"/>
        <v>No</v>
      </c>
    </row>
    <row r="860" spans="1:45" ht="15" hidden="1">
      <c r="A860" s="103">
        <v>45244</v>
      </c>
      <c r="B860" s="117" t="s">
        <v>3653</v>
      </c>
      <c r="C860" s="28" t="s">
        <v>612</v>
      </c>
      <c r="D860" s="28" t="s">
        <v>3660</v>
      </c>
      <c r="E860" s="28" t="s">
        <v>3655</v>
      </c>
      <c r="F860" s="28" t="s">
        <v>3659</v>
      </c>
      <c r="G860" s="28" t="s">
        <v>514</v>
      </c>
      <c r="H860" s="28" t="s">
        <v>3158</v>
      </c>
      <c r="I860" s="28" t="s">
        <v>516</v>
      </c>
      <c r="J860" s="28" t="s">
        <v>517</v>
      </c>
      <c r="K860" s="28" t="s">
        <v>682</v>
      </c>
      <c r="L860" s="28" t="s">
        <v>3261</v>
      </c>
      <c r="M860" s="28" t="s">
        <v>535</v>
      </c>
      <c r="N860" s="28" t="s">
        <v>557</v>
      </c>
      <c r="O860" s="28" t="s">
        <v>522</v>
      </c>
      <c r="S860" s="28" t="s">
        <v>668</v>
      </c>
      <c r="T860" s="28" t="s">
        <v>1918</v>
      </c>
      <c r="U860" s="28" t="s">
        <v>1918</v>
      </c>
      <c r="V860" s="28" t="s">
        <v>517</v>
      </c>
      <c r="W860" s="28" t="s">
        <v>3657</v>
      </c>
      <c r="X860" s="28" t="s">
        <v>670</v>
      </c>
      <c r="Z860" s="118" t="s">
        <v>563</v>
      </c>
      <c r="AA860" s="118"/>
      <c r="AB860" s="118" t="s">
        <v>527</v>
      </c>
      <c r="AD860" s="28" t="s">
        <v>528</v>
      </c>
      <c r="AE860" s="28" t="s">
        <v>563</v>
      </c>
      <c r="AF860" s="117" t="s">
        <v>3660</v>
      </c>
      <c r="AG860" s="28" t="s">
        <v>563</v>
      </c>
      <c r="AK860" s="60" t="s">
        <v>2927</v>
      </c>
      <c r="AL860" s="117">
        <f>1/COUNTIF(Tableau6[LAT],B860)</f>
        <v>0.25</v>
      </c>
      <c r="AM860" s="60" t="b">
        <f t="shared" si="94"/>
        <v>0</v>
      </c>
      <c r="AN860" s="60" t="b">
        <f t="shared" si="95"/>
        <v>0</v>
      </c>
      <c r="AO860" s="60" t="b">
        <f t="shared" si="96"/>
        <v>0</v>
      </c>
      <c r="AP860" s="60" t="b">
        <f t="shared" si="97"/>
        <v>0</v>
      </c>
      <c r="AQ860" s="60" t="b">
        <f t="shared" si="98"/>
        <v>0</v>
      </c>
      <c r="AR860" s="60" t="str">
        <f t="shared" si="99"/>
        <v>No</v>
      </c>
      <c r="AS860" s="60" t="str">
        <f t="shared" si="100"/>
        <v>No</v>
      </c>
    </row>
    <row r="861" spans="1:45" ht="15" hidden="1">
      <c r="A861" s="103">
        <v>45244</v>
      </c>
      <c r="B861" s="117" t="s">
        <v>3653</v>
      </c>
      <c r="C861" s="28" t="s">
        <v>691</v>
      </c>
      <c r="D861" s="28" t="s">
        <v>3661</v>
      </c>
      <c r="E861" s="28" t="s">
        <v>3655</v>
      </c>
      <c r="F861" s="28" t="s">
        <v>3659</v>
      </c>
      <c r="G861" s="28" t="s">
        <v>514</v>
      </c>
      <c r="H861" s="28" t="s">
        <v>3158</v>
      </c>
      <c r="I861" s="28" t="s">
        <v>516</v>
      </c>
      <c r="J861" s="28" t="s">
        <v>517</v>
      </c>
      <c r="K861" s="28" t="s">
        <v>682</v>
      </c>
      <c r="L861" s="28" t="s">
        <v>3261</v>
      </c>
      <c r="M861" s="28" t="s">
        <v>535</v>
      </c>
      <c r="N861" s="28" t="s">
        <v>557</v>
      </c>
      <c r="O861" s="28" t="s">
        <v>522</v>
      </c>
      <c r="S861" s="28" t="s">
        <v>668</v>
      </c>
      <c r="T861" s="28" t="s">
        <v>1918</v>
      </c>
      <c r="U861" s="28" t="s">
        <v>1918</v>
      </c>
      <c r="V861" s="28" t="s">
        <v>517</v>
      </c>
      <c r="W861" s="28" t="s">
        <v>3657</v>
      </c>
      <c r="X861" s="28" t="s">
        <v>670</v>
      </c>
      <c r="Z861" s="118" t="s">
        <v>563</v>
      </c>
      <c r="AA861" s="118"/>
      <c r="AB861" s="118" t="s">
        <v>527</v>
      </c>
      <c r="AD861" s="28" t="s">
        <v>528</v>
      </c>
      <c r="AE861" s="28" t="s">
        <v>563</v>
      </c>
      <c r="AF861" s="117" t="s">
        <v>3661</v>
      </c>
      <c r="AG861" s="28" t="s">
        <v>563</v>
      </c>
      <c r="AK861" s="60" t="s">
        <v>2927</v>
      </c>
      <c r="AL861" s="117">
        <f>1/COUNTIF(Tableau6[LAT],B861)</f>
        <v>0.25</v>
      </c>
      <c r="AM861" s="60" t="b">
        <f t="shared" si="94"/>
        <v>0</v>
      </c>
      <c r="AN861" s="60" t="b">
        <f t="shared" si="95"/>
        <v>0</v>
      </c>
      <c r="AO861" s="60" t="b">
        <f t="shared" si="96"/>
        <v>0</v>
      </c>
      <c r="AP861" s="60" t="b">
        <f t="shared" si="97"/>
        <v>0</v>
      </c>
      <c r="AQ861" s="60" t="b">
        <f t="shared" si="98"/>
        <v>0</v>
      </c>
      <c r="AR861" s="60" t="str">
        <f t="shared" si="99"/>
        <v>No</v>
      </c>
      <c r="AS861" s="60" t="str">
        <f t="shared" si="100"/>
        <v>No</v>
      </c>
    </row>
    <row r="862" spans="1:45" ht="15" hidden="1">
      <c r="A862" s="103">
        <v>45244</v>
      </c>
      <c r="B862" s="117" t="s">
        <v>3662</v>
      </c>
      <c r="C862" s="28" t="s">
        <v>511</v>
      </c>
      <c r="D862" s="28" t="s">
        <v>3663</v>
      </c>
      <c r="F862" s="28" t="s">
        <v>3664</v>
      </c>
      <c r="G862" s="28" t="s">
        <v>665</v>
      </c>
      <c r="H862" s="28" t="s">
        <v>1120</v>
      </c>
      <c r="I862" s="28" t="s">
        <v>516</v>
      </c>
      <c r="J862" s="28" t="s">
        <v>517</v>
      </c>
      <c r="K862" s="28" t="s">
        <v>518</v>
      </c>
      <c r="L862" s="28" t="s">
        <v>1040</v>
      </c>
      <c r="M862" s="28" t="s">
        <v>520</v>
      </c>
      <c r="N862" s="28" t="s">
        <v>521</v>
      </c>
      <c r="O862" s="28" t="s">
        <v>522</v>
      </c>
      <c r="S862" s="28" t="s">
        <v>1416</v>
      </c>
      <c r="T862" s="28" t="s">
        <v>1042</v>
      </c>
      <c r="U862" s="28" t="s">
        <v>1042</v>
      </c>
      <c r="V862" s="28" t="s">
        <v>517</v>
      </c>
      <c r="W862" s="28" t="s">
        <v>3665</v>
      </c>
      <c r="Z862" s="118" t="s">
        <v>563</v>
      </c>
      <c r="AA862" s="118"/>
      <c r="AB862" s="118" t="s">
        <v>527</v>
      </c>
      <c r="AD862" s="28" t="s">
        <v>528</v>
      </c>
      <c r="AE862" s="28" t="s">
        <v>563</v>
      </c>
      <c r="AF862" s="117" t="s">
        <v>3663</v>
      </c>
      <c r="AG862" s="28" t="s">
        <v>563</v>
      </c>
      <c r="AK862" s="60" t="s">
        <v>2927</v>
      </c>
      <c r="AL862" s="117">
        <f>1/COUNTIF(Tableau6[LAT],B862)</f>
        <v>0.5</v>
      </c>
      <c r="AM862" s="60" t="b">
        <f t="shared" si="94"/>
        <v>0</v>
      </c>
      <c r="AN862" s="60" t="b">
        <f t="shared" si="95"/>
        <v>0</v>
      </c>
      <c r="AO862" s="60" t="b">
        <f t="shared" si="96"/>
        <v>0</v>
      </c>
      <c r="AP862" s="60" t="b">
        <f t="shared" si="97"/>
        <v>0</v>
      </c>
      <c r="AQ862" s="60" t="b">
        <f t="shared" si="98"/>
        <v>0</v>
      </c>
      <c r="AR862" s="60" t="str">
        <f t="shared" si="99"/>
        <v>No</v>
      </c>
      <c r="AS862" s="60" t="str">
        <f t="shared" si="100"/>
        <v>No</v>
      </c>
    </row>
    <row r="863" spans="1:45" ht="15" hidden="1">
      <c r="A863" s="103">
        <v>45244</v>
      </c>
      <c r="B863" s="117" t="s">
        <v>3662</v>
      </c>
      <c r="C863" s="28" t="s">
        <v>548</v>
      </c>
      <c r="D863" s="28" t="s">
        <v>3666</v>
      </c>
      <c r="F863" s="28" t="s">
        <v>2625</v>
      </c>
      <c r="G863" s="28" t="s">
        <v>514</v>
      </c>
      <c r="H863" s="28" t="s">
        <v>3667</v>
      </c>
      <c r="I863" s="28" t="s">
        <v>516</v>
      </c>
      <c r="J863" s="28" t="s">
        <v>517</v>
      </c>
      <c r="K863" s="28" t="s">
        <v>518</v>
      </c>
      <c r="L863" s="28" t="s">
        <v>1040</v>
      </c>
      <c r="M863" s="28" t="s">
        <v>520</v>
      </c>
      <c r="N863" s="28" t="s">
        <v>521</v>
      </c>
      <c r="O863" s="28" t="s">
        <v>522</v>
      </c>
      <c r="S863" s="28" t="s">
        <v>1416</v>
      </c>
      <c r="T863" s="28" t="s">
        <v>1042</v>
      </c>
      <c r="U863" s="28" t="s">
        <v>1042</v>
      </c>
      <c r="V863" s="28" t="s">
        <v>517</v>
      </c>
      <c r="W863" s="28" t="s">
        <v>3668</v>
      </c>
      <c r="Z863" s="118" t="s">
        <v>563</v>
      </c>
      <c r="AA863" s="118"/>
      <c r="AB863" s="118" t="s">
        <v>527</v>
      </c>
      <c r="AD863" s="28" t="s">
        <v>528</v>
      </c>
      <c r="AE863" s="28" t="s">
        <v>563</v>
      </c>
      <c r="AF863" s="117" t="s">
        <v>3666</v>
      </c>
      <c r="AG863" s="28" t="s">
        <v>563</v>
      </c>
      <c r="AK863" s="60" t="s">
        <v>2927</v>
      </c>
      <c r="AL863" s="117">
        <f>1/COUNTIF(Tableau6[LAT],B863)</f>
        <v>0.5</v>
      </c>
      <c r="AM863" s="60" t="b">
        <f t="shared" si="94"/>
        <v>0</v>
      </c>
      <c r="AN863" s="60" t="b">
        <f t="shared" si="95"/>
        <v>0</v>
      </c>
      <c r="AO863" s="60" t="b">
        <f t="shared" si="96"/>
        <v>0</v>
      </c>
      <c r="AP863" s="60" t="b">
        <f t="shared" si="97"/>
        <v>0</v>
      </c>
      <c r="AQ863" s="60" t="b">
        <f t="shared" si="98"/>
        <v>0</v>
      </c>
      <c r="AR863" s="60" t="str">
        <f t="shared" si="99"/>
        <v>No</v>
      </c>
      <c r="AS863" s="60" t="str">
        <f t="shared" si="100"/>
        <v>No</v>
      </c>
    </row>
    <row r="864" spans="1:45" ht="15" hidden="1">
      <c r="A864" s="103">
        <v>45244</v>
      </c>
      <c r="B864" s="117" t="s">
        <v>3669</v>
      </c>
      <c r="C864" s="28" t="s">
        <v>511</v>
      </c>
      <c r="D864" s="28" t="s">
        <v>3670</v>
      </c>
      <c r="E864" s="28" t="s">
        <v>3671</v>
      </c>
      <c r="F864" s="28" t="s">
        <v>3672</v>
      </c>
      <c r="G864" s="28" t="s">
        <v>724</v>
      </c>
      <c r="H864" s="28" t="s">
        <v>3673</v>
      </c>
      <c r="I864" s="28" t="s">
        <v>517</v>
      </c>
      <c r="J864" s="28" t="s">
        <v>517</v>
      </c>
      <c r="K864" s="28" t="s">
        <v>518</v>
      </c>
      <c r="L864" s="28" t="s">
        <v>731</v>
      </c>
      <c r="M864" s="28" t="s">
        <v>535</v>
      </c>
      <c r="N864" s="28" t="s">
        <v>1835</v>
      </c>
      <c r="O864" s="28" t="s">
        <v>557</v>
      </c>
      <c r="P864" s="28" t="s">
        <v>544</v>
      </c>
      <c r="S864" s="28" t="s">
        <v>573</v>
      </c>
      <c r="T864" s="28" t="s">
        <v>733</v>
      </c>
      <c r="U864" s="28" t="s">
        <v>733</v>
      </c>
      <c r="V864" s="28" t="s">
        <v>517</v>
      </c>
      <c r="W864" s="28" t="s">
        <v>3674</v>
      </c>
      <c r="X864" s="28" t="s">
        <v>670</v>
      </c>
      <c r="Z864" s="118" t="s">
        <v>563</v>
      </c>
      <c r="AA864" s="118"/>
      <c r="AB864" s="28" t="s">
        <v>1059</v>
      </c>
      <c r="AD864" s="28" t="s">
        <v>954</v>
      </c>
      <c r="AE864" s="28" t="s">
        <v>563</v>
      </c>
      <c r="AF864" s="117" t="s">
        <v>3670</v>
      </c>
      <c r="AG864" s="28" t="s">
        <v>563</v>
      </c>
      <c r="AK864" s="60" t="s">
        <v>2927</v>
      </c>
      <c r="AL864" s="117">
        <f>1/COUNTIF(Tableau6[LAT],B864)</f>
        <v>0.33333333333333331</v>
      </c>
      <c r="AM864" s="60" t="b">
        <f t="shared" si="94"/>
        <v>0</v>
      </c>
      <c r="AN864" s="60" t="b">
        <f t="shared" si="95"/>
        <v>0</v>
      </c>
      <c r="AO864" s="60" t="b">
        <f t="shared" si="96"/>
        <v>0</v>
      </c>
      <c r="AP864" s="60" t="b">
        <f t="shared" si="97"/>
        <v>0</v>
      </c>
      <c r="AQ864" s="60" t="b">
        <f t="shared" si="98"/>
        <v>0</v>
      </c>
      <c r="AR864" s="60" t="str">
        <f t="shared" si="99"/>
        <v>No</v>
      </c>
      <c r="AS864" s="60" t="str">
        <f t="shared" si="100"/>
        <v>No</v>
      </c>
    </row>
    <row r="865" spans="1:45" ht="15" hidden="1">
      <c r="A865" s="103">
        <v>45244</v>
      </c>
      <c r="B865" s="117" t="s">
        <v>3669</v>
      </c>
      <c r="C865" s="28" t="s">
        <v>995</v>
      </c>
      <c r="D865" s="28" t="s">
        <v>3675</v>
      </c>
      <c r="E865" s="28" t="s">
        <v>3676</v>
      </c>
      <c r="F865" s="28" t="s">
        <v>3677</v>
      </c>
      <c r="G865" s="28" t="s">
        <v>657</v>
      </c>
      <c r="H865" s="28" t="s">
        <v>2851</v>
      </c>
      <c r="I865" s="28" t="s">
        <v>517</v>
      </c>
      <c r="J865" s="28" t="s">
        <v>517</v>
      </c>
      <c r="K865" s="28" t="s">
        <v>518</v>
      </c>
      <c r="L865" s="28" t="s">
        <v>731</v>
      </c>
      <c r="M865" s="28" t="s">
        <v>535</v>
      </c>
      <c r="N865" s="28" t="s">
        <v>1835</v>
      </c>
      <c r="O865" s="28" t="s">
        <v>557</v>
      </c>
      <c r="P865" s="28" t="s">
        <v>544</v>
      </c>
      <c r="S865" s="28" t="s">
        <v>573</v>
      </c>
      <c r="T865" s="28" t="s">
        <v>733</v>
      </c>
      <c r="U865" s="28" t="s">
        <v>733</v>
      </c>
      <c r="V865" s="28" t="s">
        <v>517</v>
      </c>
      <c r="W865" s="28" t="s">
        <v>3678</v>
      </c>
      <c r="X865" s="28" t="s">
        <v>670</v>
      </c>
      <c r="Z865" s="118" t="s">
        <v>563</v>
      </c>
      <c r="AA865" s="118"/>
      <c r="AB865" s="28" t="s">
        <v>1059</v>
      </c>
      <c r="AD865" s="28" t="s">
        <v>954</v>
      </c>
      <c r="AE865" s="28" t="s">
        <v>563</v>
      </c>
      <c r="AF865" s="117" t="s">
        <v>3679</v>
      </c>
      <c r="AG865" s="28" t="s">
        <v>563</v>
      </c>
      <c r="AK865" s="60" t="s">
        <v>2927</v>
      </c>
      <c r="AL865" s="117">
        <f>1/COUNTIF(Tableau6[LAT],B865)</f>
        <v>0.33333333333333331</v>
      </c>
      <c r="AM865" s="60" t="b">
        <f t="shared" si="94"/>
        <v>0</v>
      </c>
      <c r="AN865" s="60" t="b">
        <f t="shared" si="95"/>
        <v>0</v>
      </c>
      <c r="AO865" s="60" t="b">
        <f t="shared" si="96"/>
        <v>0</v>
      </c>
      <c r="AP865" s="60" t="b">
        <f t="shared" si="97"/>
        <v>0</v>
      </c>
      <c r="AQ865" s="60" t="b">
        <f t="shared" si="98"/>
        <v>0</v>
      </c>
      <c r="AR865" s="60" t="str">
        <f t="shared" si="99"/>
        <v>No</v>
      </c>
      <c r="AS865" s="60" t="str">
        <f t="shared" si="100"/>
        <v>No</v>
      </c>
    </row>
    <row r="866" spans="1:45" ht="15" hidden="1">
      <c r="A866" s="103">
        <v>45244</v>
      </c>
      <c r="B866" s="117" t="s">
        <v>3669</v>
      </c>
      <c r="C866" s="28" t="s">
        <v>1066</v>
      </c>
      <c r="D866" s="28" t="s">
        <v>3680</v>
      </c>
      <c r="E866" s="28" t="s">
        <v>3681</v>
      </c>
      <c r="F866" s="28" t="s">
        <v>3677</v>
      </c>
      <c r="G866" s="28" t="s">
        <v>657</v>
      </c>
      <c r="H866" s="28" t="s">
        <v>2851</v>
      </c>
      <c r="I866" s="28" t="s">
        <v>517</v>
      </c>
      <c r="J866" s="28" t="s">
        <v>517</v>
      </c>
      <c r="K866" s="28" t="s">
        <v>518</v>
      </c>
      <c r="L866" s="28" t="s">
        <v>731</v>
      </c>
      <c r="M866" s="28" t="s">
        <v>535</v>
      </c>
      <c r="N866" s="28" t="s">
        <v>1835</v>
      </c>
      <c r="O866" s="28" t="s">
        <v>557</v>
      </c>
      <c r="P866" s="28" t="s">
        <v>544</v>
      </c>
      <c r="S866" s="28" t="s">
        <v>573</v>
      </c>
      <c r="T866" s="28" t="s">
        <v>733</v>
      </c>
      <c r="U866" s="28" t="s">
        <v>733</v>
      </c>
      <c r="V866" s="28" t="s">
        <v>517</v>
      </c>
      <c r="W866" s="28" t="s">
        <v>3682</v>
      </c>
      <c r="X866" s="28" t="s">
        <v>670</v>
      </c>
      <c r="Z866" s="118" t="s">
        <v>526</v>
      </c>
      <c r="AA866" s="118"/>
      <c r="AB866" s="28" t="s">
        <v>1059</v>
      </c>
      <c r="AC866" s="28" t="s">
        <v>3683</v>
      </c>
      <c r="AF866" s="117" t="s">
        <v>3670</v>
      </c>
      <c r="AK866" s="60" t="s">
        <v>2927</v>
      </c>
      <c r="AL866" s="117">
        <f>1/COUNTIF(Tableau6[LAT],B866)</f>
        <v>0.33333333333333331</v>
      </c>
      <c r="AM866" s="60" t="b">
        <f t="shared" si="94"/>
        <v>0</v>
      </c>
      <c r="AN866" s="60" t="b">
        <f t="shared" si="95"/>
        <v>0</v>
      </c>
      <c r="AO866" s="60" t="b">
        <f t="shared" si="96"/>
        <v>0</v>
      </c>
      <c r="AP866" s="60" t="b">
        <f t="shared" si="97"/>
        <v>0</v>
      </c>
      <c r="AQ866" s="60" t="b">
        <f t="shared" si="98"/>
        <v>0</v>
      </c>
      <c r="AR866" s="60" t="str">
        <f t="shared" si="99"/>
        <v>No</v>
      </c>
      <c r="AS866" s="60" t="str">
        <f t="shared" si="100"/>
        <v>No</v>
      </c>
    </row>
    <row r="867" spans="1:45" ht="15" hidden="1">
      <c r="A867" s="103">
        <v>45244</v>
      </c>
      <c r="B867" s="117" t="s">
        <v>3684</v>
      </c>
      <c r="C867" s="28" t="s">
        <v>511</v>
      </c>
      <c r="D867" s="28" t="s">
        <v>3685</v>
      </c>
      <c r="F867" s="28" t="s">
        <v>2603</v>
      </c>
      <c r="G867" s="28" t="s">
        <v>665</v>
      </c>
      <c r="H867" s="28" t="s">
        <v>1428</v>
      </c>
      <c r="I867" s="28" t="s">
        <v>516</v>
      </c>
      <c r="J867" s="28" t="s">
        <v>517</v>
      </c>
      <c r="K867" s="28" t="s">
        <v>518</v>
      </c>
      <c r="L867" s="28" t="s">
        <v>774</v>
      </c>
      <c r="M867" s="28" t="s">
        <v>535</v>
      </c>
      <c r="N867" s="28" t="s">
        <v>1523</v>
      </c>
      <c r="S867" s="28" t="s">
        <v>775</v>
      </c>
      <c r="T867" s="28" t="s">
        <v>776</v>
      </c>
      <c r="U867" s="28" t="s">
        <v>776</v>
      </c>
      <c r="V867" s="28" t="s">
        <v>517</v>
      </c>
      <c r="W867" s="28" t="s">
        <v>3686</v>
      </c>
      <c r="Z867" s="118" t="s">
        <v>526</v>
      </c>
      <c r="AA867" s="118"/>
      <c r="AB867" s="118"/>
      <c r="AD867" s="28" t="s">
        <v>954</v>
      </c>
      <c r="AE867" s="28" t="s">
        <v>563</v>
      </c>
      <c r="AF867" s="117" t="s">
        <v>3685</v>
      </c>
      <c r="AG867" s="28" t="s">
        <v>563</v>
      </c>
      <c r="AK867" s="60" t="s">
        <v>2927</v>
      </c>
      <c r="AL867" s="117">
        <f>1/COUNTIF(Tableau6[LAT],B867)</f>
        <v>1</v>
      </c>
      <c r="AM867" s="60" t="b">
        <f t="shared" si="94"/>
        <v>0</v>
      </c>
      <c r="AN867" s="60" t="b">
        <f t="shared" si="95"/>
        <v>0</v>
      </c>
      <c r="AO867" s="60" t="b">
        <f t="shared" si="96"/>
        <v>0</v>
      </c>
      <c r="AP867" s="60" t="b">
        <f t="shared" si="97"/>
        <v>0</v>
      </c>
      <c r="AQ867" s="60" t="b">
        <f t="shared" si="98"/>
        <v>0</v>
      </c>
      <c r="AR867" s="60" t="str">
        <f t="shared" si="99"/>
        <v>No</v>
      </c>
      <c r="AS867" s="60" t="str">
        <f t="shared" si="100"/>
        <v>No</v>
      </c>
    </row>
    <row r="868" spans="1:45" ht="15" hidden="1">
      <c r="A868" s="103">
        <v>45244</v>
      </c>
      <c r="B868" s="117" t="s">
        <v>3687</v>
      </c>
      <c r="C868" s="28" t="s">
        <v>548</v>
      </c>
      <c r="D868" s="28" t="s">
        <v>3688</v>
      </c>
      <c r="E868" s="28" t="s">
        <v>3689</v>
      </c>
      <c r="F868" s="28" t="s">
        <v>3690</v>
      </c>
      <c r="G868" s="28" t="s">
        <v>657</v>
      </c>
      <c r="H868" s="28" t="s">
        <v>3691</v>
      </c>
      <c r="I868" s="28" t="s">
        <v>516</v>
      </c>
      <c r="J868" s="28" t="s">
        <v>517</v>
      </c>
      <c r="K868" s="28" t="s">
        <v>518</v>
      </c>
      <c r="L868" s="28" t="s">
        <v>588</v>
      </c>
      <c r="M868" s="28" t="s">
        <v>520</v>
      </c>
      <c r="S868" s="28" t="s">
        <v>896</v>
      </c>
      <c r="T868" s="28" t="s">
        <v>590</v>
      </c>
      <c r="U868" s="28" t="s">
        <v>590</v>
      </c>
      <c r="V868" s="28" t="s">
        <v>517</v>
      </c>
      <c r="W868" s="28" t="s">
        <v>3692</v>
      </c>
      <c r="X868" s="28" t="s">
        <v>670</v>
      </c>
      <c r="Z868" s="118" t="s">
        <v>563</v>
      </c>
      <c r="AA868" s="118"/>
      <c r="AB868" s="118" t="s">
        <v>527</v>
      </c>
      <c r="AD868" s="28" t="s">
        <v>528</v>
      </c>
      <c r="AE868" s="28" t="s">
        <v>563</v>
      </c>
      <c r="AF868" s="117" t="s">
        <v>3693</v>
      </c>
      <c r="AG868" s="28" t="s">
        <v>563</v>
      </c>
      <c r="AK868" s="60" t="s">
        <v>2927</v>
      </c>
      <c r="AL868" s="117">
        <f>1/COUNTIF(Tableau6[LAT],B868)</f>
        <v>0.5</v>
      </c>
      <c r="AM868" s="60" t="b">
        <f t="shared" si="94"/>
        <v>0</v>
      </c>
      <c r="AN868" s="60" t="b">
        <f t="shared" si="95"/>
        <v>0</v>
      </c>
      <c r="AO868" s="60" t="b">
        <f t="shared" si="96"/>
        <v>0</v>
      </c>
      <c r="AP868" s="60" t="b">
        <f t="shared" si="97"/>
        <v>0</v>
      </c>
      <c r="AQ868" s="60" t="b">
        <f t="shared" si="98"/>
        <v>0</v>
      </c>
      <c r="AR868" s="60" t="str">
        <f t="shared" si="99"/>
        <v>No</v>
      </c>
      <c r="AS868" s="60" t="str">
        <f t="shared" si="100"/>
        <v>No</v>
      </c>
    </row>
    <row r="869" spans="1:45" ht="15" hidden="1">
      <c r="A869" s="103">
        <v>45244</v>
      </c>
      <c r="B869" s="117" t="s">
        <v>3687</v>
      </c>
      <c r="C869" s="28" t="s">
        <v>612</v>
      </c>
      <c r="D869" s="28" t="s">
        <v>3694</v>
      </c>
      <c r="E869" s="28" t="s">
        <v>3695</v>
      </c>
      <c r="F869" s="28" t="s">
        <v>3696</v>
      </c>
      <c r="G869" s="28" t="s">
        <v>724</v>
      </c>
      <c r="H869" s="28" t="s">
        <v>3697</v>
      </c>
      <c r="I869" s="28" t="s">
        <v>516</v>
      </c>
      <c r="J869" s="28" t="s">
        <v>517</v>
      </c>
      <c r="K869" s="28" t="s">
        <v>518</v>
      </c>
      <c r="L869" s="28" t="s">
        <v>588</v>
      </c>
      <c r="M869" s="28" t="s">
        <v>520</v>
      </c>
      <c r="S869" s="28" t="s">
        <v>896</v>
      </c>
      <c r="T869" s="28" t="s">
        <v>590</v>
      </c>
      <c r="U869" s="28" t="s">
        <v>590</v>
      </c>
      <c r="V869" s="28" t="s">
        <v>517</v>
      </c>
      <c r="W869" s="28" t="s">
        <v>3698</v>
      </c>
      <c r="X869" s="28" t="s">
        <v>670</v>
      </c>
      <c r="Z869" s="118" t="s">
        <v>563</v>
      </c>
      <c r="AA869" s="118"/>
      <c r="AB869" s="118" t="s">
        <v>527</v>
      </c>
      <c r="AD869" s="28" t="s">
        <v>528</v>
      </c>
      <c r="AE869" s="28" t="s">
        <v>563</v>
      </c>
      <c r="AF869" s="117" t="s">
        <v>3688</v>
      </c>
      <c r="AG869" s="28" t="s">
        <v>563</v>
      </c>
      <c r="AK869" s="60" t="s">
        <v>2927</v>
      </c>
      <c r="AL869" s="117">
        <f>1/COUNTIF(Tableau6[LAT],B869)</f>
        <v>0.5</v>
      </c>
      <c r="AM869" s="60" t="b">
        <f t="shared" si="94"/>
        <v>0</v>
      </c>
      <c r="AN869" s="60" t="b">
        <f t="shared" si="95"/>
        <v>0</v>
      </c>
      <c r="AO869" s="60" t="b">
        <f t="shared" si="96"/>
        <v>0</v>
      </c>
      <c r="AP869" s="60" t="b">
        <f t="shared" si="97"/>
        <v>0</v>
      </c>
      <c r="AQ869" s="60" t="b">
        <f t="shared" si="98"/>
        <v>0</v>
      </c>
      <c r="AR869" s="60" t="str">
        <f t="shared" si="99"/>
        <v>No</v>
      </c>
      <c r="AS869" s="60" t="str">
        <f t="shared" si="100"/>
        <v>No</v>
      </c>
    </row>
    <row r="870" spans="1:45" ht="15" hidden="1">
      <c r="A870" s="103">
        <v>45244</v>
      </c>
      <c r="B870" s="117" t="s">
        <v>3699</v>
      </c>
      <c r="C870" s="28" t="s">
        <v>511</v>
      </c>
      <c r="D870" s="28" t="s">
        <v>3700</v>
      </c>
      <c r="F870" s="28" t="s">
        <v>1007</v>
      </c>
      <c r="G870" s="28" t="s">
        <v>514</v>
      </c>
      <c r="H870" s="28" t="s">
        <v>1732</v>
      </c>
      <c r="I870" s="28" t="s">
        <v>516</v>
      </c>
      <c r="J870" s="28" t="s">
        <v>517</v>
      </c>
      <c r="K870" s="28" t="s">
        <v>518</v>
      </c>
      <c r="L870" s="28" t="s">
        <v>667</v>
      </c>
      <c r="M870" s="28" t="s">
        <v>520</v>
      </c>
      <c r="N870" s="28" t="s">
        <v>544</v>
      </c>
      <c r="S870" s="28" t="s">
        <v>589</v>
      </c>
      <c r="T870" s="28" t="s">
        <v>597</v>
      </c>
      <c r="U870" s="28" t="s">
        <v>597</v>
      </c>
      <c r="V870" s="28" t="s">
        <v>517</v>
      </c>
      <c r="W870" s="28" t="s">
        <v>3701</v>
      </c>
      <c r="Z870" s="118" t="s">
        <v>563</v>
      </c>
      <c r="AA870" s="118"/>
      <c r="AB870" s="73" t="s">
        <v>609</v>
      </c>
      <c r="AD870" s="28" t="s">
        <v>528</v>
      </c>
      <c r="AE870" s="28" t="s">
        <v>563</v>
      </c>
      <c r="AF870" s="117" t="s">
        <v>3700</v>
      </c>
      <c r="AG870" s="28" t="s">
        <v>563</v>
      </c>
      <c r="AK870" s="60" t="s">
        <v>2927</v>
      </c>
      <c r="AL870" s="117">
        <f>1/COUNTIF(Tableau6[LAT],B870)</f>
        <v>0.5</v>
      </c>
      <c r="AM870" s="60" t="b">
        <f t="shared" si="94"/>
        <v>0</v>
      </c>
      <c r="AN870" s="60" t="b">
        <f t="shared" si="95"/>
        <v>0</v>
      </c>
      <c r="AO870" s="60" t="b">
        <f t="shared" si="96"/>
        <v>0</v>
      </c>
      <c r="AP870" s="60" t="b">
        <f t="shared" si="97"/>
        <v>0</v>
      </c>
      <c r="AQ870" s="60" t="b">
        <f t="shared" si="98"/>
        <v>0</v>
      </c>
      <c r="AR870" s="60" t="str">
        <f t="shared" si="99"/>
        <v>No</v>
      </c>
      <c r="AS870" s="60" t="str">
        <f t="shared" si="100"/>
        <v>No</v>
      </c>
    </row>
    <row r="871" spans="1:45" ht="15" hidden="1">
      <c r="A871" s="103">
        <v>45244</v>
      </c>
      <c r="B871" s="117" t="s">
        <v>3699</v>
      </c>
      <c r="C871" s="28" t="s">
        <v>548</v>
      </c>
      <c r="D871" s="28" t="s">
        <v>3702</v>
      </c>
      <c r="F871" s="28" t="s">
        <v>1007</v>
      </c>
      <c r="G871" s="28" t="s">
        <v>514</v>
      </c>
      <c r="H871" s="28" t="s">
        <v>1735</v>
      </c>
      <c r="I871" s="28" t="s">
        <v>516</v>
      </c>
      <c r="J871" s="28" t="s">
        <v>517</v>
      </c>
      <c r="K871" s="28" t="s">
        <v>518</v>
      </c>
      <c r="L871" s="28" t="s">
        <v>667</v>
      </c>
      <c r="M871" s="28" t="s">
        <v>520</v>
      </c>
      <c r="N871" s="28" t="s">
        <v>544</v>
      </c>
      <c r="S871" s="28" t="s">
        <v>589</v>
      </c>
      <c r="T871" s="28" t="s">
        <v>597</v>
      </c>
      <c r="U871" s="28" t="s">
        <v>597</v>
      </c>
      <c r="V871" s="28" t="s">
        <v>517</v>
      </c>
      <c r="W871" s="28" t="s">
        <v>3701</v>
      </c>
      <c r="Z871" s="118" t="s">
        <v>563</v>
      </c>
      <c r="AA871" s="118"/>
      <c r="AB871" s="73" t="s">
        <v>609</v>
      </c>
      <c r="AD871" s="28" t="s">
        <v>528</v>
      </c>
      <c r="AE871" s="28" t="s">
        <v>563</v>
      </c>
      <c r="AF871" s="117" t="s">
        <v>3700</v>
      </c>
      <c r="AG871" s="28" t="s">
        <v>563</v>
      </c>
      <c r="AK871" s="60" t="s">
        <v>2927</v>
      </c>
      <c r="AL871" s="117">
        <f>1/COUNTIF(Tableau6[LAT],B871)</f>
        <v>0.5</v>
      </c>
      <c r="AM871" s="60" t="b">
        <f t="shared" si="94"/>
        <v>0</v>
      </c>
      <c r="AN871" s="60" t="b">
        <f t="shared" si="95"/>
        <v>0</v>
      </c>
      <c r="AO871" s="60" t="b">
        <f t="shared" si="96"/>
        <v>0</v>
      </c>
      <c r="AP871" s="60" t="b">
        <f t="shared" si="97"/>
        <v>0</v>
      </c>
      <c r="AQ871" s="60" t="b">
        <f t="shared" si="98"/>
        <v>0</v>
      </c>
      <c r="AR871" s="60" t="str">
        <f t="shared" si="99"/>
        <v>No</v>
      </c>
      <c r="AS871" s="60" t="str">
        <f t="shared" si="100"/>
        <v>No</v>
      </c>
    </row>
    <row r="872" spans="1:45" ht="15" hidden="1">
      <c r="A872" s="103">
        <v>45244</v>
      </c>
      <c r="B872" s="117" t="s">
        <v>3703</v>
      </c>
      <c r="C872" s="28" t="s">
        <v>511</v>
      </c>
      <c r="D872" s="28" t="s">
        <v>3704</v>
      </c>
      <c r="E872" s="28" t="s">
        <v>3705</v>
      </c>
      <c r="F872" s="28" t="s">
        <v>3706</v>
      </c>
      <c r="G872" s="28" t="s">
        <v>514</v>
      </c>
      <c r="H872" s="28" t="s">
        <v>1457</v>
      </c>
      <c r="I872" s="28" t="s">
        <v>516</v>
      </c>
      <c r="J872" s="28" t="s">
        <v>517</v>
      </c>
      <c r="K872" s="28" t="s">
        <v>518</v>
      </c>
      <c r="L872" s="28" t="s">
        <v>2502</v>
      </c>
      <c r="M872" s="28" t="s">
        <v>535</v>
      </c>
      <c r="N872" s="28" t="s">
        <v>544</v>
      </c>
      <c r="O872" s="28" t="s">
        <v>1107</v>
      </c>
      <c r="S872" s="28" t="s">
        <v>582</v>
      </c>
      <c r="T872" s="28" t="s">
        <v>795</v>
      </c>
      <c r="U872" s="28" t="s">
        <v>1958</v>
      </c>
      <c r="V872" s="28" t="s">
        <v>517</v>
      </c>
      <c r="W872" s="28" t="s">
        <v>562</v>
      </c>
      <c r="X872" s="28" t="s">
        <v>670</v>
      </c>
      <c r="Z872" s="118" t="s">
        <v>563</v>
      </c>
      <c r="AA872" s="118"/>
      <c r="AB872" s="73" t="s">
        <v>609</v>
      </c>
      <c r="AD872" s="28" t="s">
        <v>528</v>
      </c>
      <c r="AE872" s="28" t="s">
        <v>563</v>
      </c>
      <c r="AF872" s="117" t="s">
        <v>3704</v>
      </c>
      <c r="AG872" s="28" t="s">
        <v>563</v>
      </c>
      <c r="AK872" s="60" t="s">
        <v>2927</v>
      </c>
      <c r="AL872" s="117">
        <f>1/COUNTIF(Tableau6[LAT],B872)</f>
        <v>1</v>
      </c>
      <c r="AM872" s="60" t="b">
        <f t="shared" si="94"/>
        <v>0</v>
      </c>
      <c r="AN872" s="60" t="b">
        <f t="shared" si="95"/>
        <v>0</v>
      </c>
      <c r="AO872" s="60" t="b">
        <f t="shared" si="96"/>
        <v>0</v>
      </c>
      <c r="AP872" s="60" t="b">
        <f t="shared" si="97"/>
        <v>0</v>
      </c>
      <c r="AQ872" s="60" t="b">
        <f t="shared" si="98"/>
        <v>0</v>
      </c>
      <c r="AR872" s="60" t="str">
        <f t="shared" si="99"/>
        <v>No</v>
      </c>
      <c r="AS872" s="60" t="str">
        <f t="shared" si="100"/>
        <v>Yes</v>
      </c>
    </row>
    <row r="873" spans="1:45" ht="15" hidden="1">
      <c r="A873" s="103">
        <v>45244</v>
      </c>
      <c r="B873" s="117" t="s">
        <v>551</v>
      </c>
      <c r="C873" s="28" t="s">
        <v>691</v>
      </c>
      <c r="D873" s="28" t="s">
        <v>3707</v>
      </c>
      <c r="E873" s="28" t="s">
        <v>3708</v>
      </c>
      <c r="F873" s="28" t="s">
        <v>3709</v>
      </c>
      <c r="G873" s="28" t="s">
        <v>514</v>
      </c>
      <c r="H873" s="28" t="s">
        <v>555</v>
      </c>
      <c r="I873" s="28" t="s">
        <v>516</v>
      </c>
      <c r="J873" s="28" t="s">
        <v>516</v>
      </c>
      <c r="K873" s="28" t="s">
        <v>518</v>
      </c>
      <c r="L873" s="28" t="s">
        <v>556</v>
      </c>
      <c r="M873" s="28" t="s">
        <v>535</v>
      </c>
      <c r="N873" s="28" t="s">
        <v>557</v>
      </c>
      <c r="O873" s="28" t="s">
        <v>544</v>
      </c>
      <c r="P873" s="28" t="s">
        <v>558</v>
      </c>
      <c r="Q873" s="28" t="s">
        <v>559</v>
      </c>
      <c r="S873" s="28" t="s">
        <v>560</v>
      </c>
      <c r="T873" s="28" t="s">
        <v>561</v>
      </c>
      <c r="U873" s="28" t="s">
        <v>561</v>
      </c>
      <c r="V873" s="28" t="s">
        <v>517</v>
      </c>
      <c r="W873" s="28" t="s">
        <v>3710</v>
      </c>
      <c r="X873" s="28" t="s">
        <v>670</v>
      </c>
      <c r="Z873" s="118" t="s">
        <v>526</v>
      </c>
      <c r="AA873" s="118"/>
      <c r="AB873" s="118"/>
      <c r="AD873" s="118" t="s">
        <v>528</v>
      </c>
      <c r="AE873" s="118"/>
      <c r="AF873" s="138" t="s">
        <v>3708</v>
      </c>
      <c r="AG873" s="118" t="s">
        <v>529</v>
      </c>
      <c r="AK873" s="60" t="s">
        <v>2927</v>
      </c>
      <c r="AL873" s="117">
        <f>1/COUNTIF(Tableau6[LAT],B873)</f>
        <v>0.33333333333333331</v>
      </c>
      <c r="AM873" s="60" t="b">
        <f t="shared" si="94"/>
        <v>0</v>
      </c>
      <c r="AN873" s="60" t="b">
        <f t="shared" si="95"/>
        <v>0</v>
      </c>
      <c r="AO873" s="60" t="b">
        <f t="shared" si="96"/>
        <v>0</v>
      </c>
      <c r="AP873" s="60" t="b">
        <f t="shared" si="97"/>
        <v>0</v>
      </c>
      <c r="AQ873" s="60" t="b">
        <f t="shared" si="98"/>
        <v>0</v>
      </c>
      <c r="AR873" s="60" t="str">
        <f t="shared" si="99"/>
        <v>No</v>
      </c>
      <c r="AS873" s="60" t="str">
        <f t="shared" si="100"/>
        <v>No</v>
      </c>
    </row>
    <row r="874" spans="1:45" ht="15" hidden="1">
      <c r="A874" s="103">
        <v>45244</v>
      </c>
      <c r="B874" s="117" t="s">
        <v>551</v>
      </c>
      <c r="C874" s="28" t="s">
        <v>859</v>
      </c>
      <c r="D874" s="28" t="s">
        <v>3711</v>
      </c>
      <c r="E874" s="28" t="s">
        <v>3712</v>
      </c>
      <c r="F874" s="28" t="s">
        <v>3713</v>
      </c>
      <c r="G874" s="28" t="s">
        <v>514</v>
      </c>
      <c r="H874" s="28" t="s">
        <v>555</v>
      </c>
      <c r="I874" s="28" t="s">
        <v>516</v>
      </c>
      <c r="J874" s="28" t="s">
        <v>516</v>
      </c>
      <c r="K874" s="28" t="s">
        <v>518</v>
      </c>
      <c r="L874" s="28" t="s">
        <v>3714</v>
      </c>
      <c r="M874" s="28" t="s">
        <v>535</v>
      </c>
      <c r="N874" s="28" t="s">
        <v>557</v>
      </c>
      <c r="O874" s="28" t="s">
        <v>544</v>
      </c>
      <c r="P874" s="28" t="s">
        <v>558</v>
      </c>
      <c r="Q874" s="28" t="s">
        <v>559</v>
      </c>
      <c r="S874" s="28" t="s">
        <v>560</v>
      </c>
      <c r="T874" s="28" t="s">
        <v>561</v>
      </c>
      <c r="U874" s="28" t="s">
        <v>561</v>
      </c>
      <c r="V874" s="28" t="s">
        <v>517</v>
      </c>
      <c r="W874" s="28" t="s">
        <v>3715</v>
      </c>
      <c r="X874" s="28" t="s">
        <v>670</v>
      </c>
      <c r="Z874" s="118" t="s">
        <v>526</v>
      </c>
      <c r="AA874" s="118"/>
      <c r="AB874" s="118"/>
      <c r="AD874" s="118" t="s">
        <v>528</v>
      </c>
      <c r="AE874" s="118"/>
      <c r="AF874" s="138" t="s">
        <v>3712</v>
      </c>
      <c r="AG874" s="118" t="s">
        <v>529</v>
      </c>
      <c r="AK874" s="60" t="s">
        <v>2927</v>
      </c>
      <c r="AL874" s="117">
        <f>1/COUNTIF(Tableau6[LAT],B874)</f>
        <v>0.33333333333333331</v>
      </c>
      <c r="AM874" s="60" t="b">
        <f t="shared" si="94"/>
        <v>0</v>
      </c>
      <c r="AN874" s="60" t="b">
        <f t="shared" si="95"/>
        <v>0</v>
      </c>
      <c r="AO874" s="60" t="b">
        <f t="shared" si="96"/>
        <v>0</v>
      </c>
      <c r="AP874" s="60" t="b">
        <f t="shared" si="97"/>
        <v>0</v>
      </c>
      <c r="AQ874" s="60" t="b">
        <f t="shared" si="98"/>
        <v>0</v>
      </c>
      <c r="AR874" s="60" t="str">
        <f t="shared" si="99"/>
        <v>No</v>
      </c>
      <c r="AS874" s="60" t="str">
        <f t="shared" si="100"/>
        <v>No</v>
      </c>
    </row>
    <row r="875" spans="1:45" ht="15" hidden="1">
      <c r="A875" s="103">
        <v>45244</v>
      </c>
      <c r="B875" s="117" t="s">
        <v>3716</v>
      </c>
      <c r="C875" s="28" t="s">
        <v>511</v>
      </c>
      <c r="D875" s="28" t="s">
        <v>3717</v>
      </c>
      <c r="F875" s="28" t="s">
        <v>3718</v>
      </c>
      <c r="G875" s="28" t="s">
        <v>514</v>
      </c>
      <c r="H875" s="28" t="s">
        <v>1148</v>
      </c>
      <c r="I875" s="28" t="s">
        <v>516</v>
      </c>
      <c r="J875" s="28" t="s">
        <v>517</v>
      </c>
      <c r="K875" s="28" t="s">
        <v>518</v>
      </c>
      <c r="L875" s="28" t="s">
        <v>895</v>
      </c>
      <c r="M875" s="28" t="s">
        <v>605</v>
      </c>
      <c r="N875" s="28" t="s">
        <v>557</v>
      </c>
      <c r="O875" s="28" t="s">
        <v>544</v>
      </c>
      <c r="S875" s="28" t="s">
        <v>1041</v>
      </c>
      <c r="T875" s="28" t="s">
        <v>897</v>
      </c>
      <c r="U875" s="28" t="s">
        <v>897</v>
      </c>
      <c r="V875" s="28" t="s">
        <v>517</v>
      </c>
      <c r="W875" s="28" t="s">
        <v>3719</v>
      </c>
      <c r="Z875" s="118" t="s">
        <v>563</v>
      </c>
      <c r="AA875" s="118"/>
      <c r="AB875" s="118" t="s">
        <v>527</v>
      </c>
      <c r="AD875" s="28" t="s">
        <v>528</v>
      </c>
      <c r="AE875" s="28" t="s">
        <v>563</v>
      </c>
      <c r="AF875" s="117" t="s">
        <v>3717</v>
      </c>
      <c r="AG875" s="28" t="s">
        <v>563</v>
      </c>
      <c r="AK875" s="60" t="s">
        <v>2927</v>
      </c>
      <c r="AL875" s="117">
        <f>1/COUNTIF(Tableau6[LAT],B875)</f>
        <v>1</v>
      </c>
      <c r="AM875" s="60" t="b">
        <f t="shared" si="94"/>
        <v>0</v>
      </c>
      <c r="AN875" s="60" t="b">
        <f t="shared" si="95"/>
        <v>0</v>
      </c>
      <c r="AO875" s="60" t="b">
        <f t="shared" si="96"/>
        <v>0</v>
      </c>
      <c r="AP875" s="60" t="b">
        <f t="shared" si="97"/>
        <v>0</v>
      </c>
      <c r="AQ875" s="60" t="b">
        <f t="shared" si="98"/>
        <v>0</v>
      </c>
      <c r="AR875" s="60" t="str">
        <f t="shared" si="99"/>
        <v>No</v>
      </c>
      <c r="AS875" s="60" t="str">
        <f t="shared" si="100"/>
        <v>No</v>
      </c>
    </row>
    <row r="876" spans="1:45" ht="15" hidden="1">
      <c r="A876" s="103">
        <v>45244</v>
      </c>
      <c r="B876" s="117" t="s">
        <v>3720</v>
      </c>
      <c r="C876" s="28" t="s">
        <v>548</v>
      </c>
      <c r="D876" s="28" t="s">
        <v>3721</v>
      </c>
      <c r="F876" s="28" t="s">
        <v>696</v>
      </c>
      <c r="G876" s="28" t="s">
        <v>657</v>
      </c>
      <c r="H876" s="28" t="s">
        <v>1822</v>
      </c>
      <c r="I876" s="28" t="s">
        <v>516</v>
      </c>
      <c r="J876" s="28" t="s">
        <v>517</v>
      </c>
      <c r="K876" s="28" t="s">
        <v>518</v>
      </c>
      <c r="L876" s="28" t="s">
        <v>3082</v>
      </c>
      <c r="M876" s="28" t="s">
        <v>520</v>
      </c>
      <c r="S876" s="28" t="s">
        <v>659</v>
      </c>
      <c r="T876" s="28" t="s">
        <v>1232</v>
      </c>
      <c r="U876" s="28" t="s">
        <v>1232</v>
      </c>
      <c r="V876" s="28" t="s">
        <v>517</v>
      </c>
      <c r="W876" s="28" t="s">
        <v>3722</v>
      </c>
      <c r="Z876" s="118" t="s">
        <v>563</v>
      </c>
      <c r="AA876" s="118"/>
      <c r="AB876" s="73" t="s">
        <v>609</v>
      </c>
      <c r="AD876" s="28" t="s">
        <v>528</v>
      </c>
      <c r="AE876" s="28" t="s">
        <v>563</v>
      </c>
      <c r="AF876" s="117"/>
      <c r="AG876" s="28" t="s">
        <v>563</v>
      </c>
      <c r="AK876" s="60" t="s">
        <v>2927</v>
      </c>
      <c r="AL876" s="117">
        <f>1/COUNTIF(Tableau6[LAT],B876)</f>
        <v>1</v>
      </c>
      <c r="AM876" s="60" t="b">
        <f t="shared" si="94"/>
        <v>0</v>
      </c>
      <c r="AN876" s="60" t="b">
        <f t="shared" si="95"/>
        <v>0</v>
      </c>
      <c r="AO876" s="60" t="b">
        <f t="shared" si="96"/>
        <v>0</v>
      </c>
      <c r="AP876" s="60" t="b">
        <f t="shared" si="97"/>
        <v>0</v>
      </c>
      <c r="AQ876" s="60" t="b">
        <f t="shared" si="98"/>
        <v>0</v>
      </c>
      <c r="AR876" s="60" t="str">
        <f t="shared" si="99"/>
        <v>No</v>
      </c>
      <c r="AS876" s="60" t="str">
        <f t="shared" si="100"/>
        <v>No</v>
      </c>
    </row>
    <row r="877" spans="1:45" ht="15" hidden="1">
      <c r="A877" s="103">
        <v>45244</v>
      </c>
      <c r="B877" s="117" t="s">
        <v>1632</v>
      </c>
      <c r="C877" s="28" t="s">
        <v>3723</v>
      </c>
      <c r="D877" s="28" t="s">
        <v>3724</v>
      </c>
      <c r="E877" s="28" t="s">
        <v>3725</v>
      </c>
      <c r="F877" s="28" t="s">
        <v>3726</v>
      </c>
      <c r="G877" s="28" t="s">
        <v>657</v>
      </c>
      <c r="H877" s="28" t="s">
        <v>3727</v>
      </c>
      <c r="I877" s="28" t="s">
        <v>517</v>
      </c>
      <c r="J877" s="28" t="s">
        <v>517</v>
      </c>
      <c r="K877" s="28" t="s">
        <v>518</v>
      </c>
      <c r="L877" s="28" t="s">
        <v>1199</v>
      </c>
      <c r="M877" s="28" t="s">
        <v>520</v>
      </c>
      <c r="N877" s="28" t="s">
        <v>1637</v>
      </c>
      <c r="O877" s="28" t="s">
        <v>1383</v>
      </c>
      <c r="P877" s="28" t="s">
        <v>544</v>
      </c>
      <c r="Q877" s="28" t="s">
        <v>627</v>
      </c>
      <c r="S877" s="28" t="s">
        <v>573</v>
      </c>
      <c r="T877" s="28" t="s">
        <v>651</v>
      </c>
      <c r="U877" s="28" t="s">
        <v>651</v>
      </c>
      <c r="V877" s="28" t="s">
        <v>517</v>
      </c>
      <c r="W877" s="28" t="s">
        <v>3728</v>
      </c>
      <c r="X877" s="28" t="s">
        <v>1071</v>
      </c>
      <c r="Z877" s="118" t="s">
        <v>526</v>
      </c>
      <c r="AA877" s="118"/>
      <c r="AB877" s="118"/>
      <c r="AF877" s="117" t="s">
        <v>1633</v>
      </c>
      <c r="AK877" s="60" t="s">
        <v>2927</v>
      </c>
      <c r="AL877" s="117">
        <f>1/COUNTIF(Tableau6[LAT],B877)</f>
        <v>0.14285714285714285</v>
      </c>
      <c r="AM877" s="60" t="b">
        <f t="shared" si="94"/>
        <v>0</v>
      </c>
      <c r="AN877" s="60" t="b">
        <f t="shared" si="95"/>
        <v>0</v>
      </c>
      <c r="AO877" s="60" t="b">
        <f t="shared" si="96"/>
        <v>0</v>
      </c>
      <c r="AP877" s="60" t="b">
        <f t="shared" si="97"/>
        <v>0</v>
      </c>
      <c r="AQ877" s="60" t="b">
        <f t="shared" si="98"/>
        <v>0</v>
      </c>
      <c r="AR877" s="60" t="str">
        <f t="shared" si="99"/>
        <v>No</v>
      </c>
      <c r="AS877" s="60" t="str">
        <f t="shared" si="100"/>
        <v>No</v>
      </c>
    </row>
    <row r="878" spans="1:45" ht="15" hidden="1">
      <c r="A878" s="103">
        <v>45244</v>
      </c>
      <c r="B878" s="117" t="s">
        <v>3729</v>
      </c>
      <c r="C878" s="28" t="s">
        <v>511</v>
      </c>
      <c r="D878" s="28" t="s">
        <v>3730</v>
      </c>
      <c r="F878" s="28" t="s">
        <v>3731</v>
      </c>
      <c r="G878" s="28" t="s">
        <v>665</v>
      </c>
      <c r="H878" s="28" t="s">
        <v>3732</v>
      </c>
      <c r="I878" s="28" t="s">
        <v>516</v>
      </c>
      <c r="J878" s="28" t="s">
        <v>517</v>
      </c>
      <c r="K878" s="28" t="s">
        <v>518</v>
      </c>
      <c r="L878" s="28" t="s">
        <v>2925</v>
      </c>
      <c r="M878" s="28" t="s">
        <v>520</v>
      </c>
      <c r="N878" s="28" t="s">
        <v>521</v>
      </c>
      <c r="S878" s="28" t="s">
        <v>740</v>
      </c>
      <c r="T878" s="28" t="s">
        <v>1042</v>
      </c>
      <c r="U878" s="28" t="s">
        <v>1042</v>
      </c>
      <c r="V878" s="28" t="s">
        <v>517</v>
      </c>
      <c r="W878" s="28" t="s">
        <v>3733</v>
      </c>
      <c r="Z878" s="118" t="s">
        <v>563</v>
      </c>
      <c r="AA878" s="118"/>
      <c r="AB878" s="118" t="s">
        <v>527</v>
      </c>
      <c r="AF878" s="117" t="s">
        <v>1083</v>
      </c>
      <c r="AK878" s="60" t="s">
        <v>2927</v>
      </c>
      <c r="AL878" s="117">
        <f>1/COUNTIF(Tableau6[LAT],B878)</f>
        <v>1</v>
      </c>
      <c r="AM878" s="60" t="b">
        <f t="shared" si="94"/>
        <v>0</v>
      </c>
      <c r="AN878" s="60" t="b">
        <f t="shared" si="95"/>
        <v>0</v>
      </c>
      <c r="AO878" s="60" t="b">
        <f t="shared" si="96"/>
        <v>0</v>
      </c>
      <c r="AP878" s="60" t="b">
        <f t="shared" si="97"/>
        <v>0</v>
      </c>
      <c r="AQ878" s="60" t="b">
        <f t="shared" si="98"/>
        <v>0</v>
      </c>
      <c r="AR878" s="60" t="str">
        <f t="shared" si="99"/>
        <v>No</v>
      </c>
      <c r="AS878" s="60" t="str">
        <f t="shared" si="100"/>
        <v>No</v>
      </c>
    </row>
    <row r="879" spans="1:45" ht="15" hidden="1">
      <c r="A879" s="103">
        <v>45244</v>
      </c>
      <c r="B879" s="117" t="s">
        <v>3734</v>
      </c>
      <c r="C879" s="28" t="s">
        <v>548</v>
      </c>
      <c r="D879" s="28" t="s">
        <v>3735</v>
      </c>
      <c r="F879" s="28" t="s">
        <v>1672</v>
      </c>
      <c r="G879" s="28" t="s">
        <v>724</v>
      </c>
      <c r="H879" s="28" t="s">
        <v>1051</v>
      </c>
      <c r="I879" s="28" t="s">
        <v>516</v>
      </c>
      <c r="J879" s="28" t="s">
        <v>517</v>
      </c>
      <c r="K879" s="28" t="s">
        <v>518</v>
      </c>
      <c r="L879" s="28" t="s">
        <v>1879</v>
      </c>
      <c r="M879" s="28" t="s">
        <v>535</v>
      </c>
      <c r="S879" s="28" t="s">
        <v>740</v>
      </c>
      <c r="T879" s="28" t="s">
        <v>1712</v>
      </c>
      <c r="U879" s="28" t="s">
        <v>1712</v>
      </c>
      <c r="V879" s="28" t="s">
        <v>517</v>
      </c>
      <c r="W879" s="28" t="s">
        <v>3736</v>
      </c>
      <c r="Z879" s="118" t="s">
        <v>563</v>
      </c>
      <c r="AA879" s="118"/>
      <c r="AB879" s="73" t="s">
        <v>609</v>
      </c>
      <c r="AD879" s="28" t="s">
        <v>528</v>
      </c>
      <c r="AE879" s="28" t="s">
        <v>563</v>
      </c>
      <c r="AF879" s="117" t="s">
        <v>3737</v>
      </c>
      <c r="AG879" s="28" t="s">
        <v>563</v>
      </c>
      <c r="AK879" s="60" t="s">
        <v>2927</v>
      </c>
      <c r="AL879" s="117">
        <f>1/COUNTIF(Tableau6[LAT],B879)</f>
        <v>0.5</v>
      </c>
      <c r="AM879" s="60" t="b">
        <f t="shared" si="94"/>
        <v>0</v>
      </c>
      <c r="AN879" s="60" t="b">
        <f t="shared" si="95"/>
        <v>0</v>
      </c>
      <c r="AO879" s="60" t="b">
        <f t="shared" si="96"/>
        <v>0</v>
      </c>
      <c r="AP879" s="60" t="b">
        <f t="shared" si="97"/>
        <v>0</v>
      </c>
      <c r="AQ879" s="60" t="b">
        <f t="shared" si="98"/>
        <v>0</v>
      </c>
      <c r="AR879" s="60" t="str">
        <f t="shared" si="99"/>
        <v>No</v>
      </c>
      <c r="AS879" s="60" t="str">
        <f t="shared" si="100"/>
        <v>No</v>
      </c>
    </row>
    <row r="880" spans="1:45" ht="15" hidden="1">
      <c r="A880" s="103">
        <v>45244</v>
      </c>
      <c r="B880" s="117" t="s">
        <v>3734</v>
      </c>
      <c r="C880" s="28" t="s">
        <v>612</v>
      </c>
      <c r="D880" s="28" t="s">
        <v>3738</v>
      </c>
      <c r="F880" s="28" t="s">
        <v>3739</v>
      </c>
      <c r="G880" s="28" t="s">
        <v>514</v>
      </c>
      <c r="H880" s="28" t="s">
        <v>1610</v>
      </c>
      <c r="I880" s="28" t="s">
        <v>516</v>
      </c>
      <c r="J880" s="28" t="s">
        <v>517</v>
      </c>
      <c r="K880" s="28" t="s">
        <v>518</v>
      </c>
      <c r="L880" s="28" t="s">
        <v>1879</v>
      </c>
      <c r="M880" s="28" t="s">
        <v>535</v>
      </c>
      <c r="S880" s="28" t="s">
        <v>740</v>
      </c>
      <c r="T880" s="28" t="s">
        <v>1712</v>
      </c>
      <c r="U880" s="28" t="s">
        <v>1712</v>
      </c>
      <c r="V880" s="28" t="s">
        <v>517</v>
      </c>
      <c r="W880" s="28" t="s">
        <v>841</v>
      </c>
      <c r="Z880" s="118" t="s">
        <v>563</v>
      </c>
      <c r="AA880" s="118"/>
      <c r="AB880" s="73" t="s">
        <v>609</v>
      </c>
      <c r="AD880" s="28" t="s">
        <v>528</v>
      </c>
      <c r="AE880" s="28" t="s">
        <v>563</v>
      </c>
      <c r="AF880" s="117" t="s">
        <v>3735</v>
      </c>
      <c r="AG880" s="28" t="s">
        <v>563</v>
      </c>
      <c r="AK880" s="60" t="s">
        <v>2927</v>
      </c>
      <c r="AL880" s="117">
        <f>1/COUNTIF(Tableau6[LAT],B880)</f>
        <v>0.5</v>
      </c>
      <c r="AM880" s="60" t="b">
        <f t="shared" si="94"/>
        <v>0</v>
      </c>
      <c r="AN880" s="60" t="b">
        <f t="shared" si="95"/>
        <v>0</v>
      </c>
      <c r="AO880" s="60" t="b">
        <f t="shared" si="96"/>
        <v>0</v>
      </c>
      <c r="AP880" s="60" t="b">
        <f t="shared" si="97"/>
        <v>0</v>
      </c>
      <c r="AQ880" s="60" t="b">
        <f t="shared" si="98"/>
        <v>0</v>
      </c>
      <c r="AR880" s="60" t="str">
        <f t="shared" si="99"/>
        <v>No</v>
      </c>
      <c r="AS880" s="60" t="str">
        <f t="shared" si="100"/>
        <v>No</v>
      </c>
    </row>
    <row r="881" spans="1:45" ht="15" hidden="1">
      <c r="A881" s="103">
        <v>45244</v>
      </c>
      <c r="B881" s="117" t="s">
        <v>3740</v>
      </c>
      <c r="C881" s="28" t="s">
        <v>511</v>
      </c>
      <c r="D881" s="28" t="s">
        <v>3741</v>
      </c>
      <c r="F881" s="28" t="s">
        <v>3246</v>
      </c>
      <c r="G881" s="28" t="s">
        <v>958</v>
      </c>
      <c r="H881" s="28" t="s">
        <v>711</v>
      </c>
      <c r="I881" s="28" t="s">
        <v>516</v>
      </c>
      <c r="J881" s="28" t="s">
        <v>517</v>
      </c>
      <c r="K881" s="28" t="s">
        <v>682</v>
      </c>
      <c r="L881" s="28" t="s">
        <v>2131</v>
      </c>
      <c r="M881" s="28" t="s">
        <v>535</v>
      </c>
      <c r="N881" s="28" t="s">
        <v>557</v>
      </c>
      <c r="O881" s="28" t="s">
        <v>522</v>
      </c>
      <c r="S881" s="28" t="s">
        <v>1712</v>
      </c>
      <c r="T881" s="28" t="s">
        <v>545</v>
      </c>
      <c r="U881" s="28" t="s">
        <v>545</v>
      </c>
      <c r="V881" s="28" t="s">
        <v>517</v>
      </c>
      <c r="W881" s="28" t="s">
        <v>3742</v>
      </c>
      <c r="Z881" s="118" t="s">
        <v>563</v>
      </c>
      <c r="AA881" s="118"/>
      <c r="AB881" s="118" t="s">
        <v>527</v>
      </c>
      <c r="AD881" s="28" t="s">
        <v>528</v>
      </c>
      <c r="AE881" s="28" t="s">
        <v>563</v>
      </c>
      <c r="AF881" s="117" t="s">
        <v>3741</v>
      </c>
      <c r="AG881" s="28" t="s">
        <v>563</v>
      </c>
      <c r="AK881" s="60" t="s">
        <v>2927</v>
      </c>
      <c r="AL881" s="117">
        <f>1/COUNTIF(Tableau6[LAT],B881)</f>
        <v>1</v>
      </c>
      <c r="AM881" s="60" t="b">
        <f t="shared" si="94"/>
        <v>0</v>
      </c>
      <c r="AN881" s="60" t="b">
        <f t="shared" si="95"/>
        <v>0</v>
      </c>
      <c r="AO881" s="60" t="b">
        <f t="shared" si="96"/>
        <v>0</v>
      </c>
      <c r="AP881" s="60" t="b">
        <f t="shared" si="97"/>
        <v>0</v>
      </c>
      <c r="AQ881" s="60" t="b">
        <f t="shared" si="98"/>
        <v>0</v>
      </c>
      <c r="AR881" s="60" t="str">
        <f t="shared" si="99"/>
        <v>No</v>
      </c>
      <c r="AS881" s="60" t="str">
        <f t="shared" si="100"/>
        <v>No</v>
      </c>
    </row>
    <row r="882" spans="1:45" ht="15" hidden="1">
      <c r="A882" s="103">
        <v>45244</v>
      </c>
      <c r="B882" s="117" t="s">
        <v>3743</v>
      </c>
      <c r="C882" s="28" t="s">
        <v>511</v>
      </c>
      <c r="D882" s="28" t="s">
        <v>3744</v>
      </c>
      <c r="E882" s="28" t="s">
        <v>3745</v>
      </c>
      <c r="F882" s="28" t="s">
        <v>3746</v>
      </c>
      <c r="G882" s="28" t="s">
        <v>3747</v>
      </c>
      <c r="H882" s="28" t="s">
        <v>3748</v>
      </c>
      <c r="I882" s="28" t="s">
        <v>516</v>
      </c>
      <c r="J882" s="28" t="s">
        <v>517</v>
      </c>
      <c r="K882" s="28" t="s">
        <v>518</v>
      </c>
      <c r="L882" s="28" t="s">
        <v>3749</v>
      </c>
      <c r="M882" s="28" t="s">
        <v>605</v>
      </c>
      <c r="S882" s="28" t="s">
        <v>1263</v>
      </c>
      <c r="T882" s="28" t="s">
        <v>1918</v>
      </c>
      <c r="U882" s="28" t="s">
        <v>1918</v>
      </c>
      <c r="V882" s="28" t="s">
        <v>517</v>
      </c>
      <c r="W882" s="28" t="s">
        <v>3750</v>
      </c>
      <c r="X882" s="28" t="s">
        <v>670</v>
      </c>
      <c r="Z882" s="118" t="s">
        <v>526</v>
      </c>
      <c r="AA882" s="118"/>
      <c r="AB882" s="118"/>
      <c r="AF882" s="117" t="s">
        <v>1083</v>
      </c>
      <c r="AK882" s="60" t="s">
        <v>2927</v>
      </c>
      <c r="AL882" s="117">
        <f>1/COUNTIF(Tableau6[LAT],B882)</f>
        <v>1</v>
      </c>
      <c r="AM882" s="60" t="b">
        <f t="shared" si="94"/>
        <v>0</v>
      </c>
      <c r="AN882" s="60" t="b">
        <f t="shared" si="95"/>
        <v>0</v>
      </c>
      <c r="AO882" s="60" t="b">
        <f t="shared" si="96"/>
        <v>0</v>
      </c>
      <c r="AP882" s="60" t="b">
        <f t="shared" si="97"/>
        <v>0</v>
      </c>
      <c r="AQ882" s="60" t="b">
        <f t="shared" si="98"/>
        <v>0</v>
      </c>
      <c r="AR882" s="60" t="str">
        <f t="shared" si="99"/>
        <v>No</v>
      </c>
      <c r="AS882" s="60" t="str">
        <f t="shared" si="100"/>
        <v>No</v>
      </c>
    </row>
    <row r="883" spans="1:45" ht="15" hidden="1">
      <c r="A883" s="103">
        <v>45244</v>
      </c>
      <c r="B883" s="117" t="s">
        <v>3751</v>
      </c>
      <c r="C883" s="28" t="s">
        <v>511</v>
      </c>
      <c r="D883" s="28" t="s">
        <v>3752</v>
      </c>
      <c r="F883" s="28" t="s">
        <v>1031</v>
      </c>
      <c r="G883" s="28" t="s">
        <v>514</v>
      </c>
      <c r="H883" s="28" t="s">
        <v>1953</v>
      </c>
      <c r="I883" s="28" t="s">
        <v>516</v>
      </c>
      <c r="J883" s="28" t="s">
        <v>517</v>
      </c>
      <c r="K883" s="28" t="s">
        <v>518</v>
      </c>
      <c r="L883" s="28" t="s">
        <v>981</v>
      </c>
      <c r="M883" s="28" t="s">
        <v>535</v>
      </c>
      <c r="N883" s="28" t="s">
        <v>544</v>
      </c>
      <c r="O883" s="28" t="s">
        <v>522</v>
      </c>
      <c r="S883" s="28" t="s">
        <v>606</v>
      </c>
      <c r="T883" s="28" t="s">
        <v>982</v>
      </c>
      <c r="U883" s="28" t="s">
        <v>982</v>
      </c>
      <c r="V883" s="28" t="s">
        <v>517</v>
      </c>
      <c r="W883" s="28" t="s">
        <v>3753</v>
      </c>
      <c r="Z883" s="118" t="s">
        <v>563</v>
      </c>
      <c r="AA883" s="118"/>
      <c r="AB883" s="28" t="s">
        <v>923</v>
      </c>
      <c r="AC883" s="28" t="s">
        <v>2976</v>
      </c>
      <c r="AD883" s="28" t="s">
        <v>528</v>
      </c>
      <c r="AE883" s="28" t="s">
        <v>563</v>
      </c>
      <c r="AF883" s="117" t="s">
        <v>3752</v>
      </c>
      <c r="AG883" s="28" t="s">
        <v>563</v>
      </c>
      <c r="AK883" s="60" t="s">
        <v>2927</v>
      </c>
      <c r="AL883" s="117">
        <f>1/COUNTIF(Tableau6[LAT],B883)</f>
        <v>1</v>
      </c>
      <c r="AM883" s="60" t="b">
        <f t="shared" si="94"/>
        <v>0</v>
      </c>
      <c r="AN883" s="60" t="b">
        <f t="shared" si="95"/>
        <v>0</v>
      </c>
      <c r="AO883" s="60" t="b">
        <f t="shared" si="96"/>
        <v>0</v>
      </c>
      <c r="AP883" s="60" t="b">
        <f t="shared" si="97"/>
        <v>0</v>
      </c>
      <c r="AQ883" s="60" t="b">
        <f t="shared" si="98"/>
        <v>0</v>
      </c>
      <c r="AR883" s="60" t="str">
        <f t="shared" si="99"/>
        <v>No</v>
      </c>
      <c r="AS883" s="60" t="str">
        <f t="shared" si="100"/>
        <v>No</v>
      </c>
    </row>
    <row r="884" spans="1:45" ht="15" hidden="1">
      <c r="A884" s="103">
        <v>45244</v>
      </c>
      <c r="B884" s="117" t="s">
        <v>3754</v>
      </c>
      <c r="C884" s="28" t="s">
        <v>511</v>
      </c>
      <c r="D884" s="28" t="s">
        <v>3755</v>
      </c>
      <c r="F884" s="28" t="s">
        <v>1050</v>
      </c>
      <c r="G884" s="28" t="s">
        <v>514</v>
      </c>
      <c r="H884" s="28" t="s">
        <v>1187</v>
      </c>
      <c r="I884" s="28" t="s">
        <v>516</v>
      </c>
      <c r="J884" s="28" t="s">
        <v>517</v>
      </c>
      <c r="K884" s="28" t="s">
        <v>518</v>
      </c>
      <c r="L884" s="28" t="s">
        <v>3313</v>
      </c>
      <c r="M884" s="28" t="s">
        <v>520</v>
      </c>
      <c r="N884" s="28" t="s">
        <v>934</v>
      </c>
      <c r="O884" s="28" t="s">
        <v>522</v>
      </c>
      <c r="S884" s="28" t="s">
        <v>3756</v>
      </c>
      <c r="T884" s="28" t="s">
        <v>705</v>
      </c>
      <c r="U884" s="28" t="s">
        <v>705</v>
      </c>
      <c r="V884" s="28" t="s">
        <v>517</v>
      </c>
      <c r="W884" s="28" t="s">
        <v>3757</v>
      </c>
      <c r="Z884" s="118" t="s">
        <v>563</v>
      </c>
      <c r="AA884" s="118"/>
      <c r="AB884" s="118" t="s">
        <v>527</v>
      </c>
      <c r="AD884" s="28" t="s">
        <v>954</v>
      </c>
      <c r="AE884" s="28" t="s">
        <v>563</v>
      </c>
      <c r="AF884" s="117" t="s">
        <v>3755</v>
      </c>
      <c r="AG884" s="28" t="s">
        <v>563</v>
      </c>
      <c r="AK884" s="60" t="s">
        <v>2927</v>
      </c>
      <c r="AL884" s="117">
        <f>1/COUNTIF(Tableau6[LAT],B884)</f>
        <v>1</v>
      </c>
      <c r="AM884" s="60" t="b">
        <f t="shared" ref="AM884:AM947" si="101">IF(N884="ALM","Yes",IF(N884="ALI","Yes",IF(N884="CAO","Yes",IF(N884="ICE","Yes",IF(N884="MAG","Yes",IF(N884="MAG","Yes",IF(N884="RBI","Yes",IF(N884="RBM","Yes",IF(N884="RCL","Yes",IF(N884="RCM","Yes",IF(N884="RCX","Yes",IF(N884="RDS","Yes",IF(N884="REQ","Yes",IF(N884="REX","Yes",IF(N884="RFG","Yes",IF(N884="RFL","Yes",IF(N884="RFS","Yes",IF(N884="RFW","Yes",IF(N884="RGX","Yes",IF(N884="RIS",IF(N884="RLI","Yes",IF(N884="RLM","Yes",IF(N884="RMD","Yes",IF(N884="RNG","Yes",IF(N884="ROP","Yes",IF(N884="ROX","Yes",IF(N884="RPB","Yes",IF(N884="RPG","Yes",IF(N884="RRE","Yes",IF(N884="RRW","Yes",IF(N884="RRY","Yes",IF(N884="RSB","Yes",IF(N884="RSC","Yes",IF(N884="RXB","Yes",IF(N884="RXC","Yes",IF(N884="RXD","Yes",IF(N884="RXE","Yes",IF(N884="RXG","Yes",IF(N884="RXS","Yes",)))))))))))))))))))))))))))))))))))))))</f>
        <v>0</v>
      </c>
      <c r="AN884" s="60" t="b">
        <f t="shared" ref="AN884:AN947" si="102">IF(O884="ALM","Yes",IF(O884="ALI","Yes",IF(O884="CAO","Yes",IF(O884="ICE","Yes",IF(O884="MAG","Yes",IF(O884="MAG","Yes",IF(O884="RBI","Yes",IF(O884="RBM","Yes",IF(O884="RCL","Yes",IF(O884="RCM","Yes",IF(O884="RCX","Yes",IF(O884="RDS","Yes",IF(O884="REQ","Yes",IF(O884="REX","Yes",IF(O884="RFG","Yes",IF(O884="RFL","Yes",IF(O884="RFS","Yes",IF(O884="RFW","Yes",IF(O884="RGX","Yes",IF(O884="RIS",IF(O884="RLI","Yes",IF(O884="RLM","Yes",IF(O884="RMD","Yes",IF(O884="RNG","Yes",IF(O884="ROP","Yes",IF(O884="ROX","Yes",IF(O884="RPB","Yes",IF(O884="RPG","Yes",IF(O884="RRE","Yes",IF(O884="RRW","Yes",IF(O884="RRY","Yes",IF(O884="RSB","Yes",IF(O884="RSC","Yes",IF(O884="RXB","Yes",IF(O884="RXC","Yes",IF(O884="RXD","Yes",IF(O884="RXE","Yes",IF(O884="RXG","Yes",IF(O884="RXS","Yes",)))))))))))))))))))))))))))))))))))))))</f>
        <v>0</v>
      </c>
      <c r="AO884" s="60" t="b">
        <f t="shared" ref="AO884:AO947" si="103">IF(P884="ALM","Yes",IF(P884="ALI","Yes",IF(P884="CAO","Yes",IF(P884="ICE","Yes",IF(P884="MAG","Yes",IF(P884="MAG","Yes",IF(P884="RBI","Yes",IF(P884="RBM","Yes",IF(P884="RCL","Yes",IF(P884="RCM","Yes",IF(P884="RCX","Yes",IF(P884="RDS","Yes",IF(P884="REQ","Yes",IF(P884="REX","Yes",IF(P884="RFG","Yes",IF(P884="RFL","Yes",IF(P884="RFS","Yes",IF(P884="RFW","Yes",IF(P884="RGX","Yes",IF(P884="RIS",IF(P884="RLI","Yes",IF(P884="RLM","Yes",IF(P884="RMD","Yes",IF(P884="RNG","Yes",IF(P884="ROP","Yes",IF(P884="ROX","Yes",IF(P884="RPB","Yes",IF(P884="RPG","Yes",IF(P884="RRE","Yes",IF(P884="RRW","Yes",IF(P884="RRY","Yes",IF(P884="RSB","Yes",IF(P884="RSC","Yes",IF(P884="RXB","Yes",IF(P884="RXC","Yes",IF(P884="RXD","Yes",IF(P884="RXE","Yes",IF(P884="RXG","Yes",IF(P884="RXS","Yes",)))))))))))))))))))))))))))))))))))))))</f>
        <v>0</v>
      </c>
      <c r="AP884" s="60" t="b">
        <f t="shared" ref="AP884:AP947" si="104">IF(Q884="ALM","Yes",IF(Q884="ALI","Yes",IF(Q884="CAO","Yes",IF(Q884="ICE","Yes",IF(Q884="MAG","Yes",IF(Q884="MAG","Yes",IF(Q884="RBI","Yes",IF(Q884="RBM","Yes",IF(Q884="RCL","Yes",IF(Q884="RCM","Yes",IF(Q884="RCX","Yes",IF(Q884="RDS","Yes",IF(Q884="REQ","Yes",IF(Q884="REX","Yes",IF(Q884="RFG","Yes",IF(Q884="RFL","Yes",IF(Q884="RFS","Yes",IF(Q884="RFW","Yes",IF(Q884="RGX","Yes",IF(Q884="RIS",IF(Q884="RLI","Yes",IF(Q884="RLM","Yes",IF(Q884="RMD","Yes",IF(Q884="RNG","Yes",IF(Q884="ROP","Yes",IF(Q884="ROX","Yes",IF(Q884="RPB","Yes",IF(Q884="RPG","Yes",IF(Q884="RRE","Yes",IF(Q884="RRW","Yes",IF(Q884="RRY","Yes",IF(Q884="RSB","Yes",IF(Q884="RSC","Yes",IF(Q884="RXB","Yes",IF(Q884="RXC","Yes",IF(Q884="RXD","Yes",IF(Q884="RXE","Yes",IF(Q884="RXG","Yes",IF(Q884="RXS","Yes",)))))))))))))))))))))))))))))))))))))))</f>
        <v>0</v>
      </c>
      <c r="AQ884" s="60" t="b">
        <f t="shared" ref="AQ884:AQ947" si="105">IF(R884="ALM","Yes",IF(R884="ALI","Yes",IF(R884="CAO","Yes",IF(R884="ICE","Yes",IF(R884="MAG","Yes",IF(R884="MAG","Yes",IF(R884="RBI","Yes",IF(R884="RBM","Yes",IF(R884="RCL","Yes",IF(R884="RCM","Yes",IF(R884="RCX","Yes",IF(R884="RDS","Yes",IF(R884="REQ","Yes",IF(R884="REX","Yes",IF(R884="RFG","Yes",IF(R884="RFL","Yes",IF(R884="RFS","Yes",IF(R884="RFW","Yes",IF(R884="RGX","Yes",IF(R884="RIS",IF(R884="RLI","Yes",IF(R884="RLM","Yes",IF(R884="RMD","Yes",IF(R884="RNG","Yes",IF(R884="ROP","Yes",IF(R884="ROX","Yes",IF(R884="RPB","Yes",IF(R884="RPG","Yes",IF(R884="RRE","Yes",IF(R884="RRW","Yes",IF(R884="RRY","Yes",IF(R884="RSB","Yes",IF(R884="RSC","Yes",IF(R884="RXB","Yes",IF(R884="RXC","Yes",IF(R884="RXD","Yes",IF(R884="RXE","Yes",IF(R884="RXG","Yes",IF(R884="RXS","Yes",)))))))))))))))))))))))))))))))))))))))</f>
        <v>0</v>
      </c>
      <c r="AR884" s="60" t="str">
        <f t="shared" ref="AR884:AR947" si="106">IF(AM884="Yes","Yes",IF(AN884="Yes","Yes",IF(AO884="yes","Yes",IF(AP884="Yes","Yes","No"))))</f>
        <v>No</v>
      </c>
      <c r="AS884" s="60" t="str">
        <f t="shared" ref="AS884:AS947" si="107">IF(S884="QFA","Yes",IF(S884="LCJ","Yes",IF(S884="CAJ","Yes",IF(S884="WRO","Yes",IF(S884="BEY","Yes",IF(S884="TUN","Yes",IF(S884="LFW","Yes",IF(S884="DLA","Yes",IF(S884="NSI","Yes",IF(S884="OUA","Yes",IF(S884="IAH","Yes",IF(S884="LYS","Yes",IF(S884="DSS","Yes",IF(S884="BKO","Yes",IF(S884="BZV","Yes",IF(S884="COO","Yes",IF(S884="EZE","Yes",IF(S884="CKY","Yes",IF(S884="PTP","Yes",IF(S884="ORD","Yes",IF(S884="CFE","Yes",IF(S884="NKC","Yes",IF(S884="FDF","Yes",IF(S884="SDQ","Yes",IF(S884="PNR","Yes",IF(S884="ICAY","Yes",IF(S884="DTW","Yes",IF(S884="TNR","Yes",IF(S884="RUN","Yes",IF(S884="NIM","Yes","No"))))))))))))))))))))))))))))))</f>
        <v>No</v>
      </c>
    </row>
    <row r="885" spans="1:45" ht="15" hidden="1">
      <c r="A885" s="103">
        <v>45244</v>
      </c>
      <c r="B885" s="117" t="s">
        <v>3758</v>
      </c>
      <c r="C885" s="28" t="s">
        <v>548</v>
      </c>
      <c r="D885" s="28" t="s">
        <v>3759</v>
      </c>
      <c r="F885" s="28" t="s">
        <v>3760</v>
      </c>
      <c r="G885" s="28" t="s">
        <v>514</v>
      </c>
      <c r="H885" s="28" t="s">
        <v>1120</v>
      </c>
      <c r="I885" s="28" t="s">
        <v>516</v>
      </c>
      <c r="J885" s="28" t="s">
        <v>517</v>
      </c>
      <c r="K885" s="28" t="s">
        <v>682</v>
      </c>
      <c r="L885" s="28" t="s">
        <v>3648</v>
      </c>
      <c r="M885" s="28" t="s">
        <v>535</v>
      </c>
      <c r="N885" s="28" t="s">
        <v>557</v>
      </c>
      <c r="O885" s="28" t="s">
        <v>544</v>
      </c>
      <c r="P885" s="28" t="s">
        <v>522</v>
      </c>
      <c r="S885" s="28" t="s">
        <v>698</v>
      </c>
      <c r="T885" s="28" t="s">
        <v>1857</v>
      </c>
      <c r="U885" s="28" t="s">
        <v>1857</v>
      </c>
      <c r="V885" s="28" t="s">
        <v>517</v>
      </c>
      <c r="W885" s="28" t="s">
        <v>3761</v>
      </c>
      <c r="Z885" s="118" t="s">
        <v>563</v>
      </c>
      <c r="AA885" s="118"/>
      <c r="AB885" s="118" t="s">
        <v>527</v>
      </c>
      <c r="AD885" s="28" t="s">
        <v>528</v>
      </c>
      <c r="AE885" s="28" t="s">
        <v>563</v>
      </c>
      <c r="AF885" s="117" t="s">
        <v>3762</v>
      </c>
      <c r="AG885" s="28" t="s">
        <v>563</v>
      </c>
      <c r="AK885" s="60" t="s">
        <v>2927</v>
      </c>
      <c r="AL885" s="117">
        <f>1/COUNTIF(Tableau6[LAT],B885)</f>
        <v>1</v>
      </c>
      <c r="AM885" s="60" t="b">
        <f t="shared" si="101"/>
        <v>0</v>
      </c>
      <c r="AN885" s="60" t="b">
        <f t="shared" si="102"/>
        <v>0</v>
      </c>
      <c r="AO885" s="60" t="b">
        <f t="shared" si="103"/>
        <v>0</v>
      </c>
      <c r="AP885" s="60" t="b">
        <f t="shared" si="104"/>
        <v>0</v>
      </c>
      <c r="AQ885" s="60" t="b">
        <f t="shared" si="105"/>
        <v>0</v>
      </c>
      <c r="AR885" s="60" t="str">
        <f t="shared" si="106"/>
        <v>No</v>
      </c>
      <c r="AS885" s="60" t="str">
        <f t="shared" si="107"/>
        <v>No</v>
      </c>
    </row>
    <row r="886" spans="1:45" ht="15" hidden="1">
      <c r="A886" s="103">
        <v>45244</v>
      </c>
      <c r="B886" s="117" t="s">
        <v>3763</v>
      </c>
      <c r="C886" s="28" t="s">
        <v>511</v>
      </c>
      <c r="D886" s="28">
        <v>5747342621001</v>
      </c>
      <c r="F886" s="28" t="s">
        <v>3764</v>
      </c>
      <c r="G886" s="28" t="s">
        <v>514</v>
      </c>
      <c r="H886" s="28" t="s">
        <v>1822</v>
      </c>
      <c r="I886" s="28" t="s">
        <v>516</v>
      </c>
      <c r="J886" s="28" t="s">
        <v>517</v>
      </c>
      <c r="K886" s="28" t="s">
        <v>682</v>
      </c>
      <c r="L886" s="28" t="s">
        <v>683</v>
      </c>
      <c r="M886" s="28" t="s">
        <v>535</v>
      </c>
      <c r="N886" s="28" t="s">
        <v>2616</v>
      </c>
      <c r="O886" s="28" t="s">
        <v>2617</v>
      </c>
      <c r="S886" s="28" t="s">
        <v>719</v>
      </c>
      <c r="T886" s="28" t="s">
        <v>545</v>
      </c>
      <c r="U886" s="28" t="s">
        <v>545</v>
      </c>
      <c r="V886" s="28" t="s">
        <v>517</v>
      </c>
      <c r="W886" s="28" t="s">
        <v>3765</v>
      </c>
      <c r="Z886" s="118" t="s">
        <v>563</v>
      </c>
      <c r="AA886" s="118"/>
      <c r="AB886" s="73" t="s">
        <v>3766</v>
      </c>
      <c r="AD886" s="28" t="s">
        <v>528</v>
      </c>
      <c r="AE886" s="28" t="s">
        <v>529</v>
      </c>
      <c r="AF886" s="117" t="s">
        <v>3767</v>
      </c>
      <c r="AG886" s="28" t="s">
        <v>529</v>
      </c>
      <c r="AK886" s="60" t="s">
        <v>2927</v>
      </c>
      <c r="AL886" s="117">
        <f>1/COUNTIF(Tableau6[LAT],B886)</f>
        <v>1</v>
      </c>
      <c r="AM886" s="60" t="str">
        <f t="shared" si="101"/>
        <v>Yes</v>
      </c>
      <c r="AN886" s="60" t="str">
        <f t="shared" si="102"/>
        <v>Yes</v>
      </c>
      <c r="AO886" s="60" t="b">
        <f t="shared" si="103"/>
        <v>0</v>
      </c>
      <c r="AP886" s="60" t="b">
        <f t="shared" si="104"/>
        <v>0</v>
      </c>
      <c r="AQ886" s="60" t="b">
        <f t="shared" si="105"/>
        <v>0</v>
      </c>
      <c r="AR886" s="60" t="str">
        <f t="shared" si="106"/>
        <v>Yes</v>
      </c>
      <c r="AS886" s="60" t="str">
        <f t="shared" si="107"/>
        <v>Yes</v>
      </c>
    </row>
    <row r="887" spans="1:45" ht="15" hidden="1">
      <c r="A887" s="103">
        <v>45244</v>
      </c>
      <c r="B887" s="117" t="s">
        <v>3768</v>
      </c>
      <c r="C887" s="28" t="s">
        <v>511</v>
      </c>
      <c r="D887" s="28" t="s">
        <v>3769</v>
      </c>
      <c r="F887" s="28" t="s">
        <v>3770</v>
      </c>
      <c r="G887" s="28" t="s">
        <v>514</v>
      </c>
      <c r="H887" s="28" t="s">
        <v>3771</v>
      </c>
      <c r="I887" s="28" t="s">
        <v>516</v>
      </c>
      <c r="J887" s="28" t="s">
        <v>517</v>
      </c>
      <c r="K887" s="28" t="s">
        <v>518</v>
      </c>
      <c r="L887" s="28" t="s">
        <v>2100</v>
      </c>
      <c r="M887" s="28" t="s">
        <v>535</v>
      </c>
      <c r="N887" s="28" t="s">
        <v>557</v>
      </c>
      <c r="O887" s="28" t="s">
        <v>559</v>
      </c>
      <c r="S887" s="28" t="s">
        <v>1211</v>
      </c>
      <c r="T887" s="28" t="s">
        <v>1918</v>
      </c>
      <c r="U887" s="28" t="s">
        <v>1918</v>
      </c>
      <c r="V887" s="28" t="s">
        <v>517</v>
      </c>
      <c r="W887" s="28" t="s">
        <v>3772</v>
      </c>
      <c r="Z887" s="118" t="s">
        <v>563</v>
      </c>
      <c r="AA887" s="118"/>
      <c r="AB887" s="118" t="s">
        <v>527</v>
      </c>
      <c r="AD887" s="28" t="s">
        <v>528</v>
      </c>
      <c r="AE887" s="28" t="s">
        <v>563</v>
      </c>
      <c r="AF887" s="117" t="s">
        <v>3769</v>
      </c>
      <c r="AG887" s="28" t="s">
        <v>563</v>
      </c>
      <c r="AK887" s="60" t="s">
        <v>2927</v>
      </c>
      <c r="AL887" s="117">
        <f>1/COUNTIF(Tableau6[LAT],B887)</f>
        <v>0.5</v>
      </c>
      <c r="AM887" s="60" t="b">
        <f t="shared" si="101"/>
        <v>0</v>
      </c>
      <c r="AN887" s="60" t="b">
        <f t="shared" si="102"/>
        <v>0</v>
      </c>
      <c r="AO887" s="60" t="b">
        <f t="shared" si="103"/>
        <v>0</v>
      </c>
      <c r="AP887" s="60" t="b">
        <f t="shared" si="104"/>
        <v>0</v>
      </c>
      <c r="AQ887" s="60" t="b">
        <f t="shared" si="105"/>
        <v>0</v>
      </c>
      <c r="AR887" s="60" t="str">
        <f t="shared" si="106"/>
        <v>No</v>
      </c>
      <c r="AS887" s="60" t="str">
        <f t="shared" si="107"/>
        <v>No</v>
      </c>
    </row>
    <row r="888" spans="1:45" ht="15" hidden="1">
      <c r="A888" s="103">
        <v>45244</v>
      </c>
      <c r="B888" s="117" t="s">
        <v>3768</v>
      </c>
      <c r="C888" s="28" t="s">
        <v>548</v>
      </c>
      <c r="D888" s="28" t="s">
        <v>3773</v>
      </c>
      <c r="F888" s="28" t="s">
        <v>3770</v>
      </c>
      <c r="G888" s="28" t="s">
        <v>514</v>
      </c>
      <c r="H888" s="28" t="s">
        <v>3771</v>
      </c>
      <c r="I888" s="28" t="s">
        <v>516</v>
      </c>
      <c r="J888" s="28" t="s">
        <v>517</v>
      </c>
      <c r="K888" s="28" t="s">
        <v>518</v>
      </c>
      <c r="L888" s="28" t="s">
        <v>2100</v>
      </c>
      <c r="M888" s="28" t="s">
        <v>535</v>
      </c>
      <c r="N888" s="28" t="s">
        <v>557</v>
      </c>
      <c r="O888" s="28" t="s">
        <v>559</v>
      </c>
      <c r="S888" s="28" t="s">
        <v>1211</v>
      </c>
      <c r="T888" s="28" t="s">
        <v>1918</v>
      </c>
      <c r="U888" s="28" t="s">
        <v>1918</v>
      </c>
      <c r="V888" s="28" t="s">
        <v>517</v>
      </c>
      <c r="W888" s="28" t="s">
        <v>3774</v>
      </c>
      <c r="Z888" s="118" t="s">
        <v>563</v>
      </c>
      <c r="AA888" s="118"/>
      <c r="AB888" s="118" t="s">
        <v>527</v>
      </c>
      <c r="AD888" s="28" t="s">
        <v>528</v>
      </c>
      <c r="AE888" s="28" t="s">
        <v>563</v>
      </c>
      <c r="AF888" s="117" t="s">
        <v>3769</v>
      </c>
      <c r="AG888" s="28" t="s">
        <v>563</v>
      </c>
      <c r="AK888" s="60" t="s">
        <v>2927</v>
      </c>
      <c r="AL888" s="117">
        <f>1/COUNTIF(Tableau6[LAT],B888)</f>
        <v>0.5</v>
      </c>
      <c r="AM888" s="60" t="b">
        <f t="shared" si="101"/>
        <v>0</v>
      </c>
      <c r="AN888" s="60" t="b">
        <f t="shared" si="102"/>
        <v>0</v>
      </c>
      <c r="AO888" s="60" t="b">
        <f t="shared" si="103"/>
        <v>0</v>
      </c>
      <c r="AP888" s="60" t="b">
        <f t="shared" si="104"/>
        <v>0</v>
      </c>
      <c r="AQ888" s="60" t="b">
        <f t="shared" si="105"/>
        <v>0</v>
      </c>
      <c r="AR888" s="60" t="str">
        <f t="shared" si="106"/>
        <v>No</v>
      </c>
      <c r="AS888" s="60" t="str">
        <f t="shared" si="107"/>
        <v>No</v>
      </c>
    </row>
    <row r="889" spans="1:45" ht="15" hidden="1">
      <c r="A889" s="103">
        <v>45244</v>
      </c>
      <c r="B889" s="117" t="s">
        <v>3775</v>
      </c>
      <c r="C889" s="28" t="s">
        <v>511</v>
      </c>
      <c r="D889" s="28" t="s">
        <v>3776</v>
      </c>
      <c r="E889" s="28" t="s">
        <v>3777</v>
      </c>
      <c r="F889" s="28" t="s">
        <v>3778</v>
      </c>
      <c r="G889" s="28" t="s">
        <v>514</v>
      </c>
      <c r="H889" s="28" t="s">
        <v>1340</v>
      </c>
      <c r="I889" s="28" t="s">
        <v>516</v>
      </c>
      <c r="J889" s="28" t="s">
        <v>517</v>
      </c>
      <c r="K889" s="28" t="s">
        <v>518</v>
      </c>
      <c r="L889" s="28" t="s">
        <v>739</v>
      </c>
      <c r="M889" s="28" t="s">
        <v>535</v>
      </c>
      <c r="N889" s="28" t="s">
        <v>557</v>
      </c>
      <c r="O889" s="28" t="s">
        <v>544</v>
      </c>
      <c r="P889" s="28" t="s">
        <v>559</v>
      </c>
      <c r="S889" s="28" t="s">
        <v>606</v>
      </c>
      <c r="T889" s="28" t="s">
        <v>741</v>
      </c>
      <c r="U889" s="28" t="s">
        <v>741</v>
      </c>
      <c r="V889" s="28" t="s">
        <v>517</v>
      </c>
      <c r="W889" s="28" t="s">
        <v>3779</v>
      </c>
      <c r="X889" s="28" t="s">
        <v>670</v>
      </c>
      <c r="Z889" s="118" t="s">
        <v>526</v>
      </c>
      <c r="AA889" s="118"/>
      <c r="AB889" s="118"/>
      <c r="AD889" s="28" t="s">
        <v>954</v>
      </c>
      <c r="AE889" s="28" t="s">
        <v>563</v>
      </c>
      <c r="AF889" s="117" t="s">
        <v>3776</v>
      </c>
      <c r="AG889" s="28" t="s">
        <v>563</v>
      </c>
      <c r="AK889" s="60" t="s">
        <v>2927</v>
      </c>
      <c r="AL889" s="117">
        <f>1/COUNTIF(Tableau6[LAT],B889)</f>
        <v>0.25</v>
      </c>
      <c r="AM889" s="60" t="b">
        <f t="shared" si="101"/>
        <v>0</v>
      </c>
      <c r="AN889" s="60" t="b">
        <f t="shared" si="102"/>
        <v>0</v>
      </c>
      <c r="AO889" s="60" t="b">
        <f t="shared" si="103"/>
        <v>0</v>
      </c>
      <c r="AP889" s="60" t="b">
        <f t="shared" si="104"/>
        <v>0</v>
      </c>
      <c r="AQ889" s="60" t="b">
        <f t="shared" si="105"/>
        <v>0</v>
      </c>
      <c r="AR889" s="60" t="str">
        <f t="shared" si="106"/>
        <v>No</v>
      </c>
      <c r="AS889" s="60" t="str">
        <f t="shared" si="107"/>
        <v>No</v>
      </c>
    </row>
    <row r="890" spans="1:45" ht="15" hidden="1">
      <c r="A890" s="103">
        <v>45244</v>
      </c>
      <c r="B890" s="117" t="s">
        <v>3775</v>
      </c>
      <c r="C890" s="28" t="s">
        <v>548</v>
      </c>
      <c r="D890" s="28" t="s">
        <v>3780</v>
      </c>
      <c r="E890" s="28" t="s">
        <v>3777</v>
      </c>
      <c r="F890" s="28" t="s">
        <v>3781</v>
      </c>
      <c r="G890" s="28" t="s">
        <v>514</v>
      </c>
      <c r="H890" s="28" t="s">
        <v>1340</v>
      </c>
      <c r="I890" s="28" t="s">
        <v>516</v>
      </c>
      <c r="J890" s="28" t="s">
        <v>517</v>
      </c>
      <c r="K890" s="28" t="s">
        <v>518</v>
      </c>
      <c r="L890" s="28" t="s">
        <v>739</v>
      </c>
      <c r="M890" s="28" t="s">
        <v>535</v>
      </c>
      <c r="N890" s="28" t="s">
        <v>557</v>
      </c>
      <c r="O890" s="28" t="s">
        <v>544</v>
      </c>
      <c r="P890" s="28" t="s">
        <v>559</v>
      </c>
      <c r="S890" s="28" t="s">
        <v>606</v>
      </c>
      <c r="T890" s="28" t="s">
        <v>741</v>
      </c>
      <c r="U890" s="28" t="s">
        <v>741</v>
      </c>
      <c r="V890" s="28" t="s">
        <v>517</v>
      </c>
      <c r="W890" s="28" t="s">
        <v>3779</v>
      </c>
      <c r="X890" s="28" t="s">
        <v>670</v>
      </c>
      <c r="Z890" s="118" t="s">
        <v>526</v>
      </c>
      <c r="AA890" s="118"/>
      <c r="AB890" s="118"/>
      <c r="AD890" s="28" t="s">
        <v>954</v>
      </c>
      <c r="AE890" s="28" t="s">
        <v>563</v>
      </c>
      <c r="AF890" s="117" t="s">
        <v>3780</v>
      </c>
      <c r="AG890" s="28" t="s">
        <v>563</v>
      </c>
      <c r="AK890" s="60" t="s">
        <v>2927</v>
      </c>
      <c r="AL890" s="117">
        <f>1/COUNTIF(Tableau6[LAT],B890)</f>
        <v>0.25</v>
      </c>
      <c r="AM890" s="60" t="b">
        <f t="shared" si="101"/>
        <v>0</v>
      </c>
      <c r="AN890" s="60" t="b">
        <f t="shared" si="102"/>
        <v>0</v>
      </c>
      <c r="AO890" s="60" t="b">
        <f t="shared" si="103"/>
        <v>0</v>
      </c>
      <c r="AP890" s="60" t="b">
        <f t="shared" si="104"/>
        <v>0</v>
      </c>
      <c r="AQ890" s="60" t="b">
        <f t="shared" si="105"/>
        <v>0</v>
      </c>
      <c r="AR890" s="60" t="str">
        <f t="shared" si="106"/>
        <v>No</v>
      </c>
      <c r="AS890" s="60" t="str">
        <f t="shared" si="107"/>
        <v>No</v>
      </c>
    </row>
    <row r="891" spans="1:45" ht="15" hidden="1">
      <c r="A891" s="103">
        <v>45244</v>
      </c>
      <c r="B891" s="117" t="s">
        <v>3775</v>
      </c>
      <c r="C891" s="28" t="s">
        <v>612</v>
      </c>
      <c r="D891" s="28" t="s">
        <v>3782</v>
      </c>
      <c r="E891" s="28" t="s">
        <v>3777</v>
      </c>
      <c r="F891" s="28" t="s">
        <v>3781</v>
      </c>
      <c r="G891" s="28" t="s">
        <v>514</v>
      </c>
      <c r="H891" s="28" t="s">
        <v>1340</v>
      </c>
      <c r="I891" s="28" t="s">
        <v>516</v>
      </c>
      <c r="J891" s="28" t="s">
        <v>517</v>
      </c>
      <c r="K891" s="28" t="s">
        <v>518</v>
      </c>
      <c r="L891" s="28" t="s">
        <v>739</v>
      </c>
      <c r="M891" s="28" t="s">
        <v>535</v>
      </c>
      <c r="N891" s="28" t="s">
        <v>557</v>
      </c>
      <c r="O891" s="28" t="s">
        <v>544</v>
      </c>
      <c r="P891" s="28" t="s">
        <v>559</v>
      </c>
      <c r="S891" s="28" t="s">
        <v>606</v>
      </c>
      <c r="T891" s="28" t="s">
        <v>741</v>
      </c>
      <c r="U891" s="28" t="s">
        <v>741</v>
      </c>
      <c r="V891" s="28" t="s">
        <v>517</v>
      </c>
      <c r="W891" s="28" t="s">
        <v>3779</v>
      </c>
      <c r="X891" s="28" t="s">
        <v>670</v>
      </c>
      <c r="Z891" s="118" t="s">
        <v>526</v>
      </c>
      <c r="AA891" s="118"/>
      <c r="AB891" s="118"/>
      <c r="AD891" s="28" t="s">
        <v>954</v>
      </c>
      <c r="AE891" s="28" t="s">
        <v>563</v>
      </c>
      <c r="AF891" s="117" t="s">
        <v>3782</v>
      </c>
      <c r="AG891" s="28" t="s">
        <v>563</v>
      </c>
      <c r="AK891" s="60" t="s">
        <v>2927</v>
      </c>
      <c r="AL891" s="117">
        <f>1/COUNTIF(Tableau6[LAT],B891)</f>
        <v>0.25</v>
      </c>
      <c r="AM891" s="60" t="b">
        <f t="shared" si="101"/>
        <v>0</v>
      </c>
      <c r="AN891" s="60" t="b">
        <f t="shared" si="102"/>
        <v>0</v>
      </c>
      <c r="AO891" s="60" t="b">
        <f t="shared" si="103"/>
        <v>0</v>
      </c>
      <c r="AP891" s="60" t="b">
        <f t="shared" si="104"/>
        <v>0</v>
      </c>
      <c r="AQ891" s="60" t="b">
        <f t="shared" si="105"/>
        <v>0</v>
      </c>
      <c r="AR891" s="60" t="str">
        <f t="shared" si="106"/>
        <v>No</v>
      </c>
      <c r="AS891" s="60" t="str">
        <f t="shared" si="107"/>
        <v>No</v>
      </c>
    </row>
    <row r="892" spans="1:45" ht="15" hidden="1">
      <c r="A892" s="103">
        <v>45244</v>
      </c>
      <c r="B892" s="117" t="s">
        <v>3775</v>
      </c>
      <c r="C892" s="28" t="s">
        <v>691</v>
      </c>
      <c r="D892" s="28" t="s">
        <v>3783</v>
      </c>
      <c r="E892" s="28" t="s">
        <v>3777</v>
      </c>
      <c r="F892" s="28" t="s">
        <v>3781</v>
      </c>
      <c r="G892" s="28" t="s">
        <v>514</v>
      </c>
      <c r="H892" s="28" t="s">
        <v>1340</v>
      </c>
      <c r="I892" s="28" t="s">
        <v>516</v>
      </c>
      <c r="J892" s="28" t="s">
        <v>517</v>
      </c>
      <c r="K892" s="28" t="s">
        <v>518</v>
      </c>
      <c r="L892" s="28" t="s">
        <v>739</v>
      </c>
      <c r="M892" s="28" t="s">
        <v>535</v>
      </c>
      <c r="N892" s="28" t="s">
        <v>557</v>
      </c>
      <c r="O892" s="28" t="s">
        <v>544</v>
      </c>
      <c r="P892" s="28" t="s">
        <v>559</v>
      </c>
      <c r="S892" s="28" t="s">
        <v>606</v>
      </c>
      <c r="T892" s="28" t="s">
        <v>741</v>
      </c>
      <c r="U892" s="28" t="s">
        <v>741</v>
      </c>
      <c r="V892" s="28" t="s">
        <v>517</v>
      </c>
      <c r="W892" s="28" t="s">
        <v>3779</v>
      </c>
      <c r="X892" s="28" t="s">
        <v>670</v>
      </c>
      <c r="Z892" s="118" t="s">
        <v>526</v>
      </c>
      <c r="AA892" s="118"/>
      <c r="AB892" s="118"/>
      <c r="AD892" s="28" t="s">
        <v>954</v>
      </c>
      <c r="AE892" s="28" t="s">
        <v>563</v>
      </c>
      <c r="AF892" s="117" t="s">
        <v>3783</v>
      </c>
      <c r="AG892" s="28" t="s">
        <v>563</v>
      </c>
      <c r="AK892" s="60" t="s">
        <v>2927</v>
      </c>
      <c r="AL892" s="117">
        <f>1/COUNTIF(Tableau6[LAT],B892)</f>
        <v>0.25</v>
      </c>
      <c r="AM892" s="60" t="b">
        <f t="shared" si="101"/>
        <v>0</v>
      </c>
      <c r="AN892" s="60" t="b">
        <f t="shared" si="102"/>
        <v>0</v>
      </c>
      <c r="AO892" s="60" t="b">
        <f t="shared" si="103"/>
        <v>0</v>
      </c>
      <c r="AP892" s="60" t="b">
        <f t="shared" si="104"/>
        <v>0</v>
      </c>
      <c r="AQ892" s="60" t="b">
        <f t="shared" si="105"/>
        <v>0</v>
      </c>
      <c r="AR892" s="60" t="str">
        <f t="shared" si="106"/>
        <v>No</v>
      </c>
      <c r="AS892" s="60" t="str">
        <f t="shared" si="107"/>
        <v>No</v>
      </c>
    </row>
    <row r="893" spans="1:45" ht="15" hidden="1">
      <c r="A893" s="103">
        <v>45244</v>
      </c>
      <c r="B893" s="117" t="s">
        <v>3784</v>
      </c>
      <c r="C893" s="28" t="s">
        <v>511</v>
      </c>
      <c r="D893" s="28" t="s">
        <v>3785</v>
      </c>
      <c r="F893" s="28" t="s">
        <v>3786</v>
      </c>
      <c r="G893" s="28" t="s">
        <v>514</v>
      </c>
      <c r="H893" s="28" t="s">
        <v>1325</v>
      </c>
      <c r="I893" s="28" t="s">
        <v>516</v>
      </c>
      <c r="J893" s="28" t="s">
        <v>517</v>
      </c>
      <c r="K893" s="28" t="s">
        <v>518</v>
      </c>
      <c r="L893" s="28" t="s">
        <v>739</v>
      </c>
      <c r="M893" s="28" t="s">
        <v>520</v>
      </c>
      <c r="N893" s="28" t="s">
        <v>557</v>
      </c>
      <c r="O893" s="28" t="s">
        <v>544</v>
      </c>
      <c r="P893" s="28" t="s">
        <v>559</v>
      </c>
      <c r="S893" s="28" t="s">
        <v>606</v>
      </c>
      <c r="T893" s="28" t="s">
        <v>741</v>
      </c>
      <c r="U893" s="28" t="s">
        <v>741</v>
      </c>
      <c r="V893" s="28" t="s">
        <v>517</v>
      </c>
      <c r="W893" s="28" t="s">
        <v>3787</v>
      </c>
      <c r="Z893" s="118" t="s">
        <v>526</v>
      </c>
      <c r="AA893" s="118"/>
      <c r="AB893" s="118"/>
      <c r="AD893" s="28" t="s">
        <v>954</v>
      </c>
      <c r="AE893" s="28" t="s">
        <v>563</v>
      </c>
      <c r="AF893" s="117" t="s">
        <v>3785</v>
      </c>
      <c r="AG893" s="28" t="s">
        <v>563</v>
      </c>
      <c r="AK893" s="60" t="s">
        <v>2927</v>
      </c>
      <c r="AL893" s="117">
        <f>1/COUNTIF(Tableau6[LAT],B893)</f>
        <v>1</v>
      </c>
      <c r="AM893" s="60" t="b">
        <f t="shared" si="101"/>
        <v>0</v>
      </c>
      <c r="AN893" s="60" t="b">
        <f t="shared" si="102"/>
        <v>0</v>
      </c>
      <c r="AO893" s="60" t="b">
        <f t="shared" si="103"/>
        <v>0</v>
      </c>
      <c r="AP893" s="60" t="b">
        <f t="shared" si="104"/>
        <v>0</v>
      </c>
      <c r="AQ893" s="60" t="b">
        <f t="shared" si="105"/>
        <v>0</v>
      </c>
      <c r="AR893" s="60" t="str">
        <f t="shared" si="106"/>
        <v>No</v>
      </c>
      <c r="AS893" s="60" t="str">
        <f t="shared" si="107"/>
        <v>No</v>
      </c>
    </row>
    <row r="894" spans="1:45" ht="15" hidden="1">
      <c r="A894" s="103">
        <v>45244</v>
      </c>
      <c r="B894" s="117" t="s">
        <v>3788</v>
      </c>
      <c r="C894" s="28" t="s">
        <v>511</v>
      </c>
      <c r="D894" s="28" t="s">
        <v>3789</v>
      </c>
      <c r="F894" s="28" t="s">
        <v>3790</v>
      </c>
      <c r="G894" s="28" t="s">
        <v>514</v>
      </c>
      <c r="H894" s="28" t="s">
        <v>1822</v>
      </c>
      <c r="I894" s="28" t="s">
        <v>516</v>
      </c>
      <c r="J894" s="28" t="s">
        <v>517</v>
      </c>
      <c r="K894" s="28" t="s">
        <v>518</v>
      </c>
      <c r="L894" s="28" t="s">
        <v>2662</v>
      </c>
      <c r="M894" s="28" t="s">
        <v>535</v>
      </c>
      <c r="S894" s="28" t="s">
        <v>561</v>
      </c>
      <c r="T894" s="28" t="s">
        <v>2663</v>
      </c>
      <c r="U894" s="28" t="s">
        <v>2663</v>
      </c>
      <c r="V894" s="28" t="s">
        <v>517</v>
      </c>
      <c r="W894" s="28" t="s">
        <v>3791</v>
      </c>
      <c r="Z894" s="118" t="s">
        <v>526</v>
      </c>
      <c r="AA894" s="118"/>
      <c r="AB894" s="118"/>
      <c r="AD894" s="28" t="s">
        <v>528</v>
      </c>
      <c r="AE894" s="28" t="s">
        <v>529</v>
      </c>
      <c r="AF894" s="117" t="s">
        <v>3789</v>
      </c>
      <c r="AG894" s="28" t="s">
        <v>529</v>
      </c>
      <c r="AK894" s="60" t="s">
        <v>2927</v>
      </c>
      <c r="AL894" s="117">
        <f>1/COUNTIF(Tableau6[LAT],B894)</f>
        <v>0.25</v>
      </c>
      <c r="AM894" s="60" t="b">
        <f t="shared" si="101"/>
        <v>0</v>
      </c>
      <c r="AN894" s="60" t="b">
        <f t="shared" si="102"/>
        <v>0</v>
      </c>
      <c r="AO894" s="60" t="b">
        <f t="shared" si="103"/>
        <v>0</v>
      </c>
      <c r="AP894" s="60" t="b">
        <f t="shared" si="104"/>
        <v>0</v>
      </c>
      <c r="AQ894" s="60" t="b">
        <f t="shared" si="105"/>
        <v>0</v>
      </c>
      <c r="AR894" s="60" t="str">
        <f t="shared" si="106"/>
        <v>No</v>
      </c>
      <c r="AS894" s="60" t="str">
        <f t="shared" si="107"/>
        <v>No</v>
      </c>
    </row>
    <row r="895" spans="1:45" ht="15" hidden="1">
      <c r="A895" s="103">
        <v>45244</v>
      </c>
      <c r="B895" s="117" t="s">
        <v>3788</v>
      </c>
      <c r="C895" s="28" t="s">
        <v>548</v>
      </c>
      <c r="D895" s="28" t="s">
        <v>3792</v>
      </c>
      <c r="F895" s="28" t="s">
        <v>2003</v>
      </c>
      <c r="G895" s="28" t="s">
        <v>2061</v>
      </c>
      <c r="H895" s="28" t="s">
        <v>3793</v>
      </c>
      <c r="I895" s="28" t="s">
        <v>516</v>
      </c>
      <c r="J895" s="28" t="s">
        <v>517</v>
      </c>
      <c r="K895" s="28" t="s">
        <v>518</v>
      </c>
      <c r="L895" s="28" t="s">
        <v>2662</v>
      </c>
      <c r="M895" s="28" t="s">
        <v>535</v>
      </c>
      <c r="S895" s="28" t="s">
        <v>561</v>
      </c>
      <c r="T895" s="28" t="s">
        <v>2663</v>
      </c>
      <c r="U895" s="28" t="s">
        <v>2663</v>
      </c>
      <c r="V895" s="28" t="s">
        <v>517</v>
      </c>
      <c r="W895" s="28" t="s">
        <v>3794</v>
      </c>
      <c r="Z895" s="118" t="s">
        <v>526</v>
      </c>
      <c r="AA895" s="118"/>
      <c r="AB895" s="118"/>
      <c r="AD895" s="28" t="s">
        <v>528</v>
      </c>
      <c r="AE895" s="28" t="s">
        <v>529</v>
      </c>
      <c r="AF895" s="117"/>
      <c r="AG895" s="28" t="s">
        <v>529</v>
      </c>
      <c r="AK895" s="60" t="s">
        <v>2927</v>
      </c>
      <c r="AL895" s="117">
        <f>1/COUNTIF(Tableau6[LAT],B895)</f>
        <v>0.25</v>
      </c>
      <c r="AM895" s="60" t="b">
        <f t="shared" si="101"/>
        <v>0</v>
      </c>
      <c r="AN895" s="60" t="b">
        <f t="shared" si="102"/>
        <v>0</v>
      </c>
      <c r="AO895" s="60" t="b">
        <f t="shared" si="103"/>
        <v>0</v>
      </c>
      <c r="AP895" s="60" t="b">
        <f t="shared" si="104"/>
        <v>0</v>
      </c>
      <c r="AQ895" s="60" t="b">
        <f t="shared" si="105"/>
        <v>0</v>
      </c>
      <c r="AR895" s="60" t="str">
        <f t="shared" si="106"/>
        <v>No</v>
      </c>
      <c r="AS895" s="60" t="str">
        <f t="shared" si="107"/>
        <v>No</v>
      </c>
    </row>
    <row r="896" spans="1:45" ht="15" hidden="1">
      <c r="A896" s="103">
        <v>45244</v>
      </c>
      <c r="B896" s="117" t="s">
        <v>3788</v>
      </c>
      <c r="C896" s="28" t="s">
        <v>612</v>
      </c>
      <c r="D896" s="28" t="s">
        <v>3795</v>
      </c>
      <c r="F896" s="28" t="s">
        <v>3796</v>
      </c>
      <c r="G896" s="28" t="s">
        <v>1163</v>
      </c>
      <c r="H896" s="28" t="s">
        <v>2067</v>
      </c>
      <c r="I896" s="28" t="s">
        <v>516</v>
      </c>
      <c r="J896" s="28" t="s">
        <v>517</v>
      </c>
      <c r="K896" s="28" t="s">
        <v>518</v>
      </c>
      <c r="L896" s="28" t="s">
        <v>2662</v>
      </c>
      <c r="M896" s="28" t="s">
        <v>535</v>
      </c>
      <c r="S896" s="28" t="s">
        <v>561</v>
      </c>
      <c r="T896" s="28" t="s">
        <v>2663</v>
      </c>
      <c r="U896" s="28" t="s">
        <v>2663</v>
      </c>
      <c r="V896" s="28" t="s">
        <v>517</v>
      </c>
      <c r="W896" s="28" t="s">
        <v>3797</v>
      </c>
      <c r="Z896" s="118" t="s">
        <v>526</v>
      </c>
      <c r="AA896" s="118"/>
      <c r="AB896" s="118"/>
      <c r="AD896" s="28" t="s">
        <v>528</v>
      </c>
      <c r="AE896" s="28" t="s">
        <v>529</v>
      </c>
      <c r="AF896" s="117" t="s">
        <v>3795</v>
      </c>
      <c r="AG896" s="28" t="s">
        <v>529</v>
      </c>
      <c r="AK896" s="60" t="s">
        <v>2927</v>
      </c>
      <c r="AL896" s="117">
        <f>1/COUNTIF(Tableau6[LAT],B896)</f>
        <v>0.25</v>
      </c>
      <c r="AM896" s="60" t="b">
        <f t="shared" si="101"/>
        <v>0</v>
      </c>
      <c r="AN896" s="60" t="b">
        <f t="shared" si="102"/>
        <v>0</v>
      </c>
      <c r="AO896" s="60" t="b">
        <f t="shared" si="103"/>
        <v>0</v>
      </c>
      <c r="AP896" s="60" t="b">
        <f t="shared" si="104"/>
        <v>0</v>
      </c>
      <c r="AQ896" s="60" t="b">
        <f t="shared" si="105"/>
        <v>0</v>
      </c>
      <c r="AR896" s="60" t="str">
        <f t="shared" si="106"/>
        <v>No</v>
      </c>
      <c r="AS896" s="60" t="str">
        <f t="shared" si="107"/>
        <v>No</v>
      </c>
    </row>
    <row r="897" spans="1:45" ht="15" hidden="1">
      <c r="A897" s="103">
        <v>45244</v>
      </c>
      <c r="B897" s="117" t="s">
        <v>3788</v>
      </c>
      <c r="C897" s="28" t="s">
        <v>691</v>
      </c>
      <c r="D897" s="28" t="s">
        <v>3798</v>
      </c>
      <c r="F897" s="28" t="s">
        <v>3623</v>
      </c>
      <c r="G897" s="28" t="s">
        <v>1077</v>
      </c>
      <c r="H897" s="28" t="s">
        <v>1559</v>
      </c>
      <c r="I897" s="28" t="s">
        <v>516</v>
      </c>
      <c r="J897" s="28" t="s">
        <v>517</v>
      </c>
      <c r="K897" s="28" t="s">
        <v>518</v>
      </c>
      <c r="L897" s="28" t="s">
        <v>2662</v>
      </c>
      <c r="M897" s="28" t="s">
        <v>535</v>
      </c>
      <c r="S897" s="28" t="s">
        <v>561</v>
      </c>
      <c r="T897" s="28" t="s">
        <v>2663</v>
      </c>
      <c r="U897" s="28" t="s">
        <v>2663</v>
      </c>
      <c r="V897" s="28" t="s">
        <v>517</v>
      </c>
      <c r="W897" s="28" t="s">
        <v>3799</v>
      </c>
      <c r="Z897" s="118" t="s">
        <v>526</v>
      </c>
      <c r="AA897" s="118"/>
      <c r="AB897" s="118"/>
      <c r="AF897" s="117" t="s">
        <v>3798</v>
      </c>
      <c r="AK897" s="60" t="s">
        <v>2927</v>
      </c>
      <c r="AL897" s="117">
        <f>1/COUNTIF(Tableau6[LAT],B897)</f>
        <v>0.25</v>
      </c>
      <c r="AM897" s="60" t="b">
        <f t="shared" si="101"/>
        <v>0</v>
      </c>
      <c r="AN897" s="60" t="b">
        <f t="shared" si="102"/>
        <v>0</v>
      </c>
      <c r="AO897" s="60" t="b">
        <f t="shared" si="103"/>
        <v>0</v>
      </c>
      <c r="AP897" s="60" t="b">
        <f t="shared" si="104"/>
        <v>0</v>
      </c>
      <c r="AQ897" s="60" t="b">
        <f t="shared" si="105"/>
        <v>0</v>
      </c>
      <c r="AR897" s="60" t="str">
        <f t="shared" si="106"/>
        <v>No</v>
      </c>
      <c r="AS897" s="60" t="str">
        <f t="shared" si="107"/>
        <v>No</v>
      </c>
    </row>
    <row r="898" spans="1:45" ht="15" hidden="1">
      <c r="A898" s="103">
        <v>45244</v>
      </c>
      <c r="B898" s="117" t="s">
        <v>3800</v>
      </c>
      <c r="C898" s="28" t="s">
        <v>511</v>
      </c>
      <c r="D898" s="28" t="s">
        <v>3801</v>
      </c>
      <c r="E898" s="28" t="s">
        <v>3802</v>
      </c>
      <c r="F898" s="28" t="s">
        <v>3803</v>
      </c>
      <c r="G898" s="28" t="s">
        <v>3804</v>
      </c>
      <c r="H898" s="28" t="s">
        <v>3805</v>
      </c>
      <c r="I898" s="28" t="s">
        <v>516</v>
      </c>
      <c r="J898" s="28" t="s">
        <v>517</v>
      </c>
      <c r="K898" s="28" t="s">
        <v>518</v>
      </c>
      <c r="L898" s="28" t="s">
        <v>596</v>
      </c>
      <c r="M898" s="28" t="s">
        <v>520</v>
      </c>
      <c r="N898" s="28" t="s">
        <v>557</v>
      </c>
      <c r="O898" s="28" t="s">
        <v>522</v>
      </c>
      <c r="S898" s="28" t="s">
        <v>3806</v>
      </c>
      <c r="T898" s="28" t="s">
        <v>597</v>
      </c>
      <c r="U898" s="28" t="s">
        <v>597</v>
      </c>
      <c r="V898" s="28" t="s">
        <v>517</v>
      </c>
      <c r="W898" s="28" t="s">
        <v>3807</v>
      </c>
      <c r="X898" s="28" t="s">
        <v>1071</v>
      </c>
      <c r="Z898" s="118" t="s">
        <v>563</v>
      </c>
      <c r="AA898" s="118"/>
      <c r="AB898" s="118" t="s">
        <v>527</v>
      </c>
      <c r="AD898" s="28" t="s">
        <v>528</v>
      </c>
      <c r="AE898" s="28" t="s">
        <v>563</v>
      </c>
      <c r="AF898" s="117" t="s">
        <v>3801</v>
      </c>
      <c r="AG898" s="28" t="s">
        <v>563</v>
      </c>
      <c r="AK898" s="60" t="s">
        <v>2927</v>
      </c>
      <c r="AL898" s="117">
        <f>1/COUNTIF(Tableau6[LAT],B898)</f>
        <v>1</v>
      </c>
      <c r="AM898" s="60" t="b">
        <f t="shared" si="101"/>
        <v>0</v>
      </c>
      <c r="AN898" s="60" t="b">
        <f t="shared" si="102"/>
        <v>0</v>
      </c>
      <c r="AO898" s="60" t="b">
        <f t="shared" si="103"/>
        <v>0</v>
      </c>
      <c r="AP898" s="60" t="b">
        <f t="shared" si="104"/>
        <v>0</v>
      </c>
      <c r="AQ898" s="60" t="b">
        <f t="shared" si="105"/>
        <v>0</v>
      </c>
      <c r="AR898" s="60" t="str">
        <f t="shared" si="106"/>
        <v>No</v>
      </c>
      <c r="AS898" s="60" t="str">
        <f t="shared" si="107"/>
        <v>No</v>
      </c>
    </row>
    <row r="899" spans="1:45" ht="15" hidden="1">
      <c r="A899" s="103">
        <v>45244</v>
      </c>
      <c r="B899" s="117" t="s">
        <v>3808</v>
      </c>
      <c r="C899" s="28" t="s">
        <v>511</v>
      </c>
      <c r="D899" s="28" t="s">
        <v>3809</v>
      </c>
      <c r="E899" s="28" t="s">
        <v>3810</v>
      </c>
      <c r="F899" s="28" t="s">
        <v>3811</v>
      </c>
      <c r="G899" s="28" t="s">
        <v>3812</v>
      </c>
      <c r="H899" s="28" t="s">
        <v>3158</v>
      </c>
      <c r="I899" s="28" t="s">
        <v>516</v>
      </c>
      <c r="J899" s="28" t="s">
        <v>517</v>
      </c>
      <c r="K899" s="28" t="s">
        <v>518</v>
      </c>
      <c r="L899" s="28" t="s">
        <v>3813</v>
      </c>
      <c r="M899" s="28" t="s">
        <v>520</v>
      </c>
      <c r="N899" s="28" t="s">
        <v>619</v>
      </c>
      <c r="O899" s="28" t="s">
        <v>557</v>
      </c>
      <c r="P899" s="28" t="s">
        <v>522</v>
      </c>
      <c r="S899" s="28" t="s">
        <v>3806</v>
      </c>
      <c r="T899" s="28" t="s">
        <v>1014</v>
      </c>
      <c r="U899" s="28" t="s">
        <v>1014</v>
      </c>
      <c r="V899" s="28" t="s">
        <v>517</v>
      </c>
      <c r="W899" s="28" t="s">
        <v>3814</v>
      </c>
      <c r="X899" s="28" t="s">
        <v>670</v>
      </c>
      <c r="Z899" s="118" t="s">
        <v>526</v>
      </c>
      <c r="AA899" s="118" t="s">
        <v>35</v>
      </c>
      <c r="AB899" s="28" t="s">
        <v>923</v>
      </c>
      <c r="AC899" s="28" t="s">
        <v>3815</v>
      </c>
      <c r="AD899" s="28" t="s">
        <v>528</v>
      </c>
      <c r="AE899" s="28" t="s">
        <v>529</v>
      </c>
      <c r="AF899" s="117" t="s">
        <v>3809</v>
      </c>
      <c r="AG899" s="28" t="s">
        <v>529</v>
      </c>
      <c r="AK899" s="60" t="s">
        <v>2927</v>
      </c>
      <c r="AL899" s="117">
        <f>1/COUNTIF(Tableau6[LAT],B899)</f>
        <v>0.33333333333333331</v>
      </c>
      <c r="AM899" s="60" t="b">
        <f t="shared" si="101"/>
        <v>0</v>
      </c>
      <c r="AN899" s="60" t="b">
        <f t="shared" si="102"/>
        <v>0</v>
      </c>
      <c r="AO899" s="60" t="b">
        <f t="shared" si="103"/>
        <v>0</v>
      </c>
      <c r="AP899" s="60" t="b">
        <f t="shared" si="104"/>
        <v>0</v>
      </c>
      <c r="AQ899" s="60" t="b">
        <f t="shared" si="105"/>
        <v>0</v>
      </c>
      <c r="AR899" s="60" t="str">
        <f t="shared" si="106"/>
        <v>No</v>
      </c>
      <c r="AS899" s="60" t="str">
        <f t="shared" si="107"/>
        <v>No</v>
      </c>
    </row>
    <row r="900" spans="1:45" ht="15" hidden="1">
      <c r="A900" s="103">
        <v>45244</v>
      </c>
      <c r="B900" s="117" t="s">
        <v>3808</v>
      </c>
      <c r="C900" s="28" t="s">
        <v>548</v>
      </c>
      <c r="D900" s="28" t="s">
        <v>3816</v>
      </c>
      <c r="E900" s="28" t="s">
        <v>3810</v>
      </c>
      <c r="F900" s="28" t="s">
        <v>3817</v>
      </c>
      <c r="G900" s="28" t="s">
        <v>3818</v>
      </c>
      <c r="H900" s="28" t="s">
        <v>3819</v>
      </c>
      <c r="I900" s="28" t="s">
        <v>516</v>
      </c>
      <c r="J900" s="28" t="s">
        <v>517</v>
      </c>
      <c r="K900" s="28" t="s">
        <v>518</v>
      </c>
      <c r="L900" s="28" t="s">
        <v>3813</v>
      </c>
      <c r="M900" s="28" t="s">
        <v>520</v>
      </c>
      <c r="N900" s="28" t="s">
        <v>557</v>
      </c>
      <c r="O900" s="28" t="s">
        <v>522</v>
      </c>
      <c r="S900" s="28" t="s">
        <v>3806</v>
      </c>
      <c r="T900" s="28" t="s">
        <v>1014</v>
      </c>
      <c r="U900" s="28" t="s">
        <v>1014</v>
      </c>
      <c r="V900" s="28" t="s">
        <v>517</v>
      </c>
      <c r="W900" s="28" t="s">
        <v>3814</v>
      </c>
      <c r="X900" s="28" t="s">
        <v>670</v>
      </c>
      <c r="Z900" s="118" t="s">
        <v>526</v>
      </c>
      <c r="AA900" s="118" t="s">
        <v>35</v>
      </c>
      <c r="AB900" s="28" t="s">
        <v>923</v>
      </c>
      <c r="AC900" s="28" t="s">
        <v>3815</v>
      </c>
      <c r="AD900" s="28" t="s">
        <v>528</v>
      </c>
      <c r="AE900" s="28" t="s">
        <v>529</v>
      </c>
      <c r="AF900" s="117" t="s">
        <v>3816</v>
      </c>
      <c r="AG900" s="28" t="s">
        <v>529</v>
      </c>
      <c r="AK900" s="60" t="s">
        <v>2927</v>
      </c>
      <c r="AL900" s="117">
        <f>1/COUNTIF(Tableau6[LAT],B900)</f>
        <v>0.33333333333333331</v>
      </c>
      <c r="AM900" s="60" t="b">
        <f t="shared" si="101"/>
        <v>0</v>
      </c>
      <c r="AN900" s="60" t="b">
        <f t="shared" si="102"/>
        <v>0</v>
      </c>
      <c r="AO900" s="60" t="b">
        <f t="shared" si="103"/>
        <v>0</v>
      </c>
      <c r="AP900" s="60" t="b">
        <f t="shared" si="104"/>
        <v>0</v>
      </c>
      <c r="AQ900" s="60" t="b">
        <f t="shared" si="105"/>
        <v>0</v>
      </c>
      <c r="AR900" s="60" t="str">
        <f t="shared" si="106"/>
        <v>No</v>
      </c>
      <c r="AS900" s="60" t="str">
        <f t="shared" si="107"/>
        <v>No</v>
      </c>
    </row>
    <row r="901" spans="1:45" ht="15" hidden="1">
      <c r="A901" s="103">
        <v>45244</v>
      </c>
      <c r="B901" s="117" t="s">
        <v>3808</v>
      </c>
      <c r="C901" s="28" t="s">
        <v>612</v>
      </c>
      <c r="D901" s="28" t="s">
        <v>3820</v>
      </c>
      <c r="E901" s="28" t="s">
        <v>3810</v>
      </c>
      <c r="F901" s="28" t="s">
        <v>3821</v>
      </c>
      <c r="G901" s="28" t="s">
        <v>958</v>
      </c>
      <c r="H901" s="28" t="s">
        <v>2614</v>
      </c>
      <c r="I901" s="28" t="s">
        <v>516</v>
      </c>
      <c r="J901" s="28" t="s">
        <v>517</v>
      </c>
      <c r="K901" s="28" t="s">
        <v>518</v>
      </c>
      <c r="L901" s="28" t="s">
        <v>3813</v>
      </c>
      <c r="M901" s="28" t="s">
        <v>520</v>
      </c>
      <c r="N901" s="28" t="s">
        <v>619</v>
      </c>
      <c r="O901" s="28" t="s">
        <v>557</v>
      </c>
      <c r="P901" s="28" t="s">
        <v>522</v>
      </c>
      <c r="S901" s="28" t="s">
        <v>3806</v>
      </c>
      <c r="T901" s="28" t="s">
        <v>1014</v>
      </c>
      <c r="U901" s="28" t="s">
        <v>1014</v>
      </c>
      <c r="V901" s="28" t="s">
        <v>517</v>
      </c>
      <c r="W901" s="28" t="s">
        <v>3814</v>
      </c>
      <c r="X901" s="28" t="s">
        <v>670</v>
      </c>
      <c r="Z901" s="118" t="s">
        <v>526</v>
      </c>
      <c r="AA901" s="118" t="s">
        <v>35</v>
      </c>
      <c r="AB901" s="28" t="s">
        <v>923</v>
      </c>
      <c r="AC901" s="28" t="s">
        <v>3815</v>
      </c>
      <c r="AD901" s="28" t="s">
        <v>528</v>
      </c>
      <c r="AE901" s="28" t="s">
        <v>529</v>
      </c>
      <c r="AF901" s="117" t="s">
        <v>3820</v>
      </c>
      <c r="AG901" s="28" t="s">
        <v>529</v>
      </c>
      <c r="AK901" s="60" t="s">
        <v>2927</v>
      </c>
      <c r="AL901" s="117">
        <f>1/COUNTIF(Tableau6[LAT],B901)</f>
        <v>0.33333333333333331</v>
      </c>
      <c r="AM901" s="60" t="b">
        <f t="shared" si="101"/>
        <v>0</v>
      </c>
      <c r="AN901" s="60" t="b">
        <f t="shared" si="102"/>
        <v>0</v>
      </c>
      <c r="AO901" s="60" t="b">
        <f t="shared" si="103"/>
        <v>0</v>
      </c>
      <c r="AP901" s="60" t="b">
        <f t="shared" si="104"/>
        <v>0</v>
      </c>
      <c r="AQ901" s="60" t="b">
        <f t="shared" si="105"/>
        <v>0</v>
      </c>
      <c r="AR901" s="60" t="str">
        <f t="shared" si="106"/>
        <v>No</v>
      </c>
      <c r="AS901" s="60" t="str">
        <f t="shared" si="107"/>
        <v>No</v>
      </c>
    </row>
    <row r="902" spans="1:45" ht="15" hidden="1">
      <c r="A902" s="103">
        <v>45244</v>
      </c>
      <c r="B902" s="117" t="s">
        <v>3822</v>
      </c>
      <c r="C902" s="28" t="s">
        <v>511</v>
      </c>
      <c r="D902" s="28" t="s">
        <v>3823</v>
      </c>
      <c r="E902" s="28" t="s">
        <v>3824</v>
      </c>
      <c r="F902" s="28" t="s">
        <v>1267</v>
      </c>
      <c r="G902" s="28" t="s">
        <v>514</v>
      </c>
      <c r="H902" s="28" t="s">
        <v>966</v>
      </c>
      <c r="I902" s="28" t="s">
        <v>516</v>
      </c>
      <c r="J902" s="28" t="s">
        <v>517</v>
      </c>
      <c r="K902" s="28" t="s">
        <v>518</v>
      </c>
      <c r="L902" s="28" t="s">
        <v>2833</v>
      </c>
      <c r="M902" s="28" t="s">
        <v>535</v>
      </c>
      <c r="N902" s="28" t="s">
        <v>521</v>
      </c>
      <c r="O902" s="28" t="s">
        <v>522</v>
      </c>
      <c r="S902" s="28" t="s">
        <v>3806</v>
      </c>
      <c r="T902" s="28" t="s">
        <v>2834</v>
      </c>
      <c r="U902" s="28" t="s">
        <v>2834</v>
      </c>
      <c r="V902" s="28" t="s">
        <v>517</v>
      </c>
      <c r="W902" s="28" t="s">
        <v>3471</v>
      </c>
      <c r="X902" s="28" t="s">
        <v>1913</v>
      </c>
      <c r="Z902" s="118" t="s">
        <v>526</v>
      </c>
      <c r="AA902" s="118" t="s">
        <v>35</v>
      </c>
      <c r="AB902" s="28" t="s">
        <v>923</v>
      </c>
      <c r="AC902" s="28" t="s">
        <v>3815</v>
      </c>
      <c r="AD902" s="28" t="s">
        <v>528</v>
      </c>
      <c r="AE902" s="28" t="s">
        <v>529</v>
      </c>
      <c r="AF902" s="117" t="s">
        <v>3823</v>
      </c>
      <c r="AG902" s="28" t="s">
        <v>529</v>
      </c>
      <c r="AK902" s="60" t="s">
        <v>2927</v>
      </c>
      <c r="AL902" s="117">
        <f>1/COUNTIF(Tableau6[LAT],B902)</f>
        <v>1</v>
      </c>
      <c r="AM902" s="60" t="b">
        <f t="shared" si="101"/>
        <v>0</v>
      </c>
      <c r="AN902" s="60" t="b">
        <f t="shared" si="102"/>
        <v>0</v>
      </c>
      <c r="AO902" s="60" t="b">
        <f t="shared" si="103"/>
        <v>0</v>
      </c>
      <c r="AP902" s="60" t="b">
        <f t="shared" si="104"/>
        <v>0</v>
      </c>
      <c r="AQ902" s="60" t="b">
        <f t="shared" si="105"/>
        <v>0</v>
      </c>
      <c r="AR902" s="60" t="str">
        <f t="shared" si="106"/>
        <v>No</v>
      </c>
      <c r="AS902" s="60" t="str">
        <f t="shared" si="107"/>
        <v>No</v>
      </c>
    </row>
    <row r="903" spans="1:45" ht="15" hidden="1">
      <c r="A903" s="103">
        <v>45244</v>
      </c>
      <c r="B903" s="117" t="s">
        <v>3825</v>
      </c>
      <c r="C903" s="28" t="s">
        <v>511</v>
      </c>
      <c r="D903" s="28" t="s">
        <v>3826</v>
      </c>
      <c r="E903" s="28" t="s">
        <v>3827</v>
      </c>
      <c r="F903" s="28" t="s">
        <v>3828</v>
      </c>
      <c r="G903" s="28" t="s">
        <v>1077</v>
      </c>
      <c r="H903" s="28" t="s">
        <v>555</v>
      </c>
      <c r="I903" s="28" t="s">
        <v>516</v>
      </c>
      <c r="J903" s="28" t="s">
        <v>517</v>
      </c>
      <c r="K903" s="28" t="s">
        <v>518</v>
      </c>
      <c r="L903" s="28" t="s">
        <v>1097</v>
      </c>
      <c r="M903" s="28" t="s">
        <v>535</v>
      </c>
      <c r="N903" s="28" t="s">
        <v>619</v>
      </c>
      <c r="O903" s="28" t="s">
        <v>557</v>
      </c>
      <c r="P903" s="28" t="s">
        <v>544</v>
      </c>
      <c r="Q903" s="28" t="s">
        <v>522</v>
      </c>
      <c r="S903" s="28" t="s">
        <v>1366</v>
      </c>
      <c r="T903" s="28" t="s">
        <v>607</v>
      </c>
      <c r="U903" s="28" t="s">
        <v>1098</v>
      </c>
      <c r="V903" s="28" t="s">
        <v>517</v>
      </c>
      <c r="W903" s="28" t="s">
        <v>3829</v>
      </c>
      <c r="X903" s="28" t="s">
        <v>670</v>
      </c>
      <c r="Z903" s="118" t="s">
        <v>563</v>
      </c>
      <c r="AA903" s="118"/>
      <c r="AB903" s="118" t="s">
        <v>527</v>
      </c>
      <c r="AD903" s="28" t="s">
        <v>954</v>
      </c>
      <c r="AE903" s="28" t="s">
        <v>563</v>
      </c>
      <c r="AF903" s="117" t="s">
        <v>3826</v>
      </c>
      <c r="AG903" s="28" t="s">
        <v>563</v>
      </c>
      <c r="AK903" s="60" t="s">
        <v>2927</v>
      </c>
      <c r="AL903" s="117">
        <f>1/COUNTIF(Tableau6[LAT],B903)</f>
        <v>0.5</v>
      </c>
      <c r="AM903" s="60" t="b">
        <f t="shared" si="101"/>
        <v>0</v>
      </c>
      <c r="AN903" s="60" t="b">
        <f t="shared" si="102"/>
        <v>0</v>
      </c>
      <c r="AO903" s="60" t="b">
        <f t="shared" si="103"/>
        <v>0</v>
      </c>
      <c r="AP903" s="60" t="b">
        <f t="shared" si="104"/>
        <v>0</v>
      </c>
      <c r="AQ903" s="60" t="b">
        <f t="shared" si="105"/>
        <v>0</v>
      </c>
      <c r="AR903" s="60" t="str">
        <f t="shared" si="106"/>
        <v>No</v>
      </c>
      <c r="AS903" s="60" t="str">
        <f t="shared" si="107"/>
        <v>No</v>
      </c>
    </row>
    <row r="904" spans="1:45" ht="15" hidden="1">
      <c r="A904" s="103">
        <v>45244</v>
      </c>
      <c r="B904" s="117" t="s">
        <v>3825</v>
      </c>
      <c r="C904" s="28" t="s">
        <v>548</v>
      </c>
      <c r="D904" s="28" t="s">
        <v>3830</v>
      </c>
      <c r="E904" s="28" t="s">
        <v>3831</v>
      </c>
      <c r="F904" s="28" t="s">
        <v>3828</v>
      </c>
      <c r="G904" s="28" t="s">
        <v>1077</v>
      </c>
      <c r="H904" s="28" t="s">
        <v>555</v>
      </c>
      <c r="I904" s="28" t="s">
        <v>516</v>
      </c>
      <c r="J904" s="28" t="s">
        <v>517</v>
      </c>
      <c r="K904" s="28" t="s">
        <v>518</v>
      </c>
      <c r="L904" s="28" t="s">
        <v>1097</v>
      </c>
      <c r="M904" s="28" t="s">
        <v>535</v>
      </c>
      <c r="N904" s="28" t="s">
        <v>619</v>
      </c>
      <c r="O904" s="28" t="s">
        <v>557</v>
      </c>
      <c r="P904" s="28" t="s">
        <v>544</v>
      </c>
      <c r="Q904" s="28" t="s">
        <v>522</v>
      </c>
      <c r="S904" s="28" t="s">
        <v>1366</v>
      </c>
      <c r="T904" s="28" t="s">
        <v>607</v>
      </c>
      <c r="U904" s="28" t="s">
        <v>1098</v>
      </c>
      <c r="V904" s="28" t="s">
        <v>517</v>
      </c>
      <c r="W904" s="28" t="s">
        <v>3832</v>
      </c>
      <c r="X904" s="28" t="s">
        <v>670</v>
      </c>
      <c r="Z904" s="118" t="s">
        <v>563</v>
      </c>
      <c r="AA904" s="118"/>
      <c r="AB904" s="118" t="s">
        <v>527</v>
      </c>
      <c r="AD904" s="28" t="s">
        <v>954</v>
      </c>
      <c r="AE904" s="28" t="s">
        <v>563</v>
      </c>
      <c r="AF904" s="117" t="s">
        <v>3826</v>
      </c>
      <c r="AG904" s="28" t="s">
        <v>563</v>
      </c>
      <c r="AK904" s="60" t="s">
        <v>2927</v>
      </c>
      <c r="AL904" s="117">
        <f>1/COUNTIF(Tableau6[LAT],B904)</f>
        <v>0.5</v>
      </c>
      <c r="AM904" s="60" t="b">
        <f t="shared" si="101"/>
        <v>0</v>
      </c>
      <c r="AN904" s="60" t="b">
        <f t="shared" si="102"/>
        <v>0</v>
      </c>
      <c r="AO904" s="60" t="b">
        <f t="shared" si="103"/>
        <v>0</v>
      </c>
      <c r="AP904" s="60" t="b">
        <f t="shared" si="104"/>
        <v>0</v>
      </c>
      <c r="AQ904" s="60" t="b">
        <f t="shared" si="105"/>
        <v>0</v>
      </c>
      <c r="AR904" s="60" t="str">
        <f t="shared" si="106"/>
        <v>No</v>
      </c>
      <c r="AS904" s="60" t="str">
        <f t="shared" si="107"/>
        <v>No</v>
      </c>
    </row>
    <row r="905" spans="1:45" ht="15" hidden="1">
      <c r="A905" s="103">
        <v>45244</v>
      </c>
      <c r="B905" s="117" t="s">
        <v>3833</v>
      </c>
      <c r="C905" s="28" t="s">
        <v>511</v>
      </c>
      <c r="D905" s="28" t="s">
        <v>3834</v>
      </c>
      <c r="F905" s="28" t="s">
        <v>3835</v>
      </c>
      <c r="G905" s="28" t="s">
        <v>657</v>
      </c>
      <c r="H905" s="28" t="s">
        <v>1284</v>
      </c>
      <c r="I905" s="28" t="s">
        <v>516</v>
      </c>
      <c r="J905" s="28" t="s">
        <v>517</v>
      </c>
      <c r="K905" s="28" t="s">
        <v>518</v>
      </c>
      <c r="L905" s="28" t="s">
        <v>3836</v>
      </c>
      <c r="M905" s="28" t="s">
        <v>520</v>
      </c>
      <c r="S905" s="28" t="s">
        <v>589</v>
      </c>
      <c r="T905" s="28" t="s">
        <v>699</v>
      </c>
      <c r="U905" s="28" t="s">
        <v>3837</v>
      </c>
      <c r="V905" s="28" t="s">
        <v>517</v>
      </c>
      <c r="W905" s="28" t="s">
        <v>3838</v>
      </c>
      <c r="Z905" s="118" t="s">
        <v>563</v>
      </c>
      <c r="AA905" s="118"/>
      <c r="AB905" s="73" t="s">
        <v>609</v>
      </c>
      <c r="AD905" s="28" t="s">
        <v>528</v>
      </c>
      <c r="AE905" s="28" t="s">
        <v>563</v>
      </c>
      <c r="AF905" s="117" t="s">
        <v>3834</v>
      </c>
      <c r="AG905" s="28" t="s">
        <v>563</v>
      </c>
      <c r="AK905" s="60" t="s">
        <v>2927</v>
      </c>
      <c r="AL905" s="117">
        <f>1/COUNTIF(Tableau6[LAT],B905)</f>
        <v>0.25</v>
      </c>
      <c r="AM905" s="60" t="b">
        <f t="shared" si="101"/>
        <v>0</v>
      </c>
      <c r="AN905" s="60" t="b">
        <f t="shared" si="102"/>
        <v>0</v>
      </c>
      <c r="AO905" s="60" t="b">
        <f t="shared" si="103"/>
        <v>0</v>
      </c>
      <c r="AP905" s="60" t="b">
        <f t="shared" si="104"/>
        <v>0</v>
      </c>
      <c r="AQ905" s="60" t="b">
        <f t="shared" si="105"/>
        <v>0</v>
      </c>
      <c r="AR905" s="60" t="str">
        <f t="shared" si="106"/>
        <v>No</v>
      </c>
      <c r="AS905" s="60" t="str">
        <f t="shared" si="107"/>
        <v>No</v>
      </c>
    </row>
    <row r="906" spans="1:45" ht="15" hidden="1">
      <c r="A906" s="103">
        <v>45244</v>
      </c>
      <c r="B906" s="117" t="s">
        <v>3833</v>
      </c>
      <c r="C906" s="28" t="s">
        <v>548</v>
      </c>
      <c r="D906" s="28" t="s">
        <v>3839</v>
      </c>
      <c r="F906" s="28" t="s">
        <v>2625</v>
      </c>
      <c r="G906" s="28" t="s">
        <v>665</v>
      </c>
      <c r="H906" s="28" t="s">
        <v>1845</v>
      </c>
      <c r="I906" s="28" t="s">
        <v>516</v>
      </c>
      <c r="J906" s="28" t="s">
        <v>517</v>
      </c>
      <c r="K906" s="28" t="s">
        <v>518</v>
      </c>
      <c r="L906" s="28" t="s">
        <v>3836</v>
      </c>
      <c r="M906" s="28" t="s">
        <v>520</v>
      </c>
      <c r="S906" s="28" t="s">
        <v>589</v>
      </c>
      <c r="T906" s="28" t="s">
        <v>699</v>
      </c>
      <c r="U906" s="28" t="s">
        <v>3837</v>
      </c>
      <c r="V906" s="28" t="s">
        <v>517</v>
      </c>
      <c r="W906" s="28" t="s">
        <v>3840</v>
      </c>
      <c r="Z906" s="118" t="s">
        <v>563</v>
      </c>
      <c r="AA906" s="118"/>
      <c r="AB906" s="73" t="s">
        <v>609</v>
      </c>
      <c r="AD906" s="28" t="s">
        <v>528</v>
      </c>
      <c r="AE906" s="28" t="s">
        <v>563</v>
      </c>
      <c r="AF906" s="117" t="s">
        <v>3839</v>
      </c>
      <c r="AG906" s="28" t="s">
        <v>563</v>
      </c>
      <c r="AK906" s="60" t="s">
        <v>2927</v>
      </c>
      <c r="AL906" s="117">
        <f>1/COUNTIF(Tableau6[LAT],B906)</f>
        <v>0.25</v>
      </c>
      <c r="AM906" s="60" t="b">
        <f t="shared" si="101"/>
        <v>0</v>
      </c>
      <c r="AN906" s="60" t="b">
        <f t="shared" si="102"/>
        <v>0</v>
      </c>
      <c r="AO906" s="60" t="b">
        <f t="shared" si="103"/>
        <v>0</v>
      </c>
      <c r="AP906" s="60" t="b">
        <f t="shared" si="104"/>
        <v>0</v>
      </c>
      <c r="AQ906" s="60" t="b">
        <f t="shared" si="105"/>
        <v>0</v>
      </c>
      <c r="AR906" s="60" t="str">
        <f t="shared" si="106"/>
        <v>No</v>
      </c>
      <c r="AS906" s="60" t="str">
        <f t="shared" si="107"/>
        <v>No</v>
      </c>
    </row>
    <row r="907" spans="1:45" ht="15" hidden="1">
      <c r="A907" s="103">
        <v>45244</v>
      </c>
      <c r="B907" s="117" t="s">
        <v>3833</v>
      </c>
      <c r="C907" s="28" t="s">
        <v>612</v>
      </c>
      <c r="D907" s="28" t="s">
        <v>3841</v>
      </c>
      <c r="F907" s="28" t="s">
        <v>3835</v>
      </c>
      <c r="G907" s="28" t="s">
        <v>657</v>
      </c>
      <c r="H907" s="28" t="s">
        <v>1284</v>
      </c>
      <c r="I907" s="28" t="s">
        <v>516</v>
      </c>
      <c r="J907" s="28" t="s">
        <v>517</v>
      </c>
      <c r="K907" s="28" t="s">
        <v>518</v>
      </c>
      <c r="L907" s="28" t="s">
        <v>3836</v>
      </c>
      <c r="M907" s="28" t="s">
        <v>520</v>
      </c>
      <c r="S907" s="28" t="s">
        <v>589</v>
      </c>
      <c r="T907" s="28" t="s">
        <v>699</v>
      </c>
      <c r="U907" s="28" t="s">
        <v>3837</v>
      </c>
      <c r="V907" s="28" t="s">
        <v>517</v>
      </c>
      <c r="W907" s="28" t="s">
        <v>3842</v>
      </c>
      <c r="Z907" s="118" t="s">
        <v>563</v>
      </c>
      <c r="AA907" s="118"/>
      <c r="AB907" s="73" t="s">
        <v>609</v>
      </c>
      <c r="AD907" s="28" t="s">
        <v>528</v>
      </c>
      <c r="AE907" s="28" t="s">
        <v>563</v>
      </c>
      <c r="AF907" s="117" t="s">
        <v>3841</v>
      </c>
      <c r="AG907" s="28" t="s">
        <v>563</v>
      </c>
      <c r="AK907" s="60" t="s">
        <v>2927</v>
      </c>
      <c r="AL907" s="117">
        <f>1/COUNTIF(Tableau6[LAT],B907)</f>
        <v>0.25</v>
      </c>
      <c r="AM907" s="60" t="b">
        <f t="shared" si="101"/>
        <v>0</v>
      </c>
      <c r="AN907" s="60" t="b">
        <f t="shared" si="102"/>
        <v>0</v>
      </c>
      <c r="AO907" s="60" t="b">
        <f t="shared" si="103"/>
        <v>0</v>
      </c>
      <c r="AP907" s="60" t="b">
        <f t="shared" si="104"/>
        <v>0</v>
      </c>
      <c r="AQ907" s="60" t="b">
        <f t="shared" si="105"/>
        <v>0</v>
      </c>
      <c r="AR907" s="60" t="str">
        <f t="shared" si="106"/>
        <v>No</v>
      </c>
      <c r="AS907" s="60" t="str">
        <f t="shared" si="107"/>
        <v>No</v>
      </c>
    </row>
    <row r="908" spans="1:45" ht="15" hidden="1">
      <c r="A908" s="103">
        <v>45244</v>
      </c>
      <c r="B908" s="117" t="s">
        <v>3833</v>
      </c>
      <c r="C908" s="28" t="s">
        <v>691</v>
      </c>
      <c r="D908" s="28" t="s">
        <v>3843</v>
      </c>
      <c r="F908" s="28" t="s">
        <v>3835</v>
      </c>
      <c r="G908" s="28" t="s">
        <v>657</v>
      </c>
      <c r="H908" s="28" t="s">
        <v>1284</v>
      </c>
      <c r="I908" s="28" t="s">
        <v>516</v>
      </c>
      <c r="J908" s="28" t="s">
        <v>517</v>
      </c>
      <c r="K908" s="28" t="s">
        <v>518</v>
      </c>
      <c r="L908" s="28" t="s">
        <v>3836</v>
      </c>
      <c r="M908" s="28" t="s">
        <v>520</v>
      </c>
      <c r="S908" s="28" t="s">
        <v>589</v>
      </c>
      <c r="T908" s="28" t="s">
        <v>699</v>
      </c>
      <c r="U908" s="28" t="s">
        <v>3837</v>
      </c>
      <c r="V908" s="28" t="s">
        <v>517</v>
      </c>
      <c r="W908" s="28" t="s">
        <v>3844</v>
      </c>
      <c r="Z908" s="118" t="s">
        <v>563</v>
      </c>
      <c r="AA908" s="118"/>
      <c r="AB908" s="73" t="s">
        <v>609</v>
      </c>
      <c r="AF908" s="117"/>
      <c r="AK908" s="60" t="s">
        <v>2927</v>
      </c>
      <c r="AL908" s="117">
        <f>1/COUNTIF(Tableau6[LAT],B908)</f>
        <v>0.25</v>
      </c>
      <c r="AM908" s="60" t="b">
        <f t="shared" si="101"/>
        <v>0</v>
      </c>
      <c r="AN908" s="60" t="b">
        <f t="shared" si="102"/>
        <v>0</v>
      </c>
      <c r="AO908" s="60" t="b">
        <f t="shared" si="103"/>
        <v>0</v>
      </c>
      <c r="AP908" s="60" t="b">
        <f t="shared" si="104"/>
        <v>0</v>
      </c>
      <c r="AQ908" s="60" t="b">
        <f t="shared" si="105"/>
        <v>0</v>
      </c>
      <c r="AR908" s="60" t="str">
        <f t="shared" si="106"/>
        <v>No</v>
      </c>
      <c r="AS908" s="60" t="str">
        <f t="shared" si="107"/>
        <v>No</v>
      </c>
    </row>
    <row r="909" spans="1:45" ht="15" hidden="1">
      <c r="A909" s="103">
        <v>45244</v>
      </c>
      <c r="B909" s="117" t="s">
        <v>3845</v>
      </c>
      <c r="C909" s="28" t="s">
        <v>511</v>
      </c>
      <c r="D909" s="28" t="s">
        <v>3846</v>
      </c>
      <c r="E909" s="28" t="s">
        <v>3847</v>
      </c>
      <c r="F909" s="28" t="s">
        <v>594</v>
      </c>
      <c r="G909" s="28" t="s">
        <v>2579</v>
      </c>
      <c r="H909" s="28" t="s">
        <v>2699</v>
      </c>
      <c r="I909" s="28" t="s">
        <v>516</v>
      </c>
      <c r="J909" s="28" t="s">
        <v>517</v>
      </c>
      <c r="K909" s="28" t="s">
        <v>518</v>
      </c>
      <c r="L909" s="28" t="s">
        <v>1040</v>
      </c>
      <c r="M909" s="28" t="s">
        <v>535</v>
      </c>
      <c r="N909" s="28" t="s">
        <v>810</v>
      </c>
      <c r="O909" s="28" t="s">
        <v>1383</v>
      </c>
      <c r="P909" s="28" t="s">
        <v>521</v>
      </c>
      <c r="Q909" s="28" t="s">
        <v>522</v>
      </c>
      <c r="S909" s="28" t="s">
        <v>3091</v>
      </c>
      <c r="T909" s="28" t="s">
        <v>1042</v>
      </c>
      <c r="U909" s="28" t="s">
        <v>1042</v>
      </c>
      <c r="V909" s="28" t="s">
        <v>517</v>
      </c>
      <c r="W909" s="28" t="s">
        <v>3848</v>
      </c>
      <c r="X909" s="28" t="s">
        <v>670</v>
      </c>
      <c r="Z909" s="118" t="s">
        <v>563</v>
      </c>
      <c r="AA909" s="118"/>
      <c r="AB909" s="118" t="s">
        <v>527</v>
      </c>
      <c r="AD909" s="28" t="s">
        <v>528</v>
      </c>
      <c r="AE909" s="28" t="s">
        <v>563</v>
      </c>
      <c r="AF909" s="117" t="s">
        <v>3846</v>
      </c>
      <c r="AG909" s="28" t="s">
        <v>563</v>
      </c>
      <c r="AK909" s="60" t="s">
        <v>2927</v>
      </c>
      <c r="AL909" s="117">
        <f>1/COUNTIF(Tableau6[LAT],B909)</f>
        <v>1</v>
      </c>
      <c r="AM909" s="60" t="b">
        <f t="shared" si="101"/>
        <v>0</v>
      </c>
      <c r="AN909" s="60" t="b">
        <f t="shared" si="102"/>
        <v>0</v>
      </c>
      <c r="AO909" s="60" t="b">
        <f t="shared" si="103"/>
        <v>0</v>
      </c>
      <c r="AP909" s="60" t="b">
        <f t="shared" si="104"/>
        <v>0</v>
      </c>
      <c r="AQ909" s="60" t="b">
        <f t="shared" si="105"/>
        <v>0</v>
      </c>
      <c r="AR909" s="60" t="str">
        <f t="shared" si="106"/>
        <v>No</v>
      </c>
      <c r="AS909" s="60" t="str">
        <f t="shared" si="107"/>
        <v>No</v>
      </c>
    </row>
    <row r="910" spans="1:45" ht="15" hidden="1">
      <c r="A910" s="103">
        <v>45244</v>
      </c>
      <c r="B910" s="117" t="s">
        <v>3849</v>
      </c>
      <c r="C910" s="28" t="s">
        <v>511</v>
      </c>
      <c r="D910" s="28" t="s">
        <v>3850</v>
      </c>
      <c r="F910" s="28" t="s">
        <v>1516</v>
      </c>
      <c r="G910" s="28" t="s">
        <v>514</v>
      </c>
      <c r="H910" s="28" t="s">
        <v>1335</v>
      </c>
      <c r="I910" s="28" t="s">
        <v>517</v>
      </c>
      <c r="J910" s="28" t="s">
        <v>517</v>
      </c>
      <c r="K910" s="28" t="s">
        <v>518</v>
      </c>
      <c r="L910" s="28" t="s">
        <v>2363</v>
      </c>
      <c r="M910" s="28" t="s">
        <v>535</v>
      </c>
      <c r="N910" s="28" t="s">
        <v>1835</v>
      </c>
      <c r="O910" s="28" t="s">
        <v>544</v>
      </c>
      <c r="S910" s="28" t="s">
        <v>573</v>
      </c>
      <c r="T910" s="28" t="s">
        <v>2364</v>
      </c>
      <c r="U910" s="28" t="s">
        <v>2364</v>
      </c>
      <c r="V910" s="28" t="s">
        <v>517</v>
      </c>
      <c r="Z910" s="118" t="s">
        <v>563</v>
      </c>
      <c r="AA910" s="118"/>
      <c r="AB910" s="73" t="s">
        <v>609</v>
      </c>
      <c r="AD910" s="28" t="s">
        <v>528</v>
      </c>
      <c r="AE910" s="28" t="s">
        <v>563</v>
      </c>
      <c r="AF910" s="117" t="s">
        <v>3851</v>
      </c>
      <c r="AG910" s="28" t="s">
        <v>563</v>
      </c>
      <c r="AK910" s="60" t="s">
        <v>2927</v>
      </c>
      <c r="AL910" s="117">
        <f>1/COUNTIF(Tableau6[LAT],B910)</f>
        <v>0.5</v>
      </c>
      <c r="AM910" s="60" t="b">
        <f t="shared" si="101"/>
        <v>0</v>
      </c>
      <c r="AN910" s="60" t="b">
        <f t="shared" si="102"/>
        <v>0</v>
      </c>
      <c r="AO910" s="60" t="b">
        <f t="shared" si="103"/>
        <v>0</v>
      </c>
      <c r="AP910" s="60" t="b">
        <f t="shared" si="104"/>
        <v>0</v>
      </c>
      <c r="AQ910" s="60" t="b">
        <f t="shared" si="105"/>
        <v>0</v>
      </c>
      <c r="AR910" s="60" t="str">
        <f t="shared" si="106"/>
        <v>No</v>
      </c>
      <c r="AS910" s="60" t="str">
        <f t="shared" si="107"/>
        <v>No</v>
      </c>
    </row>
    <row r="911" spans="1:45" ht="15" hidden="1">
      <c r="A911" s="103">
        <v>45244</v>
      </c>
      <c r="B911" s="117" t="s">
        <v>3849</v>
      </c>
      <c r="C911" s="28" t="s">
        <v>548</v>
      </c>
      <c r="D911" s="28" t="s">
        <v>3851</v>
      </c>
      <c r="F911" s="28" t="s">
        <v>1516</v>
      </c>
      <c r="G911" s="28" t="s">
        <v>514</v>
      </c>
      <c r="H911" s="28" t="s">
        <v>1335</v>
      </c>
      <c r="I911" s="28" t="s">
        <v>517</v>
      </c>
      <c r="J911" s="28" t="s">
        <v>517</v>
      </c>
      <c r="K911" s="28" t="s">
        <v>518</v>
      </c>
      <c r="L911" s="28" t="s">
        <v>2363</v>
      </c>
      <c r="M911" s="28" t="s">
        <v>535</v>
      </c>
      <c r="N911" s="28" t="s">
        <v>1835</v>
      </c>
      <c r="O911" s="28" t="s">
        <v>544</v>
      </c>
      <c r="S911" s="28" t="s">
        <v>573</v>
      </c>
      <c r="T911" s="28" t="s">
        <v>2364</v>
      </c>
      <c r="U911" s="28" t="s">
        <v>2364</v>
      </c>
      <c r="V911" s="28" t="s">
        <v>517</v>
      </c>
      <c r="W911" s="28" t="s">
        <v>3852</v>
      </c>
      <c r="Z911" s="118" t="s">
        <v>563</v>
      </c>
      <c r="AA911" s="118"/>
      <c r="AB911" s="73" t="s">
        <v>609</v>
      </c>
      <c r="AF911" s="117" t="s">
        <v>3851</v>
      </c>
      <c r="AK911" s="60" t="s">
        <v>2927</v>
      </c>
      <c r="AL911" s="117">
        <f>1/COUNTIF(Tableau6[LAT],B911)</f>
        <v>0.5</v>
      </c>
      <c r="AM911" s="60" t="b">
        <f t="shared" si="101"/>
        <v>0</v>
      </c>
      <c r="AN911" s="60" t="b">
        <f t="shared" si="102"/>
        <v>0</v>
      </c>
      <c r="AO911" s="60" t="b">
        <f t="shared" si="103"/>
        <v>0</v>
      </c>
      <c r="AP911" s="60" t="b">
        <f t="shared" si="104"/>
        <v>0</v>
      </c>
      <c r="AQ911" s="60" t="b">
        <f t="shared" si="105"/>
        <v>0</v>
      </c>
      <c r="AR911" s="60" t="str">
        <f t="shared" si="106"/>
        <v>No</v>
      </c>
      <c r="AS911" s="60" t="str">
        <f t="shared" si="107"/>
        <v>No</v>
      </c>
    </row>
    <row r="912" spans="1:45" ht="15" hidden="1">
      <c r="A912" s="103">
        <v>45244</v>
      </c>
      <c r="B912" s="117" t="s">
        <v>3853</v>
      </c>
      <c r="C912" s="28" t="s">
        <v>511</v>
      </c>
      <c r="D912" s="28" t="s">
        <v>3854</v>
      </c>
      <c r="E912" s="28" t="s">
        <v>3847</v>
      </c>
      <c r="F912" s="28" t="s">
        <v>887</v>
      </c>
      <c r="G912" s="28" t="s">
        <v>1886</v>
      </c>
      <c r="H912" s="28" t="s">
        <v>1813</v>
      </c>
      <c r="I912" s="28" t="s">
        <v>516</v>
      </c>
      <c r="J912" s="28" t="s">
        <v>517</v>
      </c>
      <c r="K912" s="28" t="s">
        <v>518</v>
      </c>
      <c r="L912" s="28" t="s">
        <v>1040</v>
      </c>
      <c r="M912" s="28" t="s">
        <v>535</v>
      </c>
      <c r="N912" s="28" t="s">
        <v>1492</v>
      </c>
      <c r="O912" s="28" t="s">
        <v>521</v>
      </c>
      <c r="P912" s="28" t="s">
        <v>522</v>
      </c>
      <c r="S912" s="28" t="s">
        <v>3091</v>
      </c>
      <c r="T912" s="28" t="s">
        <v>1042</v>
      </c>
      <c r="U912" s="28" t="s">
        <v>1042</v>
      </c>
      <c r="V912" s="28" t="s">
        <v>517</v>
      </c>
      <c r="W912" s="28" t="s">
        <v>3848</v>
      </c>
      <c r="X912" s="28" t="s">
        <v>670</v>
      </c>
      <c r="Z912" s="118" t="s">
        <v>563</v>
      </c>
      <c r="AA912" s="118"/>
      <c r="AB912" s="118" t="s">
        <v>527</v>
      </c>
      <c r="AD912" s="28" t="s">
        <v>528</v>
      </c>
      <c r="AE912" s="28" t="s">
        <v>563</v>
      </c>
      <c r="AF912" s="117" t="s">
        <v>3854</v>
      </c>
      <c r="AG912" s="28" t="s">
        <v>563</v>
      </c>
      <c r="AK912" s="60" t="s">
        <v>2927</v>
      </c>
      <c r="AL912" s="117">
        <f>1/COUNTIF(Tableau6[LAT],B912)</f>
        <v>1</v>
      </c>
      <c r="AM912" s="60" t="b">
        <f t="shared" si="101"/>
        <v>0</v>
      </c>
      <c r="AN912" s="60" t="b">
        <f t="shared" si="102"/>
        <v>0</v>
      </c>
      <c r="AO912" s="60" t="b">
        <f t="shared" si="103"/>
        <v>0</v>
      </c>
      <c r="AP912" s="60" t="b">
        <f t="shared" si="104"/>
        <v>0</v>
      </c>
      <c r="AQ912" s="60" t="b">
        <f t="shared" si="105"/>
        <v>0</v>
      </c>
      <c r="AR912" s="60" t="str">
        <f t="shared" si="106"/>
        <v>No</v>
      </c>
      <c r="AS912" s="60" t="str">
        <f t="shared" si="107"/>
        <v>No</v>
      </c>
    </row>
    <row r="913" spans="1:45" ht="15" hidden="1">
      <c r="A913" s="103">
        <v>45244</v>
      </c>
      <c r="B913" s="117" t="s">
        <v>3855</v>
      </c>
      <c r="C913" s="28" t="s">
        <v>511</v>
      </c>
      <c r="D913" s="28" t="s">
        <v>3856</v>
      </c>
      <c r="E913" s="28" t="s">
        <v>3847</v>
      </c>
      <c r="F913" s="28" t="s">
        <v>3857</v>
      </c>
      <c r="G913" s="28" t="s">
        <v>657</v>
      </c>
      <c r="H913" s="28" t="s">
        <v>3771</v>
      </c>
      <c r="I913" s="28" t="s">
        <v>516</v>
      </c>
      <c r="J913" s="28" t="s">
        <v>517</v>
      </c>
      <c r="K913" s="28" t="s">
        <v>518</v>
      </c>
      <c r="L913" s="28" t="s">
        <v>1040</v>
      </c>
      <c r="M913" s="28" t="s">
        <v>535</v>
      </c>
      <c r="N913" s="28" t="s">
        <v>521</v>
      </c>
      <c r="O913" s="28" t="s">
        <v>522</v>
      </c>
      <c r="S913" s="28" t="s">
        <v>3091</v>
      </c>
      <c r="T913" s="28" t="s">
        <v>1042</v>
      </c>
      <c r="U913" s="28" t="s">
        <v>1042</v>
      </c>
      <c r="V913" s="28" t="s">
        <v>517</v>
      </c>
      <c r="W913" s="28" t="s">
        <v>3848</v>
      </c>
      <c r="X913" s="28" t="s">
        <v>670</v>
      </c>
      <c r="Z913" s="118" t="s">
        <v>563</v>
      </c>
      <c r="AA913" s="118"/>
      <c r="AB913" s="118" t="s">
        <v>527</v>
      </c>
      <c r="AD913" s="28" t="s">
        <v>528</v>
      </c>
      <c r="AE913" s="28" t="s">
        <v>563</v>
      </c>
      <c r="AF913" s="117" t="s">
        <v>3856</v>
      </c>
      <c r="AG913" s="28" t="s">
        <v>563</v>
      </c>
      <c r="AK913" s="60" t="s">
        <v>2927</v>
      </c>
      <c r="AL913" s="117">
        <f>1/COUNTIF(Tableau6[LAT],B913)</f>
        <v>1</v>
      </c>
      <c r="AM913" s="60" t="b">
        <f t="shared" si="101"/>
        <v>0</v>
      </c>
      <c r="AN913" s="60" t="b">
        <f t="shared" si="102"/>
        <v>0</v>
      </c>
      <c r="AO913" s="60" t="b">
        <f t="shared" si="103"/>
        <v>0</v>
      </c>
      <c r="AP913" s="60" t="b">
        <f t="shared" si="104"/>
        <v>0</v>
      </c>
      <c r="AQ913" s="60" t="b">
        <f t="shared" si="105"/>
        <v>0</v>
      </c>
      <c r="AR913" s="60" t="str">
        <f t="shared" si="106"/>
        <v>No</v>
      </c>
      <c r="AS913" s="60" t="str">
        <f t="shared" si="107"/>
        <v>No</v>
      </c>
    </row>
    <row r="914" spans="1:45" ht="15" hidden="1">
      <c r="A914" s="103">
        <v>45244</v>
      </c>
      <c r="B914" s="117" t="s">
        <v>3858</v>
      </c>
      <c r="C914" s="28" t="s">
        <v>511</v>
      </c>
      <c r="D914" s="28" t="s">
        <v>3859</v>
      </c>
      <c r="E914" s="28" t="s">
        <v>3847</v>
      </c>
      <c r="F914" s="28" t="s">
        <v>3860</v>
      </c>
      <c r="G914" s="28" t="s">
        <v>1886</v>
      </c>
      <c r="H914" s="28" t="s">
        <v>1501</v>
      </c>
      <c r="I914" s="28" t="s">
        <v>516</v>
      </c>
      <c r="J914" s="28" t="s">
        <v>517</v>
      </c>
      <c r="K914" s="28" t="s">
        <v>518</v>
      </c>
      <c r="L914" s="28" t="s">
        <v>1040</v>
      </c>
      <c r="M914" s="28" t="s">
        <v>535</v>
      </c>
      <c r="N914" s="28" t="s">
        <v>521</v>
      </c>
      <c r="O914" s="28" t="s">
        <v>522</v>
      </c>
      <c r="S914" s="28" t="s">
        <v>3091</v>
      </c>
      <c r="T914" s="28" t="s">
        <v>1042</v>
      </c>
      <c r="U914" s="28" t="s">
        <v>1042</v>
      </c>
      <c r="V914" s="28" t="s">
        <v>517</v>
      </c>
      <c r="W914" s="28" t="s">
        <v>3848</v>
      </c>
      <c r="X914" s="28" t="s">
        <v>670</v>
      </c>
      <c r="Z914" s="118" t="s">
        <v>563</v>
      </c>
      <c r="AA914" s="118"/>
      <c r="AB914" s="118" t="s">
        <v>527</v>
      </c>
      <c r="AD914" s="28" t="s">
        <v>528</v>
      </c>
      <c r="AE914" s="28" t="s">
        <v>563</v>
      </c>
      <c r="AF914" s="117" t="s">
        <v>3859</v>
      </c>
      <c r="AG914" s="28" t="s">
        <v>563</v>
      </c>
      <c r="AK914" s="60" t="s">
        <v>2927</v>
      </c>
      <c r="AL914" s="117">
        <f>1/COUNTIF(Tableau6[LAT],B914)</f>
        <v>1</v>
      </c>
      <c r="AM914" s="60" t="b">
        <f t="shared" si="101"/>
        <v>0</v>
      </c>
      <c r="AN914" s="60" t="b">
        <f t="shared" si="102"/>
        <v>0</v>
      </c>
      <c r="AO914" s="60" t="b">
        <f t="shared" si="103"/>
        <v>0</v>
      </c>
      <c r="AP914" s="60" t="b">
        <f t="shared" si="104"/>
        <v>0</v>
      </c>
      <c r="AQ914" s="60" t="b">
        <f t="shared" si="105"/>
        <v>0</v>
      </c>
      <c r="AR914" s="60" t="str">
        <f t="shared" si="106"/>
        <v>No</v>
      </c>
      <c r="AS914" s="60" t="str">
        <f t="shared" si="107"/>
        <v>No</v>
      </c>
    </row>
    <row r="915" spans="1:45" ht="15" hidden="1">
      <c r="A915" s="103">
        <v>45244</v>
      </c>
      <c r="B915" s="117" t="s">
        <v>3861</v>
      </c>
      <c r="C915" s="28" t="s">
        <v>511</v>
      </c>
      <c r="D915" s="28" t="s">
        <v>3862</v>
      </c>
      <c r="E915" s="28" t="s">
        <v>3847</v>
      </c>
      <c r="F915" s="28" t="s">
        <v>3863</v>
      </c>
      <c r="G915" s="28" t="s">
        <v>3864</v>
      </c>
      <c r="H915" s="28" t="s">
        <v>3865</v>
      </c>
      <c r="I915" s="28" t="s">
        <v>516</v>
      </c>
      <c r="J915" s="28" t="s">
        <v>517</v>
      </c>
      <c r="K915" s="28" t="s">
        <v>518</v>
      </c>
      <c r="L915" s="28" t="s">
        <v>1040</v>
      </c>
      <c r="M915" s="28" t="s">
        <v>535</v>
      </c>
      <c r="N915" s="28" t="s">
        <v>521</v>
      </c>
      <c r="O915" s="28" t="s">
        <v>1107</v>
      </c>
      <c r="P915" s="28" t="s">
        <v>522</v>
      </c>
      <c r="S915" s="28" t="s">
        <v>3091</v>
      </c>
      <c r="T915" s="28" t="s">
        <v>1042</v>
      </c>
      <c r="U915" s="28" t="s">
        <v>1042</v>
      </c>
      <c r="V915" s="28" t="s">
        <v>517</v>
      </c>
      <c r="W915" s="28" t="s">
        <v>3848</v>
      </c>
      <c r="X915" s="28" t="s">
        <v>670</v>
      </c>
      <c r="Z915" s="118" t="s">
        <v>563</v>
      </c>
      <c r="AA915" s="118"/>
      <c r="AB915" s="118" t="s">
        <v>527</v>
      </c>
      <c r="AD915" s="28" t="s">
        <v>528</v>
      </c>
      <c r="AE915" s="28" t="s">
        <v>563</v>
      </c>
      <c r="AF915" s="117" t="s">
        <v>3862</v>
      </c>
      <c r="AG915" s="28" t="s">
        <v>563</v>
      </c>
      <c r="AK915" s="60" t="s">
        <v>2927</v>
      </c>
      <c r="AL915" s="117">
        <f>1/COUNTIF(Tableau6[LAT],B915)</f>
        <v>1</v>
      </c>
      <c r="AM915" s="60" t="b">
        <f t="shared" si="101"/>
        <v>0</v>
      </c>
      <c r="AN915" s="60" t="b">
        <f t="shared" si="102"/>
        <v>0</v>
      </c>
      <c r="AO915" s="60" t="b">
        <f t="shared" si="103"/>
        <v>0</v>
      </c>
      <c r="AP915" s="60" t="b">
        <f t="shared" si="104"/>
        <v>0</v>
      </c>
      <c r="AQ915" s="60" t="b">
        <f t="shared" si="105"/>
        <v>0</v>
      </c>
      <c r="AR915" s="60" t="str">
        <f t="shared" si="106"/>
        <v>No</v>
      </c>
      <c r="AS915" s="60" t="str">
        <f t="shared" si="107"/>
        <v>No</v>
      </c>
    </row>
    <row r="916" spans="1:45" ht="15" hidden="1">
      <c r="A916" s="103">
        <v>45244</v>
      </c>
      <c r="B916" s="117" t="s">
        <v>3866</v>
      </c>
      <c r="C916" s="28" t="s">
        <v>511</v>
      </c>
      <c r="D916" s="28" t="s">
        <v>3867</v>
      </c>
      <c r="F916" s="28" t="s">
        <v>696</v>
      </c>
      <c r="G916" s="28" t="s">
        <v>958</v>
      </c>
      <c r="H916" s="28" t="s">
        <v>3868</v>
      </c>
      <c r="I916" s="28" t="s">
        <v>516</v>
      </c>
      <c r="J916" s="28" t="s">
        <v>517</v>
      </c>
      <c r="K916" s="28" t="s">
        <v>518</v>
      </c>
      <c r="L916" s="28" t="s">
        <v>1032</v>
      </c>
      <c r="M916" s="28" t="s">
        <v>520</v>
      </c>
      <c r="N916" s="28" t="s">
        <v>522</v>
      </c>
      <c r="S916" s="28" t="s">
        <v>3756</v>
      </c>
      <c r="T916" s="28" t="s">
        <v>3869</v>
      </c>
      <c r="U916" s="28" t="s">
        <v>545</v>
      </c>
      <c r="V916" s="28" t="s">
        <v>517</v>
      </c>
      <c r="W916" s="28" t="s">
        <v>3870</v>
      </c>
      <c r="Z916" s="118" t="s">
        <v>526</v>
      </c>
      <c r="AA916" s="118" t="s">
        <v>35</v>
      </c>
      <c r="AB916" s="28" t="s">
        <v>923</v>
      </c>
      <c r="AC916" s="28" t="s">
        <v>3871</v>
      </c>
      <c r="AD916" s="28" t="s">
        <v>528</v>
      </c>
      <c r="AE916" s="28" t="s">
        <v>529</v>
      </c>
      <c r="AF916" s="117" t="s">
        <v>3867</v>
      </c>
      <c r="AG916" s="28" t="s">
        <v>529</v>
      </c>
      <c r="AK916" s="60" t="s">
        <v>2927</v>
      </c>
      <c r="AL916" s="117">
        <f>1/COUNTIF(Tableau6[LAT],B916)</f>
        <v>1</v>
      </c>
      <c r="AM916" s="60" t="b">
        <f t="shared" si="101"/>
        <v>0</v>
      </c>
      <c r="AN916" s="60" t="b">
        <f t="shared" si="102"/>
        <v>0</v>
      </c>
      <c r="AO916" s="60" t="b">
        <f t="shared" si="103"/>
        <v>0</v>
      </c>
      <c r="AP916" s="60" t="b">
        <f t="shared" si="104"/>
        <v>0</v>
      </c>
      <c r="AQ916" s="60" t="b">
        <f t="shared" si="105"/>
        <v>0</v>
      </c>
      <c r="AR916" s="60" t="str">
        <f t="shared" si="106"/>
        <v>No</v>
      </c>
      <c r="AS916" s="60" t="str">
        <f t="shared" si="107"/>
        <v>No</v>
      </c>
    </row>
    <row r="917" spans="1:45" ht="15" hidden="1">
      <c r="A917" s="103">
        <v>45244</v>
      </c>
      <c r="B917" s="117" t="s">
        <v>3872</v>
      </c>
      <c r="C917" s="28" t="s">
        <v>511</v>
      </c>
      <c r="D917" s="28" t="s">
        <v>3873</v>
      </c>
      <c r="F917" s="28" t="s">
        <v>3874</v>
      </c>
      <c r="G917" s="28" t="s">
        <v>3875</v>
      </c>
      <c r="H917" s="28" t="s">
        <v>542</v>
      </c>
      <c r="I917" s="28" t="s">
        <v>516</v>
      </c>
      <c r="J917" s="28" t="s">
        <v>517</v>
      </c>
      <c r="K917" s="28" t="s">
        <v>518</v>
      </c>
      <c r="L917" s="28" t="s">
        <v>3082</v>
      </c>
      <c r="M917" s="28" t="s">
        <v>520</v>
      </c>
      <c r="N917" s="28" t="s">
        <v>557</v>
      </c>
      <c r="O917" s="28" t="s">
        <v>559</v>
      </c>
      <c r="S917" s="28" t="s">
        <v>1494</v>
      </c>
      <c r="T917" s="28" t="s">
        <v>1232</v>
      </c>
      <c r="U917" s="28" t="s">
        <v>1232</v>
      </c>
      <c r="V917" s="28" t="s">
        <v>517</v>
      </c>
      <c r="W917" s="28" t="s">
        <v>3084</v>
      </c>
      <c r="Z917" s="118" t="s">
        <v>563</v>
      </c>
      <c r="AA917" s="118"/>
      <c r="AB917" s="118" t="s">
        <v>527</v>
      </c>
      <c r="AD917" s="28" t="s">
        <v>528</v>
      </c>
      <c r="AE917" s="28" t="s">
        <v>529</v>
      </c>
      <c r="AF917" s="117" t="s">
        <v>3867</v>
      </c>
      <c r="AG917" s="28" t="s">
        <v>529</v>
      </c>
      <c r="AK917" s="60" t="s">
        <v>2927</v>
      </c>
      <c r="AL917" s="117">
        <f>1/COUNTIF(Tableau6[LAT],B917)</f>
        <v>1</v>
      </c>
      <c r="AM917" s="60" t="b">
        <f t="shared" si="101"/>
        <v>0</v>
      </c>
      <c r="AN917" s="60" t="b">
        <f t="shared" si="102"/>
        <v>0</v>
      </c>
      <c r="AO917" s="60" t="b">
        <f t="shared" si="103"/>
        <v>0</v>
      </c>
      <c r="AP917" s="60" t="b">
        <f t="shared" si="104"/>
        <v>0</v>
      </c>
      <c r="AQ917" s="60" t="b">
        <f t="shared" si="105"/>
        <v>0</v>
      </c>
      <c r="AR917" s="60" t="str">
        <f t="shared" si="106"/>
        <v>No</v>
      </c>
      <c r="AS917" s="60" t="str">
        <f t="shared" si="107"/>
        <v>No</v>
      </c>
    </row>
    <row r="918" spans="1:45" ht="15" hidden="1">
      <c r="A918" s="103">
        <v>45244</v>
      </c>
      <c r="B918" s="117" t="s">
        <v>3876</v>
      </c>
      <c r="C918" s="28" t="s">
        <v>511</v>
      </c>
      <c r="D918" s="28" t="s">
        <v>3877</v>
      </c>
      <c r="F918" s="28" t="s">
        <v>1995</v>
      </c>
      <c r="G918" s="28" t="s">
        <v>514</v>
      </c>
      <c r="H918" s="28" t="s">
        <v>3878</v>
      </c>
      <c r="I918" s="28" t="s">
        <v>516</v>
      </c>
      <c r="J918" s="28" t="s">
        <v>517</v>
      </c>
      <c r="K918" s="28" t="s">
        <v>518</v>
      </c>
      <c r="L918" s="28" t="s">
        <v>763</v>
      </c>
      <c r="M918" s="28" t="s">
        <v>535</v>
      </c>
      <c r="N918" s="28" t="s">
        <v>557</v>
      </c>
      <c r="O918" s="28" t="s">
        <v>544</v>
      </c>
      <c r="P918" s="28" t="s">
        <v>522</v>
      </c>
      <c r="S918" s="28" t="s">
        <v>1494</v>
      </c>
      <c r="T918" s="28" t="s">
        <v>545</v>
      </c>
      <c r="U918" s="28" t="s">
        <v>545</v>
      </c>
      <c r="V918" s="28" t="s">
        <v>517</v>
      </c>
      <c r="W918" s="28" t="s">
        <v>3879</v>
      </c>
      <c r="Z918" s="118" t="s">
        <v>563</v>
      </c>
      <c r="AA918" s="118"/>
      <c r="AB918" s="118" t="s">
        <v>527</v>
      </c>
      <c r="AD918" s="28" t="s">
        <v>528</v>
      </c>
      <c r="AE918" s="28" t="s">
        <v>563</v>
      </c>
      <c r="AF918" s="117" t="s">
        <v>3877</v>
      </c>
      <c r="AG918" s="28" t="s">
        <v>563</v>
      </c>
      <c r="AK918" s="60" t="s">
        <v>2927</v>
      </c>
      <c r="AL918" s="117">
        <f>1/COUNTIF(Tableau6[LAT],B918)</f>
        <v>0.125</v>
      </c>
      <c r="AM918" s="60" t="b">
        <f t="shared" si="101"/>
        <v>0</v>
      </c>
      <c r="AN918" s="60" t="b">
        <f t="shared" si="102"/>
        <v>0</v>
      </c>
      <c r="AO918" s="60" t="b">
        <f t="shared" si="103"/>
        <v>0</v>
      </c>
      <c r="AP918" s="60" t="b">
        <f t="shared" si="104"/>
        <v>0</v>
      </c>
      <c r="AQ918" s="60" t="b">
        <f t="shared" si="105"/>
        <v>0</v>
      </c>
      <c r="AR918" s="60" t="str">
        <f t="shared" si="106"/>
        <v>No</v>
      </c>
      <c r="AS918" s="60" t="str">
        <f t="shared" si="107"/>
        <v>No</v>
      </c>
    </row>
    <row r="919" spans="1:45" ht="15" hidden="1">
      <c r="A919" s="103">
        <v>45244</v>
      </c>
      <c r="B919" s="117" t="s">
        <v>3876</v>
      </c>
      <c r="C919" s="28" t="s">
        <v>548</v>
      </c>
      <c r="D919" s="28" t="s">
        <v>3880</v>
      </c>
      <c r="F919" s="28" t="s">
        <v>3881</v>
      </c>
      <c r="G919" s="28" t="s">
        <v>514</v>
      </c>
      <c r="H919" s="28" t="s">
        <v>3878</v>
      </c>
      <c r="I919" s="28" t="s">
        <v>516</v>
      </c>
      <c r="J919" s="28" t="s">
        <v>517</v>
      </c>
      <c r="K919" s="28" t="s">
        <v>518</v>
      </c>
      <c r="L919" s="28" t="s">
        <v>763</v>
      </c>
      <c r="M919" s="28" t="s">
        <v>535</v>
      </c>
      <c r="N919" s="28" t="s">
        <v>557</v>
      </c>
      <c r="O919" s="28" t="s">
        <v>544</v>
      </c>
      <c r="P919" s="28" t="s">
        <v>522</v>
      </c>
      <c r="S919" s="28" t="s">
        <v>1494</v>
      </c>
      <c r="T919" s="28" t="s">
        <v>545</v>
      </c>
      <c r="U919" s="28" t="s">
        <v>545</v>
      </c>
      <c r="V919" s="28" t="s">
        <v>517</v>
      </c>
      <c r="W919" s="28" t="s">
        <v>3882</v>
      </c>
      <c r="Z919" s="118" t="s">
        <v>563</v>
      </c>
      <c r="AA919" s="118"/>
      <c r="AB919" s="118" t="s">
        <v>527</v>
      </c>
      <c r="AD919" s="28" t="s">
        <v>528</v>
      </c>
      <c r="AE919" s="28" t="s">
        <v>563</v>
      </c>
      <c r="AF919" s="117" t="s">
        <v>3880</v>
      </c>
      <c r="AG919" s="28" t="s">
        <v>563</v>
      </c>
      <c r="AK919" s="60" t="s">
        <v>2927</v>
      </c>
      <c r="AL919" s="117">
        <f>1/COUNTIF(Tableau6[LAT],B919)</f>
        <v>0.125</v>
      </c>
      <c r="AM919" s="60" t="b">
        <f t="shared" si="101"/>
        <v>0</v>
      </c>
      <c r="AN919" s="60" t="b">
        <f t="shared" si="102"/>
        <v>0</v>
      </c>
      <c r="AO919" s="60" t="b">
        <f t="shared" si="103"/>
        <v>0</v>
      </c>
      <c r="AP919" s="60" t="b">
        <f t="shared" si="104"/>
        <v>0</v>
      </c>
      <c r="AQ919" s="60" t="b">
        <f t="shared" si="105"/>
        <v>0</v>
      </c>
      <c r="AR919" s="60" t="str">
        <f t="shared" si="106"/>
        <v>No</v>
      </c>
      <c r="AS919" s="60" t="str">
        <f t="shared" si="107"/>
        <v>No</v>
      </c>
    </row>
    <row r="920" spans="1:45" ht="15" hidden="1">
      <c r="A920" s="103">
        <v>45244</v>
      </c>
      <c r="B920" s="117" t="s">
        <v>3876</v>
      </c>
      <c r="C920" s="28" t="s">
        <v>612</v>
      </c>
      <c r="D920" s="28" t="s">
        <v>3883</v>
      </c>
      <c r="F920" s="28" t="s">
        <v>3884</v>
      </c>
      <c r="G920" s="28" t="s">
        <v>514</v>
      </c>
      <c r="H920" s="28" t="s">
        <v>3878</v>
      </c>
      <c r="I920" s="28" t="s">
        <v>516</v>
      </c>
      <c r="J920" s="28" t="s">
        <v>517</v>
      </c>
      <c r="K920" s="28" t="s">
        <v>518</v>
      </c>
      <c r="L920" s="28" t="s">
        <v>763</v>
      </c>
      <c r="M920" s="28" t="s">
        <v>535</v>
      </c>
      <c r="N920" s="28" t="s">
        <v>557</v>
      </c>
      <c r="O920" s="28" t="s">
        <v>544</v>
      </c>
      <c r="P920" s="28" t="s">
        <v>522</v>
      </c>
      <c r="S920" s="28" t="s">
        <v>1494</v>
      </c>
      <c r="T920" s="28" t="s">
        <v>545</v>
      </c>
      <c r="U920" s="28" t="s">
        <v>545</v>
      </c>
      <c r="V920" s="28" t="s">
        <v>517</v>
      </c>
      <c r="W920" s="28" t="s">
        <v>3456</v>
      </c>
      <c r="Z920" s="118" t="s">
        <v>563</v>
      </c>
      <c r="AA920" s="118"/>
      <c r="AB920" s="118" t="s">
        <v>527</v>
      </c>
      <c r="AD920" s="28" t="s">
        <v>528</v>
      </c>
      <c r="AE920" s="28" t="s">
        <v>563</v>
      </c>
      <c r="AF920" s="117" t="s">
        <v>3883</v>
      </c>
      <c r="AG920" s="28" t="s">
        <v>563</v>
      </c>
      <c r="AK920" s="60" t="s">
        <v>2927</v>
      </c>
      <c r="AL920" s="117">
        <f>1/COUNTIF(Tableau6[LAT],B920)</f>
        <v>0.125</v>
      </c>
      <c r="AM920" s="60" t="b">
        <f t="shared" si="101"/>
        <v>0</v>
      </c>
      <c r="AN920" s="60" t="b">
        <f t="shared" si="102"/>
        <v>0</v>
      </c>
      <c r="AO920" s="60" t="b">
        <f t="shared" si="103"/>
        <v>0</v>
      </c>
      <c r="AP920" s="60" t="b">
        <f t="shared" si="104"/>
        <v>0</v>
      </c>
      <c r="AQ920" s="60" t="b">
        <f t="shared" si="105"/>
        <v>0</v>
      </c>
      <c r="AR920" s="60" t="str">
        <f t="shared" si="106"/>
        <v>No</v>
      </c>
      <c r="AS920" s="60" t="str">
        <f t="shared" si="107"/>
        <v>No</v>
      </c>
    </row>
    <row r="921" spans="1:45" ht="15" hidden="1">
      <c r="A921" s="103">
        <v>45244</v>
      </c>
      <c r="B921" s="117" t="s">
        <v>3876</v>
      </c>
      <c r="C921" s="28" t="s">
        <v>691</v>
      </c>
      <c r="D921" s="28" t="s">
        <v>3885</v>
      </c>
      <c r="F921" s="28" t="s">
        <v>3886</v>
      </c>
      <c r="G921" s="28" t="s">
        <v>514</v>
      </c>
      <c r="H921" s="28" t="s">
        <v>3878</v>
      </c>
      <c r="I921" s="28" t="s">
        <v>516</v>
      </c>
      <c r="J921" s="28" t="s">
        <v>517</v>
      </c>
      <c r="K921" s="28" t="s">
        <v>518</v>
      </c>
      <c r="L921" s="28" t="s">
        <v>763</v>
      </c>
      <c r="M921" s="28" t="s">
        <v>535</v>
      </c>
      <c r="N921" s="28" t="s">
        <v>557</v>
      </c>
      <c r="O921" s="28" t="s">
        <v>544</v>
      </c>
      <c r="P921" s="28" t="s">
        <v>522</v>
      </c>
      <c r="S921" s="28" t="s">
        <v>1494</v>
      </c>
      <c r="T921" s="28" t="s">
        <v>545</v>
      </c>
      <c r="U921" s="28" t="s">
        <v>545</v>
      </c>
      <c r="V921" s="28" t="s">
        <v>517</v>
      </c>
      <c r="W921" s="28" t="s">
        <v>3887</v>
      </c>
      <c r="Z921" s="118" t="s">
        <v>563</v>
      </c>
      <c r="AA921" s="118"/>
      <c r="AB921" s="118" t="s">
        <v>527</v>
      </c>
      <c r="AD921" s="28" t="s">
        <v>528</v>
      </c>
      <c r="AE921" s="28" t="s">
        <v>563</v>
      </c>
      <c r="AF921" s="117" t="s">
        <v>3885</v>
      </c>
      <c r="AG921" s="28" t="s">
        <v>563</v>
      </c>
      <c r="AK921" s="60" t="s">
        <v>2927</v>
      </c>
      <c r="AL921" s="117">
        <f>1/COUNTIF(Tableau6[LAT],B921)</f>
        <v>0.125</v>
      </c>
      <c r="AM921" s="60" t="b">
        <f t="shared" si="101"/>
        <v>0</v>
      </c>
      <c r="AN921" s="60" t="b">
        <f t="shared" si="102"/>
        <v>0</v>
      </c>
      <c r="AO921" s="60" t="b">
        <f t="shared" si="103"/>
        <v>0</v>
      </c>
      <c r="AP921" s="60" t="b">
        <f t="shared" si="104"/>
        <v>0</v>
      </c>
      <c r="AQ921" s="60" t="b">
        <f t="shared" si="105"/>
        <v>0</v>
      </c>
      <c r="AR921" s="60" t="str">
        <f t="shared" si="106"/>
        <v>No</v>
      </c>
      <c r="AS921" s="60" t="str">
        <f t="shared" si="107"/>
        <v>No</v>
      </c>
    </row>
    <row r="922" spans="1:45" ht="15" hidden="1">
      <c r="A922" s="103">
        <v>45244</v>
      </c>
      <c r="B922" s="117" t="s">
        <v>3876</v>
      </c>
      <c r="C922" s="28" t="s">
        <v>859</v>
      </c>
      <c r="D922" s="28" t="s">
        <v>3888</v>
      </c>
      <c r="F922" s="28" t="s">
        <v>3889</v>
      </c>
      <c r="G922" s="28" t="s">
        <v>514</v>
      </c>
      <c r="H922" s="28" t="s">
        <v>3878</v>
      </c>
      <c r="I922" s="28" t="s">
        <v>516</v>
      </c>
      <c r="J922" s="28" t="s">
        <v>517</v>
      </c>
      <c r="K922" s="28" t="s">
        <v>518</v>
      </c>
      <c r="L922" s="28" t="s">
        <v>763</v>
      </c>
      <c r="M922" s="28" t="s">
        <v>535</v>
      </c>
      <c r="N922" s="28" t="s">
        <v>557</v>
      </c>
      <c r="O922" s="28" t="s">
        <v>544</v>
      </c>
      <c r="P922" s="28" t="s">
        <v>522</v>
      </c>
      <c r="S922" s="28" t="s">
        <v>1494</v>
      </c>
      <c r="T922" s="28" t="s">
        <v>545</v>
      </c>
      <c r="U922" s="28" t="s">
        <v>545</v>
      </c>
      <c r="V922" s="28" t="s">
        <v>517</v>
      </c>
      <c r="W922" s="28" t="s">
        <v>3890</v>
      </c>
      <c r="Z922" s="118" t="s">
        <v>563</v>
      </c>
      <c r="AA922" s="118"/>
      <c r="AB922" s="118" t="s">
        <v>527</v>
      </c>
      <c r="AD922" s="28" t="s">
        <v>528</v>
      </c>
      <c r="AE922" s="28" t="s">
        <v>563</v>
      </c>
      <c r="AF922" s="117" t="s">
        <v>3888</v>
      </c>
      <c r="AG922" s="28" t="s">
        <v>563</v>
      </c>
      <c r="AK922" s="60" t="s">
        <v>2927</v>
      </c>
      <c r="AL922" s="117">
        <f>1/COUNTIF(Tableau6[LAT],B922)</f>
        <v>0.125</v>
      </c>
      <c r="AM922" s="60" t="b">
        <f t="shared" si="101"/>
        <v>0</v>
      </c>
      <c r="AN922" s="60" t="b">
        <f t="shared" si="102"/>
        <v>0</v>
      </c>
      <c r="AO922" s="60" t="b">
        <f t="shared" si="103"/>
        <v>0</v>
      </c>
      <c r="AP922" s="60" t="b">
        <f t="shared" si="104"/>
        <v>0</v>
      </c>
      <c r="AQ922" s="60" t="b">
        <f t="shared" si="105"/>
        <v>0</v>
      </c>
      <c r="AR922" s="60" t="str">
        <f t="shared" si="106"/>
        <v>No</v>
      </c>
      <c r="AS922" s="60" t="str">
        <f t="shared" si="107"/>
        <v>No</v>
      </c>
    </row>
    <row r="923" spans="1:45" ht="15" hidden="1">
      <c r="A923" s="103">
        <v>45244</v>
      </c>
      <c r="B923" s="117" t="s">
        <v>3876</v>
      </c>
      <c r="D923" s="28" t="s">
        <v>3891</v>
      </c>
      <c r="F923" s="28" t="s">
        <v>3886</v>
      </c>
      <c r="G923" s="28" t="s">
        <v>514</v>
      </c>
      <c r="H923" s="28" t="s">
        <v>3878</v>
      </c>
      <c r="I923" s="28" t="s">
        <v>516</v>
      </c>
      <c r="J923" s="28" t="s">
        <v>517</v>
      </c>
      <c r="K923" s="28" t="s">
        <v>518</v>
      </c>
      <c r="L923" s="28" t="s">
        <v>763</v>
      </c>
      <c r="M923" s="28" t="s">
        <v>535</v>
      </c>
      <c r="N923" s="28" t="s">
        <v>557</v>
      </c>
      <c r="O923" s="28" t="s">
        <v>544</v>
      </c>
      <c r="P923" s="28" t="s">
        <v>522</v>
      </c>
      <c r="S923" s="28" t="s">
        <v>1494</v>
      </c>
      <c r="T923" s="28" t="s">
        <v>545</v>
      </c>
      <c r="U923" s="28" t="s">
        <v>545</v>
      </c>
      <c r="V923" s="28" t="s">
        <v>517</v>
      </c>
      <c r="W923" s="28" t="s">
        <v>3892</v>
      </c>
      <c r="Z923" s="118" t="s">
        <v>563</v>
      </c>
      <c r="AA923" s="118"/>
      <c r="AB923" s="118" t="s">
        <v>527</v>
      </c>
      <c r="AD923" s="28" t="s">
        <v>528</v>
      </c>
      <c r="AE923" s="28" t="s">
        <v>563</v>
      </c>
      <c r="AF923" s="117" t="s">
        <v>3893</v>
      </c>
      <c r="AG923" s="28" t="s">
        <v>563</v>
      </c>
      <c r="AK923" s="60" t="s">
        <v>2927</v>
      </c>
      <c r="AL923" s="117">
        <f>1/COUNTIF(Tableau6[LAT],B923)</f>
        <v>0.125</v>
      </c>
      <c r="AM923" s="60" t="b">
        <f t="shared" si="101"/>
        <v>0</v>
      </c>
      <c r="AN923" s="60" t="b">
        <f t="shared" si="102"/>
        <v>0</v>
      </c>
      <c r="AO923" s="60" t="b">
        <f t="shared" si="103"/>
        <v>0</v>
      </c>
      <c r="AP923" s="60" t="b">
        <f t="shared" si="104"/>
        <v>0</v>
      </c>
      <c r="AQ923" s="60" t="b">
        <f t="shared" si="105"/>
        <v>0</v>
      </c>
      <c r="AR923" s="60" t="str">
        <f t="shared" si="106"/>
        <v>No</v>
      </c>
      <c r="AS923" s="60" t="str">
        <f t="shared" si="107"/>
        <v>No</v>
      </c>
    </row>
    <row r="924" spans="1:45" ht="15" hidden="1">
      <c r="A924" s="103">
        <v>45244</v>
      </c>
      <c r="B924" s="117" t="s">
        <v>3876</v>
      </c>
      <c r="C924" s="28" t="s">
        <v>866</v>
      </c>
      <c r="D924" s="28" t="s">
        <v>3894</v>
      </c>
      <c r="F924" s="28" t="s">
        <v>3895</v>
      </c>
      <c r="G924" s="28" t="s">
        <v>958</v>
      </c>
      <c r="H924" s="28" t="s">
        <v>3896</v>
      </c>
      <c r="I924" s="28" t="s">
        <v>516</v>
      </c>
      <c r="J924" s="28" t="s">
        <v>517</v>
      </c>
      <c r="K924" s="28" t="s">
        <v>518</v>
      </c>
      <c r="L924" s="28" t="s">
        <v>763</v>
      </c>
      <c r="M924" s="28" t="s">
        <v>535</v>
      </c>
      <c r="N924" s="28" t="s">
        <v>557</v>
      </c>
      <c r="O924" s="28" t="s">
        <v>544</v>
      </c>
      <c r="P924" s="28" t="s">
        <v>522</v>
      </c>
      <c r="S924" s="28" t="s">
        <v>1494</v>
      </c>
      <c r="T924" s="28" t="s">
        <v>545</v>
      </c>
      <c r="U924" s="28" t="s">
        <v>545</v>
      </c>
      <c r="V924" s="28" t="s">
        <v>517</v>
      </c>
      <c r="W924" s="28" t="s">
        <v>3897</v>
      </c>
      <c r="Z924" s="118" t="s">
        <v>563</v>
      </c>
      <c r="AA924" s="118"/>
      <c r="AB924" s="118" t="s">
        <v>527</v>
      </c>
      <c r="AD924" s="28" t="s">
        <v>528</v>
      </c>
      <c r="AE924" s="28" t="s">
        <v>563</v>
      </c>
      <c r="AF924" s="117" t="s">
        <v>3891</v>
      </c>
      <c r="AG924" s="28" t="s">
        <v>563</v>
      </c>
      <c r="AK924" s="60" t="s">
        <v>2927</v>
      </c>
      <c r="AL924" s="117">
        <f>1/COUNTIF(Tableau6[LAT],B924)</f>
        <v>0.125</v>
      </c>
      <c r="AM924" s="60" t="b">
        <f t="shared" si="101"/>
        <v>0</v>
      </c>
      <c r="AN924" s="60" t="b">
        <f t="shared" si="102"/>
        <v>0</v>
      </c>
      <c r="AO924" s="60" t="b">
        <f t="shared" si="103"/>
        <v>0</v>
      </c>
      <c r="AP924" s="60" t="b">
        <f t="shared" si="104"/>
        <v>0</v>
      </c>
      <c r="AQ924" s="60" t="b">
        <f t="shared" si="105"/>
        <v>0</v>
      </c>
      <c r="AR924" s="60" t="str">
        <f t="shared" si="106"/>
        <v>No</v>
      </c>
      <c r="AS924" s="60" t="str">
        <f t="shared" si="107"/>
        <v>No</v>
      </c>
    </row>
    <row r="925" spans="1:45" ht="15" hidden="1">
      <c r="A925" s="103">
        <v>45244</v>
      </c>
      <c r="B925" s="117" t="s">
        <v>3876</v>
      </c>
      <c r="C925" s="28" t="s">
        <v>868</v>
      </c>
      <c r="D925" s="28" t="s">
        <v>3898</v>
      </c>
      <c r="F925" s="28" t="s">
        <v>3881</v>
      </c>
      <c r="G925" s="28" t="s">
        <v>514</v>
      </c>
      <c r="H925" s="28" t="s">
        <v>3878</v>
      </c>
      <c r="I925" s="28" t="s">
        <v>516</v>
      </c>
      <c r="J925" s="28" t="s">
        <v>517</v>
      </c>
      <c r="K925" s="28" t="s">
        <v>518</v>
      </c>
      <c r="L925" s="28" t="s">
        <v>763</v>
      </c>
      <c r="M925" s="28" t="s">
        <v>535</v>
      </c>
      <c r="N925" s="28" t="s">
        <v>557</v>
      </c>
      <c r="O925" s="28" t="s">
        <v>544</v>
      </c>
      <c r="P925" s="28" t="s">
        <v>522</v>
      </c>
      <c r="S925" s="28" t="s">
        <v>1494</v>
      </c>
      <c r="T925" s="28" t="s">
        <v>545</v>
      </c>
      <c r="U925" s="28" t="s">
        <v>545</v>
      </c>
      <c r="V925" s="28" t="s">
        <v>517</v>
      </c>
      <c r="W925" s="28" t="s">
        <v>1979</v>
      </c>
      <c r="Z925" s="118" t="s">
        <v>563</v>
      </c>
      <c r="AA925" s="118"/>
      <c r="AB925" s="118" t="s">
        <v>527</v>
      </c>
      <c r="AD925" s="28" t="s">
        <v>528</v>
      </c>
      <c r="AE925" s="28" t="s">
        <v>563</v>
      </c>
      <c r="AF925" s="117" t="s">
        <v>3899</v>
      </c>
      <c r="AG925" s="28" t="s">
        <v>563</v>
      </c>
      <c r="AK925" s="60" t="s">
        <v>2927</v>
      </c>
      <c r="AL925" s="117">
        <f>1/COUNTIF(Tableau6[LAT],B925)</f>
        <v>0.125</v>
      </c>
      <c r="AM925" s="60" t="b">
        <f t="shared" si="101"/>
        <v>0</v>
      </c>
      <c r="AN925" s="60" t="b">
        <f t="shared" si="102"/>
        <v>0</v>
      </c>
      <c r="AO925" s="60" t="b">
        <f t="shared" si="103"/>
        <v>0</v>
      </c>
      <c r="AP925" s="60" t="b">
        <f t="shared" si="104"/>
        <v>0</v>
      </c>
      <c r="AQ925" s="60" t="b">
        <f t="shared" si="105"/>
        <v>0</v>
      </c>
      <c r="AR925" s="60" t="str">
        <f t="shared" si="106"/>
        <v>No</v>
      </c>
      <c r="AS925" s="60" t="str">
        <f t="shared" si="107"/>
        <v>No</v>
      </c>
    </row>
    <row r="926" spans="1:45" ht="15" hidden="1">
      <c r="A926" s="103">
        <v>45244</v>
      </c>
      <c r="B926" s="117" t="s">
        <v>3900</v>
      </c>
      <c r="C926" s="28" t="s">
        <v>511</v>
      </c>
      <c r="D926" s="28" t="s">
        <v>3901</v>
      </c>
      <c r="F926" s="28" t="s">
        <v>1989</v>
      </c>
      <c r="G926" s="28" t="s">
        <v>1886</v>
      </c>
      <c r="H926" s="28" t="s">
        <v>2017</v>
      </c>
      <c r="I926" s="28" t="s">
        <v>516</v>
      </c>
      <c r="J926" s="28" t="s">
        <v>517</v>
      </c>
      <c r="K926" s="28" t="s">
        <v>518</v>
      </c>
      <c r="L926" s="28" t="s">
        <v>3082</v>
      </c>
      <c r="M926" s="28" t="s">
        <v>520</v>
      </c>
      <c r="N926" s="28" t="s">
        <v>1414</v>
      </c>
      <c r="O926" s="28" t="s">
        <v>3902</v>
      </c>
      <c r="P926" s="28" t="s">
        <v>557</v>
      </c>
      <c r="Q926" s="28" t="s">
        <v>522</v>
      </c>
      <c r="S926" s="28" t="s">
        <v>1494</v>
      </c>
      <c r="T926" s="28" t="s">
        <v>1232</v>
      </c>
      <c r="U926" s="28" t="s">
        <v>1232</v>
      </c>
      <c r="V926" s="28" t="s">
        <v>517</v>
      </c>
      <c r="W926" s="28" t="s">
        <v>3903</v>
      </c>
      <c r="Z926" s="118" t="s">
        <v>563</v>
      </c>
      <c r="AA926" s="118"/>
      <c r="AB926" s="118" t="s">
        <v>3904</v>
      </c>
      <c r="AD926" s="28" t="s">
        <v>528</v>
      </c>
      <c r="AE926" s="28" t="s">
        <v>529</v>
      </c>
      <c r="AF926" s="117" t="s">
        <v>3901</v>
      </c>
      <c r="AG926" s="28" t="s">
        <v>529</v>
      </c>
      <c r="AK926" s="60" t="s">
        <v>2927</v>
      </c>
      <c r="AL926" s="117">
        <f>1/COUNTIF(Tableau6[LAT],B926)</f>
        <v>1</v>
      </c>
      <c r="AM926" s="60" t="str">
        <f t="shared" si="101"/>
        <v>Yes</v>
      </c>
      <c r="AN926" s="60" t="str">
        <f t="shared" si="102"/>
        <v>Yes</v>
      </c>
      <c r="AO926" s="60" t="b">
        <f t="shared" si="103"/>
        <v>0</v>
      </c>
      <c r="AP926" s="60" t="b">
        <f t="shared" si="104"/>
        <v>0</v>
      </c>
      <c r="AQ926" s="60" t="b">
        <f t="shared" si="105"/>
        <v>0</v>
      </c>
      <c r="AR926" s="60" t="str">
        <f t="shared" si="106"/>
        <v>Yes</v>
      </c>
      <c r="AS926" s="60" t="str">
        <f t="shared" si="107"/>
        <v>No</v>
      </c>
    </row>
    <row r="927" spans="1:45" ht="15" hidden="1">
      <c r="A927" s="103">
        <v>45244</v>
      </c>
      <c r="B927" s="117" t="s">
        <v>3905</v>
      </c>
      <c r="C927" s="28" t="s">
        <v>511</v>
      </c>
      <c r="D927" s="28" t="s">
        <v>3906</v>
      </c>
      <c r="E927" s="28" t="s">
        <v>3907</v>
      </c>
      <c r="F927" s="28" t="s">
        <v>3908</v>
      </c>
      <c r="G927" s="28" t="s">
        <v>1077</v>
      </c>
      <c r="H927" s="28" t="s">
        <v>3909</v>
      </c>
      <c r="I927" s="28" t="s">
        <v>516</v>
      </c>
      <c r="J927" s="28" t="s">
        <v>517</v>
      </c>
      <c r="K927" s="28" t="s">
        <v>518</v>
      </c>
      <c r="L927" s="28" t="s">
        <v>3910</v>
      </c>
      <c r="M927" s="28" t="s">
        <v>1374</v>
      </c>
      <c r="N927" s="28" t="s">
        <v>557</v>
      </c>
      <c r="O927" s="28" t="s">
        <v>544</v>
      </c>
      <c r="P927" s="28" t="s">
        <v>522</v>
      </c>
      <c r="S927" s="28" t="s">
        <v>1795</v>
      </c>
      <c r="T927" s="28" t="s">
        <v>733</v>
      </c>
      <c r="U927" s="28" t="s">
        <v>733</v>
      </c>
      <c r="V927" s="28" t="s">
        <v>517</v>
      </c>
      <c r="W927" s="28" t="s">
        <v>3911</v>
      </c>
      <c r="X927" s="28" t="s">
        <v>670</v>
      </c>
      <c r="Z927" s="118" t="s">
        <v>526</v>
      </c>
      <c r="AA927" s="118"/>
      <c r="AB927" s="118"/>
      <c r="AD927" s="28" t="s">
        <v>954</v>
      </c>
      <c r="AE927" s="28" t="s">
        <v>563</v>
      </c>
      <c r="AF927" s="117" t="s">
        <v>3906</v>
      </c>
      <c r="AG927" s="28" t="s">
        <v>563</v>
      </c>
      <c r="AK927" s="60" t="s">
        <v>2927</v>
      </c>
      <c r="AL927" s="117">
        <f>1/COUNTIF(Tableau6[LAT],B927)</f>
        <v>0.33333333333333331</v>
      </c>
      <c r="AM927" s="60" t="b">
        <f t="shared" si="101"/>
        <v>0</v>
      </c>
      <c r="AN927" s="60" t="b">
        <f t="shared" si="102"/>
        <v>0</v>
      </c>
      <c r="AO927" s="60" t="b">
        <f t="shared" si="103"/>
        <v>0</v>
      </c>
      <c r="AP927" s="60" t="b">
        <f t="shared" si="104"/>
        <v>0</v>
      </c>
      <c r="AQ927" s="60" t="b">
        <f t="shared" si="105"/>
        <v>0</v>
      </c>
      <c r="AR927" s="60" t="str">
        <f t="shared" si="106"/>
        <v>No</v>
      </c>
      <c r="AS927" s="60" t="str">
        <f t="shared" si="107"/>
        <v>No</v>
      </c>
    </row>
    <row r="928" spans="1:45" ht="15" hidden="1">
      <c r="A928" s="103">
        <v>45244</v>
      </c>
      <c r="B928" s="117" t="s">
        <v>3905</v>
      </c>
      <c r="C928" s="28" t="s">
        <v>548</v>
      </c>
      <c r="D928" s="28" t="s">
        <v>3912</v>
      </c>
      <c r="E928" s="28" t="s">
        <v>3913</v>
      </c>
      <c r="F928" s="28" t="s">
        <v>3914</v>
      </c>
      <c r="G928" s="28" t="s">
        <v>1077</v>
      </c>
      <c r="H928" s="28" t="s">
        <v>2856</v>
      </c>
      <c r="I928" s="28" t="s">
        <v>516</v>
      </c>
      <c r="J928" s="28" t="s">
        <v>517</v>
      </c>
      <c r="K928" s="28" t="s">
        <v>518</v>
      </c>
      <c r="L928" s="28" t="s">
        <v>3910</v>
      </c>
      <c r="M928" s="28" t="s">
        <v>1374</v>
      </c>
      <c r="N928" s="28" t="s">
        <v>557</v>
      </c>
      <c r="O928" s="28" t="s">
        <v>544</v>
      </c>
      <c r="P928" s="28" t="s">
        <v>522</v>
      </c>
      <c r="S928" s="28" t="s">
        <v>1795</v>
      </c>
      <c r="T928" s="28" t="s">
        <v>733</v>
      </c>
      <c r="U928" s="28" t="s">
        <v>733</v>
      </c>
      <c r="V928" s="28" t="s">
        <v>517</v>
      </c>
      <c r="W928" s="28" t="s">
        <v>3915</v>
      </c>
      <c r="X928" s="28" t="s">
        <v>670</v>
      </c>
      <c r="Z928" s="118" t="s">
        <v>526</v>
      </c>
      <c r="AA928" s="118"/>
      <c r="AB928" s="118"/>
      <c r="AD928" s="28" t="s">
        <v>954</v>
      </c>
      <c r="AE928" s="28" t="s">
        <v>563</v>
      </c>
      <c r="AF928" s="117"/>
      <c r="AG928" s="28" t="s">
        <v>563</v>
      </c>
      <c r="AK928" s="60" t="s">
        <v>2927</v>
      </c>
      <c r="AL928" s="117">
        <f>1/COUNTIF(Tableau6[LAT],B928)</f>
        <v>0.33333333333333331</v>
      </c>
      <c r="AM928" s="60" t="b">
        <f t="shared" si="101"/>
        <v>0</v>
      </c>
      <c r="AN928" s="60" t="b">
        <f t="shared" si="102"/>
        <v>0</v>
      </c>
      <c r="AO928" s="60" t="b">
        <f t="shared" si="103"/>
        <v>0</v>
      </c>
      <c r="AP928" s="60" t="b">
        <f t="shared" si="104"/>
        <v>0</v>
      </c>
      <c r="AQ928" s="60" t="b">
        <f t="shared" si="105"/>
        <v>0</v>
      </c>
      <c r="AR928" s="60" t="str">
        <f t="shared" si="106"/>
        <v>No</v>
      </c>
      <c r="AS928" s="60" t="str">
        <f t="shared" si="107"/>
        <v>No</v>
      </c>
    </row>
    <row r="929" spans="1:45" ht="15" hidden="1">
      <c r="A929" s="103">
        <v>45244</v>
      </c>
      <c r="B929" s="117" t="s">
        <v>3905</v>
      </c>
      <c r="C929" s="28" t="s">
        <v>612</v>
      </c>
      <c r="D929" s="28" t="s">
        <v>3916</v>
      </c>
      <c r="E929" s="28" t="s">
        <v>3917</v>
      </c>
      <c r="F929" s="28" t="s">
        <v>3918</v>
      </c>
      <c r="G929" s="28" t="s">
        <v>1077</v>
      </c>
      <c r="H929" s="28" t="s">
        <v>3919</v>
      </c>
      <c r="I929" s="28" t="s">
        <v>516</v>
      </c>
      <c r="J929" s="28" t="s">
        <v>517</v>
      </c>
      <c r="K929" s="28" t="s">
        <v>518</v>
      </c>
      <c r="L929" s="28" t="s">
        <v>3910</v>
      </c>
      <c r="M929" s="28" t="s">
        <v>1374</v>
      </c>
      <c r="N929" s="28" t="s">
        <v>557</v>
      </c>
      <c r="O929" s="28" t="s">
        <v>544</v>
      </c>
      <c r="P929" s="28" t="s">
        <v>522</v>
      </c>
      <c r="S929" s="28" t="s">
        <v>1795</v>
      </c>
      <c r="T929" s="28" t="s">
        <v>733</v>
      </c>
      <c r="U929" s="28" t="s">
        <v>733</v>
      </c>
      <c r="V929" s="28" t="s">
        <v>517</v>
      </c>
      <c r="W929" s="28" t="s">
        <v>3920</v>
      </c>
      <c r="X929" s="28" t="s">
        <v>670</v>
      </c>
      <c r="Z929" s="118" t="s">
        <v>526</v>
      </c>
      <c r="AA929" s="118"/>
      <c r="AB929" s="118"/>
      <c r="AF929" s="117" t="s">
        <v>3916</v>
      </c>
      <c r="AK929" s="60" t="s">
        <v>2927</v>
      </c>
      <c r="AL929" s="117">
        <f>1/COUNTIF(Tableau6[LAT],B929)</f>
        <v>0.33333333333333331</v>
      </c>
      <c r="AM929" s="60" t="b">
        <f t="shared" si="101"/>
        <v>0</v>
      </c>
      <c r="AN929" s="60" t="b">
        <f t="shared" si="102"/>
        <v>0</v>
      </c>
      <c r="AO929" s="60" t="b">
        <f t="shared" si="103"/>
        <v>0</v>
      </c>
      <c r="AP929" s="60" t="b">
        <f t="shared" si="104"/>
        <v>0</v>
      </c>
      <c r="AQ929" s="60" t="b">
        <f t="shared" si="105"/>
        <v>0</v>
      </c>
      <c r="AR929" s="60" t="str">
        <f t="shared" si="106"/>
        <v>No</v>
      </c>
      <c r="AS929" s="60" t="str">
        <f t="shared" si="107"/>
        <v>No</v>
      </c>
    </row>
    <row r="930" spans="1:45" ht="15" hidden="1">
      <c r="A930" s="103">
        <v>45244</v>
      </c>
      <c r="B930" s="117" t="s">
        <v>3921</v>
      </c>
      <c r="C930" s="28" t="s">
        <v>511</v>
      </c>
      <c r="D930" s="28" t="s">
        <v>3922</v>
      </c>
      <c r="F930" s="28" t="s">
        <v>3451</v>
      </c>
      <c r="G930" s="28" t="s">
        <v>724</v>
      </c>
      <c r="H930" s="28" t="s">
        <v>933</v>
      </c>
      <c r="I930" s="28" t="s">
        <v>516</v>
      </c>
      <c r="J930" s="28" t="s">
        <v>517</v>
      </c>
      <c r="K930" s="28" t="s">
        <v>518</v>
      </c>
      <c r="L930" s="28" t="s">
        <v>588</v>
      </c>
      <c r="M930" s="28" t="s">
        <v>520</v>
      </c>
      <c r="N930" s="28" t="s">
        <v>557</v>
      </c>
      <c r="O930" s="28" t="s">
        <v>522</v>
      </c>
      <c r="S930" s="28" t="s">
        <v>1712</v>
      </c>
      <c r="T930" s="28" t="s">
        <v>590</v>
      </c>
      <c r="U930" s="28" t="s">
        <v>590</v>
      </c>
      <c r="V930" s="28" t="s">
        <v>517</v>
      </c>
      <c r="W930" s="28" t="s">
        <v>3923</v>
      </c>
      <c r="Z930" s="118" t="s">
        <v>563</v>
      </c>
      <c r="AA930" s="118"/>
      <c r="AB930" s="118" t="s">
        <v>527</v>
      </c>
      <c r="AD930" s="28" t="s">
        <v>528</v>
      </c>
      <c r="AE930" s="28" t="s">
        <v>563</v>
      </c>
      <c r="AF930" s="117" t="s">
        <v>3922</v>
      </c>
      <c r="AG930" s="28" t="s">
        <v>563</v>
      </c>
      <c r="AK930" s="60" t="s">
        <v>2927</v>
      </c>
      <c r="AL930" s="117">
        <f>1/COUNTIF(Tableau6[LAT],B930)</f>
        <v>1</v>
      </c>
      <c r="AM930" s="60" t="b">
        <f t="shared" si="101"/>
        <v>0</v>
      </c>
      <c r="AN930" s="60" t="b">
        <f t="shared" si="102"/>
        <v>0</v>
      </c>
      <c r="AO930" s="60" t="b">
        <f t="shared" si="103"/>
        <v>0</v>
      </c>
      <c r="AP930" s="60" t="b">
        <f t="shared" si="104"/>
        <v>0</v>
      </c>
      <c r="AQ930" s="60" t="b">
        <f t="shared" si="105"/>
        <v>0</v>
      </c>
      <c r="AR930" s="60" t="str">
        <f t="shared" si="106"/>
        <v>No</v>
      </c>
      <c r="AS930" s="60" t="str">
        <f t="shared" si="107"/>
        <v>No</v>
      </c>
    </row>
    <row r="931" spans="1:45" ht="15" hidden="1">
      <c r="A931" s="103">
        <v>45244</v>
      </c>
      <c r="B931" s="117" t="s">
        <v>3924</v>
      </c>
      <c r="C931" s="28" t="s">
        <v>548</v>
      </c>
      <c r="D931" s="28" t="s">
        <v>3925</v>
      </c>
      <c r="E931" s="28" t="s">
        <v>3926</v>
      </c>
      <c r="F931" s="28" t="s">
        <v>3927</v>
      </c>
      <c r="G931" s="28" t="s">
        <v>514</v>
      </c>
      <c r="H931" s="28" t="s">
        <v>3928</v>
      </c>
      <c r="I931" s="28" t="s">
        <v>516</v>
      </c>
      <c r="J931" s="28" t="s">
        <v>516</v>
      </c>
      <c r="K931" s="28" t="s">
        <v>518</v>
      </c>
      <c r="L931" s="28" t="s">
        <v>2147</v>
      </c>
      <c r="M931" s="28" t="s">
        <v>520</v>
      </c>
      <c r="N931" s="28" t="s">
        <v>1492</v>
      </c>
      <c r="O931" s="28" t="s">
        <v>544</v>
      </c>
      <c r="P931" s="28" t="s">
        <v>558</v>
      </c>
      <c r="S931" s="28" t="s">
        <v>740</v>
      </c>
      <c r="T931" s="28" t="s">
        <v>733</v>
      </c>
      <c r="U931" s="28" t="s">
        <v>733</v>
      </c>
      <c r="V931" s="28" t="s">
        <v>517</v>
      </c>
      <c r="W931" s="28" t="s">
        <v>3929</v>
      </c>
      <c r="X931" s="28" t="s">
        <v>1418</v>
      </c>
      <c r="Z931" s="118" t="s">
        <v>563</v>
      </c>
      <c r="AA931" s="118"/>
      <c r="AB931" s="118" t="s">
        <v>527</v>
      </c>
      <c r="AD931" s="118" t="s">
        <v>528</v>
      </c>
      <c r="AE931" s="118"/>
      <c r="AF931" s="138" t="s">
        <v>3926</v>
      </c>
      <c r="AG931" s="118" t="s">
        <v>529</v>
      </c>
      <c r="AK931" s="60" t="s">
        <v>2927</v>
      </c>
      <c r="AL931" s="117">
        <f>1/COUNTIF(Tableau6[LAT],B931)</f>
        <v>1</v>
      </c>
      <c r="AM931" s="60" t="b">
        <f t="shared" si="101"/>
        <v>0</v>
      </c>
      <c r="AN931" s="60" t="b">
        <f t="shared" si="102"/>
        <v>0</v>
      </c>
      <c r="AO931" s="60" t="b">
        <f t="shared" si="103"/>
        <v>0</v>
      </c>
      <c r="AP931" s="60" t="b">
        <f t="shared" si="104"/>
        <v>0</v>
      </c>
      <c r="AQ931" s="60" t="b">
        <f t="shared" si="105"/>
        <v>0</v>
      </c>
      <c r="AR931" s="60" t="str">
        <f t="shared" si="106"/>
        <v>No</v>
      </c>
      <c r="AS931" s="60" t="str">
        <f t="shared" si="107"/>
        <v>No</v>
      </c>
    </row>
    <row r="932" spans="1:45" ht="15" hidden="1">
      <c r="A932" s="103">
        <v>45244</v>
      </c>
      <c r="B932" s="117" t="s">
        <v>3930</v>
      </c>
      <c r="C932" s="28" t="s">
        <v>511</v>
      </c>
      <c r="D932" s="28" t="s">
        <v>3931</v>
      </c>
      <c r="E932" s="28" t="s">
        <v>3932</v>
      </c>
      <c r="F932" s="28" t="s">
        <v>3933</v>
      </c>
      <c r="G932" s="28" t="s">
        <v>657</v>
      </c>
      <c r="H932" s="28" t="s">
        <v>3934</v>
      </c>
      <c r="I932" s="28" t="s">
        <v>516</v>
      </c>
      <c r="J932" s="28" t="s">
        <v>517</v>
      </c>
      <c r="K932" s="28" t="s">
        <v>518</v>
      </c>
      <c r="L932" s="28" t="s">
        <v>596</v>
      </c>
      <c r="M932" s="28" t="s">
        <v>605</v>
      </c>
      <c r="N932" s="28" t="s">
        <v>544</v>
      </c>
      <c r="O932" s="28" t="s">
        <v>522</v>
      </c>
      <c r="P932" s="28" t="s">
        <v>627</v>
      </c>
      <c r="S932" s="28" t="s">
        <v>740</v>
      </c>
      <c r="T932" s="28" t="s">
        <v>597</v>
      </c>
      <c r="U932" s="28" t="s">
        <v>597</v>
      </c>
      <c r="V932" s="28" t="s">
        <v>517</v>
      </c>
      <c r="W932" s="28" t="s">
        <v>3935</v>
      </c>
      <c r="X932" s="28" t="s">
        <v>670</v>
      </c>
      <c r="Z932" s="118" t="s">
        <v>563</v>
      </c>
      <c r="AA932" s="118"/>
      <c r="AB932" s="118" t="s">
        <v>527</v>
      </c>
      <c r="AD932" s="28" t="s">
        <v>954</v>
      </c>
      <c r="AE932" s="28" t="s">
        <v>563</v>
      </c>
      <c r="AF932" s="117" t="s">
        <v>3931</v>
      </c>
      <c r="AG932" s="28" t="s">
        <v>563</v>
      </c>
      <c r="AK932" s="60" t="s">
        <v>2927</v>
      </c>
      <c r="AL932" s="117">
        <f>1/COUNTIF(Tableau6[LAT],B932)</f>
        <v>0.5</v>
      </c>
      <c r="AM932" s="60" t="b">
        <f t="shared" si="101"/>
        <v>0</v>
      </c>
      <c r="AN932" s="60" t="b">
        <f t="shared" si="102"/>
        <v>0</v>
      </c>
      <c r="AO932" s="60" t="b">
        <f t="shared" si="103"/>
        <v>0</v>
      </c>
      <c r="AP932" s="60" t="b">
        <f t="shared" si="104"/>
        <v>0</v>
      </c>
      <c r="AQ932" s="60" t="b">
        <f t="shared" si="105"/>
        <v>0</v>
      </c>
      <c r="AR932" s="60" t="str">
        <f t="shared" si="106"/>
        <v>No</v>
      </c>
      <c r="AS932" s="60" t="str">
        <f t="shared" si="107"/>
        <v>No</v>
      </c>
    </row>
    <row r="933" spans="1:45" ht="15" hidden="1">
      <c r="A933" s="103">
        <v>45244</v>
      </c>
      <c r="B933" s="117" t="s">
        <v>3930</v>
      </c>
      <c r="C933" s="28" t="s">
        <v>548</v>
      </c>
      <c r="D933" s="28" t="s">
        <v>3936</v>
      </c>
      <c r="E933" s="28" t="s">
        <v>3937</v>
      </c>
      <c r="F933" s="28" t="s">
        <v>3933</v>
      </c>
      <c r="G933" s="28" t="s">
        <v>657</v>
      </c>
      <c r="H933" s="28" t="s">
        <v>3934</v>
      </c>
      <c r="I933" s="28" t="s">
        <v>516</v>
      </c>
      <c r="J933" s="28" t="s">
        <v>517</v>
      </c>
      <c r="K933" s="28" t="s">
        <v>518</v>
      </c>
      <c r="L933" s="28" t="s">
        <v>596</v>
      </c>
      <c r="M933" s="28" t="s">
        <v>605</v>
      </c>
      <c r="N933" s="28" t="s">
        <v>544</v>
      </c>
      <c r="O933" s="28" t="s">
        <v>522</v>
      </c>
      <c r="P933" s="28" t="s">
        <v>627</v>
      </c>
      <c r="S933" s="28" t="s">
        <v>740</v>
      </c>
      <c r="T933" s="28" t="s">
        <v>597</v>
      </c>
      <c r="U933" s="28" t="s">
        <v>597</v>
      </c>
      <c r="V933" s="28" t="s">
        <v>517</v>
      </c>
      <c r="W933" s="28" t="s">
        <v>3938</v>
      </c>
      <c r="X933" s="28" t="s">
        <v>670</v>
      </c>
      <c r="Z933" s="118" t="s">
        <v>563</v>
      </c>
      <c r="AA933" s="118"/>
      <c r="AB933" s="118" t="s">
        <v>527</v>
      </c>
      <c r="AD933" s="28" t="s">
        <v>954</v>
      </c>
      <c r="AE933" s="28" t="s">
        <v>563</v>
      </c>
      <c r="AF933" s="117" t="s">
        <v>3931</v>
      </c>
      <c r="AG933" s="28" t="s">
        <v>563</v>
      </c>
      <c r="AK933" s="60" t="s">
        <v>2927</v>
      </c>
      <c r="AL933" s="117">
        <f>1/COUNTIF(Tableau6[LAT],B933)</f>
        <v>0.5</v>
      </c>
      <c r="AM933" s="60" t="b">
        <f t="shared" si="101"/>
        <v>0</v>
      </c>
      <c r="AN933" s="60" t="b">
        <f t="shared" si="102"/>
        <v>0</v>
      </c>
      <c r="AO933" s="60" t="b">
        <f t="shared" si="103"/>
        <v>0</v>
      </c>
      <c r="AP933" s="60" t="b">
        <f t="shared" si="104"/>
        <v>0</v>
      </c>
      <c r="AQ933" s="60" t="b">
        <f t="shared" si="105"/>
        <v>0</v>
      </c>
      <c r="AR933" s="60" t="str">
        <f t="shared" si="106"/>
        <v>No</v>
      </c>
      <c r="AS933" s="60" t="str">
        <f t="shared" si="107"/>
        <v>No</v>
      </c>
    </row>
    <row r="934" spans="1:45" ht="15" hidden="1">
      <c r="A934" s="103">
        <v>45244</v>
      </c>
      <c r="B934" s="117" t="s">
        <v>3939</v>
      </c>
      <c r="C934" s="28" t="s">
        <v>511</v>
      </c>
      <c r="D934" s="28" t="s">
        <v>3940</v>
      </c>
      <c r="F934" s="28" t="s">
        <v>2745</v>
      </c>
      <c r="G934" s="28" t="s">
        <v>514</v>
      </c>
      <c r="H934" s="28" t="s">
        <v>3941</v>
      </c>
      <c r="I934" s="28" t="s">
        <v>516</v>
      </c>
      <c r="J934" s="28" t="s">
        <v>517</v>
      </c>
      <c r="K934" s="28" t="s">
        <v>518</v>
      </c>
      <c r="L934" s="28" t="s">
        <v>731</v>
      </c>
      <c r="M934" s="28" t="s">
        <v>535</v>
      </c>
      <c r="N934" s="28" t="s">
        <v>557</v>
      </c>
      <c r="O934" s="28" t="s">
        <v>544</v>
      </c>
      <c r="P934" s="28" t="s">
        <v>1107</v>
      </c>
      <c r="Q934" s="28" t="s">
        <v>522</v>
      </c>
      <c r="S934" s="28" t="s">
        <v>896</v>
      </c>
      <c r="T934" s="28" t="s">
        <v>733</v>
      </c>
      <c r="U934" s="28" t="s">
        <v>733</v>
      </c>
      <c r="V934" s="28" t="s">
        <v>517</v>
      </c>
      <c r="W934" s="28" t="s">
        <v>3362</v>
      </c>
      <c r="Z934" s="118" t="s">
        <v>526</v>
      </c>
      <c r="AA934" s="118"/>
      <c r="AB934" s="118"/>
      <c r="AD934" s="28" t="s">
        <v>528</v>
      </c>
      <c r="AE934" s="28" t="s">
        <v>563</v>
      </c>
      <c r="AF934" s="117" t="s">
        <v>3940</v>
      </c>
      <c r="AG934" s="28" t="s">
        <v>563</v>
      </c>
      <c r="AK934" s="60" t="s">
        <v>2927</v>
      </c>
      <c r="AL934" s="117">
        <f>1/COUNTIF(Tableau6[LAT],B934)</f>
        <v>1</v>
      </c>
      <c r="AM934" s="60" t="b">
        <f t="shared" si="101"/>
        <v>0</v>
      </c>
      <c r="AN934" s="60" t="b">
        <f t="shared" si="102"/>
        <v>0</v>
      </c>
      <c r="AO934" s="60" t="b">
        <f t="shared" si="103"/>
        <v>0</v>
      </c>
      <c r="AP934" s="60" t="b">
        <f t="shared" si="104"/>
        <v>0</v>
      </c>
      <c r="AQ934" s="60" t="b">
        <f t="shared" si="105"/>
        <v>0</v>
      </c>
      <c r="AR934" s="60" t="str">
        <f t="shared" si="106"/>
        <v>No</v>
      </c>
      <c r="AS934" s="60" t="str">
        <f t="shared" si="107"/>
        <v>No</v>
      </c>
    </row>
    <row r="935" spans="1:45" ht="15" hidden="1">
      <c r="A935" s="103">
        <v>45244</v>
      </c>
      <c r="B935" s="117" t="s">
        <v>3942</v>
      </c>
      <c r="C935" s="28" t="s">
        <v>511</v>
      </c>
      <c r="D935" s="28" t="s">
        <v>3943</v>
      </c>
      <c r="F935" s="28" t="s">
        <v>3944</v>
      </c>
      <c r="G935" s="28" t="s">
        <v>3945</v>
      </c>
      <c r="H935" s="28" t="s">
        <v>921</v>
      </c>
      <c r="I935" s="28" t="s">
        <v>516</v>
      </c>
      <c r="J935" s="28" t="s">
        <v>517</v>
      </c>
      <c r="K935" s="28" t="s">
        <v>518</v>
      </c>
      <c r="L935" s="28" t="s">
        <v>1769</v>
      </c>
      <c r="M935" s="28" t="s">
        <v>605</v>
      </c>
      <c r="N935" s="28" t="s">
        <v>557</v>
      </c>
      <c r="O935" s="28" t="s">
        <v>934</v>
      </c>
      <c r="P935" s="28" t="s">
        <v>559</v>
      </c>
      <c r="S935" s="28" t="s">
        <v>606</v>
      </c>
      <c r="T935" s="28" t="s">
        <v>733</v>
      </c>
      <c r="U935" s="28" t="s">
        <v>733</v>
      </c>
      <c r="V935" s="28" t="s">
        <v>517</v>
      </c>
      <c r="W935" s="28" t="s">
        <v>3946</v>
      </c>
      <c r="Z935" s="118" t="s">
        <v>526</v>
      </c>
      <c r="AA935" s="118"/>
      <c r="AB935" s="118"/>
      <c r="AD935" s="28" t="s">
        <v>954</v>
      </c>
      <c r="AE935" s="28" t="s">
        <v>563</v>
      </c>
      <c r="AF935" s="117" t="s">
        <v>3943</v>
      </c>
      <c r="AG935" s="28" t="s">
        <v>563</v>
      </c>
      <c r="AK935" s="60" t="s">
        <v>2927</v>
      </c>
      <c r="AL935" s="117">
        <f>1/COUNTIF(Tableau6[LAT],B935)</f>
        <v>1</v>
      </c>
      <c r="AM935" s="60" t="b">
        <f t="shared" si="101"/>
        <v>0</v>
      </c>
      <c r="AN935" s="60" t="b">
        <f t="shared" si="102"/>
        <v>0</v>
      </c>
      <c r="AO935" s="60" t="b">
        <f t="shared" si="103"/>
        <v>0</v>
      </c>
      <c r="AP935" s="60" t="b">
        <f t="shared" si="104"/>
        <v>0</v>
      </c>
      <c r="AQ935" s="60" t="b">
        <f t="shared" si="105"/>
        <v>0</v>
      </c>
      <c r="AR935" s="60" t="str">
        <f t="shared" si="106"/>
        <v>No</v>
      </c>
      <c r="AS935" s="60" t="str">
        <f t="shared" si="107"/>
        <v>No</v>
      </c>
    </row>
    <row r="936" spans="1:45" ht="15" hidden="1">
      <c r="A936" s="103">
        <v>45244</v>
      </c>
      <c r="B936" s="117" t="s">
        <v>3947</v>
      </c>
      <c r="C936" s="28" t="s">
        <v>511</v>
      </c>
      <c r="D936" s="28" t="s">
        <v>3948</v>
      </c>
      <c r="F936" s="28" t="s">
        <v>1290</v>
      </c>
      <c r="G936" s="28" t="s">
        <v>514</v>
      </c>
      <c r="H936" s="28" t="s">
        <v>2168</v>
      </c>
      <c r="I936" s="28" t="s">
        <v>516</v>
      </c>
      <c r="J936" s="28" t="s">
        <v>517</v>
      </c>
      <c r="K936" s="28" t="s">
        <v>518</v>
      </c>
      <c r="L936" s="28" t="s">
        <v>1787</v>
      </c>
      <c r="M936" s="28" t="s">
        <v>535</v>
      </c>
      <c r="N936" s="28" t="s">
        <v>522</v>
      </c>
      <c r="S936" s="28" t="s">
        <v>3949</v>
      </c>
      <c r="T936" s="28" t="s">
        <v>3950</v>
      </c>
      <c r="U936" s="28" t="s">
        <v>581</v>
      </c>
      <c r="V936" s="28" t="s">
        <v>517</v>
      </c>
      <c r="W936" s="28" t="s">
        <v>1788</v>
      </c>
      <c r="Z936" s="118" t="s">
        <v>526</v>
      </c>
      <c r="AA936" s="118"/>
      <c r="AB936" s="118"/>
      <c r="AD936" s="28" t="s">
        <v>528</v>
      </c>
      <c r="AE936" s="28" t="s">
        <v>563</v>
      </c>
      <c r="AF936" s="117" t="s">
        <v>3948</v>
      </c>
      <c r="AG936" s="28" t="s">
        <v>563</v>
      </c>
      <c r="AK936" s="60" t="s">
        <v>2927</v>
      </c>
      <c r="AL936" s="117">
        <f>1/COUNTIF(Tableau6[LAT],B936)</f>
        <v>1</v>
      </c>
      <c r="AM936" s="60" t="b">
        <f t="shared" si="101"/>
        <v>0</v>
      </c>
      <c r="AN936" s="60" t="b">
        <f t="shared" si="102"/>
        <v>0</v>
      </c>
      <c r="AO936" s="60" t="b">
        <f t="shared" si="103"/>
        <v>0</v>
      </c>
      <c r="AP936" s="60" t="b">
        <f t="shared" si="104"/>
        <v>0</v>
      </c>
      <c r="AQ936" s="60" t="b">
        <f t="shared" si="105"/>
        <v>0</v>
      </c>
      <c r="AR936" s="60" t="str">
        <f t="shared" si="106"/>
        <v>No</v>
      </c>
      <c r="AS936" s="60" t="str">
        <f t="shared" si="107"/>
        <v>No</v>
      </c>
    </row>
    <row r="937" spans="1:45" ht="15" hidden="1">
      <c r="A937" s="103">
        <v>45244</v>
      </c>
      <c r="B937" s="117" t="s">
        <v>3951</v>
      </c>
      <c r="C937" s="28" t="s">
        <v>511</v>
      </c>
      <c r="D937" s="28" t="s">
        <v>3952</v>
      </c>
      <c r="F937" s="28" t="s">
        <v>3953</v>
      </c>
      <c r="G937" s="28" t="s">
        <v>958</v>
      </c>
      <c r="H937" s="28" t="s">
        <v>3954</v>
      </c>
      <c r="I937" s="28" t="s">
        <v>517</v>
      </c>
      <c r="J937" s="28" t="s">
        <v>517</v>
      </c>
      <c r="K937" s="28" t="s">
        <v>518</v>
      </c>
      <c r="L937" s="28" t="s">
        <v>649</v>
      </c>
      <c r="M937" s="28" t="s">
        <v>535</v>
      </c>
      <c r="N937" s="28" t="s">
        <v>557</v>
      </c>
      <c r="O937" s="28" t="s">
        <v>522</v>
      </c>
      <c r="P937" s="28" t="s">
        <v>627</v>
      </c>
      <c r="S937" s="28" t="s">
        <v>573</v>
      </c>
      <c r="T937" s="28" t="s">
        <v>651</v>
      </c>
      <c r="U937" s="28" t="s">
        <v>651</v>
      </c>
      <c r="V937" s="28" t="s">
        <v>517</v>
      </c>
      <c r="W937" s="28" t="s">
        <v>3955</v>
      </c>
      <c r="Z937" s="118" t="s">
        <v>563</v>
      </c>
      <c r="AA937" s="118"/>
      <c r="AB937" s="118"/>
      <c r="AF937" s="117"/>
      <c r="AK937" s="60" t="s">
        <v>2927</v>
      </c>
      <c r="AL937" s="117">
        <f>1/COUNTIF(Tableau6[LAT],B937)</f>
        <v>1</v>
      </c>
      <c r="AM937" s="60" t="b">
        <f t="shared" si="101"/>
        <v>0</v>
      </c>
      <c r="AN937" s="60" t="b">
        <f t="shared" si="102"/>
        <v>0</v>
      </c>
      <c r="AO937" s="60" t="b">
        <f t="shared" si="103"/>
        <v>0</v>
      </c>
      <c r="AP937" s="60" t="b">
        <f t="shared" si="104"/>
        <v>0</v>
      </c>
      <c r="AQ937" s="60" t="b">
        <f t="shared" si="105"/>
        <v>0</v>
      </c>
      <c r="AR937" s="60" t="str">
        <f t="shared" si="106"/>
        <v>No</v>
      </c>
      <c r="AS937" s="60" t="str">
        <f t="shared" si="107"/>
        <v>No</v>
      </c>
    </row>
    <row r="938" spans="1:45" ht="15" hidden="1">
      <c r="A938" s="103">
        <v>45244</v>
      </c>
      <c r="B938" s="117" t="s">
        <v>3956</v>
      </c>
      <c r="C938" s="28" t="s">
        <v>511</v>
      </c>
      <c r="D938" s="28" t="s">
        <v>3957</v>
      </c>
      <c r="F938" s="28" t="s">
        <v>1688</v>
      </c>
      <c r="G938" s="28" t="s">
        <v>514</v>
      </c>
      <c r="H938" s="28" t="s">
        <v>800</v>
      </c>
      <c r="I938" s="28" t="s">
        <v>516</v>
      </c>
      <c r="J938" s="28" t="s">
        <v>517</v>
      </c>
      <c r="K938" s="28" t="s">
        <v>518</v>
      </c>
      <c r="L938" s="28" t="s">
        <v>1097</v>
      </c>
      <c r="M938" s="28" t="s">
        <v>520</v>
      </c>
      <c r="N938" s="28" t="s">
        <v>557</v>
      </c>
      <c r="O938" s="28" t="s">
        <v>559</v>
      </c>
      <c r="S938" s="28" t="s">
        <v>3958</v>
      </c>
      <c r="T938" s="28" t="s">
        <v>607</v>
      </c>
      <c r="U938" s="28" t="s">
        <v>1098</v>
      </c>
      <c r="V938" s="28" t="s">
        <v>517</v>
      </c>
      <c r="W938" s="28" t="s">
        <v>3959</v>
      </c>
      <c r="Z938" s="118" t="s">
        <v>563</v>
      </c>
      <c r="AA938" s="118"/>
      <c r="AB938" s="118" t="s">
        <v>527</v>
      </c>
      <c r="AD938" s="28" t="s">
        <v>954</v>
      </c>
      <c r="AE938" s="28" t="s">
        <v>563</v>
      </c>
      <c r="AF938" s="117" t="s">
        <v>3957</v>
      </c>
      <c r="AG938" s="28" t="s">
        <v>563</v>
      </c>
      <c r="AK938" s="60" t="s">
        <v>2927</v>
      </c>
      <c r="AL938" s="117">
        <f>1/COUNTIF(Tableau6[LAT],B938)</f>
        <v>0.33333333333333331</v>
      </c>
      <c r="AM938" s="60" t="b">
        <f t="shared" si="101"/>
        <v>0</v>
      </c>
      <c r="AN938" s="60" t="b">
        <f t="shared" si="102"/>
        <v>0</v>
      </c>
      <c r="AO938" s="60" t="b">
        <f t="shared" si="103"/>
        <v>0</v>
      </c>
      <c r="AP938" s="60" t="b">
        <f t="shared" si="104"/>
        <v>0</v>
      </c>
      <c r="AQ938" s="60" t="b">
        <f t="shared" si="105"/>
        <v>0</v>
      </c>
      <c r="AR938" s="60" t="str">
        <f t="shared" si="106"/>
        <v>No</v>
      </c>
      <c r="AS938" s="60" t="str">
        <f t="shared" si="107"/>
        <v>No</v>
      </c>
    </row>
    <row r="939" spans="1:45" ht="15" hidden="1">
      <c r="A939" s="103">
        <v>45244</v>
      </c>
      <c r="B939" s="117" t="s">
        <v>3956</v>
      </c>
      <c r="C939" s="28" t="s">
        <v>548</v>
      </c>
      <c r="D939" s="28" t="s">
        <v>3960</v>
      </c>
      <c r="F939" s="28" t="s">
        <v>1688</v>
      </c>
      <c r="G939" s="28" t="s">
        <v>514</v>
      </c>
      <c r="H939" s="28" t="s">
        <v>800</v>
      </c>
      <c r="I939" s="28" t="s">
        <v>516</v>
      </c>
      <c r="J939" s="28" t="s">
        <v>517</v>
      </c>
      <c r="K939" s="28" t="s">
        <v>518</v>
      </c>
      <c r="L939" s="28" t="s">
        <v>1097</v>
      </c>
      <c r="M939" s="28" t="s">
        <v>520</v>
      </c>
      <c r="N939" s="28" t="s">
        <v>557</v>
      </c>
      <c r="O939" s="28" t="s">
        <v>559</v>
      </c>
      <c r="S939" s="28" t="s">
        <v>3958</v>
      </c>
      <c r="T939" s="28" t="s">
        <v>607</v>
      </c>
      <c r="U939" s="28" t="s">
        <v>1098</v>
      </c>
      <c r="V939" s="28" t="s">
        <v>517</v>
      </c>
      <c r="W939" s="28" t="s">
        <v>3961</v>
      </c>
      <c r="Z939" s="118" t="s">
        <v>563</v>
      </c>
      <c r="AA939" s="118"/>
      <c r="AB939" s="118" t="s">
        <v>527</v>
      </c>
      <c r="AD939" s="28" t="s">
        <v>954</v>
      </c>
      <c r="AE939" s="28" t="s">
        <v>563</v>
      </c>
      <c r="AF939" s="117" t="s">
        <v>3957</v>
      </c>
      <c r="AG939" s="28" t="s">
        <v>563</v>
      </c>
      <c r="AK939" s="60" t="s">
        <v>2927</v>
      </c>
      <c r="AL939" s="117">
        <f>1/COUNTIF(Tableau6[LAT],B939)</f>
        <v>0.33333333333333331</v>
      </c>
      <c r="AM939" s="60" t="b">
        <f t="shared" si="101"/>
        <v>0</v>
      </c>
      <c r="AN939" s="60" t="b">
        <f t="shared" si="102"/>
        <v>0</v>
      </c>
      <c r="AO939" s="60" t="b">
        <f t="shared" si="103"/>
        <v>0</v>
      </c>
      <c r="AP939" s="60" t="b">
        <f t="shared" si="104"/>
        <v>0</v>
      </c>
      <c r="AQ939" s="60" t="b">
        <f t="shared" si="105"/>
        <v>0</v>
      </c>
      <c r="AR939" s="60" t="str">
        <f t="shared" si="106"/>
        <v>No</v>
      </c>
      <c r="AS939" s="60" t="str">
        <f t="shared" si="107"/>
        <v>No</v>
      </c>
    </row>
    <row r="940" spans="1:45" ht="15" hidden="1">
      <c r="A940" s="103">
        <v>45244</v>
      </c>
      <c r="B940" s="117" t="s">
        <v>3956</v>
      </c>
      <c r="C940" s="28" t="s">
        <v>612</v>
      </c>
      <c r="D940" s="28" t="s">
        <v>3962</v>
      </c>
      <c r="F940" s="28" t="s">
        <v>1688</v>
      </c>
      <c r="G940" s="28" t="s">
        <v>514</v>
      </c>
      <c r="H940" s="28" t="s">
        <v>800</v>
      </c>
      <c r="I940" s="28" t="s">
        <v>516</v>
      </c>
      <c r="J940" s="28" t="s">
        <v>517</v>
      </c>
      <c r="K940" s="28" t="s">
        <v>518</v>
      </c>
      <c r="L940" s="28" t="s">
        <v>1097</v>
      </c>
      <c r="M940" s="28" t="s">
        <v>520</v>
      </c>
      <c r="N940" s="28" t="s">
        <v>557</v>
      </c>
      <c r="O940" s="28" t="s">
        <v>559</v>
      </c>
      <c r="S940" s="28" t="s">
        <v>3958</v>
      </c>
      <c r="T940" s="28" t="s">
        <v>607</v>
      </c>
      <c r="U940" s="28" t="s">
        <v>1098</v>
      </c>
      <c r="V940" s="28" t="s">
        <v>517</v>
      </c>
      <c r="W940" s="28" t="s">
        <v>3963</v>
      </c>
      <c r="Z940" s="118" t="s">
        <v>563</v>
      </c>
      <c r="AA940" s="118"/>
      <c r="AB940" s="118" t="s">
        <v>527</v>
      </c>
      <c r="AD940" s="28" t="s">
        <v>954</v>
      </c>
      <c r="AE940" s="28" t="s">
        <v>563</v>
      </c>
      <c r="AF940" s="117" t="s">
        <v>3957</v>
      </c>
      <c r="AG940" s="28" t="s">
        <v>563</v>
      </c>
      <c r="AK940" s="60" t="s">
        <v>2927</v>
      </c>
      <c r="AL940" s="117">
        <f>1/COUNTIF(Tableau6[LAT],B940)</f>
        <v>0.33333333333333331</v>
      </c>
      <c r="AM940" s="60" t="b">
        <f t="shared" si="101"/>
        <v>0</v>
      </c>
      <c r="AN940" s="60" t="b">
        <f t="shared" si="102"/>
        <v>0</v>
      </c>
      <c r="AO940" s="60" t="b">
        <f t="shared" si="103"/>
        <v>0</v>
      </c>
      <c r="AP940" s="60" t="b">
        <f t="shared" si="104"/>
        <v>0</v>
      </c>
      <c r="AQ940" s="60" t="b">
        <f t="shared" si="105"/>
        <v>0</v>
      </c>
      <c r="AR940" s="60" t="str">
        <f t="shared" si="106"/>
        <v>No</v>
      </c>
      <c r="AS940" s="60" t="str">
        <f t="shared" si="107"/>
        <v>No</v>
      </c>
    </row>
    <row r="941" spans="1:45" ht="15" hidden="1">
      <c r="A941" s="103">
        <v>45244</v>
      </c>
      <c r="B941" s="117" t="s">
        <v>3964</v>
      </c>
      <c r="C941" s="28" t="s">
        <v>859</v>
      </c>
      <c r="D941" s="28" t="s">
        <v>3965</v>
      </c>
      <c r="F941" s="28" t="s">
        <v>3966</v>
      </c>
      <c r="G941" s="28" t="s">
        <v>3864</v>
      </c>
      <c r="H941" s="28" t="s">
        <v>3967</v>
      </c>
      <c r="I941" s="28" t="s">
        <v>517</v>
      </c>
      <c r="J941" s="28" t="s">
        <v>517</v>
      </c>
      <c r="K941" s="28" t="s">
        <v>518</v>
      </c>
      <c r="L941" s="28" t="s">
        <v>3968</v>
      </c>
      <c r="M941" s="28" t="s">
        <v>605</v>
      </c>
      <c r="N941" s="28" t="s">
        <v>521</v>
      </c>
      <c r="O941" s="28" t="s">
        <v>522</v>
      </c>
      <c r="S941" s="28" t="s">
        <v>573</v>
      </c>
      <c r="T941" s="28" t="s">
        <v>3969</v>
      </c>
      <c r="U941" s="28" t="s">
        <v>3969</v>
      </c>
      <c r="V941" s="28" t="s">
        <v>517</v>
      </c>
      <c r="W941" s="28" t="s">
        <v>3970</v>
      </c>
      <c r="Z941" s="118" t="s">
        <v>563</v>
      </c>
      <c r="AA941" s="118"/>
      <c r="AB941" s="73" t="s">
        <v>609</v>
      </c>
      <c r="AD941" s="28" t="s">
        <v>528</v>
      </c>
      <c r="AF941" s="117" t="s">
        <v>3971</v>
      </c>
      <c r="AG941" s="28" t="s">
        <v>563</v>
      </c>
      <c r="AK941" s="60" t="s">
        <v>2927</v>
      </c>
      <c r="AL941" s="117">
        <f>1/COUNTIF(Tableau6[LAT],B941)</f>
        <v>0.5</v>
      </c>
      <c r="AM941" s="60" t="b">
        <f t="shared" si="101"/>
        <v>0</v>
      </c>
      <c r="AN941" s="60" t="b">
        <f t="shared" si="102"/>
        <v>0</v>
      </c>
      <c r="AO941" s="60" t="b">
        <f t="shared" si="103"/>
        <v>0</v>
      </c>
      <c r="AP941" s="60" t="b">
        <f t="shared" si="104"/>
        <v>0</v>
      </c>
      <c r="AQ941" s="60" t="b">
        <f t="shared" si="105"/>
        <v>0</v>
      </c>
      <c r="AR941" s="60" t="str">
        <f t="shared" si="106"/>
        <v>No</v>
      </c>
      <c r="AS941" s="60" t="str">
        <f t="shared" si="107"/>
        <v>No</v>
      </c>
    </row>
    <row r="942" spans="1:45" ht="15" hidden="1">
      <c r="A942" s="103">
        <v>45244</v>
      </c>
      <c r="B942" s="117" t="s">
        <v>3964</v>
      </c>
      <c r="C942" s="28" t="s">
        <v>995</v>
      </c>
      <c r="D942" s="28" t="s">
        <v>3972</v>
      </c>
      <c r="F942" s="28" t="s">
        <v>3973</v>
      </c>
      <c r="G942" s="28" t="s">
        <v>514</v>
      </c>
      <c r="H942" s="28" t="s">
        <v>2668</v>
      </c>
      <c r="I942" s="28" t="s">
        <v>517</v>
      </c>
      <c r="J942" s="28" t="s">
        <v>517</v>
      </c>
      <c r="K942" s="28" t="s">
        <v>518</v>
      </c>
      <c r="L942" s="28" t="s">
        <v>3968</v>
      </c>
      <c r="M942" s="28" t="s">
        <v>605</v>
      </c>
      <c r="N942" s="28" t="s">
        <v>619</v>
      </c>
      <c r="O942" s="28" t="s">
        <v>521</v>
      </c>
      <c r="P942" s="28" t="s">
        <v>544</v>
      </c>
      <c r="Q942" s="28" t="s">
        <v>522</v>
      </c>
      <c r="S942" s="28" t="s">
        <v>573</v>
      </c>
      <c r="T942" s="28" t="s">
        <v>3969</v>
      </c>
      <c r="U942" s="28" t="s">
        <v>3969</v>
      </c>
      <c r="V942" s="28" t="s">
        <v>517</v>
      </c>
      <c r="W942" s="28" t="s">
        <v>3974</v>
      </c>
      <c r="Z942" s="118" t="s">
        <v>563</v>
      </c>
      <c r="AA942" s="118"/>
      <c r="AB942" s="73" t="s">
        <v>609</v>
      </c>
      <c r="AD942" s="28" t="s">
        <v>528</v>
      </c>
      <c r="AF942" s="117" t="s">
        <v>3975</v>
      </c>
      <c r="AG942" s="28" t="s">
        <v>563</v>
      </c>
      <c r="AK942" s="60" t="s">
        <v>2927</v>
      </c>
      <c r="AL942" s="117">
        <f>1/COUNTIF(Tableau6[LAT],B942)</f>
        <v>0.5</v>
      </c>
      <c r="AM942" s="60" t="b">
        <f t="shared" si="101"/>
        <v>0</v>
      </c>
      <c r="AN942" s="60" t="b">
        <f t="shared" si="102"/>
        <v>0</v>
      </c>
      <c r="AO942" s="60" t="b">
        <f t="shared" si="103"/>
        <v>0</v>
      </c>
      <c r="AP942" s="60" t="b">
        <f t="shared" si="104"/>
        <v>0</v>
      </c>
      <c r="AQ942" s="60" t="b">
        <f t="shared" si="105"/>
        <v>0</v>
      </c>
      <c r="AR942" s="60" t="str">
        <f t="shared" si="106"/>
        <v>No</v>
      </c>
      <c r="AS942" s="60" t="str">
        <f t="shared" si="107"/>
        <v>No</v>
      </c>
    </row>
    <row r="943" spans="1:45" ht="15" hidden="1">
      <c r="A943" s="103">
        <v>45244</v>
      </c>
      <c r="B943" s="117" t="s">
        <v>3976</v>
      </c>
      <c r="C943" s="28" t="s">
        <v>511</v>
      </c>
      <c r="D943" s="28" t="s">
        <v>3977</v>
      </c>
      <c r="F943" s="28" t="s">
        <v>3978</v>
      </c>
      <c r="G943" s="28" t="s">
        <v>724</v>
      </c>
      <c r="H943" s="28" t="s">
        <v>595</v>
      </c>
      <c r="I943" s="28" t="s">
        <v>516</v>
      </c>
      <c r="J943" s="28" t="s">
        <v>517</v>
      </c>
      <c r="K943" s="28" t="s">
        <v>518</v>
      </c>
      <c r="L943" s="28" t="s">
        <v>588</v>
      </c>
      <c r="M943" s="28" t="s">
        <v>520</v>
      </c>
      <c r="N943" s="28" t="s">
        <v>557</v>
      </c>
      <c r="O943" s="28" t="s">
        <v>522</v>
      </c>
      <c r="S943" s="28" t="s">
        <v>668</v>
      </c>
      <c r="T943" s="28" t="s">
        <v>590</v>
      </c>
      <c r="U943" s="28" t="s">
        <v>590</v>
      </c>
      <c r="V943" s="28" t="s">
        <v>517</v>
      </c>
      <c r="W943" s="28" t="s">
        <v>3979</v>
      </c>
      <c r="Z943" s="118" t="s">
        <v>563</v>
      </c>
      <c r="AA943" s="118"/>
      <c r="AB943" s="118" t="s">
        <v>527</v>
      </c>
      <c r="AD943" s="28" t="s">
        <v>528</v>
      </c>
      <c r="AF943" s="117" t="s">
        <v>3977</v>
      </c>
      <c r="AG943" s="28" t="s">
        <v>563</v>
      </c>
      <c r="AK943" s="60" t="s">
        <v>2927</v>
      </c>
      <c r="AL943" s="117">
        <f>1/COUNTIF(Tableau6[LAT],B943)</f>
        <v>0.33333333333333331</v>
      </c>
      <c r="AM943" s="60" t="b">
        <f t="shared" si="101"/>
        <v>0</v>
      </c>
      <c r="AN943" s="60" t="b">
        <f t="shared" si="102"/>
        <v>0</v>
      </c>
      <c r="AO943" s="60" t="b">
        <f t="shared" si="103"/>
        <v>0</v>
      </c>
      <c r="AP943" s="60" t="b">
        <f t="shared" si="104"/>
        <v>0</v>
      </c>
      <c r="AQ943" s="60" t="b">
        <f t="shared" si="105"/>
        <v>0</v>
      </c>
      <c r="AR943" s="60" t="str">
        <f t="shared" si="106"/>
        <v>No</v>
      </c>
      <c r="AS943" s="60" t="str">
        <f t="shared" si="107"/>
        <v>No</v>
      </c>
    </row>
    <row r="944" spans="1:45" ht="15" hidden="1">
      <c r="A944" s="103">
        <v>45244</v>
      </c>
      <c r="B944" s="117" t="s">
        <v>3976</v>
      </c>
      <c r="C944" s="28" t="s">
        <v>548</v>
      </c>
      <c r="D944" s="28" t="s">
        <v>3980</v>
      </c>
      <c r="F944" s="28" t="s">
        <v>3981</v>
      </c>
      <c r="G944" s="28" t="s">
        <v>514</v>
      </c>
      <c r="H944" s="28" t="s">
        <v>1236</v>
      </c>
      <c r="I944" s="28" t="s">
        <v>516</v>
      </c>
      <c r="J944" s="28" t="s">
        <v>517</v>
      </c>
      <c r="K944" s="28" t="s">
        <v>518</v>
      </c>
      <c r="L944" s="28" t="s">
        <v>588</v>
      </c>
      <c r="M944" s="28" t="s">
        <v>520</v>
      </c>
      <c r="N944" s="28" t="s">
        <v>557</v>
      </c>
      <c r="O944" s="28" t="s">
        <v>522</v>
      </c>
      <c r="S944" s="28" t="s">
        <v>668</v>
      </c>
      <c r="T944" s="28" t="s">
        <v>590</v>
      </c>
      <c r="U944" s="28" t="s">
        <v>590</v>
      </c>
      <c r="V944" s="28" t="s">
        <v>517</v>
      </c>
      <c r="W944" s="28" t="s">
        <v>3982</v>
      </c>
      <c r="Z944" s="118" t="s">
        <v>563</v>
      </c>
      <c r="AA944" s="118"/>
      <c r="AB944" s="118" t="s">
        <v>527</v>
      </c>
      <c r="AD944" s="28" t="s">
        <v>528</v>
      </c>
      <c r="AF944" s="117" t="s">
        <v>3980</v>
      </c>
      <c r="AG944" s="28" t="s">
        <v>563</v>
      </c>
      <c r="AK944" s="60" t="s">
        <v>2927</v>
      </c>
      <c r="AL944" s="117">
        <f>1/COUNTIF(Tableau6[LAT],B944)</f>
        <v>0.33333333333333331</v>
      </c>
      <c r="AM944" s="60" t="b">
        <f t="shared" si="101"/>
        <v>0</v>
      </c>
      <c r="AN944" s="60" t="b">
        <f t="shared" si="102"/>
        <v>0</v>
      </c>
      <c r="AO944" s="60" t="b">
        <f t="shared" si="103"/>
        <v>0</v>
      </c>
      <c r="AP944" s="60" t="b">
        <f t="shared" si="104"/>
        <v>0</v>
      </c>
      <c r="AQ944" s="60" t="b">
        <f t="shared" si="105"/>
        <v>0</v>
      </c>
      <c r="AR944" s="60" t="str">
        <f t="shared" si="106"/>
        <v>No</v>
      </c>
      <c r="AS944" s="60" t="str">
        <f t="shared" si="107"/>
        <v>No</v>
      </c>
    </row>
    <row r="945" spans="1:45" ht="15" hidden="1">
      <c r="A945" s="103">
        <v>45244</v>
      </c>
      <c r="B945" s="117" t="s">
        <v>3976</v>
      </c>
      <c r="C945" s="28" t="s">
        <v>612</v>
      </c>
      <c r="D945" s="28" t="s">
        <v>3983</v>
      </c>
      <c r="F945" s="28" t="s">
        <v>3981</v>
      </c>
      <c r="G945" s="28" t="s">
        <v>514</v>
      </c>
      <c r="H945" s="28" t="s">
        <v>1236</v>
      </c>
      <c r="I945" s="28" t="s">
        <v>516</v>
      </c>
      <c r="J945" s="28" t="s">
        <v>517</v>
      </c>
      <c r="K945" s="28" t="s">
        <v>518</v>
      </c>
      <c r="L945" s="28" t="s">
        <v>588</v>
      </c>
      <c r="M945" s="28" t="s">
        <v>520</v>
      </c>
      <c r="N945" s="28" t="s">
        <v>557</v>
      </c>
      <c r="O945" s="28" t="s">
        <v>522</v>
      </c>
      <c r="S945" s="28" t="s">
        <v>668</v>
      </c>
      <c r="T945" s="28" t="s">
        <v>590</v>
      </c>
      <c r="U945" s="28" t="s">
        <v>590</v>
      </c>
      <c r="V945" s="28" t="s">
        <v>517</v>
      </c>
      <c r="W945" s="28" t="s">
        <v>3984</v>
      </c>
      <c r="Z945" s="118" t="s">
        <v>563</v>
      </c>
      <c r="AA945" s="118"/>
      <c r="AB945" s="118" t="s">
        <v>527</v>
      </c>
      <c r="AD945" s="28" t="s">
        <v>528</v>
      </c>
      <c r="AF945" s="117" t="s">
        <v>3983</v>
      </c>
      <c r="AG945" s="28" t="s">
        <v>563</v>
      </c>
      <c r="AK945" s="60" t="s">
        <v>2927</v>
      </c>
      <c r="AL945" s="117">
        <f>1/COUNTIF(Tableau6[LAT],B945)</f>
        <v>0.33333333333333331</v>
      </c>
      <c r="AM945" s="60" t="b">
        <f t="shared" si="101"/>
        <v>0</v>
      </c>
      <c r="AN945" s="60" t="b">
        <f t="shared" si="102"/>
        <v>0</v>
      </c>
      <c r="AO945" s="60" t="b">
        <f t="shared" si="103"/>
        <v>0</v>
      </c>
      <c r="AP945" s="60" t="b">
        <f t="shared" si="104"/>
        <v>0</v>
      </c>
      <c r="AQ945" s="60" t="b">
        <f t="shared" si="105"/>
        <v>0</v>
      </c>
      <c r="AR945" s="60" t="str">
        <f t="shared" si="106"/>
        <v>No</v>
      </c>
      <c r="AS945" s="60" t="str">
        <f t="shared" si="107"/>
        <v>No</v>
      </c>
    </row>
    <row r="946" spans="1:45" ht="15" hidden="1">
      <c r="A946" s="103">
        <v>45244</v>
      </c>
      <c r="B946" s="117" t="s">
        <v>3985</v>
      </c>
      <c r="C946" s="28" t="s">
        <v>511</v>
      </c>
      <c r="D946" s="28" t="s">
        <v>3986</v>
      </c>
      <c r="E946" s="28" t="s">
        <v>3987</v>
      </c>
      <c r="F946" s="28" t="s">
        <v>3988</v>
      </c>
      <c r="G946" s="28" t="s">
        <v>3989</v>
      </c>
      <c r="H946" s="28" t="s">
        <v>3990</v>
      </c>
      <c r="I946" s="28" t="s">
        <v>516</v>
      </c>
      <c r="J946" s="28" t="s">
        <v>517</v>
      </c>
      <c r="K946" s="28" t="s">
        <v>518</v>
      </c>
      <c r="L946" s="28" t="s">
        <v>1502</v>
      </c>
      <c r="M946" s="28" t="s">
        <v>535</v>
      </c>
      <c r="N946" s="28" t="s">
        <v>557</v>
      </c>
      <c r="O946" s="28" t="s">
        <v>522</v>
      </c>
      <c r="S946" s="28" t="s">
        <v>3091</v>
      </c>
      <c r="T946" s="28" t="s">
        <v>811</v>
      </c>
      <c r="U946" s="28" t="s">
        <v>811</v>
      </c>
      <c r="V946" s="28" t="s">
        <v>517</v>
      </c>
      <c r="W946" s="28" t="s">
        <v>3991</v>
      </c>
      <c r="X946" s="28" t="s">
        <v>670</v>
      </c>
      <c r="Z946" s="118" t="s">
        <v>526</v>
      </c>
      <c r="AA946" s="118" t="s">
        <v>35</v>
      </c>
      <c r="AB946" s="28" t="s">
        <v>923</v>
      </c>
      <c r="AC946" s="28" t="s">
        <v>3871</v>
      </c>
      <c r="AD946" s="28" t="s">
        <v>528</v>
      </c>
      <c r="AF946" s="117" t="s">
        <v>3986</v>
      </c>
      <c r="AG946" s="28" t="s">
        <v>529</v>
      </c>
      <c r="AK946" s="60" t="s">
        <v>2927</v>
      </c>
      <c r="AL946" s="117">
        <f>1/COUNTIF(Tableau6[LAT],B946)</f>
        <v>0.33333333333333331</v>
      </c>
      <c r="AM946" s="60" t="b">
        <f t="shared" si="101"/>
        <v>0</v>
      </c>
      <c r="AN946" s="60" t="b">
        <f t="shared" si="102"/>
        <v>0</v>
      </c>
      <c r="AO946" s="60" t="b">
        <f t="shared" si="103"/>
        <v>0</v>
      </c>
      <c r="AP946" s="60" t="b">
        <f t="shared" si="104"/>
        <v>0</v>
      </c>
      <c r="AQ946" s="60" t="b">
        <f t="shared" si="105"/>
        <v>0</v>
      </c>
      <c r="AR946" s="60" t="str">
        <f t="shared" si="106"/>
        <v>No</v>
      </c>
      <c r="AS946" s="60" t="str">
        <f t="shared" si="107"/>
        <v>No</v>
      </c>
    </row>
    <row r="947" spans="1:45" ht="15" hidden="1">
      <c r="A947" s="103">
        <v>45244</v>
      </c>
      <c r="B947" s="117" t="s">
        <v>3985</v>
      </c>
      <c r="C947" s="28" t="s">
        <v>548</v>
      </c>
      <c r="D947" s="28" t="s">
        <v>3992</v>
      </c>
      <c r="F947" s="28" t="s">
        <v>3993</v>
      </c>
      <c r="G947" s="28" t="s">
        <v>2675</v>
      </c>
      <c r="H947" s="28" t="s">
        <v>2557</v>
      </c>
      <c r="I947" s="28" t="s">
        <v>516</v>
      </c>
      <c r="J947" s="28" t="s">
        <v>517</v>
      </c>
      <c r="K947" s="28" t="s">
        <v>518</v>
      </c>
      <c r="L947" s="28" t="s">
        <v>1502</v>
      </c>
      <c r="M947" s="28" t="s">
        <v>535</v>
      </c>
      <c r="N947" s="28" t="s">
        <v>557</v>
      </c>
      <c r="O947" s="28" t="s">
        <v>522</v>
      </c>
      <c r="S947" s="28" t="s">
        <v>3091</v>
      </c>
      <c r="T947" s="28" t="s">
        <v>811</v>
      </c>
      <c r="U947" s="28" t="s">
        <v>811</v>
      </c>
      <c r="V947" s="28" t="s">
        <v>517</v>
      </c>
      <c r="W947" s="28" t="s">
        <v>3994</v>
      </c>
      <c r="Z947" s="118" t="s">
        <v>526</v>
      </c>
      <c r="AA947" s="118" t="s">
        <v>35</v>
      </c>
      <c r="AB947" s="28" t="s">
        <v>923</v>
      </c>
      <c r="AC947" s="28" t="s">
        <v>3871</v>
      </c>
      <c r="AD947" s="28" t="s">
        <v>528</v>
      </c>
      <c r="AF947" s="117" t="s">
        <v>3992</v>
      </c>
      <c r="AG947" s="28" t="s">
        <v>529</v>
      </c>
      <c r="AK947" s="60" t="s">
        <v>2927</v>
      </c>
      <c r="AL947" s="117">
        <f>1/COUNTIF(Tableau6[LAT],B947)</f>
        <v>0.33333333333333331</v>
      </c>
      <c r="AM947" s="60" t="b">
        <f t="shared" si="101"/>
        <v>0</v>
      </c>
      <c r="AN947" s="60" t="b">
        <f t="shared" si="102"/>
        <v>0</v>
      </c>
      <c r="AO947" s="60" t="b">
        <f t="shared" si="103"/>
        <v>0</v>
      </c>
      <c r="AP947" s="60" t="b">
        <f t="shared" si="104"/>
        <v>0</v>
      </c>
      <c r="AQ947" s="60" t="b">
        <f t="shared" si="105"/>
        <v>0</v>
      </c>
      <c r="AR947" s="60" t="str">
        <f t="shared" si="106"/>
        <v>No</v>
      </c>
      <c r="AS947" s="60" t="str">
        <f t="shared" si="107"/>
        <v>No</v>
      </c>
    </row>
    <row r="948" spans="1:45" ht="15" hidden="1">
      <c r="A948" s="103">
        <v>45244</v>
      </c>
      <c r="B948" s="117" t="s">
        <v>3985</v>
      </c>
      <c r="C948" s="28" t="s">
        <v>612</v>
      </c>
      <c r="D948" s="28" t="s">
        <v>3995</v>
      </c>
      <c r="F948" s="28" t="s">
        <v>3996</v>
      </c>
      <c r="G948" s="28" t="s">
        <v>724</v>
      </c>
      <c r="H948" s="28" t="s">
        <v>1051</v>
      </c>
      <c r="I948" s="28" t="s">
        <v>516</v>
      </c>
      <c r="J948" s="28" t="s">
        <v>517</v>
      </c>
      <c r="K948" s="28" t="s">
        <v>518</v>
      </c>
      <c r="L948" s="28" t="s">
        <v>1502</v>
      </c>
      <c r="M948" s="28" t="s">
        <v>535</v>
      </c>
      <c r="N948" s="28" t="s">
        <v>557</v>
      </c>
      <c r="O948" s="28" t="s">
        <v>522</v>
      </c>
      <c r="S948" s="28" t="s">
        <v>3091</v>
      </c>
      <c r="T948" s="28" t="s">
        <v>811</v>
      </c>
      <c r="U948" s="28" t="s">
        <v>811</v>
      </c>
      <c r="V948" s="28" t="s">
        <v>517</v>
      </c>
      <c r="W948" s="28" t="s">
        <v>3997</v>
      </c>
      <c r="Z948" s="118" t="s">
        <v>526</v>
      </c>
      <c r="AA948" s="118" t="s">
        <v>35</v>
      </c>
      <c r="AB948" s="28" t="s">
        <v>923</v>
      </c>
      <c r="AC948" s="28" t="s">
        <v>3871</v>
      </c>
      <c r="AD948" s="28" t="s">
        <v>528</v>
      </c>
      <c r="AF948" s="117" t="s">
        <v>3995</v>
      </c>
      <c r="AG948" s="28" t="s">
        <v>529</v>
      </c>
      <c r="AK948" s="60" t="s">
        <v>2927</v>
      </c>
      <c r="AL948" s="117">
        <f>1/COUNTIF(Tableau6[LAT],B948)</f>
        <v>0.33333333333333331</v>
      </c>
      <c r="AM948" s="60" t="b">
        <f t="shared" ref="AM948:AM1011" si="108">IF(N948="ALM","Yes",IF(N948="ALI","Yes",IF(N948="CAO","Yes",IF(N948="ICE","Yes",IF(N948="MAG","Yes",IF(N948="MAG","Yes",IF(N948="RBI","Yes",IF(N948="RBM","Yes",IF(N948="RCL","Yes",IF(N948="RCM","Yes",IF(N948="RCX","Yes",IF(N948="RDS","Yes",IF(N948="REQ","Yes",IF(N948="REX","Yes",IF(N948="RFG","Yes",IF(N948="RFL","Yes",IF(N948="RFS","Yes",IF(N948="RFW","Yes",IF(N948="RGX","Yes",IF(N948="RIS",IF(N948="RLI","Yes",IF(N948="RLM","Yes",IF(N948="RMD","Yes",IF(N948="RNG","Yes",IF(N948="ROP","Yes",IF(N948="ROX","Yes",IF(N948="RPB","Yes",IF(N948="RPG","Yes",IF(N948="RRE","Yes",IF(N948="RRW","Yes",IF(N948="RRY","Yes",IF(N948="RSB","Yes",IF(N948="RSC","Yes",IF(N948="RXB","Yes",IF(N948="RXC","Yes",IF(N948="RXD","Yes",IF(N948="RXE","Yes",IF(N948="RXG","Yes",IF(N948="RXS","Yes",)))))))))))))))))))))))))))))))))))))))</f>
        <v>0</v>
      </c>
      <c r="AN948" s="60" t="b">
        <f t="shared" ref="AN948:AN1011" si="109">IF(O948="ALM","Yes",IF(O948="ALI","Yes",IF(O948="CAO","Yes",IF(O948="ICE","Yes",IF(O948="MAG","Yes",IF(O948="MAG","Yes",IF(O948="RBI","Yes",IF(O948="RBM","Yes",IF(O948="RCL","Yes",IF(O948="RCM","Yes",IF(O948="RCX","Yes",IF(O948="RDS","Yes",IF(O948="REQ","Yes",IF(O948="REX","Yes",IF(O948="RFG","Yes",IF(O948="RFL","Yes",IF(O948="RFS","Yes",IF(O948="RFW","Yes",IF(O948="RGX","Yes",IF(O948="RIS",IF(O948="RLI","Yes",IF(O948="RLM","Yes",IF(O948="RMD","Yes",IF(O948="RNG","Yes",IF(O948="ROP","Yes",IF(O948="ROX","Yes",IF(O948="RPB","Yes",IF(O948="RPG","Yes",IF(O948="RRE","Yes",IF(O948="RRW","Yes",IF(O948="RRY","Yes",IF(O948="RSB","Yes",IF(O948="RSC","Yes",IF(O948="RXB","Yes",IF(O948="RXC","Yes",IF(O948="RXD","Yes",IF(O948="RXE","Yes",IF(O948="RXG","Yes",IF(O948="RXS","Yes",)))))))))))))))))))))))))))))))))))))))</f>
        <v>0</v>
      </c>
      <c r="AO948" s="60" t="b">
        <f t="shared" ref="AO948:AO1011" si="110">IF(P948="ALM","Yes",IF(P948="ALI","Yes",IF(P948="CAO","Yes",IF(P948="ICE","Yes",IF(P948="MAG","Yes",IF(P948="MAG","Yes",IF(P948="RBI","Yes",IF(P948="RBM","Yes",IF(P948="RCL","Yes",IF(P948="RCM","Yes",IF(P948="RCX","Yes",IF(P948="RDS","Yes",IF(P948="REQ","Yes",IF(P948="REX","Yes",IF(P948="RFG","Yes",IF(P948="RFL","Yes",IF(P948="RFS","Yes",IF(P948="RFW","Yes",IF(P948="RGX","Yes",IF(P948="RIS",IF(P948="RLI","Yes",IF(P948="RLM","Yes",IF(P948="RMD","Yes",IF(P948="RNG","Yes",IF(P948="ROP","Yes",IF(P948="ROX","Yes",IF(P948="RPB","Yes",IF(P948="RPG","Yes",IF(P948="RRE","Yes",IF(P948="RRW","Yes",IF(P948="RRY","Yes",IF(P948="RSB","Yes",IF(P948="RSC","Yes",IF(P948="RXB","Yes",IF(P948="RXC","Yes",IF(P948="RXD","Yes",IF(P948="RXE","Yes",IF(P948="RXG","Yes",IF(P948="RXS","Yes",)))))))))))))))))))))))))))))))))))))))</f>
        <v>0</v>
      </c>
      <c r="AP948" s="60" t="b">
        <f t="shared" ref="AP948:AP1011" si="111">IF(Q948="ALM","Yes",IF(Q948="ALI","Yes",IF(Q948="CAO","Yes",IF(Q948="ICE","Yes",IF(Q948="MAG","Yes",IF(Q948="MAG","Yes",IF(Q948="RBI","Yes",IF(Q948="RBM","Yes",IF(Q948="RCL","Yes",IF(Q948="RCM","Yes",IF(Q948="RCX","Yes",IF(Q948="RDS","Yes",IF(Q948="REQ","Yes",IF(Q948="REX","Yes",IF(Q948="RFG","Yes",IF(Q948="RFL","Yes",IF(Q948="RFS","Yes",IF(Q948="RFW","Yes",IF(Q948="RGX","Yes",IF(Q948="RIS",IF(Q948="RLI","Yes",IF(Q948="RLM","Yes",IF(Q948="RMD","Yes",IF(Q948="RNG","Yes",IF(Q948="ROP","Yes",IF(Q948="ROX","Yes",IF(Q948="RPB","Yes",IF(Q948="RPG","Yes",IF(Q948="RRE","Yes",IF(Q948="RRW","Yes",IF(Q948="RRY","Yes",IF(Q948="RSB","Yes",IF(Q948="RSC","Yes",IF(Q948="RXB","Yes",IF(Q948="RXC","Yes",IF(Q948="RXD","Yes",IF(Q948="RXE","Yes",IF(Q948="RXG","Yes",IF(Q948="RXS","Yes",)))))))))))))))))))))))))))))))))))))))</f>
        <v>0</v>
      </c>
      <c r="AQ948" s="60" t="b">
        <f t="shared" ref="AQ948:AQ1011" si="112">IF(R948="ALM","Yes",IF(R948="ALI","Yes",IF(R948="CAO","Yes",IF(R948="ICE","Yes",IF(R948="MAG","Yes",IF(R948="MAG","Yes",IF(R948="RBI","Yes",IF(R948="RBM","Yes",IF(R948="RCL","Yes",IF(R948="RCM","Yes",IF(R948="RCX","Yes",IF(R948="RDS","Yes",IF(R948="REQ","Yes",IF(R948="REX","Yes",IF(R948="RFG","Yes",IF(R948="RFL","Yes",IF(R948="RFS","Yes",IF(R948="RFW","Yes",IF(R948="RGX","Yes",IF(R948="RIS",IF(R948="RLI","Yes",IF(R948="RLM","Yes",IF(R948="RMD","Yes",IF(R948="RNG","Yes",IF(R948="ROP","Yes",IF(R948="ROX","Yes",IF(R948="RPB","Yes",IF(R948="RPG","Yes",IF(R948="RRE","Yes",IF(R948="RRW","Yes",IF(R948="RRY","Yes",IF(R948="RSB","Yes",IF(R948="RSC","Yes",IF(R948="RXB","Yes",IF(R948="RXC","Yes",IF(R948="RXD","Yes",IF(R948="RXE","Yes",IF(R948="RXG","Yes",IF(R948="RXS","Yes",)))))))))))))))))))))))))))))))))))))))</f>
        <v>0</v>
      </c>
      <c r="AR948" s="60" t="str">
        <f t="shared" ref="AR948:AR1011" si="113">IF(AM948="Yes","Yes",IF(AN948="Yes","Yes",IF(AO948="yes","Yes",IF(AP948="Yes","Yes","No"))))</f>
        <v>No</v>
      </c>
      <c r="AS948" s="60" t="str">
        <f t="shared" ref="AS948:AS1011" si="114">IF(S948="QFA","Yes",IF(S948="LCJ","Yes",IF(S948="CAJ","Yes",IF(S948="WRO","Yes",IF(S948="BEY","Yes",IF(S948="TUN","Yes",IF(S948="LFW","Yes",IF(S948="DLA","Yes",IF(S948="NSI","Yes",IF(S948="OUA","Yes",IF(S948="IAH","Yes",IF(S948="LYS","Yes",IF(S948="DSS","Yes",IF(S948="BKO","Yes",IF(S948="BZV","Yes",IF(S948="COO","Yes",IF(S948="EZE","Yes",IF(S948="CKY","Yes",IF(S948="PTP","Yes",IF(S948="ORD","Yes",IF(S948="CFE","Yes",IF(S948="NKC","Yes",IF(S948="FDF","Yes",IF(S948="SDQ","Yes",IF(S948="PNR","Yes",IF(S948="ICAY","Yes",IF(S948="DTW","Yes",IF(S948="TNR","Yes",IF(S948="RUN","Yes",IF(S948="NIM","Yes","No"))))))))))))))))))))))))))))))</f>
        <v>No</v>
      </c>
    </row>
    <row r="949" spans="1:45" ht="15" hidden="1">
      <c r="A949" s="103">
        <v>45244</v>
      </c>
      <c r="B949" s="117" t="s">
        <v>3998</v>
      </c>
      <c r="C949" s="28" t="s">
        <v>511</v>
      </c>
      <c r="D949" s="28" t="s">
        <v>3999</v>
      </c>
      <c r="E949" s="28" t="s">
        <v>3987</v>
      </c>
      <c r="F949" s="28" t="s">
        <v>4000</v>
      </c>
      <c r="G949" s="28" t="s">
        <v>514</v>
      </c>
      <c r="H949" s="28" t="s">
        <v>750</v>
      </c>
      <c r="I949" s="28" t="s">
        <v>516</v>
      </c>
      <c r="J949" s="28" t="s">
        <v>517</v>
      </c>
      <c r="K949" s="28" t="s">
        <v>518</v>
      </c>
      <c r="L949" s="28" t="s">
        <v>1502</v>
      </c>
      <c r="M949" s="28" t="s">
        <v>535</v>
      </c>
      <c r="N949" s="28" t="s">
        <v>557</v>
      </c>
      <c r="O949" s="28" t="s">
        <v>544</v>
      </c>
      <c r="P949" s="28" t="s">
        <v>522</v>
      </c>
      <c r="S949" s="28" t="s">
        <v>3091</v>
      </c>
      <c r="T949" s="28" t="s">
        <v>811</v>
      </c>
      <c r="U949" s="28" t="s">
        <v>811</v>
      </c>
      <c r="V949" s="28" t="s">
        <v>517</v>
      </c>
      <c r="W949" s="28" t="s">
        <v>3991</v>
      </c>
      <c r="X949" s="28" t="s">
        <v>670</v>
      </c>
      <c r="Z949" s="118" t="s">
        <v>563</v>
      </c>
      <c r="AA949" s="118"/>
      <c r="AB949" s="118" t="s">
        <v>527</v>
      </c>
      <c r="AD949" s="28" t="s">
        <v>528</v>
      </c>
      <c r="AF949" s="117" t="s">
        <v>3999</v>
      </c>
      <c r="AG949" s="28" t="s">
        <v>563</v>
      </c>
      <c r="AK949" s="60" t="s">
        <v>2927</v>
      </c>
      <c r="AL949" s="117">
        <f>1/COUNTIF(Tableau6[LAT],B949)</f>
        <v>1</v>
      </c>
      <c r="AM949" s="60" t="b">
        <f t="shared" si="108"/>
        <v>0</v>
      </c>
      <c r="AN949" s="60" t="b">
        <f t="shared" si="109"/>
        <v>0</v>
      </c>
      <c r="AO949" s="60" t="b">
        <f t="shared" si="110"/>
        <v>0</v>
      </c>
      <c r="AP949" s="60" t="b">
        <f t="shared" si="111"/>
        <v>0</v>
      </c>
      <c r="AQ949" s="60" t="b">
        <f t="shared" si="112"/>
        <v>0</v>
      </c>
      <c r="AR949" s="60" t="str">
        <f t="shared" si="113"/>
        <v>No</v>
      </c>
      <c r="AS949" s="60" t="str">
        <f t="shared" si="114"/>
        <v>No</v>
      </c>
    </row>
    <row r="950" spans="1:45" ht="15" hidden="1">
      <c r="A950" s="103">
        <v>45244</v>
      </c>
      <c r="B950" s="117" t="s">
        <v>4001</v>
      </c>
      <c r="C950" s="28" t="s">
        <v>511</v>
      </c>
      <c r="D950" s="28" t="s">
        <v>4002</v>
      </c>
      <c r="E950" s="28" t="s">
        <v>3987</v>
      </c>
      <c r="F950" s="28" t="s">
        <v>2542</v>
      </c>
      <c r="G950" s="28" t="s">
        <v>958</v>
      </c>
      <c r="H950" s="28" t="s">
        <v>3161</v>
      </c>
      <c r="I950" s="28" t="s">
        <v>516</v>
      </c>
      <c r="J950" s="28" t="s">
        <v>517</v>
      </c>
      <c r="K950" s="28" t="s">
        <v>518</v>
      </c>
      <c r="L950" s="28" t="s">
        <v>1502</v>
      </c>
      <c r="M950" s="28" t="s">
        <v>535</v>
      </c>
      <c r="N950" s="28" t="s">
        <v>557</v>
      </c>
      <c r="O950" s="28" t="s">
        <v>544</v>
      </c>
      <c r="P950" s="28" t="s">
        <v>522</v>
      </c>
      <c r="S950" s="28" t="s">
        <v>3091</v>
      </c>
      <c r="T950" s="28" t="s">
        <v>811</v>
      </c>
      <c r="U950" s="28" t="s">
        <v>811</v>
      </c>
      <c r="V950" s="28" t="s">
        <v>517</v>
      </c>
      <c r="W950" s="28" t="s">
        <v>3991</v>
      </c>
      <c r="X950" s="28" t="s">
        <v>670</v>
      </c>
      <c r="Z950" s="118" t="s">
        <v>563</v>
      </c>
      <c r="AA950" s="118"/>
      <c r="AB950" s="118" t="s">
        <v>527</v>
      </c>
      <c r="AD950" s="28" t="s">
        <v>528</v>
      </c>
      <c r="AF950" s="117" t="s">
        <v>4002</v>
      </c>
      <c r="AG950" s="28" t="s">
        <v>563</v>
      </c>
      <c r="AK950" s="60" t="s">
        <v>2927</v>
      </c>
      <c r="AL950" s="117">
        <f>1/COUNTIF(Tableau6[LAT],B950)</f>
        <v>1</v>
      </c>
      <c r="AM950" s="60" t="b">
        <f t="shared" si="108"/>
        <v>0</v>
      </c>
      <c r="AN950" s="60" t="b">
        <f t="shared" si="109"/>
        <v>0</v>
      </c>
      <c r="AO950" s="60" t="b">
        <f t="shared" si="110"/>
        <v>0</v>
      </c>
      <c r="AP950" s="60" t="b">
        <f t="shared" si="111"/>
        <v>0</v>
      </c>
      <c r="AQ950" s="60" t="b">
        <f t="shared" si="112"/>
        <v>0</v>
      </c>
      <c r="AR950" s="60" t="str">
        <f t="shared" si="113"/>
        <v>No</v>
      </c>
      <c r="AS950" s="60" t="str">
        <f t="shared" si="114"/>
        <v>No</v>
      </c>
    </row>
    <row r="951" spans="1:45" ht="15" hidden="1">
      <c r="A951" s="103">
        <v>45244</v>
      </c>
      <c r="B951" s="117" t="s">
        <v>4003</v>
      </c>
      <c r="C951" s="28" t="s">
        <v>511</v>
      </c>
      <c r="D951" s="28" t="s">
        <v>4004</v>
      </c>
      <c r="F951" s="28" t="s">
        <v>4005</v>
      </c>
      <c r="G951" s="28" t="s">
        <v>3055</v>
      </c>
      <c r="H951" s="28" t="s">
        <v>1134</v>
      </c>
      <c r="I951" s="28" t="s">
        <v>516</v>
      </c>
      <c r="J951" s="28" t="s">
        <v>517</v>
      </c>
      <c r="K951" s="28" t="s">
        <v>518</v>
      </c>
      <c r="L951" s="28" t="s">
        <v>774</v>
      </c>
      <c r="M951" s="28" t="s">
        <v>535</v>
      </c>
      <c r="N951" s="28" t="s">
        <v>4006</v>
      </c>
      <c r="S951" s="28" t="s">
        <v>740</v>
      </c>
      <c r="T951" s="28" t="s">
        <v>1537</v>
      </c>
      <c r="U951" s="28" t="s">
        <v>1537</v>
      </c>
      <c r="V951" s="28" t="s">
        <v>517</v>
      </c>
      <c r="W951" s="28" t="s">
        <v>4007</v>
      </c>
      <c r="Z951" s="118" t="s">
        <v>526</v>
      </c>
      <c r="AA951" s="118"/>
      <c r="AB951" s="118" t="s">
        <v>4008</v>
      </c>
      <c r="AD951" s="28" t="s">
        <v>954</v>
      </c>
      <c r="AF951" s="117" t="s">
        <v>4004</v>
      </c>
      <c r="AG951" s="28" t="s">
        <v>563</v>
      </c>
      <c r="AK951" s="60" t="s">
        <v>2927</v>
      </c>
      <c r="AL951" s="117">
        <f>1/COUNTIF(Tableau6[LAT],B951)</f>
        <v>1</v>
      </c>
      <c r="AM951" s="60" t="str">
        <f t="shared" si="108"/>
        <v>Yes</v>
      </c>
      <c r="AN951" s="60" t="b">
        <f t="shared" si="109"/>
        <v>0</v>
      </c>
      <c r="AO951" s="60" t="b">
        <f t="shared" si="110"/>
        <v>0</v>
      </c>
      <c r="AP951" s="60" t="b">
        <f t="shared" si="111"/>
        <v>0</v>
      </c>
      <c r="AQ951" s="60" t="b">
        <f t="shared" si="112"/>
        <v>0</v>
      </c>
      <c r="AR951" s="60" t="str">
        <f t="shared" si="113"/>
        <v>Yes</v>
      </c>
      <c r="AS951" s="60" t="str">
        <f t="shared" si="114"/>
        <v>No</v>
      </c>
    </row>
    <row r="952" spans="1:45" ht="15" hidden="1">
      <c r="A952" s="103">
        <v>45244</v>
      </c>
      <c r="B952" s="117" t="s">
        <v>4009</v>
      </c>
      <c r="C952" s="28" t="s">
        <v>511</v>
      </c>
      <c r="D952" s="28" t="s">
        <v>4010</v>
      </c>
      <c r="F952" s="28" t="s">
        <v>4011</v>
      </c>
      <c r="G952" s="28" t="s">
        <v>724</v>
      </c>
      <c r="H952" s="28" t="s">
        <v>1554</v>
      </c>
      <c r="I952" s="28" t="s">
        <v>516</v>
      </c>
      <c r="J952" s="28" t="s">
        <v>517</v>
      </c>
      <c r="K952" s="28" t="s">
        <v>518</v>
      </c>
      <c r="L952" s="28" t="s">
        <v>3082</v>
      </c>
      <c r="M952" s="28" t="s">
        <v>520</v>
      </c>
      <c r="N952" s="28" t="s">
        <v>522</v>
      </c>
      <c r="S952" s="28" t="s">
        <v>1823</v>
      </c>
      <c r="T952" s="28" t="s">
        <v>1232</v>
      </c>
      <c r="U952" s="28" t="s">
        <v>1232</v>
      </c>
      <c r="V952" s="28" t="s">
        <v>517</v>
      </c>
      <c r="W952" s="28" t="s">
        <v>3084</v>
      </c>
      <c r="Z952" s="118" t="s">
        <v>526</v>
      </c>
      <c r="AA952" s="118"/>
      <c r="AB952" s="118"/>
      <c r="AD952" s="28" t="s">
        <v>528</v>
      </c>
      <c r="AF952" s="117" t="s">
        <v>4010</v>
      </c>
      <c r="AG952" s="28" t="s">
        <v>563</v>
      </c>
      <c r="AK952" s="60" t="s">
        <v>2927</v>
      </c>
      <c r="AL952" s="117">
        <f>1/COUNTIF(Tableau6[LAT],B952)</f>
        <v>1</v>
      </c>
      <c r="AM952" s="60" t="b">
        <f t="shared" si="108"/>
        <v>0</v>
      </c>
      <c r="AN952" s="60" t="b">
        <f t="shared" si="109"/>
        <v>0</v>
      </c>
      <c r="AO952" s="60" t="b">
        <f t="shared" si="110"/>
        <v>0</v>
      </c>
      <c r="AP952" s="60" t="b">
        <f t="shared" si="111"/>
        <v>0</v>
      </c>
      <c r="AQ952" s="60" t="b">
        <f t="shared" si="112"/>
        <v>0</v>
      </c>
      <c r="AR952" s="60" t="str">
        <f t="shared" si="113"/>
        <v>No</v>
      </c>
      <c r="AS952" s="60" t="str">
        <f t="shared" si="114"/>
        <v>Yes</v>
      </c>
    </row>
    <row r="953" spans="1:45" ht="15" hidden="1">
      <c r="A953" s="103">
        <v>45244</v>
      </c>
      <c r="B953" s="117" t="s">
        <v>4012</v>
      </c>
      <c r="C953" s="28" t="s">
        <v>511</v>
      </c>
      <c r="D953" s="28" t="s">
        <v>4013</v>
      </c>
      <c r="F953" s="28" t="s">
        <v>4014</v>
      </c>
      <c r="G953" s="28" t="s">
        <v>1163</v>
      </c>
      <c r="H953" s="28" t="s">
        <v>1330</v>
      </c>
      <c r="I953" s="28" t="s">
        <v>516</v>
      </c>
      <c r="J953" s="28" t="s">
        <v>517</v>
      </c>
      <c r="K953" s="28" t="s">
        <v>518</v>
      </c>
      <c r="L953" s="28" t="s">
        <v>1429</v>
      </c>
      <c r="M953" s="28" t="s">
        <v>605</v>
      </c>
      <c r="N953" s="28" t="s">
        <v>619</v>
      </c>
      <c r="O953" s="28" t="s">
        <v>557</v>
      </c>
      <c r="P953" s="28" t="s">
        <v>522</v>
      </c>
      <c r="S953" s="28" t="s">
        <v>560</v>
      </c>
      <c r="T953" s="28" t="s">
        <v>1431</v>
      </c>
      <c r="U953" s="28" t="s">
        <v>1431</v>
      </c>
      <c r="V953" s="28" t="s">
        <v>517</v>
      </c>
      <c r="W953" s="28" t="s">
        <v>4015</v>
      </c>
      <c r="Z953" s="118" t="s">
        <v>563</v>
      </c>
      <c r="AA953" s="118"/>
      <c r="AB953" s="118" t="s">
        <v>527</v>
      </c>
      <c r="AD953" s="28" t="s">
        <v>528</v>
      </c>
      <c r="AF953" s="117" t="s">
        <v>4013</v>
      </c>
      <c r="AG953" s="28" t="s">
        <v>563</v>
      </c>
      <c r="AK953" s="60" t="s">
        <v>2927</v>
      </c>
      <c r="AL953" s="117">
        <f>1/COUNTIF(Tableau6[LAT],B953)</f>
        <v>0.5</v>
      </c>
      <c r="AM953" s="60" t="b">
        <f t="shared" si="108"/>
        <v>0</v>
      </c>
      <c r="AN953" s="60" t="b">
        <f t="shared" si="109"/>
        <v>0</v>
      </c>
      <c r="AO953" s="60" t="b">
        <f t="shared" si="110"/>
        <v>0</v>
      </c>
      <c r="AP953" s="60" t="b">
        <f t="shared" si="111"/>
        <v>0</v>
      </c>
      <c r="AQ953" s="60" t="b">
        <f t="shared" si="112"/>
        <v>0</v>
      </c>
      <c r="AR953" s="60" t="str">
        <f t="shared" si="113"/>
        <v>No</v>
      </c>
      <c r="AS953" s="60" t="str">
        <f t="shared" si="114"/>
        <v>No</v>
      </c>
    </row>
    <row r="954" spans="1:45" ht="15" hidden="1">
      <c r="A954" s="103">
        <v>45244</v>
      </c>
      <c r="B954" s="117" t="s">
        <v>4012</v>
      </c>
      <c r="C954" s="28" t="s">
        <v>548</v>
      </c>
      <c r="D954" s="28" t="s">
        <v>4016</v>
      </c>
      <c r="F954" s="28" t="s">
        <v>4017</v>
      </c>
      <c r="G954" s="28" t="s">
        <v>2579</v>
      </c>
      <c r="H954" s="28" t="s">
        <v>595</v>
      </c>
      <c r="I954" s="28" t="s">
        <v>516</v>
      </c>
      <c r="J954" s="28" t="s">
        <v>517</v>
      </c>
      <c r="K954" s="28" t="s">
        <v>518</v>
      </c>
      <c r="L954" s="28" t="s">
        <v>1429</v>
      </c>
      <c r="M954" s="28" t="s">
        <v>605</v>
      </c>
      <c r="N954" s="28" t="s">
        <v>619</v>
      </c>
      <c r="O954" s="28" t="s">
        <v>557</v>
      </c>
      <c r="P954" s="28" t="s">
        <v>522</v>
      </c>
      <c r="S954" s="28" t="s">
        <v>560</v>
      </c>
      <c r="T954" s="28" t="s">
        <v>1431</v>
      </c>
      <c r="U954" s="28" t="s">
        <v>1431</v>
      </c>
      <c r="V954" s="28" t="s">
        <v>517</v>
      </c>
      <c r="W954" s="28" t="s">
        <v>4015</v>
      </c>
      <c r="Z954" s="118" t="s">
        <v>563</v>
      </c>
      <c r="AA954" s="118"/>
      <c r="AB954" s="118" t="s">
        <v>527</v>
      </c>
      <c r="AD954" s="28" t="s">
        <v>528</v>
      </c>
      <c r="AF954" s="117" t="s">
        <v>4016</v>
      </c>
      <c r="AG954" s="28" t="s">
        <v>563</v>
      </c>
      <c r="AK954" s="60" t="s">
        <v>2927</v>
      </c>
      <c r="AL954" s="117">
        <f>1/COUNTIF(Tableau6[LAT],B954)</f>
        <v>0.5</v>
      </c>
      <c r="AM954" s="60" t="b">
        <f t="shared" si="108"/>
        <v>0</v>
      </c>
      <c r="AN954" s="60" t="b">
        <f t="shared" si="109"/>
        <v>0</v>
      </c>
      <c r="AO954" s="60" t="b">
        <f t="shared" si="110"/>
        <v>0</v>
      </c>
      <c r="AP954" s="60" t="b">
        <f t="shared" si="111"/>
        <v>0</v>
      </c>
      <c r="AQ954" s="60" t="b">
        <f t="shared" si="112"/>
        <v>0</v>
      </c>
      <c r="AR954" s="60" t="str">
        <f t="shared" si="113"/>
        <v>No</v>
      </c>
      <c r="AS954" s="60" t="str">
        <f t="shared" si="114"/>
        <v>No</v>
      </c>
    </row>
    <row r="955" spans="1:45" ht="15" hidden="1">
      <c r="A955" s="103">
        <v>45244</v>
      </c>
      <c r="B955" s="117" t="s">
        <v>4018</v>
      </c>
      <c r="C955" s="28" t="s">
        <v>511</v>
      </c>
      <c r="D955" s="28" t="s">
        <v>4019</v>
      </c>
      <c r="E955" s="28" t="s">
        <v>4020</v>
      </c>
      <c r="F955" s="28" t="s">
        <v>4021</v>
      </c>
      <c r="G955" s="28" t="s">
        <v>1163</v>
      </c>
      <c r="H955" s="28" t="s">
        <v>3697</v>
      </c>
      <c r="I955" s="28" t="s">
        <v>516</v>
      </c>
      <c r="J955" s="28" t="s">
        <v>517</v>
      </c>
      <c r="K955" s="28" t="s">
        <v>518</v>
      </c>
      <c r="L955" s="28" t="s">
        <v>2925</v>
      </c>
      <c r="M955" s="28" t="s">
        <v>520</v>
      </c>
      <c r="N955" s="28" t="s">
        <v>544</v>
      </c>
      <c r="O955" s="28" t="s">
        <v>522</v>
      </c>
      <c r="P955" s="28" t="s">
        <v>627</v>
      </c>
      <c r="S955" s="28" t="s">
        <v>740</v>
      </c>
      <c r="T955" s="28" t="s">
        <v>1042</v>
      </c>
      <c r="U955" s="28" t="s">
        <v>1042</v>
      </c>
      <c r="V955" s="28" t="s">
        <v>517</v>
      </c>
      <c r="W955" s="28" t="s">
        <v>4022</v>
      </c>
      <c r="X955" s="28" t="s">
        <v>670</v>
      </c>
      <c r="Z955" s="118" t="s">
        <v>563</v>
      </c>
      <c r="AA955" s="118"/>
      <c r="AB955" s="118" t="s">
        <v>527</v>
      </c>
      <c r="AD955" s="28" t="s">
        <v>528</v>
      </c>
      <c r="AF955" s="117" t="s">
        <v>4019</v>
      </c>
      <c r="AG955" s="28" t="s">
        <v>563</v>
      </c>
      <c r="AK955" s="60" t="s">
        <v>2927</v>
      </c>
      <c r="AL955" s="117">
        <f>1/COUNTIF(Tableau6[LAT],B955)</f>
        <v>1</v>
      </c>
      <c r="AM955" s="60" t="b">
        <f t="shared" si="108"/>
        <v>0</v>
      </c>
      <c r="AN955" s="60" t="b">
        <f t="shared" si="109"/>
        <v>0</v>
      </c>
      <c r="AO955" s="60" t="b">
        <f t="shared" si="110"/>
        <v>0</v>
      </c>
      <c r="AP955" s="60" t="b">
        <f t="shared" si="111"/>
        <v>0</v>
      </c>
      <c r="AQ955" s="60" t="b">
        <f t="shared" si="112"/>
        <v>0</v>
      </c>
      <c r="AR955" s="60" t="str">
        <f t="shared" si="113"/>
        <v>No</v>
      </c>
      <c r="AS955" s="60" t="str">
        <f t="shared" si="114"/>
        <v>No</v>
      </c>
    </row>
    <row r="956" spans="1:45" ht="15" hidden="1">
      <c r="A956" s="103">
        <v>45244</v>
      </c>
      <c r="B956" s="117" t="s">
        <v>4023</v>
      </c>
      <c r="C956" s="28" t="s">
        <v>511</v>
      </c>
      <c r="D956" s="28" t="s">
        <v>4024</v>
      </c>
      <c r="F956" s="28" t="s">
        <v>4025</v>
      </c>
      <c r="G956" s="28" t="s">
        <v>514</v>
      </c>
      <c r="H956" s="28" t="s">
        <v>1428</v>
      </c>
      <c r="I956" s="28" t="s">
        <v>516</v>
      </c>
      <c r="J956" s="28" t="s">
        <v>517</v>
      </c>
      <c r="K956" s="28" t="s">
        <v>518</v>
      </c>
      <c r="L956" s="28" t="s">
        <v>1245</v>
      </c>
      <c r="M956" s="28" t="s">
        <v>535</v>
      </c>
      <c r="N956" s="28" t="s">
        <v>544</v>
      </c>
      <c r="O956" s="28" t="s">
        <v>522</v>
      </c>
      <c r="S956" s="28" t="s">
        <v>606</v>
      </c>
      <c r="T956" s="28" t="s">
        <v>1150</v>
      </c>
      <c r="U956" s="28" t="s">
        <v>1150</v>
      </c>
      <c r="V956" s="28" t="s">
        <v>517</v>
      </c>
      <c r="W956" s="28" t="s">
        <v>4026</v>
      </c>
      <c r="Z956" s="118" t="s">
        <v>526</v>
      </c>
      <c r="AA956" s="118"/>
      <c r="AB956" s="118" t="s">
        <v>4027</v>
      </c>
      <c r="AD956" s="28" t="s">
        <v>954</v>
      </c>
      <c r="AF956" s="117" t="s">
        <v>4024</v>
      </c>
      <c r="AG956" s="28" t="s">
        <v>563</v>
      </c>
      <c r="AK956" s="60" t="s">
        <v>2927</v>
      </c>
      <c r="AL956" s="117">
        <f>1/COUNTIF(Tableau6[LAT],B956)</f>
        <v>0.5</v>
      </c>
      <c r="AM956" s="60" t="b">
        <f t="shared" si="108"/>
        <v>0</v>
      </c>
      <c r="AN956" s="60" t="b">
        <f t="shared" si="109"/>
        <v>0</v>
      </c>
      <c r="AO956" s="60" t="b">
        <f t="shared" si="110"/>
        <v>0</v>
      </c>
      <c r="AP956" s="60" t="b">
        <f t="shared" si="111"/>
        <v>0</v>
      </c>
      <c r="AQ956" s="60" t="b">
        <f t="shared" si="112"/>
        <v>0</v>
      </c>
      <c r="AR956" s="60" t="str">
        <f t="shared" si="113"/>
        <v>No</v>
      </c>
      <c r="AS956" s="60" t="str">
        <f t="shared" si="114"/>
        <v>No</v>
      </c>
    </row>
    <row r="957" spans="1:45" ht="15" hidden="1">
      <c r="A957" s="103">
        <v>45244</v>
      </c>
      <c r="B957" s="117" t="s">
        <v>4023</v>
      </c>
      <c r="C957" s="28" t="s">
        <v>548</v>
      </c>
      <c r="D957" s="28" t="s">
        <v>4028</v>
      </c>
      <c r="F957" s="28" t="s">
        <v>4025</v>
      </c>
      <c r="G957" s="28" t="s">
        <v>514</v>
      </c>
      <c r="H957" s="28" t="s">
        <v>883</v>
      </c>
      <c r="I957" s="28" t="s">
        <v>516</v>
      </c>
      <c r="J957" s="28" t="s">
        <v>517</v>
      </c>
      <c r="K957" s="28" t="s">
        <v>518</v>
      </c>
      <c r="L957" s="28" t="s">
        <v>1245</v>
      </c>
      <c r="M957" s="28" t="s">
        <v>535</v>
      </c>
      <c r="N957" s="28" t="s">
        <v>544</v>
      </c>
      <c r="O957" s="28" t="s">
        <v>522</v>
      </c>
      <c r="S957" s="28" t="s">
        <v>606</v>
      </c>
      <c r="T957" s="28" t="s">
        <v>1150</v>
      </c>
      <c r="U957" s="28" t="s">
        <v>1150</v>
      </c>
      <c r="V957" s="28" t="s">
        <v>517</v>
      </c>
      <c r="W957" s="28" t="s">
        <v>4029</v>
      </c>
      <c r="Z957" s="118" t="s">
        <v>526</v>
      </c>
      <c r="AA957" s="118"/>
      <c r="AB957" s="118" t="s">
        <v>4027</v>
      </c>
      <c r="AD957" s="28" t="s">
        <v>954</v>
      </c>
      <c r="AF957" s="117" t="s">
        <v>4024</v>
      </c>
      <c r="AG957" s="28" t="s">
        <v>563</v>
      </c>
      <c r="AK957" s="60" t="s">
        <v>2927</v>
      </c>
      <c r="AL957" s="117">
        <f>1/COUNTIF(Tableau6[LAT],B957)</f>
        <v>0.5</v>
      </c>
      <c r="AM957" s="60" t="b">
        <f t="shared" si="108"/>
        <v>0</v>
      </c>
      <c r="AN957" s="60" t="b">
        <f t="shared" si="109"/>
        <v>0</v>
      </c>
      <c r="AO957" s="60" t="b">
        <f t="shared" si="110"/>
        <v>0</v>
      </c>
      <c r="AP957" s="60" t="b">
        <f t="shared" si="111"/>
        <v>0</v>
      </c>
      <c r="AQ957" s="60" t="b">
        <f t="shared" si="112"/>
        <v>0</v>
      </c>
      <c r="AR957" s="60" t="str">
        <f t="shared" si="113"/>
        <v>No</v>
      </c>
      <c r="AS957" s="60" t="str">
        <f t="shared" si="114"/>
        <v>No</v>
      </c>
    </row>
    <row r="958" spans="1:45" ht="15" hidden="1">
      <c r="A958" s="103">
        <v>45244</v>
      </c>
      <c r="B958" s="117" t="s">
        <v>4030</v>
      </c>
      <c r="C958" s="28" t="s">
        <v>511</v>
      </c>
      <c r="D958" s="28" t="s">
        <v>4031</v>
      </c>
      <c r="F958" s="28" t="s">
        <v>4032</v>
      </c>
      <c r="G958" s="28" t="s">
        <v>958</v>
      </c>
      <c r="H958" s="28" t="s">
        <v>1171</v>
      </c>
      <c r="I958" s="28" t="s">
        <v>516</v>
      </c>
      <c r="J958" s="28" t="s">
        <v>517</v>
      </c>
      <c r="K958" s="28" t="s">
        <v>518</v>
      </c>
      <c r="L958" s="28" t="s">
        <v>1502</v>
      </c>
      <c r="M958" s="28" t="s">
        <v>535</v>
      </c>
      <c r="S958" s="28" t="s">
        <v>820</v>
      </c>
      <c r="T958" s="28" t="s">
        <v>811</v>
      </c>
      <c r="U958" s="28" t="s">
        <v>811</v>
      </c>
      <c r="V958" s="28" t="s">
        <v>517</v>
      </c>
      <c r="W958" s="28" t="s">
        <v>4033</v>
      </c>
      <c r="Z958" s="118" t="s">
        <v>563</v>
      </c>
      <c r="AA958" s="118"/>
      <c r="AB958" s="118" t="s">
        <v>527</v>
      </c>
      <c r="AD958" s="28" t="s">
        <v>954</v>
      </c>
      <c r="AF958" s="117" t="s">
        <v>4031</v>
      </c>
      <c r="AG958" s="28" t="s">
        <v>563</v>
      </c>
      <c r="AK958" s="60" t="s">
        <v>2927</v>
      </c>
      <c r="AL958" s="117">
        <f>1/COUNTIF(Tableau6[LAT],B958)</f>
        <v>0.33333333333333331</v>
      </c>
      <c r="AM958" s="60" t="b">
        <f t="shared" si="108"/>
        <v>0</v>
      </c>
      <c r="AN958" s="60" t="b">
        <f t="shared" si="109"/>
        <v>0</v>
      </c>
      <c r="AO958" s="60" t="b">
        <f t="shared" si="110"/>
        <v>0</v>
      </c>
      <c r="AP958" s="60" t="b">
        <f t="shared" si="111"/>
        <v>0</v>
      </c>
      <c r="AQ958" s="60" t="b">
        <f t="shared" si="112"/>
        <v>0</v>
      </c>
      <c r="AR958" s="60" t="str">
        <f t="shared" si="113"/>
        <v>No</v>
      </c>
      <c r="AS958" s="60" t="str">
        <f t="shared" si="114"/>
        <v>No</v>
      </c>
    </row>
    <row r="959" spans="1:45" ht="15" hidden="1">
      <c r="A959" s="103">
        <v>45244</v>
      </c>
      <c r="B959" s="117" t="s">
        <v>4030</v>
      </c>
      <c r="C959" s="28" t="s">
        <v>548</v>
      </c>
      <c r="D959" s="28" t="s">
        <v>4034</v>
      </c>
      <c r="F959" s="28" t="s">
        <v>4035</v>
      </c>
      <c r="G959" s="28" t="s">
        <v>514</v>
      </c>
      <c r="H959" s="28" t="s">
        <v>2401</v>
      </c>
      <c r="I959" s="28" t="s">
        <v>516</v>
      </c>
      <c r="J959" s="28" t="s">
        <v>517</v>
      </c>
      <c r="K959" s="28" t="s">
        <v>518</v>
      </c>
      <c r="L959" s="28" t="s">
        <v>1502</v>
      </c>
      <c r="M959" s="28" t="s">
        <v>535</v>
      </c>
      <c r="S959" s="28" t="s">
        <v>820</v>
      </c>
      <c r="T959" s="28" t="s">
        <v>811</v>
      </c>
      <c r="U959" s="28" t="s">
        <v>811</v>
      </c>
      <c r="V959" s="28" t="s">
        <v>517</v>
      </c>
      <c r="W959" s="28" t="s">
        <v>4036</v>
      </c>
      <c r="Z959" s="118" t="s">
        <v>563</v>
      </c>
      <c r="AA959" s="118"/>
      <c r="AB959" s="118" t="s">
        <v>527</v>
      </c>
      <c r="AD959" s="28" t="s">
        <v>954</v>
      </c>
      <c r="AF959" s="117" t="s">
        <v>4034</v>
      </c>
      <c r="AG959" s="28" t="s">
        <v>563</v>
      </c>
      <c r="AK959" s="60" t="s">
        <v>2927</v>
      </c>
      <c r="AL959" s="117">
        <f>1/COUNTIF(Tableau6[LAT],B959)</f>
        <v>0.33333333333333331</v>
      </c>
      <c r="AM959" s="60" t="b">
        <f t="shared" si="108"/>
        <v>0</v>
      </c>
      <c r="AN959" s="60" t="b">
        <f t="shared" si="109"/>
        <v>0</v>
      </c>
      <c r="AO959" s="60" t="b">
        <f t="shared" si="110"/>
        <v>0</v>
      </c>
      <c r="AP959" s="60" t="b">
        <f t="shared" si="111"/>
        <v>0</v>
      </c>
      <c r="AQ959" s="60" t="b">
        <f t="shared" si="112"/>
        <v>0</v>
      </c>
      <c r="AR959" s="60" t="str">
        <f t="shared" si="113"/>
        <v>No</v>
      </c>
      <c r="AS959" s="60" t="str">
        <f t="shared" si="114"/>
        <v>No</v>
      </c>
    </row>
    <row r="960" spans="1:45" ht="15" hidden="1">
      <c r="A960" s="103">
        <v>45244</v>
      </c>
      <c r="B960" s="117" t="s">
        <v>4030</v>
      </c>
      <c r="C960" s="28" t="s">
        <v>612</v>
      </c>
      <c r="D960" s="28" t="s">
        <v>4037</v>
      </c>
      <c r="F960" s="28" t="s">
        <v>4035</v>
      </c>
      <c r="G960" s="28" t="s">
        <v>514</v>
      </c>
      <c r="H960" s="28" t="s">
        <v>2401</v>
      </c>
      <c r="I960" s="28" t="s">
        <v>516</v>
      </c>
      <c r="J960" s="28" t="s">
        <v>517</v>
      </c>
      <c r="K960" s="28" t="s">
        <v>518</v>
      </c>
      <c r="L960" s="28" t="s">
        <v>1502</v>
      </c>
      <c r="M960" s="28" t="s">
        <v>535</v>
      </c>
      <c r="S960" s="28" t="s">
        <v>820</v>
      </c>
      <c r="T960" s="28" t="s">
        <v>811</v>
      </c>
      <c r="U960" s="28" t="s">
        <v>811</v>
      </c>
      <c r="V960" s="28" t="s">
        <v>517</v>
      </c>
      <c r="W960" s="28" t="s">
        <v>4038</v>
      </c>
      <c r="Z960" s="118" t="s">
        <v>563</v>
      </c>
      <c r="AA960" s="118"/>
      <c r="AB960" s="118" t="s">
        <v>527</v>
      </c>
      <c r="AD960" s="28" t="s">
        <v>954</v>
      </c>
      <c r="AF960" s="117" t="s">
        <v>4037</v>
      </c>
      <c r="AG960" s="28" t="s">
        <v>563</v>
      </c>
      <c r="AK960" s="60" t="s">
        <v>2927</v>
      </c>
      <c r="AL960" s="117">
        <f>1/COUNTIF(Tableau6[LAT],B960)</f>
        <v>0.33333333333333331</v>
      </c>
      <c r="AM960" s="60" t="b">
        <f t="shared" si="108"/>
        <v>0</v>
      </c>
      <c r="AN960" s="60" t="b">
        <f t="shared" si="109"/>
        <v>0</v>
      </c>
      <c r="AO960" s="60" t="b">
        <f t="shared" si="110"/>
        <v>0</v>
      </c>
      <c r="AP960" s="60" t="b">
        <f t="shared" si="111"/>
        <v>0</v>
      </c>
      <c r="AQ960" s="60" t="b">
        <f t="shared" si="112"/>
        <v>0</v>
      </c>
      <c r="AR960" s="60" t="str">
        <f t="shared" si="113"/>
        <v>No</v>
      </c>
      <c r="AS960" s="60" t="str">
        <f t="shared" si="114"/>
        <v>No</v>
      </c>
    </row>
    <row r="961" spans="1:45" ht="15" hidden="1">
      <c r="A961" s="103">
        <v>45244</v>
      </c>
      <c r="B961" s="117" t="s">
        <v>4039</v>
      </c>
      <c r="C961" s="28" t="s">
        <v>511</v>
      </c>
      <c r="D961" s="28" t="s">
        <v>4040</v>
      </c>
      <c r="F961" s="28" t="s">
        <v>4041</v>
      </c>
      <c r="G961" s="28" t="s">
        <v>514</v>
      </c>
      <c r="H961" s="28" t="s">
        <v>4042</v>
      </c>
      <c r="I961" s="28" t="s">
        <v>516</v>
      </c>
      <c r="J961" s="28" t="s">
        <v>517</v>
      </c>
      <c r="K961" s="28" t="s">
        <v>518</v>
      </c>
      <c r="L961" s="28" t="s">
        <v>4043</v>
      </c>
      <c r="M961" s="28" t="s">
        <v>535</v>
      </c>
      <c r="N961" s="28" t="s">
        <v>557</v>
      </c>
      <c r="O961" s="28" t="s">
        <v>544</v>
      </c>
      <c r="S961" s="28" t="s">
        <v>2943</v>
      </c>
      <c r="T961" s="28" t="s">
        <v>2980</v>
      </c>
      <c r="U961" s="28" t="s">
        <v>2406</v>
      </c>
      <c r="V961" s="28" t="s">
        <v>517</v>
      </c>
      <c r="W961" s="28" t="s">
        <v>4044</v>
      </c>
      <c r="Z961" s="118" t="s">
        <v>563</v>
      </c>
      <c r="AA961" s="118"/>
      <c r="AB961" s="118" t="s">
        <v>527</v>
      </c>
      <c r="AD961" s="28" t="s">
        <v>528</v>
      </c>
      <c r="AF961" s="117" t="s">
        <v>4040</v>
      </c>
      <c r="AG961" s="28" t="s">
        <v>563</v>
      </c>
      <c r="AK961" s="60" t="s">
        <v>2927</v>
      </c>
      <c r="AL961" s="117">
        <f>1/COUNTIF(Tableau6[LAT],B961)</f>
        <v>0.5</v>
      </c>
      <c r="AM961" s="60" t="b">
        <f t="shared" si="108"/>
        <v>0</v>
      </c>
      <c r="AN961" s="60" t="b">
        <f t="shared" si="109"/>
        <v>0</v>
      </c>
      <c r="AO961" s="60" t="b">
        <f t="shared" si="110"/>
        <v>0</v>
      </c>
      <c r="AP961" s="60" t="b">
        <f t="shared" si="111"/>
        <v>0</v>
      </c>
      <c r="AQ961" s="60" t="b">
        <f t="shared" si="112"/>
        <v>0</v>
      </c>
      <c r="AR961" s="60" t="str">
        <f t="shared" si="113"/>
        <v>No</v>
      </c>
      <c r="AS961" s="60" t="str">
        <f t="shared" si="114"/>
        <v>No</v>
      </c>
    </row>
    <row r="962" spans="1:45" ht="15" hidden="1">
      <c r="A962" s="103">
        <v>45244</v>
      </c>
      <c r="B962" s="117" t="s">
        <v>4039</v>
      </c>
      <c r="C962" s="28" t="s">
        <v>548</v>
      </c>
      <c r="D962" s="28" t="s">
        <v>4045</v>
      </c>
      <c r="F962" s="28" t="s">
        <v>4046</v>
      </c>
      <c r="G962" s="28" t="s">
        <v>514</v>
      </c>
      <c r="H962" s="28" t="s">
        <v>4042</v>
      </c>
      <c r="I962" s="28" t="s">
        <v>516</v>
      </c>
      <c r="J962" s="28" t="s">
        <v>517</v>
      </c>
      <c r="K962" s="28" t="s">
        <v>518</v>
      </c>
      <c r="L962" s="28" t="s">
        <v>4043</v>
      </c>
      <c r="M962" s="28" t="s">
        <v>535</v>
      </c>
      <c r="N962" s="28" t="s">
        <v>557</v>
      </c>
      <c r="O962" s="28" t="s">
        <v>544</v>
      </c>
      <c r="S962" s="28" t="s">
        <v>2943</v>
      </c>
      <c r="T962" s="28" t="s">
        <v>2980</v>
      </c>
      <c r="U962" s="28" t="s">
        <v>2406</v>
      </c>
      <c r="V962" s="28" t="s">
        <v>517</v>
      </c>
      <c r="W962" s="28" t="s">
        <v>4044</v>
      </c>
      <c r="Z962" s="118" t="s">
        <v>563</v>
      </c>
      <c r="AA962" s="118"/>
      <c r="AB962" s="118" t="s">
        <v>527</v>
      </c>
      <c r="AD962" s="28" t="s">
        <v>528</v>
      </c>
      <c r="AF962" s="117" t="s">
        <v>4047</v>
      </c>
      <c r="AG962" s="28" t="s">
        <v>563</v>
      </c>
      <c r="AK962" s="60" t="s">
        <v>2927</v>
      </c>
      <c r="AL962" s="117">
        <f>1/COUNTIF(Tableau6[LAT],B962)</f>
        <v>0.5</v>
      </c>
      <c r="AM962" s="60" t="b">
        <f t="shared" si="108"/>
        <v>0</v>
      </c>
      <c r="AN962" s="60" t="b">
        <f t="shared" si="109"/>
        <v>0</v>
      </c>
      <c r="AO962" s="60" t="b">
        <f t="shared" si="110"/>
        <v>0</v>
      </c>
      <c r="AP962" s="60" t="b">
        <f t="shared" si="111"/>
        <v>0</v>
      </c>
      <c r="AQ962" s="60" t="b">
        <f t="shared" si="112"/>
        <v>0</v>
      </c>
      <c r="AR962" s="60" t="str">
        <f t="shared" si="113"/>
        <v>No</v>
      </c>
      <c r="AS962" s="60" t="str">
        <f t="shared" si="114"/>
        <v>No</v>
      </c>
    </row>
    <row r="963" spans="1:45" ht="15" hidden="1">
      <c r="A963" s="103">
        <v>45244</v>
      </c>
      <c r="B963" s="117" t="s">
        <v>4048</v>
      </c>
      <c r="C963" s="28" t="s">
        <v>511</v>
      </c>
      <c r="D963" s="28" t="s">
        <v>4049</v>
      </c>
      <c r="F963" s="28" t="s">
        <v>4050</v>
      </c>
      <c r="G963" s="28" t="s">
        <v>514</v>
      </c>
      <c r="H963" s="28" t="s">
        <v>1953</v>
      </c>
      <c r="I963" s="28" t="s">
        <v>516</v>
      </c>
      <c r="J963" s="28" t="s">
        <v>517</v>
      </c>
      <c r="K963" s="28" t="s">
        <v>518</v>
      </c>
      <c r="L963" s="28" t="s">
        <v>1040</v>
      </c>
      <c r="M963" s="28" t="s">
        <v>520</v>
      </c>
      <c r="N963" s="28" t="s">
        <v>544</v>
      </c>
      <c r="S963" s="28" t="s">
        <v>4051</v>
      </c>
      <c r="T963" s="28" t="s">
        <v>1042</v>
      </c>
      <c r="U963" s="28" t="s">
        <v>1042</v>
      </c>
      <c r="V963" s="28" t="s">
        <v>517</v>
      </c>
      <c r="W963" s="28" t="s">
        <v>4052</v>
      </c>
      <c r="Z963" s="118" t="s">
        <v>563</v>
      </c>
      <c r="AA963" s="118"/>
      <c r="AB963" s="118" t="s">
        <v>527</v>
      </c>
      <c r="AD963" s="28" t="s">
        <v>528</v>
      </c>
      <c r="AF963" s="117" t="s">
        <v>4049</v>
      </c>
      <c r="AG963" s="28" t="s">
        <v>563</v>
      </c>
      <c r="AK963" s="60" t="s">
        <v>2927</v>
      </c>
      <c r="AL963" s="117">
        <f>1/COUNTIF(Tableau6[LAT],B963)</f>
        <v>1</v>
      </c>
      <c r="AM963" s="60" t="b">
        <f t="shared" si="108"/>
        <v>0</v>
      </c>
      <c r="AN963" s="60" t="b">
        <f t="shared" si="109"/>
        <v>0</v>
      </c>
      <c r="AO963" s="60" t="b">
        <f t="shared" si="110"/>
        <v>0</v>
      </c>
      <c r="AP963" s="60" t="b">
        <f t="shared" si="111"/>
        <v>0</v>
      </c>
      <c r="AQ963" s="60" t="b">
        <f t="shared" si="112"/>
        <v>0</v>
      </c>
      <c r="AR963" s="60" t="str">
        <f t="shared" si="113"/>
        <v>No</v>
      </c>
      <c r="AS963" s="60" t="str">
        <f t="shared" si="114"/>
        <v>No</v>
      </c>
    </row>
    <row r="964" spans="1:45" ht="15" hidden="1">
      <c r="A964" s="103">
        <v>45244</v>
      </c>
      <c r="B964" s="117" t="s">
        <v>4053</v>
      </c>
      <c r="C964" s="28" t="s">
        <v>511</v>
      </c>
      <c r="D964" s="28" t="s">
        <v>4054</v>
      </c>
      <c r="E964" s="28" t="s">
        <v>4055</v>
      </c>
      <c r="F964" s="28" t="s">
        <v>4056</v>
      </c>
      <c r="G964" s="28" t="s">
        <v>4057</v>
      </c>
      <c r="H964" s="28" t="s">
        <v>4058</v>
      </c>
      <c r="I964" s="28" t="s">
        <v>516</v>
      </c>
      <c r="J964" s="28" t="s">
        <v>517</v>
      </c>
      <c r="K964" s="28" t="s">
        <v>518</v>
      </c>
      <c r="L964" s="28" t="s">
        <v>1794</v>
      </c>
      <c r="M964" s="28" t="s">
        <v>605</v>
      </c>
      <c r="N964" s="28" t="s">
        <v>557</v>
      </c>
      <c r="O964" s="28" t="s">
        <v>522</v>
      </c>
      <c r="S964" s="28" t="s">
        <v>1366</v>
      </c>
      <c r="T964" s="28" t="s">
        <v>1350</v>
      </c>
      <c r="U964" s="28" t="s">
        <v>1796</v>
      </c>
      <c r="V964" s="28" t="s">
        <v>517</v>
      </c>
      <c r="W964" s="28" t="s">
        <v>4059</v>
      </c>
      <c r="X964" s="28" t="s">
        <v>670</v>
      </c>
      <c r="Z964" s="118" t="s">
        <v>563</v>
      </c>
      <c r="AA964" s="118"/>
      <c r="AB964" s="118" t="s">
        <v>527</v>
      </c>
      <c r="AD964" s="28" t="s">
        <v>528</v>
      </c>
      <c r="AF964" s="117" t="s">
        <v>4054</v>
      </c>
      <c r="AG964" s="28" t="s">
        <v>563</v>
      </c>
      <c r="AK964" s="60" t="s">
        <v>2927</v>
      </c>
      <c r="AL964" s="117">
        <f>1/COUNTIF(Tableau6[LAT],B964)</f>
        <v>0.5</v>
      </c>
      <c r="AM964" s="60" t="b">
        <f t="shared" si="108"/>
        <v>0</v>
      </c>
      <c r="AN964" s="60" t="b">
        <f t="shared" si="109"/>
        <v>0</v>
      </c>
      <c r="AO964" s="60" t="b">
        <f t="shared" si="110"/>
        <v>0</v>
      </c>
      <c r="AP964" s="60" t="b">
        <f t="shared" si="111"/>
        <v>0</v>
      </c>
      <c r="AQ964" s="60" t="b">
        <f t="shared" si="112"/>
        <v>0</v>
      </c>
      <c r="AR964" s="60" t="str">
        <f t="shared" si="113"/>
        <v>No</v>
      </c>
      <c r="AS964" s="60" t="str">
        <f t="shared" si="114"/>
        <v>No</v>
      </c>
    </row>
    <row r="965" spans="1:45" ht="15" hidden="1">
      <c r="A965" s="103">
        <v>45244</v>
      </c>
      <c r="B965" s="117" t="s">
        <v>4053</v>
      </c>
      <c r="C965" s="28" t="s">
        <v>548</v>
      </c>
      <c r="D965" s="28" t="s">
        <v>4060</v>
      </c>
      <c r="E965" s="28" t="s">
        <v>4055</v>
      </c>
      <c r="F965" s="28" t="s">
        <v>1522</v>
      </c>
      <c r="G965" s="28" t="s">
        <v>514</v>
      </c>
      <c r="H965" s="28" t="s">
        <v>1822</v>
      </c>
      <c r="I965" s="28" t="s">
        <v>516</v>
      </c>
      <c r="J965" s="28" t="s">
        <v>517</v>
      </c>
      <c r="K965" s="28" t="s">
        <v>518</v>
      </c>
      <c r="L965" s="28" t="s">
        <v>1794</v>
      </c>
      <c r="M965" s="28" t="s">
        <v>605</v>
      </c>
      <c r="N965" s="28" t="s">
        <v>557</v>
      </c>
      <c r="O965" s="28" t="s">
        <v>522</v>
      </c>
      <c r="S965" s="28" t="s">
        <v>1366</v>
      </c>
      <c r="T965" s="28" t="s">
        <v>1350</v>
      </c>
      <c r="U965" s="28" t="s">
        <v>1796</v>
      </c>
      <c r="V965" s="28" t="s">
        <v>517</v>
      </c>
      <c r="W965" s="28" t="s">
        <v>4059</v>
      </c>
      <c r="X965" s="28" t="s">
        <v>670</v>
      </c>
      <c r="Z965" s="118" t="s">
        <v>563</v>
      </c>
      <c r="AA965" s="118"/>
      <c r="AB965" s="118" t="s">
        <v>527</v>
      </c>
      <c r="AD965" s="28" t="s">
        <v>528</v>
      </c>
      <c r="AF965" s="117" t="s">
        <v>4060</v>
      </c>
      <c r="AG965" s="28" t="s">
        <v>563</v>
      </c>
      <c r="AK965" s="60" t="s">
        <v>2927</v>
      </c>
      <c r="AL965" s="117">
        <f>1/COUNTIF(Tableau6[LAT],B965)</f>
        <v>0.5</v>
      </c>
      <c r="AM965" s="60" t="b">
        <f t="shared" si="108"/>
        <v>0</v>
      </c>
      <c r="AN965" s="60" t="b">
        <f t="shared" si="109"/>
        <v>0</v>
      </c>
      <c r="AO965" s="60" t="b">
        <f t="shared" si="110"/>
        <v>0</v>
      </c>
      <c r="AP965" s="60" t="b">
        <f t="shared" si="111"/>
        <v>0</v>
      </c>
      <c r="AQ965" s="60" t="b">
        <f t="shared" si="112"/>
        <v>0</v>
      </c>
      <c r="AR965" s="60" t="str">
        <f t="shared" si="113"/>
        <v>No</v>
      </c>
      <c r="AS965" s="60" t="str">
        <f t="shared" si="114"/>
        <v>No</v>
      </c>
    </row>
    <row r="966" spans="1:45" ht="15" hidden="1">
      <c r="A966" s="103">
        <v>45244</v>
      </c>
      <c r="B966" s="117" t="s">
        <v>4061</v>
      </c>
      <c r="C966" s="28" t="s">
        <v>511</v>
      </c>
      <c r="D966" s="28" t="s">
        <v>4062</v>
      </c>
      <c r="F966" s="28" t="s">
        <v>4063</v>
      </c>
      <c r="G966" s="28" t="s">
        <v>1163</v>
      </c>
      <c r="H966" s="28" t="s">
        <v>966</v>
      </c>
      <c r="I966" s="28" t="s">
        <v>516</v>
      </c>
      <c r="J966" s="28" t="s">
        <v>517</v>
      </c>
      <c r="K966" s="28" t="s">
        <v>518</v>
      </c>
      <c r="L966" s="28" t="s">
        <v>588</v>
      </c>
      <c r="M966" s="28" t="s">
        <v>605</v>
      </c>
      <c r="N966" s="28" t="s">
        <v>522</v>
      </c>
      <c r="S966" s="28" t="s">
        <v>1366</v>
      </c>
      <c r="T966" s="28" t="s">
        <v>590</v>
      </c>
      <c r="U966" s="28" t="s">
        <v>590</v>
      </c>
      <c r="V966" s="28" t="s">
        <v>517</v>
      </c>
      <c r="W966" s="28" t="s">
        <v>4064</v>
      </c>
      <c r="Z966" s="118" t="s">
        <v>563</v>
      </c>
      <c r="AA966" s="118"/>
      <c r="AB966" s="118" t="s">
        <v>527</v>
      </c>
      <c r="AD966" s="28" t="s">
        <v>528</v>
      </c>
      <c r="AF966" s="117" t="s">
        <v>4062</v>
      </c>
      <c r="AG966" s="28" t="s">
        <v>563</v>
      </c>
      <c r="AK966" s="60" t="s">
        <v>2927</v>
      </c>
      <c r="AL966" s="117">
        <f>1/COUNTIF(Tableau6[LAT],B966)</f>
        <v>1</v>
      </c>
      <c r="AM966" s="60" t="b">
        <f t="shared" si="108"/>
        <v>0</v>
      </c>
      <c r="AN966" s="60" t="b">
        <f t="shared" si="109"/>
        <v>0</v>
      </c>
      <c r="AO966" s="60" t="b">
        <f t="shared" si="110"/>
        <v>0</v>
      </c>
      <c r="AP966" s="60" t="b">
        <f t="shared" si="111"/>
        <v>0</v>
      </c>
      <c r="AQ966" s="60" t="b">
        <f t="shared" si="112"/>
        <v>0</v>
      </c>
      <c r="AR966" s="60" t="str">
        <f t="shared" si="113"/>
        <v>No</v>
      </c>
      <c r="AS966" s="60" t="str">
        <f t="shared" si="114"/>
        <v>No</v>
      </c>
    </row>
    <row r="967" spans="1:45" ht="15" hidden="1">
      <c r="A967" s="103">
        <v>45244</v>
      </c>
      <c r="B967" s="117" t="s">
        <v>4065</v>
      </c>
      <c r="C967" s="28" t="s">
        <v>511</v>
      </c>
      <c r="D967" s="28" t="s">
        <v>4066</v>
      </c>
      <c r="E967" s="28" t="s">
        <v>4067</v>
      </c>
      <c r="F967" s="28" t="s">
        <v>4068</v>
      </c>
      <c r="G967" s="28" t="s">
        <v>4069</v>
      </c>
      <c r="H967" s="28" t="s">
        <v>4070</v>
      </c>
      <c r="I967" s="28" t="s">
        <v>516</v>
      </c>
      <c r="J967" s="28" t="s">
        <v>517</v>
      </c>
      <c r="K967" s="28" t="s">
        <v>518</v>
      </c>
      <c r="L967" s="28" t="s">
        <v>1917</v>
      </c>
      <c r="M967" s="28" t="s">
        <v>535</v>
      </c>
      <c r="N967" s="28" t="s">
        <v>557</v>
      </c>
      <c r="O967" s="28" t="s">
        <v>427</v>
      </c>
      <c r="P967" s="28" t="s">
        <v>559</v>
      </c>
      <c r="S967" s="28" t="s">
        <v>820</v>
      </c>
      <c r="T967" s="28" t="s">
        <v>1918</v>
      </c>
      <c r="U967" s="28" t="s">
        <v>1918</v>
      </c>
      <c r="V967" s="28" t="s">
        <v>517</v>
      </c>
      <c r="W967" s="28" t="s">
        <v>4071</v>
      </c>
      <c r="X967" s="28" t="s">
        <v>670</v>
      </c>
      <c r="Z967" s="118" t="s">
        <v>563</v>
      </c>
      <c r="AA967" s="118"/>
      <c r="AB967" s="118" t="s">
        <v>527</v>
      </c>
      <c r="AD967" s="28" t="s">
        <v>528</v>
      </c>
      <c r="AF967" s="117" t="s">
        <v>4066</v>
      </c>
      <c r="AG967" s="28" t="s">
        <v>563</v>
      </c>
      <c r="AK967" s="60" t="s">
        <v>2927</v>
      </c>
      <c r="AL967" s="117">
        <f>1/COUNTIF(Tableau6[LAT],B967)</f>
        <v>0.5</v>
      </c>
      <c r="AM967" s="60" t="b">
        <f t="shared" si="108"/>
        <v>0</v>
      </c>
      <c r="AN967" s="60" t="b">
        <f t="shared" si="109"/>
        <v>0</v>
      </c>
      <c r="AO967" s="60" t="b">
        <f t="shared" si="110"/>
        <v>0</v>
      </c>
      <c r="AP967" s="60" t="b">
        <f t="shared" si="111"/>
        <v>0</v>
      </c>
      <c r="AQ967" s="60" t="b">
        <f t="shared" si="112"/>
        <v>0</v>
      </c>
      <c r="AR967" s="60" t="str">
        <f t="shared" si="113"/>
        <v>No</v>
      </c>
      <c r="AS967" s="60" t="str">
        <f t="shared" si="114"/>
        <v>No</v>
      </c>
    </row>
    <row r="968" spans="1:45" ht="15" hidden="1">
      <c r="A968" s="103">
        <v>45244</v>
      </c>
      <c r="B968" s="117" t="s">
        <v>4065</v>
      </c>
      <c r="C968" s="28" t="s">
        <v>691</v>
      </c>
      <c r="D968" s="28" t="s">
        <v>4072</v>
      </c>
      <c r="E968" s="28" t="s">
        <v>4073</v>
      </c>
      <c r="F968" s="28" t="s">
        <v>4074</v>
      </c>
      <c r="G968" s="28" t="s">
        <v>4075</v>
      </c>
      <c r="H968" s="28" t="s">
        <v>4076</v>
      </c>
      <c r="I968" s="28" t="s">
        <v>516</v>
      </c>
      <c r="J968" s="28" t="s">
        <v>517</v>
      </c>
      <c r="K968" s="28" t="s">
        <v>518</v>
      </c>
      <c r="L968" s="28" t="s">
        <v>4077</v>
      </c>
      <c r="M968" s="28" t="s">
        <v>520</v>
      </c>
      <c r="N968" s="28" t="s">
        <v>557</v>
      </c>
      <c r="O968" s="28" t="s">
        <v>427</v>
      </c>
      <c r="P968" s="28" t="s">
        <v>559</v>
      </c>
      <c r="S968" s="28" t="s">
        <v>820</v>
      </c>
      <c r="T968" s="28" t="s">
        <v>1918</v>
      </c>
      <c r="U968" s="28" t="s">
        <v>1918</v>
      </c>
      <c r="V968" s="28" t="s">
        <v>517</v>
      </c>
      <c r="W968" s="28" t="s">
        <v>4078</v>
      </c>
      <c r="X968" s="28" t="s">
        <v>670</v>
      </c>
      <c r="Z968" s="118" t="s">
        <v>563</v>
      </c>
      <c r="AA968" s="118"/>
      <c r="AB968" s="118" t="s">
        <v>527</v>
      </c>
      <c r="AD968" s="28" t="s">
        <v>528</v>
      </c>
      <c r="AF968" s="117" t="s">
        <v>4079</v>
      </c>
      <c r="AG968" s="28" t="s">
        <v>563</v>
      </c>
      <c r="AK968" s="60" t="s">
        <v>2927</v>
      </c>
      <c r="AL968" s="117">
        <f>1/COUNTIF(Tableau6[LAT],B968)</f>
        <v>0.5</v>
      </c>
      <c r="AM968" s="60" t="b">
        <f t="shared" si="108"/>
        <v>0</v>
      </c>
      <c r="AN968" s="60" t="b">
        <f t="shared" si="109"/>
        <v>0</v>
      </c>
      <c r="AO968" s="60" t="b">
        <f t="shared" si="110"/>
        <v>0</v>
      </c>
      <c r="AP968" s="60" t="b">
        <f t="shared" si="111"/>
        <v>0</v>
      </c>
      <c r="AQ968" s="60" t="b">
        <f t="shared" si="112"/>
        <v>0</v>
      </c>
      <c r="AR968" s="60" t="str">
        <f t="shared" si="113"/>
        <v>No</v>
      </c>
      <c r="AS968" s="60" t="str">
        <f t="shared" si="114"/>
        <v>No</v>
      </c>
    </row>
    <row r="969" spans="1:45" ht="15" hidden="1">
      <c r="A969" s="103">
        <v>45244</v>
      </c>
      <c r="B969" s="117" t="s">
        <v>4080</v>
      </c>
      <c r="C969" s="28" t="s">
        <v>511</v>
      </c>
      <c r="D969" s="28" t="s">
        <v>4081</v>
      </c>
      <c r="E969" s="28" t="s">
        <v>4082</v>
      </c>
      <c r="F969" s="28" t="s">
        <v>4083</v>
      </c>
      <c r="G969" s="28" t="s">
        <v>1077</v>
      </c>
      <c r="H969" s="28" t="s">
        <v>4084</v>
      </c>
      <c r="I969" s="28" t="s">
        <v>516</v>
      </c>
      <c r="J969" s="28" t="s">
        <v>517</v>
      </c>
      <c r="K969" s="28" t="s">
        <v>518</v>
      </c>
      <c r="L969" s="28" t="s">
        <v>1491</v>
      </c>
      <c r="M969" s="28" t="s">
        <v>520</v>
      </c>
      <c r="N969" s="28" t="s">
        <v>544</v>
      </c>
      <c r="S969" s="28" t="s">
        <v>752</v>
      </c>
      <c r="T969" s="28" t="s">
        <v>1494</v>
      </c>
      <c r="U969" s="28" t="s">
        <v>1494</v>
      </c>
      <c r="V969" s="28" t="s">
        <v>517</v>
      </c>
      <c r="W969" s="28" t="s">
        <v>4085</v>
      </c>
      <c r="X969" s="28" t="s">
        <v>1418</v>
      </c>
      <c r="Z969" s="118" t="s">
        <v>563</v>
      </c>
      <c r="AA969" s="118"/>
      <c r="AB969" s="118" t="s">
        <v>527</v>
      </c>
      <c r="AD969" s="28" t="s">
        <v>528</v>
      </c>
      <c r="AF969" s="117" t="s">
        <v>4081</v>
      </c>
      <c r="AG969" s="28" t="s">
        <v>563</v>
      </c>
      <c r="AK969" s="60" t="s">
        <v>2927</v>
      </c>
      <c r="AL969" s="117">
        <f>1/COUNTIF(Tableau6[LAT],B969)</f>
        <v>1</v>
      </c>
      <c r="AM969" s="60" t="b">
        <f t="shared" si="108"/>
        <v>0</v>
      </c>
      <c r="AN969" s="60" t="b">
        <f t="shared" si="109"/>
        <v>0</v>
      </c>
      <c r="AO969" s="60" t="b">
        <f t="shared" si="110"/>
        <v>0</v>
      </c>
      <c r="AP969" s="60" t="b">
        <f t="shared" si="111"/>
        <v>0</v>
      </c>
      <c r="AQ969" s="60" t="b">
        <f t="shared" si="112"/>
        <v>0</v>
      </c>
      <c r="AR969" s="60" t="str">
        <f t="shared" si="113"/>
        <v>No</v>
      </c>
      <c r="AS969" s="60" t="str">
        <f t="shared" si="114"/>
        <v>No</v>
      </c>
    </row>
    <row r="970" spans="1:45" ht="15" hidden="1">
      <c r="A970" s="103">
        <v>45244</v>
      </c>
      <c r="B970" s="117" t="s">
        <v>4086</v>
      </c>
      <c r="C970" s="28" t="s">
        <v>511</v>
      </c>
      <c r="D970" s="28" t="s">
        <v>4087</v>
      </c>
      <c r="F970" s="28" t="s">
        <v>4088</v>
      </c>
      <c r="G970" s="28" t="s">
        <v>4089</v>
      </c>
      <c r="H970" s="28" t="s">
        <v>2950</v>
      </c>
      <c r="I970" s="28" t="s">
        <v>516</v>
      </c>
      <c r="J970" s="28" t="s">
        <v>517</v>
      </c>
      <c r="K970" s="28" t="s">
        <v>518</v>
      </c>
      <c r="L970" s="28" t="s">
        <v>1269</v>
      </c>
      <c r="M970" s="28" t="s">
        <v>535</v>
      </c>
      <c r="N970" s="28" t="s">
        <v>557</v>
      </c>
      <c r="O970" s="28" t="s">
        <v>522</v>
      </c>
      <c r="S970" s="28" t="s">
        <v>1529</v>
      </c>
      <c r="T970" s="28" t="s">
        <v>1589</v>
      </c>
      <c r="U970" s="28" t="s">
        <v>1589</v>
      </c>
      <c r="V970" s="28" t="s">
        <v>517</v>
      </c>
      <c r="W970" s="28" t="s">
        <v>4090</v>
      </c>
      <c r="Z970" s="118" t="s">
        <v>563</v>
      </c>
      <c r="AA970" s="118"/>
      <c r="AB970" s="73" t="s">
        <v>609</v>
      </c>
      <c r="AD970" s="28" t="s">
        <v>528</v>
      </c>
      <c r="AF970" s="117" t="s">
        <v>4087</v>
      </c>
      <c r="AG970" s="28" t="s">
        <v>563</v>
      </c>
      <c r="AK970" s="60" t="s">
        <v>2927</v>
      </c>
      <c r="AL970" s="117">
        <f>1/COUNTIF(Tableau6[LAT],B970)</f>
        <v>0.25</v>
      </c>
      <c r="AM970" s="60" t="b">
        <f t="shared" si="108"/>
        <v>0</v>
      </c>
      <c r="AN970" s="60" t="b">
        <f t="shared" si="109"/>
        <v>0</v>
      </c>
      <c r="AO970" s="60" t="b">
        <f t="shared" si="110"/>
        <v>0</v>
      </c>
      <c r="AP970" s="60" t="b">
        <f t="shared" si="111"/>
        <v>0</v>
      </c>
      <c r="AQ970" s="60" t="b">
        <f t="shared" si="112"/>
        <v>0</v>
      </c>
      <c r="AR970" s="60" t="str">
        <f t="shared" si="113"/>
        <v>No</v>
      </c>
      <c r="AS970" s="60" t="str">
        <f t="shared" si="114"/>
        <v>No</v>
      </c>
    </row>
    <row r="971" spans="1:45" ht="15" hidden="1">
      <c r="A971" s="103">
        <v>45244</v>
      </c>
      <c r="B971" s="117" t="s">
        <v>4086</v>
      </c>
      <c r="C971" s="28" t="s">
        <v>612</v>
      </c>
      <c r="D971" s="28" t="s">
        <v>4091</v>
      </c>
      <c r="F971" s="28" t="s">
        <v>4092</v>
      </c>
      <c r="G971" s="28" t="s">
        <v>3055</v>
      </c>
      <c r="H971" s="28" t="s">
        <v>4093</v>
      </c>
      <c r="I971" s="28" t="s">
        <v>516</v>
      </c>
      <c r="J971" s="28" t="s">
        <v>517</v>
      </c>
      <c r="K971" s="28" t="s">
        <v>518</v>
      </c>
      <c r="L971" s="28" t="s">
        <v>1269</v>
      </c>
      <c r="M971" s="28" t="s">
        <v>535</v>
      </c>
      <c r="N971" s="28" t="s">
        <v>557</v>
      </c>
      <c r="O971" s="28" t="s">
        <v>522</v>
      </c>
      <c r="S971" s="28" t="s">
        <v>1529</v>
      </c>
      <c r="T971" s="28" t="s">
        <v>1589</v>
      </c>
      <c r="U971" s="28" t="s">
        <v>1589</v>
      </c>
      <c r="V971" s="28" t="s">
        <v>517</v>
      </c>
      <c r="W971" s="28" t="s">
        <v>4094</v>
      </c>
      <c r="Z971" s="118" t="s">
        <v>563</v>
      </c>
      <c r="AA971" s="118"/>
      <c r="AB971" s="73" t="s">
        <v>609</v>
      </c>
      <c r="AD971" s="28" t="s">
        <v>528</v>
      </c>
      <c r="AF971" s="117" t="s">
        <v>4095</v>
      </c>
      <c r="AG971" s="28" t="s">
        <v>563</v>
      </c>
      <c r="AK971" s="60" t="s">
        <v>2927</v>
      </c>
      <c r="AL971" s="117">
        <f>1/COUNTIF(Tableau6[LAT],B971)</f>
        <v>0.25</v>
      </c>
      <c r="AM971" s="60" t="b">
        <f t="shared" si="108"/>
        <v>0</v>
      </c>
      <c r="AN971" s="60" t="b">
        <f t="shared" si="109"/>
        <v>0</v>
      </c>
      <c r="AO971" s="60" t="b">
        <f t="shared" si="110"/>
        <v>0</v>
      </c>
      <c r="AP971" s="60" t="b">
        <f t="shared" si="111"/>
        <v>0</v>
      </c>
      <c r="AQ971" s="60" t="b">
        <f t="shared" si="112"/>
        <v>0</v>
      </c>
      <c r="AR971" s="60" t="str">
        <f t="shared" si="113"/>
        <v>No</v>
      </c>
      <c r="AS971" s="60" t="str">
        <f t="shared" si="114"/>
        <v>No</v>
      </c>
    </row>
    <row r="972" spans="1:45" ht="15" hidden="1">
      <c r="A972" s="103">
        <v>45244</v>
      </c>
      <c r="B972" s="117" t="s">
        <v>4096</v>
      </c>
      <c r="C972" s="28" t="s">
        <v>511</v>
      </c>
      <c r="D972" s="28" t="s">
        <v>4097</v>
      </c>
      <c r="F972" s="28" t="s">
        <v>3107</v>
      </c>
      <c r="G972" s="28" t="s">
        <v>514</v>
      </c>
      <c r="H972" s="28" t="s">
        <v>4098</v>
      </c>
      <c r="I972" s="28" t="s">
        <v>516</v>
      </c>
      <c r="J972" s="28" t="s">
        <v>517</v>
      </c>
      <c r="K972" s="28" t="s">
        <v>518</v>
      </c>
      <c r="L972" s="28" t="s">
        <v>4099</v>
      </c>
      <c r="M972" s="28" t="s">
        <v>535</v>
      </c>
      <c r="N972" s="28" t="s">
        <v>544</v>
      </c>
      <c r="S972" s="28" t="s">
        <v>589</v>
      </c>
      <c r="T972" s="28" t="s">
        <v>4100</v>
      </c>
      <c r="U972" s="28" t="s">
        <v>4100</v>
      </c>
      <c r="V972" s="28" t="s">
        <v>517</v>
      </c>
      <c r="W972" s="28" t="s">
        <v>922</v>
      </c>
      <c r="Z972" s="118" t="s">
        <v>563</v>
      </c>
      <c r="AA972" s="118"/>
      <c r="AB972" s="73" t="s">
        <v>609</v>
      </c>
      <c r="AD972" s="28" t="s">
        <v>528</v>
      </c>
      <c r="AF972" s="117" t="s">
        <v>4097</v>
      </c>
      <c r="AG972" s="28" t="s">
        <v>563</v>
      </c>
      <c r="AK972" s="60" t="s">
        <v>2927</v>
      </c>
      <c r="AL972" s="117">
        <f>1/COUNTIF(Tableau6[LAT],B972)</f>
        <v>1</v>
      </c>
      <c r="AM972" s="60" t="b">
        <f t="shared" si="108"/>
        <v>0</v>
      </c>
      <c r="AN972" s="60" t="b">
        <f t="shared" si="109"/>
        <v>0</v>
      </c>
      <c r="AO972" s="60" t="b">
        <f t="shared" si="110"/>
        <v>0</v>
      </c>
      <c r="AP972" s="60" t="b">
        <f t="shared" si="111"/>
        <v>0</v>
      </c>
      <c r="AQ972" s="60" t="b">
        <f t="shared" si="112"/>
        <v>0</v>
      </c>
      <c r="AR972" s="60" t="str">
        <f t="shared" si="113"/>
        <v>No</v>
      </c>
      <c r="AS972" s="60" t="str">
        <f t="shared" si="114"/>
        <v>No</v>
      </c>
    </row>
    <row r="973" spans="1:45" ht="15" hidden="1">
      <c r="A973" s="103">
        <v>45244</v>
      </c>
      <c r="B973" s="117" t="s">
        <v>4101</v>
      </c>
      <c r="C973" s="28" t="s">
        <v>511</v>
      </c>
      <c r="D973" s="28" t="s">
        <v>4102</v>
      </c>
      <c r="F973" s="28" t="s">
        <v>3277</v>
      </c>
      <c r="G973" s="28" t="s">
        <v>514</v>
      </c>
      <c r="H973" s="28" t="s">
        <v>3320</v>
      </c>
      <c r="I973" s="28" t="s">
        <v>516</v>
      </c>
      <c r="J973" s="28" t="s">
        <v>517</v>
      </c>
      <c r="K973" s="28" t="s">
        <v>518</v>
      </c>
      <c r="L973" s="28" t="s">
        <v>763</v>
      </c>
      <c r="M973" s="28" t="s">
        <v>605</v>
      </c>
      <c r="N973" s="28" t="s">
        <v>557</v>
      </c>
      <c r="O973" s="28" t="s">
        <v>544</v>
      </c>
      <c r="P973" s="28" t="s">
        <v>522</v>
      </c>
      <c r="S973" s="28" t="s">
        <v>668</v>
      </c>
      <c r="T973" s="28" t="s">
        <v>545</v>
      </c>
      <c r="U973" s="28" t="s">
        <v>545</v>
      </c>
      <c r="V973" s="28" t="s">
        <v>517</v>
      </c>
      <c r="W973" s="28" t="s">
        <v>4103</v>
      </c>
      <c r="Z973" s="118" t="s">
        <v>563</v>
      </c>
      <c r="AA973" s="118"/>
      <c r="AB973" s="118" t="s">
        <v>527</v>
      </c>
      <c r="AD973" s="28" t="s">
        <v>528</v>
      </c>
      <c r="AF973" s="117" t="s">
        <v>4102</v>
      </c>
      <c r="AG973" s="28" t="s">
        <v>563</v>
      </c>
      <c r="AK973" s="60" t="s">
        <v>2927</v>
      </c>
      <c r="AL973" s="117">
        <f>1/COUNTIF(Tableau6[LAT],B973)</f>
        <v>0.33333333333333331</v>
      </c>
      <c r="AM973" s="60" t="b">
        <f t="shared" si="108"/>
        <v>0</v>
      </c>
      <c r="AN973" s="60" t="b">
        <f t="shared" si="109"/>
        <v>0</v>
      </c>
      <c r="AO973" s="60" t="b">
        <f t="shared" si="110"/>
        <v>0</v>
      </c>
      <c r="AP973" s="60" t="b">
        <f t="shared" si="111"/>
        <v>0</v>
      </c>
      <c r="AQ973" s="60" t="b">
        <f t="shared" si="112"/>
        <v>0</v>
      </c>
      <c r="AR973" s="60" t="str">
        <f t="shared" si="113"/>
        <v>No</v>
      </c>
      <c r="AS973" s="60" t="str">
        <f t="shared" si="114"/>
        <v>No</v>
      </c>
    </row>
    <row r="974" spans="1:45" ht="15" hidden="1">
      <c r="A974" s="103">
        <v>45244</v>
      </c>
      <c r="B974" s="117" t="s">
        <v>4101</v>
      </c>
      <c r="C974" s="28" t="s">
        <v>548</v>
      </c>
      <c r="D974" s="28" t="s">
        <v>4104</v>
      </c>
      <c r="F974" s="28" t="s">
        <v>1672</v>
      </c>
      <c r="G974" s="28" t="s">
        <v>958</v>
      </c>
      <c r="H974" s="28" t="s">
        <v>768</v>
      </c>
      <c r="I974" s="28" t="s">
        <v>516</v>
      </c>
      <c r="J974" s="28" t="s">
        <v>517</v>
      </c>
      <c r="K974" s="28" t="s">
        <v>518</v>
      </c>
      <c r="L974" s="28" t="s">
        <v>763</v>
      </c>
      <c r="M974" s="28" t="s">
        <v>605</v>
      </c>
      <c r="N974" s="28" t="s">
        <v>557</v>
      </c>
      <c r="O974" s="28" t="s">
        <v>544</v>
      </c>
      <c r="P974" s="28" t="s">
        <v>522</v>
      </c>
      <c r="S974" s="28" t="s">
        <v>668</v>
      </c>
      <c r="T974" s="28" t="s">
        <v>545</v>
      </c>
      <c r="U974" s="28" t="s">
        <v>545</v>
      </c>
      <c r="V974" s="28" t="s">
        <v>517</v>
      </c>
      <c r="W974" s="28" t="s">
        <v>4105</v>
      </c>
      <c r="Z974" s="118" t="s">
        <v>563</v>
      </c>
      <c r="AA974" s="118"/>
      <c r="AB974" s="118" t="s">
        <v>527</v>
      </c>
      <c r="AD974" s="28" t="s">
        <v>528</v>
      </c>
      <c r="AF974" s="117" t="s">
        <v>4104</v>
      </c>
      <c r="AG974" s="28" t="s">
        <v>563</v>
      </c>
      <c r="AK974" s="60" t="s">
        <v>2927</v>
      </c>
      <c r="AL974" s="117">
        <f>1/COUNTIF(Tableau6[LAT],B974)</f>
        <v>0.33333333333333331</v>
      </c>
      <c r="AM974" s="60" t="b">
        <f t="shared" si="108"/>
        <v>0</v>
      </c>
      <c r="AN974" s="60" t="b">
        <f t="shared" si="109"/>
        <v>0</v>
      </c>
      <c r="AO974" s="60" t="b">
        <f t="shared" si="110"/>
        <v>0</v>
      </c>
      <c r="AP974" s="60" t="b">
        <f t="shared" si="111"/>
        <v>0</v>
      </c>
      <c r="AQ974" s="60" t="b">
        <f t="shared" si="112"/>
        <v>0</v>
      </c>
      <c r="AR974" s="60" t="str">
        <f t="shared" si="113"/>
        <v>No</v>
      </c>
      <c r="AS974" s="60" t="str">
        <f t="shared" si="114"/>
        <v>No</v>
      </c>
    </row>
    <row r="975" spans="1:45" ht="15" hidden="1">
      <c r="A975" s="103">
        <v>45244</v>
      </c>
      <c r="B975" s="117" t="s">
        <v>4101</v>
      </c>
      <c r="C975" s="28" t="s">
        <v>612</v>
      </c>
      <c r="D975" s="28" t="s">
        <v>4106</v>
      </c>
      <c r="F975" s="28" t="s">
        <v>3277</v>
      </c>
      <c r="G975" s="28" t="s">
        <v>514</v>
      </c>
      <c r="H975" s="28" t="s">
        <v>3320</v>
      </c>
      <c r="I975" s="28" t="s">
        <v>516</v>
      </c>
      <c r="J975" s="28" t="s">
        <v>517</v>
      </c>
      <c r="K975" s="28" t="s">
        <v>518</v>
      </c>
      <c r="L975" s="28" t="s">
        <v>763</v>
      </c>
      <c r="M975" s="28" t="s">
        <v>605</v>
      </c>
      <c r="N975" s="28" t="s">
        <v>557</v>
      </c>
      <c r="O975" s="28" t="s">
        <v>544</v>
      </c>
      <c r="P975" s="28" t="s">
        <v>522</v>
      </c>
      <c r="S975" s="28" t="s">
        <v>668</v>
      </c>
      <c r="T975" s="28" t="s">
        <v>545</v>
      </c>
      <c r="U975" s="28" t="s">
        <v>545</v>
      </c>
      <c r="V975" s="28" t="s">
        <v>517</v>
      </c>
      <c r="W975" s="28" t="s">
        <v>4107</v>
      </c>
      <c r="Z975" s="118" t="s">
        <v>563</v>
      </c>
      <c r="AA975" s="118"/>
      <c r="AB975" s="118" t="s">
        <v>527</v>
      </c>
      <c r="AD975" s="28" t="s">
        <v>528</v>
      </c>
      <c r="AF975" s="117" t="s">
        <v>4106</v>
      </c>
      <c r="AG975" s="28" t="s">
        <v>563</v>
      </c>
      <c r="AK975" s="60" t="s">
        <v>2927</v>
      </c>
      <c r="AL975" s="117">
        <f>1/COUNTIF(Tableau6[LAT],B975)</f>
        <v>0.33333333333333331</v>
      </c>
      <c r="AM975" s="60" t="b">
        <f t="shared" si="108"/>
        <v>0</v>
      </c>
      <c r="AN975" s="60" t="b">
        <f t="shared" si="109"/>
        <v>0</v>
      </c>
      <c r="AO975" s="60" t="b">
        <f t="shared" si="110"/>
        <v>0</v>
      </c>
      <c r="AP975" s="60" t="b">
        <f t="shared" si="111"/>
        <v>0</v>
      </c>
      <c r="AQ975" s="60" t="b">
        <f t="shared" si="112"/>
        <v>0</v>
      </c>
      <c r="AR975" s="60" t="str">
        <f t="shared" si="113"/>
        <v>No</v>
      </c>
      <c r="AS975" s="60" t="str">
        <f t="shared" si="114"/>
        <v>No</v>
      </c>
    </row>
    <row r="976" spans="1:45" ht="15" hidden="1">
      <c r="A976" s="103">
        <v>45244</v>
      </c>
      <c r="B976" s="117" t="s">
        <v>4108</v>
      </c>
      <c r="C976" s="28" t="s">
        <v>511</v>
      </c>
      <c r="D976" s="28" t="s">
        <v>4109</v>
      </c>
      <c r="F976" s="28" t="s">
        <v>1547</v>
      </c>
      <c r="G976" s="28" t="s">
        <v>514</v>
      </c>
      <c r="H976" s="28" t="s">
        <v>1715</v>
      </c>
      <c r="I976" s="28" t="s">
        <v>516</v>
      </c>
      <c r="J976" s="28" t="s">
        <v>517</v>
      </c>
      <c r="K976" s="28" t="s">
        <v>518</v>
      </c>
      <c r="L976" s="28" t="s">
        <v>1276</v>
      </c>
      <c r="M976" s="28" t="s">
        <v>535</v>
      </c>
      <c r="N976" s="28" t="s">
        <v>557</v>
      </c>
      <c r="S976" s="28" t="s">
        <v>896</v>
      </c>
      <c r="T976" s="28" t="s">
        <v>917</v>
      </c>
      <c r="U976" s="28" t="s">
        <v>917</v>
      </c>
      <c r="V976" s="28" t="s">
        <v>517</v>
      </c>
      <c r="W976" s="28" t="s">
        <v>591</v>
      </c>
      <c r="Z976" s="118" t="s">
        <v>526</v>
      </c>
      <c r="AA976" s="118"/>
      <c r="AB976" s="118" t="s">
        <v>4027</v>
      </c>
      <c r="AD976" s="28" t="s">
        <v>528</v>
      </c>
      <c r="AF976" s="117" t="s">
        <v>4109</v>
      </c>
      <c r="AG976" s="28" t="s">
        <v>563</v>
      </c>
      <c r="AK976" s="60" t="s">
        <v>2927</v>
      </c>
      <c r="AL976" s="117">
        <f>1/COUNTIF(Tableau6[LAT],B976)</f>
        <v>1</v>
      </c>
      <c r="AM976" s="60" t="b">
        <f t="shared" si="108"/>
        <v>0</v>
      </c>
      <c r="AN976" s="60" t="b">
        <f t="shared" si="109"/>
        <v>0</v>
      </c>
      <c r="AO976" s="60" t="b">
        <f t="shared" si="110"/>
        <v>0</v>
      </c>
      <c r="AP976" s="60" t="b">
        <f t="shared" si="111"/>
        <v>0</v>
      </c>
      <c r="AQ976" s="60" t="b">
        <f t="shared" si="112"/>
        <v>0</v>
      </c>
      <c r="AR976" s="60" t="str">
        <f t="shared" si="113"/>
        <v>No</v>
      </c>
      <c r="AS976" s="60" t="str">
        <f t="shared" si="114"/>
        <v>No</v>
      </c>
    </row>
    <row r="977" spans="1:45" ht="15" hidden="1">
      <c r="A977" s="103">
        <v>45244</v>
      </c>
      <c r="B977" s="117" t="s">
        <v>4110</v>
      </c>
      <c r="C977" s="28" t="s">
        <v>511</v>
      </c>
      <c r="D977" s="28" t="s">
        <v>4111</v>
      </c>
      <c r="F977" s="28" t="s">
        <v>1950</v>
      </c>
      <c r="G977" s="28" t="s">
        <v>514</v>
      </c>
      <c r="H977" s="28" t="s">
        <v>2163</v>
      </c>
      <c r="I977" s="28" t="s">
        <v>516</v>
      </c>
      <c r="J977" s="28" t="s">
        <v>517</v>
      </c>
      <c r="K977" s="28" t="s">
        <v>518</v>
      </c>
      <c r="L977" s="28" t="s">
        <v>625</v>
      </c>
      <c r="M977" s="28" t="s">
        <v>535</v>
      </c>
      <c r="N977" s="28" t="s">
        <v>557</v>
      </c>
      <c r="O977" s="28" t="s">
        <v>544</v>
      </c>
      <c r="S977" s="28" t="s">
        <v>2958</v>
      </c>
      <c r="T977" s="28" t="s">
        <v>628</v>
      </c>
      <c r="U977" s="28" t="s">
        <v>628</v>
      </c>
      <c r="V977" s="28" t="s">
        <v>517</v>
      </c>
      <c r="W977" s="28" t="s">
        <v>4112</v>
      </c>
      <c r="Z977" s="118" t="s">
        <v>526</v>
      </c>
      <c r="AA977" s="118"/>
      <c r="AB977" s="118"/>
      <c r="AD977" s="28" t="s">
        <v>954</v>
      </c>
      <c r="AF977" s="117" t="s">
        <v>4111</v>
      </c>
      <c r="AG977" s="28" t="s">
        <v>563</v>
      </c>
      <c r="AK977" s="60" t="s">
        <v>2927</v>
      </c>
      <c r="AL977" s="117">
        <f>1/COUNTIF(Tableau6[LAT],B977)</f>
        <v>1</v>
      </c>
      <c r="AM977" s="60" t="b">
        <f t="shared" si="108"/>
        <v>0</v>
      </c>
      <c r="AN977" s="60" t="b">
        <f t="shared" si="109"/>
        <v>0</v>
      </c>
      <c r="AO977" s="60" t="b">
        <f t="shared" si="110"/>
        <v>0</v>
      </c>
      <c r="AP977" s="60" t="b">
        <f t="shared" si="111"/>
        <v>0</v>
      </c>
      <c r="AQ977" s="60" t="b">
        <f t="shared" si="112"/>
        <v>0</v>
      </c>
      <c r="AR977" s="60" t="str">
        <f t="shared" si="113"/>
        <v>No</v>
      </c>
      <c r="AS977" s="60" t="str">
        <f t="shared" si="114"/>
        <v>No</v>
      </c>
    </row>
    <row r="978" spans="1:45" ht="15" hidden="1">
      <c r="A978" s="103">
        <v>45244</v>
      </c>
      <c r="B978" s="117" t="s">
        <v>4113</v>
      </c>
      <c r="C978" s="28" t="s">
        <v>511</v>
      </c>
      <c r="D978" s="28" t="s">
        <v>4114</v>
      </c>
      <c r="F978" s="28" t="s">
        <v>4115</v>
      </c>
      <c r="G978" s="28" t="s">
        <v>514</v>
      </c>
      <c r="H978" s="28" t="s">
        <v>750</v>
      </c>
      <c r="I978" s="28" t="s">
        <v>516</v>
      </c>
      <c r="J978" s="28" t="s">
        <v>517</v>
      </c>
      <c r="K978" s="28" t="s">
        <v>518</v>
      </c>
      <c r="L978" s="28" t="s">
        <v>3090</v>
      </c>
      <c r="M978" s="28" t="s">
        <v>535</v>
      </c>
      <c r="N978" s="28" t="s">
        <v>557</v>
      </c>
      <c r="S978" s="28" t="s">
        <v>2958</v>
      </c>
      <c r="T978" s="28" t="s">
        <v>3091</v>
      </c>
      <c r="U978" s="28" t="s">
        <v>3091</v>
      </c>
      <c r="V978" s="28" t="s">
        <v>517</v>
      </c>
      <c r="W978" s="28" t="s">
        <v>4116</v>
      </c>
      <c r="Z978" s="118" t="s">
        <v>563</v>
      </c>
      <c r="AA978" s="118"/>
      <c r="AB978" s="118" t="s">
        <v>527</v>
      </c>
      <c r="AD978" s="28" t="s">
        <v>528</v>
      </c>
      <c r="AF978" s="117" t="s">
        <v>4114</v>
      </c>
      <c r="AG978" s="28" t="s">
        <v>563</v>
      </c>
      <c r="AK978" s="60" t="s">
        <v>2927</v>
      </c>
      <c r="AL978" s="117">
        <f>1/COUNTIF(Tableau6[LAT],B978)</f>
        <v>0.5</v>
      </c>
      <c r="AM978" s="60" t="b">
        <f t="shared" si="108"/>
        <v>0</v>
      </c>
      <c r="AN978" s="60" t="b">
        <f t="shared" si="109"/>
        <v>0</v>
      </c>
      <c r="AO978" s="60" t="b">
        <f t="shared" si="110"/>
        <v>0</v>
      </c>
      <c r="AP978" s="60" t="b">
        <f t="shared" si="111"/>
        <v>0</v>
      </c>
      <c r="AQ978" s="60" t="b">
        <f t="shared" si="112"/>
        <v>0</v>
      </c>
      <c r="AR978" s="60" t="str">
        <f t="shared" si="113"/>
        <v>No</v>
      </c>
      <c r="AS978" s="60" t="str">
        <f t="shared" si="114"/>
        <v>No</v>
      </c>
    </row>
    <row r="979" spans="1:45" ht="15" hidden="1">
      <c r="A979" s="103">
        <v>45244</v>
      </c>
      <c r="B979" s="117" t="s">
        <v>4113</v>
      </c>
      <c r="C979" s="28" t="s">
        <v>548</v>
      </c>
      <c r="D979" s="28" t="s">
        <v>4117</v>
      </c>
      <c r="F979" s="28" t="s">
        <v>4115</v>
      </c>
      <c r="G979" s="28" t="s">
        <v>514</v>
      </c>
      <c r="H979" s="28" t="s">
        <v>750</v>
      </c>
      <c r="I979" s="28" t="s">
        <v>516</v>
      </c>
      <c r="J979" s="28" t="s">
        <v>517</v>
      </c>
      <c r="K979" s="28" t="s">
        <v>518</v>
      </c>
      <c r="L979" s="28" t="s">
        <v>3090</v>
      </c>
      <c r="M979" s="28" t="s">
        <v>535</v>
      </c>
      <c r="N979" s="28" t="s">
        <v>557</v>
      </c>
      <c r="S979" s="28" t="s">
        <v>2958</v>
      </c>
      <c r="T979" s="28" t="s">
        <v>3091</v>
      </c>
      <c r="U979" s="28" t="s">
        <v>3091</v>
      </c>
      <c r="V979" s="28" t="s">
        <v>517</v>
      </c>
      <c r="W979" s="28" t="s">
        <v>4118</v>
      </c>
      <c r="Z979" s="118" t="s">
        <v>563</v>
      </c>
      <c r="AA979" s="118"/>
      <c r="AB979" s="118" t="s">
        <v>527</v>
      </c>
      <c r="AD979" s="28" t="s">
        <v>528</v>
      </c>
      <c r="AF979" s="117" t="s">
        <v>4114</v>
      </c>
      <c r="AG979" s="28" t="s">
        <v>563</v>
      </c>
      <c r="AK979" s="60" t="s">
        <v>2927</v>
      </c>
      <c r="AL979" s="117">
        <f>1/COUNTIF(Tableau6[LAT],B979)</f>
        <v>0.5</v>
      </c>
      <c r="AM979" s="60" t="b">
        <f t="shared" si="108"/>
        <v>0</v>
      </c>
      <c r="AN979" s="60" t="b">
        <f t="shared" si="109"/>
        <v>0</v>
      </c>
      <c r="AO979" s="60" t="b">
        <f t="shared" si="110"/>
        <v>0</v>
      </c>
      <c r="AP979" s="60" t="b">
        <f t="shared" si="111"/>
        <v>0</v>
      </c>
      <c r="AQ979" s="60" t="b">
        <f t="shared" si="112"/>
        <v>0</v>
      </c>
      <c r="AR979" s="60" t="str">
        <f t="shared" si="113"/>
        <v>No</v>
      </c>
      <c r="AS979" s="60" t="str">
        <f t="shared" si="114"/>
        <v>No</v>
      </c>
    </row>
    <row r="980" spans="1:45" ht="15" hidden="1">
      <c r="A980" s="103">
        <v>45244</v>
      </c>
      <c r="B980" s="117" t="s">
        <v>4119</v>
      </c>
      <c r="C980" s="28" t="s">
        <v>511</v>
      </c>
      <c r="D980" s="28" t="s">
        <v>4120</v>
      </c>
      <c r="F980" s="28" t="s">
        <v>1989</v>
      </c>
      <c r="G980" s="28" t="s">
        <v>514</v>
      </c>
      <c r="H980" s="28" t="s">
        <v>2985</v>
      </c>
      <c r="I980" s="28" t="s">
        <v>517</v>
      </c>
      <c r="J980" s="28" t="s">
        <v>517</v>
      </c>
      <c r="K980" s="28" t="s">
        <v>518</v>
      </c>
      <c r="L980" s="28" t="s">
        <v>649</v>
      </c>
      <c r="M980" s="28" t="s">
        <v>535</v>
      </c>
      <c r="N980" s="28" t="s">
        <v>4006</v>
      </c>
      <c r="O980" s="28" t="s">
        <v>1415</v>
      </c>
      <c r="P980" s="28" t="s">
        <v>544</v>
      </c>
      <c r="S980" s="28" t="s">
        <v>573</v>
      </c>
      <c r="T980" s="28" t="s">
        <v>651</v>
      </c>
      <c r="U980" s="28" t="s">
        <v>651</v>
      </c>
      <c r="V980" s="28" t="s">
        <v>517</v>
      </c>
      <c r="W980" s="28" t="s">
        <v>4121</v>
      </c>
      <c r="Z980" s="118" t="s">
        <v>526</v>
      </c>
      <c r="AA980" s="118"/>
      <c r="AB980" s="118" t="s">
        <v>4122</v>
      </c>
      <c r="AD980" s="28" t="s">
        <v>528</v>
      </c>
      <c r="AF980" s="117" t="s">
        <v>4120</v>
      </c>
      <c r="AG980" s="28" t="s">
        <v>529</v>
      </c>
      <c r="AK980" s="60" t="s">
        <v>2927</v>
      </c>
      <c r="AL980" s="117">
        <f>1/COUNTIF(Tableau6[LAT],B980)</f>
        <v>0.33333333333333331</v>
      </c>
      <c r="AM980" s="60" t="str">
        <f t="shared" si="108"/>
        <v>Yes</v>
      </c>
      <c r="AN980" s="60" t="str">
        <f t="shared" si="109"/>
        <v>Yes</v>
      </c>
      <c r="AO980" s="60" t="b">
        <f t="shared" si="110"/>
        <v>0</v>
      </c>
      <c r="AP980" s="60" t="b">
        <f t="shared" si="111"/>
        <v>0</v>
      </c>
      <c r="AQ980" s="60" t="b">
        <f t="shared" si="112"/>
        <v>0</v>
      </c>
      <c r="AR980" s="60" t="str">
        <f t="shared" si="113"/>
        <v>Yes</v>
      </c>
      <c r="AS980" s="60" t="str">
        <f t="shared" si="114"/>
        <v>No</v>
      </c>
    </row>
    <row r="981" spans="1:45" ht="15" hidden="1">
      <c r="A981" s="103">
        <v>45244</v>
      </c>
      <c r="B981" s="117" t="s">
        <v>4119</v>
      </c>
      <c r="C981" s="28" t="s">
        <v>548</v>
      </c>
      <c r="D981" s="28" t="s">
        <v>4123</v>
      </c>
      <c r="F981" s="28" t="s">
        <v>1989</v>
      </c>
      <c r="G981" s="28" t="s">
        <v>514</v>
      </c>
      <c r="H981" s="28" t="s">
        <v>2985</v>
      </c>
      <c r="I981" s="28" t="s">
        <v>517</v>
      </c>
      <c r="J981" s="28" t="s">
        <v>517</v>
      </c>
      <c r="K981" s="28" t="s">
        <v>518</v>
      </c>
      <c r="L981" s="28" t="s">
        <v>649</v>
      </c>
      <c r="M981" s="28" t="s">
        <v>535</v>
      </c>
      <c r="N981" s="28" t="s">
        <v>4124</v>
      </c>
      <c r="O981" s="28" t="s">
        <v>544</v>
      </c>
      <c r="S981" s="28" t="s">
        <v>573</v>
      </c>
      <c r="T981" s="28" t="s">
        <v>651</v>
      </c>
      <c r="U981" s="28" t="s">
        <v>651</v>
      </c>
      <c r="V981" s="28" t="s">
        <v>517</v>
      </c>
      <c r="W981" s="28" t="s">
        <v>4125</v>
      </c>
      <c r="Z981" s="118" t="s">
        <v>526</v>
      </c>
      <c r="AA981" s="118"/>
      <c r="AB981" s="118" t="s">
        <v>4126</v>
      </c>
      <c r="AF981" s="117"/>
      <c r="AK981" s="60" t="s">
        <v>2927</v>
      </c>
      <c r="AL981" s="117">
        <f>1/COUNTIF(Tableau6[LAT],B981)</f>
        <v>0.33333333333333331</v>
      </c>
      <c r="AM981" s="60" t="b">
        <f t="shared" si="108"/>
        <v>0</v>
      </c>
      <c r="AN981" s="60" t="b">
        <f t="shared" si="109"/>
        <v>0</v>
      </c>
      <c r="AO981" s="60" t="b">
        <f t="shared" si="110"/>
        <v>0</v>
      </c>
      <c r="AP981" s="60" t="b">
        <f t="shared" si="111"/>
        <v>0</v>
      </c>
      <c r="AQ981" s="60" t="b">
        <f t="shared" si="112"/>
        <v>0</v>
      </c>
      <c r="AR981" s="60" t="str">
        <f t="shared" si="113"/>
        <v>No</v>
      </c>
      <c r="AS981" s="60" t="str">
        <f t="shared" si="114"/>
        <v>No</v>
      </c>
    </row>
    <row r="982" spans="1:45" ht="15" hidden="1">
      <c r="A982" s="103">
        <v>45244</v>
      </c>
      <c r="B982" s="117" t="s">
        <v>4119</v>
      </c>
      <c r="C982" s="28" t="s">
        <v>612</v>
      </c>
      <c r="D982" s="28" t="s">
        <v>4127</v>
      </c>
      <c r="F982" s="28" t="s">
        <v>4128</v>
      </c>
      <c r="G982" s="28" t="s">
        <v>665</v>
      </c>
      <c r="H982" s="28" t="s">
        <v>515</v>
      </c>
      <c r="I982" s="28" t="s">
        <v>517</v>
      </c>
      <c r="J982" s="28" t="s">
        <v>517</v>
      </c>
      <c r="K982" s="28" t="s">
        <v>518</v>
      </c>
      <c r="L982" s="28" t="s">
        <v>649</v>
      </c>
      <c r="M982" s="28" t="s">
        <v>535</v>
      </c>
      <c r="N982" s="28" t="s">
        <v>544</v>
      </c>
      <c r="S982" s="28" t="s">
        <v>573</v>
      </c>
      <c r="T982" s="28" t="s">
        <v>651</v>
      </c>
      <c r="U982" s="28" t="s">
        <v>651</v>
      </c>
      <c r="V982" s="28" t="s">
        <v>517</v>
      </c>
      <c r="W982" s="28" t="s">
        <v>4129</v>
      </c>
      <c r="Z982" s="118" t="s">
        <v>526</v>
      </c>
      <c r="AA982" s="118"/>
      <c r="AB982" s="118" t="s">
        <v>4126</v>
      </c>
      <c r="AF982" s="117"/>
      <c r="AK982" s="60" t="s">
        <v>2927</v>
      </c>
      <c r="AL982" s="117">
        <f>1/COUNTIF(Tableau6[LAT],B982)</f>
        <v>0.33333333333333331</v>
      </c>
      <c r="AM982" s="60" t="b">
        <f t="shared" si="108"/>
        <v>0</v>
      </c>
      <c r="AN982" s="60" t="b">
        <f t="shared" si="109"/>
        <v>0</v>
      </c>
      <c r="AO982" s="60" t="b">
        <f t="shared" si="110"/>
        <v>0</v>
      </c>
      <c r="AP982" s="60" t="b">
        <f t="shared" si="111"/>
        <v>0</v>
      </c>
      <c r="AQ982" s="60" t="b">
        <f t="shared" si="112"/>
        <v>0</v>
      </c>
      <c r="AR982" s="60" t="str">
        <f t="shared" si="113"/>
        <v>No</v>
      </c>
      <c r="AS982" s="60" t="str">
        <f t="shared" si="114"/>
        <v>No</v>
      </c>
    </row>
    <row r="983" spans="1:45" ht="15" hidden="1">
      <c r="A983" s="103">
        <v>45244</v>
      </c>
      <c r="B983" s="117" t="s">
        <v>4130</v>
      </c>
      <c r="C983" s="28" t="s">
        <v>511</v>
      </c>
      <c r="D983" s="28" t="s">
        <v>4131</v>
      </c>
      <c r="F983" s="28" t="s">
        <v>2534</v>
      </c>
      <c r="G983" s="28" t="s">
        <v>514</v>
      </c>
      <c r="H983" s="28" t="s">
        <v>4132</v>
      </c>
      <c r="I983" s="28" t="s">
        <v>517</v>
      </c>
      <c r="J983" s="28" t="s">
        <v>517</v>
      </c>
      <c r="K983" s="28" t="s">
        <v>518</v>
      </c>
      <c r="L983" s="28" t="s">
        <v>916</v>
      </c>
      <c r="M983" s="28" t="s">
        <v>535</v>
      </c>
      <c r="N983" s="28" t="s">
        <v>2359</v>
      </c>
      <c r="O983" s="28" t="s">
        <v>572</v>
      </c>
      <c r="P983" s="28" t="s">
        <v>522</v>
      </c>
      <c r="S983" s="28" t="s">
        <v>573</v>
      </c>
      <c r="T983" s="28" t="s">
        <v>917</v>
      </c>
      <c r="U983" s="28" t="s">
        <v>917</v>
      </c>
      <c r="V983" s="28" t="s">
        <v>517</v>
      </c>
      <c r="W983" s="28" t="s">
        <v>4133</v>
      </c>
      <c r="Z983" s="118" t="s">
        <v>563</v>
      </c>
      <c r="AA983" s="118"/>
      <c r="AB983" s="118" t="s">
        <v>527</v>
      </c>
      <c r="AD983" s="28" t="s">
        <v>528</v>
      </c>
      <c r="AF983" s="117" t="s">
        <v>4131</v>
      </c>
      <c r="AG983" s="28" t="s">
        <v>563</v>
      </c>
      <c r="AK983" s="60" t="s">
        <v>2927</v>
      </c>
      <c r="AL983" s="117">
        <f>1/COUNTIF(Tableau6[LAT],B983)</f>
        <v>1</v>
      </c>
      <c r="AM983" s="60" t="b">
        <f t="shared" si="108"/>
        <v>0</v>
      </c>
      <c r="AN983" s="60" t="b">
        <f t="shared" si="109"/>
        <v>0</v>
      </c>
      <c r="AO983" s="60" t="b">
        <f t="shared" si="110"/>
        <v>0</v>
      </c>
      <c r="AP983" s="60" t="b">
        <f t="shared" si="111"/>
        <v>0</v>
      </c>
      <c r="AQ983" s="60" t="b">
        <f t="shared" si="112"/>
        <v>0</v>
      </c>
      <c r="AR983" s="60" t="str">
        <f t="shared" si="113"/>
        <v>No</v>
      </c>
      <c r="AS983" s="60" t="str">
        <f t="shared" si="114"/>
        <v>No</v>
      </c>
    </row>
    <row r="984" spans="1:45" ht="15" hidden="1">
      <c r="A984" s="103">
        <v>45244</v>
      </c>
      <c r="B984" s="117" t="s">
        <v>4134</v>
      </c>
      <c r="C984" s="28" t="s">
        <v>511</v>
      </c>
      <c r="D984" s="28" t="s">
        <v>4135</v>
      </c>
      <c r="F984" s="28" t="s">
        <v>4136</v>
      </c>
      <c r="G984" s="28" t="s">
        <v>1077</v>
      </c>
      <c r="H984" s="28" t="s">
        <v>1992</v>
      </c>
      <c r="I984" s="28" t="s">
        <v>516</v>
      </c>
      <c r="J984" s="28" t="s">
        <v>517</v>
      </c>
      <c r="K984" s="28" t="s">
        <v>518</v>
      </c>
      <c r="L984" s="28" t="s">
        <v>1079</v>
      </c>
      <c r="M984" s="28" t="s">
        <v>535</v>
      </c>
      <c r="N984" s="28" t="s">
        <v>522</v>
      </c>
      <c r="S984" s="28" t="s">
        <v>3756</v>
      </c>
      <c r="T984" s="28" t="s">
        <v>668</v>
      </c>
      <c r="U984" s="28" t="s">
        <v>668</v>
      </c>
      <c r="V984" s="28" t="s">
        <v>517</v>
      </c>
      <c r="W984" s="28" t="s">
        <v>4137</v>
      </c>
      <c r="Z984" s="118" t="s">
        <v>526</v>
      </c>
      <c r="AA984" s="118" t="s">
        <v>35</v>
      </c>
      <c r="AB984" s="28" t="s">
        <v>923</v>
      </c>
      <c r="AC984" s="28" t="s">
        <v>4138</v>
      </c>
      <c r="AD984" s="28" t="s">
        <v>528</v>
      </c>
      <c r="AF984" s="117" t="s">
        <v>4135</v>
      </c>
      <c r="AG984" s="28" t="s">
        <v>529</v>
      </c>
      <c r="AK984" s="60" t="s">
        <v>2927</v>
      </c>
      <c r="AL984" s="117">
        <f>1/COUNTIF(Tableau6[LAT],B984)</f>
        <v>0.5</v>
      </c>
      <c r="AM984" s="60" t="b">
        <f t="shared" si="108"/>
        <v>0</v>
      </c>
      <c r="AN984" s="60" t="b">
        <f t="shared" si="109"/>
        <v>0</v>
      </c>
      <c r="AO984" s="60" t="b">
        <f t="shared" si="110"/>
        <v>0</v>
      </c>
      <c r="AP984" s="60" t="b">
        <f t="shared" si="111"/>
        <v>0</v>
      </c>
      <c r="AQ984" s="60" t="b">
        <f t="shared" si="112"/>
        <v>0</v>
      </c>
      <c r="AR984" s="60" t="str">
        <f t="shared" si="113"/>
        <v>No</v>
      </c>
      <c r="AS984" s="60" t="str">
        <f t="shared" si="114"/>
        <v>No</v>
      </c>
    </row>
    <row r="985" spans="1:45" ht="15" hidden="1">
      <c r="A985" s="103">
        <v>45244</v>
      </c>
      <c r="B985" s="117" t="s">
        <v>4134</v>
      </c>
      <c r="C985" s="28" t="s">
        <v>548</v>
      </c>
      <c r="D985" s="28" t="s">
        <v>4139</v>
      </c>
      <c r="F985" s="28" t="s">
        <v>4140</v>
      </c>
      <c r="G985" s="28" t="s">
        <v>1163</v>
      </c>
      <c r="H985" s="28" t="s">
        <v>3516</v>
      </c>
      <c r="I985" s="28" t="s">
        <v>516</v>
      </c>
      <c r="J985" s="28" t="s">
        <v>517</v>
      </c>
      <c r="K985" s="28" t="s">
        <v>518</v>
      </c>
      <c r="L985" s="28" t="s">
        <v>1079</v>
      </c>
      <c r="M985" s="28" t="s">
        <v>535</v>
      </c>
      <c r="N985" s="28" t="s">
        <v>522</v>
      </c>
      <c r="S985" s="28" t="s">
        <v>3756</v>
      </c>
      <c r="T985" s="28" t="s">
        <v>668</v>
      </c>
      <c r="U985" s="28" t="s">
        <v>668</v>
      </c>
      <c r="V985" s="28" t="s">
        <v>517</v>
      </c>
      <c r="W985" s="28" t="s">
        <v>4141</v>
      </c>
      <c r="Z985" s="118" t="s">
        <v>526</v>
      </c>
      <c r="AA985" s="118" t="s">
        <v>35</v>
      </c>
      <c r="AB985" s="28" t="s">
        <v>923</v>
      </c>
      <c r="AC985" s="28" t="s">
        <v>4138</v>
      </c>
      <c r="AD985" s="28" t="s">
        <v>528</v>
      </c>
      <c r="AF985" s="117" t="s">
        <v>4139</v>
      </c>
      <c r="AG985" s="28" t="s">
        <v>529</v>
      </c>
      <c r="AK985" s="60" t="s">
        <v>2927</v>
      </c>
      <c r="AL985" s="117">
        <f>1/COUNTIF(Tableau6[LAT],B985)</f>
        <v>0.5</v>
      </c>
      <c r="AM985" s="60" t="b">
        <f t="shared" si="108"/>
        <v>0</v>
      </c>
      <c r="AN985" s="60" t="b">
        <f t="shared" si="109"/>
        <v>0</v>
      </c>
      <c r="AO985" s="60" t="b">
        <f t="shared" si="110"/>
        <v>0</v>
      </c>
      <c r="AP985" s="60" t="b">
        <f t="shared" si="111"/>
        <v>0</v>
      </c>
      <c r="AQ985" s="60" t="b">
        <f t="shared" si="112"/>
        <v>0</v>
      </c>
      <c r="AR985" s="60" t="str">
        <f t="shared" si="113"/>
        <v>No</v>
      </c>
      <c r="AS985" s="60" t="str">
        <f t="shared" si="114"/>
        <v>No</v>
      </c>
    </row>
    <row r="986" spans="1:45" ht="15" hidden="1">
      <c r="A986" s="103">
        <v>45244</v>
      </c>
      <c r="B986" s="117" t="s">
        <v>4142</v>
      </c>
      <c r="C986" s="28" t="s">
        <v>511</v>
      </c>
      <c r="D986" s="28" t="s">
        <v>4143</v>
      </c>
      <c r="F986" s="28" t="s">
        <v>4144</v>
      </c>
      <c r="G986" s="28" t="s">
        <v>514</v>
      </c>
      <c r="H986" s="28" t="s">
        <v>3206</v>
      </c>
      <c r="I986" s="28" t="s">
        <v>516</v>
      </c>
      <c r="J986" s="28" t="s">
        <v>517</v>
      </c>
      <c r="K986" s="28" t="s">
        <v>518</v>
      </c>
      <c r="L986" s="28" t="s">
        <v>809</v>
      </c>
      <c r="M986" s="28" t="s">
        <v>535</v>
      </c>
      <c r="N986" s="28" t="s">
        <v>557</v>
      </c>
      <c r="O986" s="28" t="s">
        <v>544</v>
      </c>
      <c r="P986" s="28" t="s">
        <v>522</v>
      </c>
      <c r="S986" s="28" t="s">
        <v>1416</v>
      </c>
      <c r="T986" s="28" t="s">
        <v>811</v>
      </c>
      <c r="U986" s="28" t="s">
        <v>811</v>
      </c>
      <c r="V986" s="28" t="s">
        <v>517</v>
      </c>
      <c r="W986" s="28" t="s">
        <v>4145</v>
      </c>
      <c r="Z986" s="118" t="s">
        <v>563</v>
      </c>
      <c r="AA986" s="118"/>
      <c r="AB986" s="118" t="s">
        <v>527</v>
      </c>
      <c r="AD986" s="28" t="s">
        <v>528</v>
      </c>
      <c r="AF986" s="117" t="s">
        <v>4143</v>
      </c>
      <c r="AG986" s="28" t="s">
        <v>563</v>
      </c>
      <c r="AK986" s="60" t="s">
        <v>2927</v>
      </c>
      <c r="AL986" s="117">
        <f>1/COUNTIF(Tableau6[LAT],B986)</f>
        <v>1</v>
      </c>
      <c r="AM986" s="60" t="b">
        <f t="shared" si="108"/>
        <v>0</v>
      </c>
      <c r="AN986" s="60" t="b">
        <f t="shared" si="109"/>
        <v>0</v>
      </c>
      <c r="AO986" s="60" t="b">
        <f t="shared" si="110"/>
        <v>0</v>
      </c>
      <c r="AP986" s="60" t="b">
        <f t="shared" si="111"/>
        <v>0</v>
      </c>
      <c r="AQ986" s="60" t="b">
        <f t="shared" si="112"/>
        <v>0</v>
      </c>
      <c r="AR986" s="60" t="str">
        <f t="shared" si="113"/>
        <v>No</v>
      </c>
      <c r="AS986" s="60" t="str">
        <f t="shared" si="114"/>
        <v>No</v>
      </c>
    </row>
    <row r="987" spans="1:45" ht="15" hidden="1">
      <c r="A987" s="103">
        <v>45244</v>
      </c>
      <c r="B987" s="117" t="s">
        <v>4146</v>
      </c>
      <c r="C987" s="28" t="s">
        <v>511</v>
      </c>
      <c r="D987" s="28" t="s">
        <v>4147</v>
      </c>
      <c r="E987" s="28" t="s">
        <v>4148</v>
      </c>
      <c r="F987" s="28" t="s">
        <v>4149</v>
      </c>
      <c r="G987" s="28" t="s">
        <v>657</v>
      </c>
      <c r="H987" s="28" t="s">
        <v>4150</v>
      </c>
      <c r="I987" s="28" t="s">
        <v>516</v>
      </c>
      <c r="J987" s="28" t="s">
        <v>517</v>
      </c>
      <c r="K987" s="28" t="s">
        <v>518</v>
      </c>
      <c r="L987" s="28" t="s">
        <v>809</v>
      </c>
      <c r="M987" s="28" t="s">
        <v>535</v>
      </c>
      <c r="N987" s="28" t="s">
        <v>1382</v>
      </c>
      <c r="O987" s="28" t="s">
        <v>1383</v>
      </c>
      <c r="P987" s="28" t="s">
        <v>557</v>
      </c>
      <c r="Q987" s="28" t="s">
        <v>544</v>
      </c>
      <c r="S987" s="28" t="s">
        <v>2199</v>
      </c>
      <c r="T987" s="28" t="s">
        <v>811</v>
      </c>
      <c r="U987" s="28" t="s">
        <v>811</v>
      </c>
      <c r="V987" s="28" t="s">
        <v>517</v>
      </c>
      <c r="W987" s="28" t="s">
        <v>4151</v>
      </c>
      <c r="X987" s="28" t="s">
        <v>670</v>
      </c>
      <c r="Z987" s="118" t="s">
        <v>563</v>
      </c>
      <c r="AA987" s="118"/>
      <c r="AB987" s="118" t="s">
        <v>527</v>
      </c>
      <c r="AD987" s="28" t="s">
        <v>528</v>
      </c>
      <c r="AF987" s="117" t="s">
        <v>4147</v>
      </c>
      <c r="AG987" s="28" t="s">
        <v>563</v>
      </c>
      <c r="AK987" s="60" t="s">
        <v>2927</v>
      </c>
      <c r="AL987" s="117">
        <f>1/COUNTIF(Tableau6[LAT],B987)</f>
        <v>0.25</v>
      </c>
      <c r="AM987" s="60" t="b">
        <f t="shared" si="108"/>
        <v>0</v>
      </c>
      <c r="AN987" s="60" t="b">
        <f t="shared" si="109"/>
        <v>0</v>
      </c>
      <c r="AO987" s="60" t="b">
        <f t="shared" si="110"/>
        <v>0</v>
      </c>
      <c r="AP987" s="60" t="b">
        <f t="shared" si="111"/>
        <v>0</v>
      </c>
      <c r="AQ987" s="60" t="b">
        <f t="shared" si="112"/>
        <v>0</v>
      </c>
      <c r="AR987" s="60" t="str">
        <f t="shared" si="113"/>
        <v>No</v>
      </c>
      <c r="AS987" s="60" t="str">
        <f t="shared" si="114"/>
        <v>No</v>
      </c>
    </row>
    <row r="988" spans="1:45" ht="15" hidden="1">
      <c r="A988" s="103">
        <v>45244</v>
      </c>
      <c r="B988" s="117" t="s">
        <v>4146</v>
      </c>
      <c r="C988" s="28" t="s">
        <v>548</v>
      </c>
      <c r="D988" s="28" t="s">
        <v>4152</v>
      </c>
      <c r="F988" s="28" t="s">
        <v>4153</v>
      </c>
      <c r="G988" s="28" t="s">
        <v>514</v>
      </c>
      <c r="H988" s="28" t="s">
        <v>1317</v>
      </c>
      <c r="I988" s="28" t="s">
        <v>516</v>
      </c>
      <c r="J988" s="28" t="s">
        <v>517</v>
      </c>
      <c r="K988" s="28" t="s">
        <v>518</v>
      </c>
      <c r="L988" s="28" t="s">
        <v>809</v>
      </c>
      <c r="M988" s="28" t="s">
        <v>535</v>
      </c>
      <c r="N988" s="28" t="s">
        <v>1382</v>
      </c>
      <c r="O988" s="28" t="s">
        <v>1383</v>
      </c>
      <c r="P988" s="28" t="s">
        <v>557</v>
      </c>
      <c r="Q988" s="28" t="s">
        <v>544</v>
      </c>
      <c r="S988" s="28" t="s">
        <v>2199</v>
      </c>
      <c r="T988" s="28" t="s">
        <v>811</v>
      </c>
      <c r="U988" s="28" t="s">
        <v>811</v>
      </c>
      <c r="V988" s="28" t="s">
        <v>517</v>
      </c>
      <c r="W988" s="28" t="s">
        <v>4154</v>
      </c>
      <c r="Z988" s="118" t="s">
        <v>563</v>
      </c>
      <c r="AA988" s="118"/>
      <c r="AB988" s="118" t="s">
        <v>527</v>
      </c>
      <c r="AD988" s="28" t="s">
        <v>528</v>
      </c>
      <c r="AF988" s="117" t="s">
        <v>4152</v>
      </c>
      <c r="AG988" s="28" t="s">
        <v>563</v>
      </c>
      <c r="AK988" s="60" t="s">
        <v>2927</v>
      </c>
      <c r="AL988" s="117">
        <f>1/COUNTIF(Tableau6[LAT],B988)</f>
        <v>0.25</v>
      </c>
      <c r="AM988" s="60" t="b">
        <f t="shared" si="108"/>
        <v>0</v>
      </c>
      <c r="AN988" s="60" t="b">
        <f t="shared" si="109"/>
        <v>0</v>
      </c>
      <c r="AO988" s="60" t="b">
        <f t="shared" si="110"/>
        <v>0</v>
      </c>
      <c r="AP988" s="60" t="b">
        <f t="shared" si="111"/>
        <v>0</v>
      </c>
      <c r="AQ988" s="60" t="b">
        <f t="shared" si="112"/>
        <v>0</v>
      </c>
      <c r="AR988" s="60" t="str">
        <f t="shared" si="113"/>
        <v>No</v>
      </c>
      <c r="AS988" s="60" t="str">
        <f t="shared" si="114"/>
        <v>No</v>
      </c>
    </row>
    <row r="989" spans="1:45" ht="15" hidden="1">
      <c r="A989" s="103">
        <v>45244</v>
      </c>
      <c r="B989" s="117" t="s">
        <v>4146</v>
      </c>
      <c r="C989" s="28" t="s">
        <v>612</v>
      </c>
      <c r="D989" s="28" t="s">
        <v>4155</v>
      </c>
      <c r="F989" s="28" t="s">
        <v>4153</v>
      </c>
      <c r="G989" s="28" t="s">
        <v>514</v>
      </c>
      <c r="H989" s="28" t="s">
        <v>1317</v>
      </c>
      <c r="I989" s="28" t="s">
        <v>516</v>
      </c>
      <c r="J989" s="28" t="s">
        <v>517</v>
      </c>
      <c r="K989" s="28" t="s">
        <v>518</v>
      </c>
      <c r="L989" s="28" t="s">
        <v>809</v>
      </c>
      <c r="M989" s="28" t="s">
        <v>535</v>
      </c>
      <c r="N989" s="28" t="s">
        <v>1382</v>
      </c>
      <c r="O989" s="28" t="s">
        <v>1383</v>
      </c>
      <c r="P989" s="28" t="s">
        <v>557</v>
      </c>
      <c r="Q989" s="28" t="s">
        <v>544</v>
      </c>
      <c r="S989" s="28" t="s">
        <v>2199</v>
      </c>
      <c r="T989" s="28" t="s">
        <v>811</v>
      </c>
      <c r="U989" s="28" t="s">
        <v>811</v>
      </c>
      <c r="V989" s="28" t="s">
        <v>517</v>
      </c>
      <c r="W989" s="28" t="s">
        <v>4156</v>
      </c>
      <c r="Z989" s="118" t="s">
        <v>563</v>
      </c>
      <c r="AA989" s="118"/>
      <c r="AB989" s="118" t="s">
        <v>527</v>
      </c>
      <c r="AD989" s="28" t="s">
        <v>528</v>
      </c>
      <c r="AF989" s="117" t="s">
        <v>4155</v>
      </c>
      <c r="AG989" s="28" t="s">
        <v>563</v>
      </c>
      <c r="AK989" s="60" t="s">
        <v>2927</v>
      </c>
      <c r="AL989" s="117">
        <f>1/COUNTIF(Tableau6[LAT],B989)</f>
        <v>0.25</v>
      </c>
      <c r="AM989" s="60" t="b">
        <f t="shared" si="108"/>
        <v>0</v>
      </c>
      <c r="AN989" s="60" t="b">
        <f t="shared" si="109"/>
        <v>0</v>
      </c>
      <c r="AO989" s="60" t="b">
        <f t="shared" si="110"/>
        <v>0</v>
      </c>
      <c r="AP989" s="60" t="b">
        <f t="shared" si="111"/>
        <v>0</v>
      </c>
      <c r="AQ989" s="60" t="b">
        <f t="shared" si="112"/>
        <v>0</v>
      </c>
      <c r="AR989" s="60" t="str">
        <f t="shared" si="113"/>
        <v>No</v>
      </c>
      <c r="AS989" s="60" t="str">
        <f t="shared" si="114"/>
        <v>No</v>
      </c>
    </row>
    <row r="990" spans="1:45" ht="15" hidden="1">
      <c r="A990" s="103">
        <v>45244</v>
      </c>
      <c r="B990" s="117" t="s">
        <v>4146</v>
      </c>
      <c r="C990" s="28" t="s">
        <v>691</v>
      </c>
      <c r="D990" s="28" t="s">
        <v>4157</v>
      </c>
      <c r="F990" s="28" t="s">
        <v>4153</v>
      </c>
      <c r="G990" s="28" t="s">
        <v>514</v>
      </c>
      <c r="H990" s="28" t="s">
        <v>1317</v>
      </c>
      <c r="I990" s="28" t="s">
        <v>516</v>
      </c>
      <c r="J990" s="28" t="s">
        <v>517</v>
      </c>
      <c r="K990" s="28" t="s">
        <v>518</v>
      </c>
      <c r="L990" s="28" t="s">
        <v>809</v>
      </c>
      <c r="M990" s="28" t="s">
        <v>535</v>
      </c>
      <c r="N990" s="28" t="s">
        <v>1382</v>
      </c>
      <c r="O990" s="28" t="s">
        <v>1383</v>
      </c>
      <c r="P990" s="28" t="s">
        <v>557</v>
      </c>
      <c r="Q990" s="28" t="s">
        <v>544</v>
      </c>
      <c r="S990" s="28" t="s">
        <v>2199</v>
      </c>
      <c r="T990" s="28" t="s">
        <v>811</v>
      </c>
      <c r="U990" s="28" t="s">
        <v>811</v>
      </c>
      <c r="V990" s="28" t="s">
        <v>517</v>
      </c>
      <c r="W990" s="28" t="s">
        <v>4158</v>
      </c>
      <c r="Z990" s="118" t="s">
        <v>563</v>
      </c>
      <c r="AA990" s="118"/>
      <c r="AB990" s="118" t="s">
        <v>527</v>
      </c>
      <c r="AD990" s="28" t="s">
        <v>528</v>
      </c>
      <c r="AF990" s="117" t="s">
        <v>4157</v>
      </c>
      <c r="AG990" s="28" t="s">
        <v>563</v>
      </c>
      <c r="AK990" s="60" t="s">
        <v>2927</v>
      </c>
      <c r="AL990" s="117">
        <f>1/COUNTIF(Tableau6[LAT],B990)</f>
        <v>0.25</v>
      </c>
      <c r="AM990" s="60" t="b">
        <f t="shared" si="108"/>
        <v>0</v>
      </c>
      <c r="AN990" s="60" t="b">
        <f t="shared" si="109"/>
        <v>0</v>
      </c>
      <c r="AO990" s="60" t="b">
        <f t="shared" si="110"/>
        <v>0</v>
      </c>
      <c r="AP990" s="60" t="b">
        <f t="shared" si="111"/>
        <v>0</v>
      </c>
      <c r="AQ990" s="60" t="b">
        <f t="shared" si="112"/>
        <v>0</v>
      </c>
      <c r="AR990" s="60" t="str">
        <f t="shared" si="113"/>
        <v>No</v>
      </c>
      <c r="AS990" s="60" t="str">
        <f t="shared" si="114"/>
        <v>No</v>
      </c>
    </row>
    <row r="991" spans="1:45" ht="15" hidden="1">
      <c r="A991" s="103">
        <v>45244</v>
      </c>
      <c r="B991" s="117" t="s">
        <v>4159</v>
      </c>
      <c r="C991" s="28" t="s">
        <v>511</v>
      </c>
      <c r="D991" s="28" t="s">
        <v>4160</v>
      </c>
      <c r="F991" s="28" t="s">
        <v>4161</v>
      </c>
      <c r="G991" s="28" t="s">
        <v>514</v>
      </c>
      <c r="H991" s="28" t="s">
        <v>3771</v>
      </c>
      <c r="I991" s="28" t="s">
        <v>516</v>
      </c>
      <c r="J991" s="28" t="s">
        <v>517</v>
      </c>
      <c r="K991" s="28" t="s">
        <v>682</v>
      </c>
      <c r="L991" s="28" t="s">
        <v>2443</v>
      </c>
      <c r="M991" s="28" t="s">
        <v>535</v>
      </c>
      <c r="N991" s="28" t="s">
        <v>557</v>
      </c>
      <c r="O991" s="28" t="s">
        <v>544</v>
      </c>
      <c r="P991" s="28" t="s">
        <v>522</v>
      </c>
      <c r="S991" s="28" t="s">
        <v>523</v>
      </c>
      <c r="T991" s="28" t="s">
        <v>607</v>
      </c>
      <c r="U991" s="28" t="s">
        <v>607</v>
      </c>
      <c r="V991" s="28" t="s">
        <v>517</v>
      </c>
      <c r="W991" s="28" t="s">
        <v>4162</v>
      </c>
      <c r="Z991" s="118" t="s">
        <v>563</v>
      </c>
      <c r="AA991" s="118"/>
      <c r="AB991" s="118" t="s">
        <v>527</v>
      </c>
      <c r="AD991" s="28" t="s">
        <v>528</v>
      </c>
      <c r="AF991" s="117" t="s">
        <v>4160</v>
      </c>
      <c r="AG991" s="28" t="s">
        <v>563</v>
      </c>
      <c r="AK991" s="60" t="s">
        <v>2927</v>
      </c>
      <c r="AL991" s="117">
        <f>1/COUNTIF(Tableau6[LAT],B991)</f>
        <v>0.33333333333333331</v>
      </c>
      <c r="AM991" s="60" t="b">
        <f t="shared" si="108"/>
        <v>0</v>
      </c>
      <c r="AN991" s="60" t="b">
        <f t="shared" si="109"/>
        <v>0</v>
      </c>
      <c r="AO991" s="60" t="b">
        <f t="shared" si="110"/>
        <v>0</v>
      </c>
      <c r="AP991" s="60" t="b">
        <f t="shared" si="111"/>
        <v>0</v>
      </c>
      <c r="AQ991" s="60" t="b">
        <f t="shared" si="112"/>
        <v>0</v>
      </c>
      <c r="AR991" s="60" t="str">
        <f t="shared" si="113"/>
        <v>No</v>
      </c>
      <c r="AS991" s="60" t="str">
        <f t="shared" si="114"/>
        <v>No</v>
      </c>
    </row>
    <row r="992" spans="1:45" ht="15" hidden="1">
      <c r="A992" s="103">
        <v>45244</v>
      </c>
      <c r="B992" s="117" t="s">
        <v>4159</v>
      </c>
      <c r="C992" s="28" t="s">
        <v>548</v>
      </c>
      <c r="D992" s="28" t="s">
        <v>4163</v>
      </c>
      <c r="F992" s="28" t="s">
        <v>4161</v>
      </c>
      <c r="G992" s="28" t="s">
        <v>514</v>
      </c>
      <c r="H992" s="28" t="s">
        <v>3771</v>
      </c>
      <c r="I992" s="28" t="s">
        <v>516</v>
      </c>
      <c r="J992" s="28" t="s">
        <v>517</v>
      </c>
      <c r="K992" s="28" t="s">
        <v>682</v>
      </c>
      <c r="L992" s="28" t="s">
        <v>2443</v>
      </c>
      <c r="M992" s="28" t="s">
        <v>535</v>
      </c>
      <c r="N992" s="28" t="s">
        <v>557</v>
      </c>
      <c r="O992" s="28" t="s">
        <v>544</v>
      </c>
      <c r="P992" s="28" t="s">
        <v>522</v>
      </c>
      <c r="S992" s="28" t="s">
        <v>523</v>
      </c>
      <c r="T992" s="28" t="s">
        <v>607</v>
      </c>
      <c r="U992" s="28" t="s">
        <v>607</v>
      </c>
      <c r="V992" s="28" t="s">
        <v>517</v>
      </c>
      <c r="W992" s="28" t="s">
        <v>4164</v>
      </c>
      <c r="Z992" s="118" t="s">
        <v>563</v>
      </c>
      <c r="AA992" s="118"/>
      <c r="AB992" s="118" t="s">
        <v>527</v>
      </c>
      <c r="AD992" s="28" t="s">
        <v>528</v>
      </c>
      <c r="AF992" s="117" t="s">
        <v>4160</v>
      </c>
      <c r="AG992" s="28" t="s">
        <v>563</v>
      </c>
      <c r="AK992" s="60" t="s">
        <v>2927</v>
      </c>
      <c r="AL992" s="117">
        <f>1/COUNTIF(Tableau6[LAT],B992)</f>
        <v>0.33333333333333331</v>
      </c>
      <c r="AM992" s="60" t="b">
        <f t="shared" si="108"/>
        <v>0</v>
      </c>
      <c r="AN992" s="60" t="b">
        <f t="shared" si="109"/>
        <v>0</v>
      </c>
      <c r="AO992" s="60" t="b">
        <f t="shared" si="110"/>
        <v>0</v>
      </c>
      <c r="AP992" s="60" t="b">
        <f t="shared" si="111"/>
        <v>0</v>
      </c>
      <c r="AQ992" s="60" t="b">
        <f t="shared" si="112"/>
        <v>0</v>
      </c>
      <c r="AR992" s="60" t="str">
        <f t="shared" si="113"/>
        <v>No</v>
      </c>
      <c r="AS992" s="60" t="str">
        <f t="shared" si="114"/>
        <v>No</v>
      </c>
    </row>
    <row r="993" spans="1:45" ht="15" hidden="1">
      <c r="A993" s="103">
        <v>45244</v>
      </c>
      <c r="B993" s="117" t="s">
        <v>4159</v>
      </c>
      <c r="C993" s="28" t="s">
        <v>612</v>
      </c>
      <c r="D993" s="28" t="s">
        <v>4165</v>
      </c>
      <c r="F993" s="28" t="s">
        <v>4161</v>
      </c>
      <c r="G993" s="28" t="s">
        <v>514</v>
      </c>
      <c r="H993" s="28" t="s">
        <v>3771</v>
      </c>
      <c r="I993" s="28" t="s">
        <v>516</v>
      </c>
      <c r="J993" s="28" t="s">
        <v>517</v>
      </c>
      <c r="K993" s="28" t="s">
        <v>682</v>
      </c>
      <c r="L993" s="28" t="s">
        <v>2443</v>
      </c>
      <c r="M993" s="28" t="s">
        <v>535</v>
      </c>
      <c r="N993" s="28" t="s">
        <v>557</v>
      </c>
      <c r="O993" s="28" t="s">
        <v>544</v>
      </c>
      <c r="P993" s="28" t="s">
        <v>522</v>
      </c>
      <c r="S993" s="28" t="s">
        <v>523</v>
      </c>
      <c r="T993" s="28" t="s">
        <v>607</v>
      </c>
      <c r="U993" s="28" t="s">
        <v>607</v>
      </c>
      <c r="V993" s="28" t="s">
        <v>517</v>
      </c>
      <c r="W993" s="28" t="s">
        <v>4166</v>
      </c>
      <c r="Z993" s="118" t="s">
        <v>563</v>
      </c>
      <c r="AA993" s="118"/>
      <c r="AB993" s="118" t="s">
        <v>527</v>
      </c>
      <c r="AD993" s="28" t="s">
        <v>528</v>
      </c>
      <c r="AF993" s="117" t="s">
        <v>4160</v>
      </c>
      <c r="AG993" s="28" t="s">
        <v>563</v>
      </c>
      <c r="AK993" s="60" t="s">
        <v>2927</v>
      </c>
      <c r="AL993" s="117">
        <f>1/COUNTIF(Tableau6[LAT],B993)</f>
        <v>0.33333333333333331</v>
      </c>
      <c r="AM993" s="60" t="b">
        <f t="shared" si="108"/>
        <v>0</v>
      </c>
      <c r="AN993" s="60" t="b">
        <f t="shared" si="109"/>
        <v>0</v>
      </c>
      <c r="AO993" s="60" t="b">
        <f t="shared" si="110"/>
        <v>0</v>
      </c>
      <c r="AP993" s="60" t="b">
        <f t="shared" si="111"/>
        <v>0</v>
      </c>
      <c r="AQ993" s="60" t="b">
        <f t="shared" si="112"/>
        <v>0</v>
      </c>
      <c r="AR993" s="60" t="str">
        <f t="shared" si="113"/>
        <v>No</v>
      </c>
      <c r="AS993" s="60" t="str">
        <f t="shared" si="114"/>
        <v>No</v>
      </c>
    </row>
    <row r="994" spans="1:45" ht="15" hidden="1">
      <c r="A994" s="103">
        <v>45244</v>
      </c>
      <c r="B994" s="117" t="s">
        <v>4167</v>
      </c>
      <c r="C994" s="28" t="s">
        <v>511</v>
      </c>
      <c r="D994" s="28" t="s">
        <v>4168</v>
      </c>
      <c r="F994" s="28" t="s">
        <v>4169</v>
      </c>
      <c r="G994" s="28" t="s">
        <v>2895</v>
      </c>
      <c r="H994" s="28" t="s">
        <v>4170</v>
      </c>
      <c r="I994" s="28" t="s">
        <v>516</v>
      </c>
      <c r="J994" s="28" t="s">
        <v>517</v>
      </c>
      <c r="K994" s="28" t="s">
        <v>518</v>
      </c>
      <c r="L994" s="28" t="s">
        <v>1276</v>
      </c>
      <c r="M994" s="28" t="s">
        <v>535</v>
      </c>
      <c r="N994" s="28" t="s">
        <v>1524</v>
      </c>
      <c r="O994" s="28" t="s">
        <v>522</v>
      </c>
      <c r="S994" s="28" t="s">
        <v>740</v>
      </c>
      <c r="T994" s="28" t="s">
        <v>917</v>
      </c>
      <c r="U994" s="28" t="s">
        <v>917</v>
      </c>
      <c r="V994" s="28" t="s">
        <v>517</v>
      </c>
      <c r="W994" s="28" t="s">
        <v>856</v>
      </c>
      <c r="Z994" s="118" t="s">
        <v>563</v>
      </c>
      <c r="AA994" s="118"/>
      <c r="AB994" s="118" t="s">
        <v>527</v>
      </c>
      <c r="AD994" s="28" t="s">
        <v>954</v>
      </c>
      <c r="AF994" s="117" t="s">
        <v>4168</v>
      </c>
      <c r="AG994" s="28" t="s">
        <v>563</v>
      </c>
      <c r="AK994" s="60" t="s">
        <v>2927</v>
      </c>
      <c r="AL994" s="117">
        <f>1/COUNTIF(Tableau6[LAT],B994)</f>
        <v>0.2</v>
      </c>
      <c r="AM994" s="60" t="b">
        <f t="shared" si="108"/>
        <v>0</v>
      </c>
      <c r="AN994" s="60" t="b">
        <f t="shared" si="109"/>
        <v>0</v>
      </c>
      <c r="AO994" s="60" t="b">
        <f t="shared" si="110"/>
        <v>0</v>
      </c>
      <c r="AP994" s="60" t="b">
        <f t="shared" si="111"/>
        <v>0</v>
      </c>
      <c r="AQ994" s="60" t="b">
        <f t="shared" si="112"/>
        <v>0</v>
      </c>
      <c r="AR994" s="60" t="str">
        <f t="shared" si="113"/>
        <v>No</v>
      </c>
      <c r="AS994" s="60" t="str">
        <f t="shared" si="114"/>
        <v>No</v>
      </c>
    </row>
    <row r="995" spans="1:45" ht="15" hidden="1">
      <c r="A995" s="103">
        <v>45244</v>
      </c>
      <c r="B995" s="117" t="s">
        <v>4167</v>
      </c>
      <c r="C995" s="28" t="s">
        <v>548</v>
      </c>
      <c r="D995" s="28" t="s">
        <v>4171</v>
      </c>
      <c r="F995" s="28" t="s">
        <v>4172</v>
      </c>
      <c r="G995" s="28" t="s">
        <v>514</v>
      </c>
      <c r="H995" s="28" t="s">
        <v>1693</v>
      </c>
      <c r="I995" s="28" t="s">
        <v>516</v>
      </c>
      <c r="J995" s="28" t="s">
        <v>517</v>
      </c>
      <c r="K995" s="28" t="s">
        <v>518</v>
      </c>
      <c r="L995" s="28" t="s">
        <v>1276</v>
      </c>
      <c r="M995" s="28" t="s">
        <v>535</v>
      </c>
      <c r="N995" s="28" t="s">
        <v>1524</v>
      </c>
      <c r="O995" s="28" t="s">
        <v>522</v>
      </c>
      <c r="S995" s="28" t="s">
        <v>740</v>
      </c>
      <c r="T995" s="28" t="s">
        <v>917</v>
      </c>
      <c r="U995" s="28" t="s">
        <v>917</v>
      </c>
      <c r="V995" s="28" t="s">
        <v>517</v>
      </c>
      <c r="W995" s="28" t="s">
        <v>856</v>
      </c>
      <c r="Z995" s="118" t="s">
        <v>563</v>
      </c>
      <c r="AA995" s="118"/>
      <c r="AB995" s="118" t="s">
        <v>527</v>
      </c>
      <c r="AD995" s="28" t="s">
        <v>954</v>
      </c>
      <c r="AF995" s="117" t="s">
        <v>4171</v>
      </c>
      <c r="AG995" s="28" t="s">
        <v>563</v>
      </c>
      <c r="AK995" s="60" t="s">
        <v>2927</v>
      </c>
      <c r="AL995" s="117">
        <f>1/COUNTIF(Tableau6[LAT],B995)</f>
        <v>0.2</v>
      </c>
      <c r="AM995" s="60" t="b">
        <f t="shared" si="108"/>
        <v>0</v>
      </c>
      <c r="AN995" s="60" t="b">
        <f t="shared" si="109"/>
        <v>0</v>
      </c>
      <c r="AO995" s="60" t="b">
        <f t="shared" si="110"/>
        <v>0</v>
      </c>
      <c r="AP995" s="60" t="b">
        <f t="shared" si="111"/>
        <v>0</v>
      </c>
      <c r="AQ995" s="60" t="b">
        <f t="shared" si="112"/>
        <v>0</v>
      </c>
      <c r="AR995" s="60" t="str">
        <f t="shared" si="113"/>
        <v>No</v>
      </c>
      <c r="AS995" s="60" t="str">
        <f t="shared" si="114"/>
        <v>No</v>
      </c>
    </row>
    <row r="996" spans="1:45" ht="15" hidden="1">
      <c r="A996" s="103">
        <v>45244</v>
      </c>
      <c r="B996" s="117" t="s">
        <v>4167</v>
      </c>
      <c r="C996" s="28" t="s">
        <v>612</v>
      </c>
      <c r="D996" s="28" t="s">
        <v>4173</v>
      </c>
      <c r="F996" s="28" t="s">
        <v>4172</v>
      </c>
      <c r="G996" s="28" t="s">
        <v>514</v>
      </c>
      <c r="H996" s="28" t="s">
        <v>1693</v>
      </c>
      <c r="I996" s="28" t="s">
        <v>516</v>
      </c>
      <c r="J996" s="28" t="s">
        <v>517</v>
      </c>
      <c r="K996" s="28" t="s">
        <v>518</v>
      </c>
      <c r="L996" s="28" t="s">
        <v>1276</v>
      </c>
      <c r="M996" s="28" t="s">
        <v>535</v>
      </c>
      <c r="N996" s="28" t="s">
        <v>1524</v>
      </c>
      <c r="O996" s="28" t="s">
        <v>522</v>
      </c>
      <c r="S996" s="28" t="s">
        <v>740</v>
      </c>
      <c r="T996" s="28" t="s">
        <v>917</v>
      </c>
      <c r="U996" s="28" t="s">
        <v>917</v>
      </c>
      <c r="V996" s="28" t="s">
        <v>517</v>
      </c>
      <c r="W996" s="28" t="s">
        <v>856</v>
      </c>
      <c r="Z996" s="118" t="s">
        <v>563</v>
      </c>
      <c r="AA996" s="118"/>
      <c r="AB996" s="118" t="s">
        <v>527</v>
      </c>
      <c r="AD996" s="28" t="s">
        <v>954</v>
      </c>
      <c r="AF996" s="117" t="s">
        <v>4173</v>
      </c>
      <c r="AG996" s="28" t="s">
        <v>563</v>
      </c>
      <c r="AK996" s="60" t="s">
        <v>2927</v>
      </c>
      <c r="AL996" s="117">
        <f>1/COUNTIF(Tableau6[LAT],B996)</f>
        <v>0.2</v>
      </c>
      <c r="AM996" s="60" t="b">
        <f t="shared" si="108"/>
        <v>0</v>
      </c>
      <c r="AN996" s="60" t="b">
        <f t="shared" si="109"/>
        <v>0</v>
      </c>
      <c r="AO996" s="60" t="b">
        <f t="shared" si="110"/>
        <v>0</v>
      </c>
      <c r="AP996" s="60" t="b">
        <f t="shared" si="111"/>
        <v>0</v>
      </c>
      <c r="AQ996" s="60" t="b">
        <f t="shared" si="112"/>
        <v>0</v>
      </c>
      <c r="AR996" s="60" t="str">
        <f t="shared" si="113"/>
        <v>No</v>
      </c>
      <c r="AS996" s="60" t="str">
        <f t="shared" si="114"/>
        <v>No</v>
      </c>
    </row>
    <row r="997" spans="1:45" ht="15" hidden="1">
      <c r="A997" s="103">
        <v>45244</v>
      </c>
      <c r="B997" s="117" t="s">
        <v>4167</v>
      </c>
      <c r="C997" s="28" t="s">
        <v>691</v>
      </c>
      <c r="D997" s="28" t="s">
        <v>4174</v>
      </c>
      <c r="F997" s="28" t="s">
        <v>4175</v>
      </c>
      <c r="G997" s="28" t="s">
        <v>958</v>
      </c>
      <c r="H997" s="28" t="s">
        <v>904</v>
      </c>
      <c r="I997" s="28" t="s">
        <v>516</v>
      </c>
      <c r="J997" s="28" t="s">
        <v>517</v>
      </c>
      <c r="K997" s="28" t="s">
        <v>518</v>
      </c>
      <c r="L997" s="28" t="s">
        <v>1276</v>
      </c>
      <c r="M997" s="28" t="s">
        <v>535</v>
      </c>
      <c r="N997" s="28" t="s">
        <v>1524</v>
      </c>
      <c r="O997" s="28" t="s">
        <v>522</v>
      </c>
      <c r="S997" s="28" t="s">
        <v>740</v>
      </c>
      <c r="T997" s="28" t="s">
        <v>917</v>
      </c>
      <c r="U997" s="28" t="s">
        <v>917</v>
      </c>
      <c r="V997" s="28" t="s">
        <v>517</v>
      </c>
      <c r="W997" s="28" t="s">
        <v>856</v>
      </c>
      <c r="Z997" s="118" t="s">
        <v>563</v>
      </c>
      <c r="AA997" s="118"/>
      <c r="AB997" s="118" t="s">
        <v>527</v>
      </c>
      <c r="AD997" s="28" t="s">
        <v>954</v>
      </c>
      <c r="AF997" s="117" t="s">
        <v>4174</v>
      </c>
      <c r="AG997" s="28" t="s">
        <v>563</v>
      </c>
      <c r="AK997" s="60" t="s">
        <v>2927</v>
      </c>
      <c r="AL997" s="117">
        <f>1/COUNTIF(Tableau6[LAT],B997)</f>
        <v>0.2</v>
      </c>
      <c r="AM997" s="60" t="b">
        <f t="shared" si="108"/>
        <v>0</v>
      </c>
      <c r="AN997" s="60" t="b">
        <f t="shared" si="109"/>
        <v>0</v>
      </c>
      <c r="AO997" s="60" t="b">
        <f t="shared" si="110"/>
        <v>0</v>
      </c>
      <c r="AP997" s="60" t="b">
        <f t="shared" si="111"/>
        <v>0</v>
      </c>
      <c r="AQ997" s="60" t="b">
        <f t="shared" si="112"/>
        <v>0</v>
      </c>
      <c r="AR997" s="60" t="str">
        <f t="shared" si="113"/>
        <v>No</v>
      </c>
      <c r="AS997" s="60" t="str">
        <f t="shared" si="114"/>
        <v>No</v>
      </c>
    </row>
    <row r="998" spans="1:45" ht="15" hidden="1">
      <c r="A998" s="103">
        <v>45244</v>
      </c>
      <c r="B998" s="117" t="s">
        <v>4167</v>
      </c>
      <c r="C998" s="28" t="s">
        <v>859</v>
      </c>
      <c r="D998" s="28" t="s">
        <v>4176</v>
      </c>
      <c r="F998" s="28" t="s">
        <v>4172</v>
      </c>
      <c r="G998" s="28" t="s">
        <v>514</v>
      </c>
      <c r="H998" s="28" t="s">
        <v>2732</v>
      </c>
      <c r="I998" s="28" t="s">
        <v>516</v>
      </c>
      <c r="J998" s="28" t="s">
        <v>517</v>
      </c>
      <c r="K998" s="28" t="s">
        <v>518</v>
      </c>
      <c r="L998" s="28" t="s">
        <v>1276</v>
      </c>
      <c r="M998" s="28" t="s">
        <v>535</v>
      </c>
      <c r="N998" s="28" t="s">
        <v>1524</v>
      </c>
      <c r="O998" s="28" t="s">
        <v>522</v>
      </c>
      <c r="S998" s="28" t="s">
        <v>740</v>
      </c>
      <c r="T998" s="28" t="s">
        <v>917</v>
      </c>
      <c r="U998" s="28" t="s">
        <v>917</v>
      </c>
      <c r="V998" s="28" t="s">
        <v>517</v>
      </c>
      <c r="W998" s="28" t="s">
        <v>856</v>
      </c>
      <c r="Z998" s="118" t="s">
        <v>563</v>
      </c>
      <c r="AA998" s="118"/>
      <c r="AB998" s="118" t="s">
        <v>527</v>
      </c>
      <c r="AD998" s="28" t="s">
        <v>954</v>
      </c>
      <c r="AF998" s="117" t="s">
        <v>4176</v>
      </c>
      <c r="AG998" s="28" t="s">
        <v>563</v>
      </c>
      <c r="AK998" s="60" t="s">
        <v>2927</v>
      </c>
      <c r="AL998" s="117">
        <f>1/COUNTIF(Tableau6[LAT],B998)</f>
        <v>0.2</v>
      </c>
      <c r="AM998" s="60" t="b">
        <f t="shared" si="108"/>
        <v>0</v>
      </c>
      <c r="AN998" s="60" t="b">
        <f t="shared" si="109"/>
        <v>0</v>
      </c>
      <c r="AO998" s="60" t="b">
        <f t="shared" si="110"/>
        <v>0</v>
      </c>
      <c r="AP998" s="60" t="b">
        <f t="shared" si="111"/>
        <v>0</v>
      </c>
      <c r="AQ998" s="60" t="b">
        <f t="shared" si="112"/>
        <v>0</v>
      </c>
      <c r="AR998" s="60" t="str">
        <f t="shared" si="113"/>
        <v>No</v>
      </c>
      <c r="AS998" s="60" t="str">
        <f t="shared" si="114"/>
        <v>No</v>
      </c>
    </row>
    <row r="999" spans="1:45" ht="15" hidden="1">
      <c r="A999" s="103">
        <v>45244</v>
      </c>
      <c r="B999" s="117" t="s">
        <v>4177</v>
      </c>
      <c r="C999" s="28" t="s">
        <v>511</v>
      </c>
      <c r="D999" s="28" t="s">
        <v>4178</v>
      </c>
      <c r="F999" s="28" t="s">
        <v>4128</v>
      </c>
      <c r="G999" s="28" t="s">
        <v>1886</v>
      </c>
      <c r="H999" s="28" t="s">
        <v>1565</v>
      </c>
      <c r="I999" s="28" t="s">
        <v>516</v>
      </c>
      <c r="J999" s="28" t="s">
        <v>517</v>
      </c>
      <c r="K999" s="28" t="s">
        <v>518</v>
      </c>
      <c r="L999" s="28" t="s">
        <v>697</v>
      </c>
      <c r="M999" s="28" t="s">
        <v>520</v>
      </c>
      <c r="N999" s="28" t="s">
        <v>627</v>
      </c>
      <c r="S999" s="28" t="s">
        <v>740</v>
      </c>
      <c r="T999" s="28" t="s">
        <v>699</v>
      </c>
      <c r="U999" s="28" t="s">
        <v>699</v>
      </c>
      <c r="V999" s="28" t="s">
        <v>517</v>
      </c>
      <c r="W999" s="28" t="s">
        <v>4179</v>
      </c>
      <c r="Z999" s="118" t="s">
        <v>4180</v>
      </c>
      <c r="AA999" s="118"/>
      <c r="AB999" s="118" t="s">
        <v>4181</v>
      </c>
      <c r="AD999" s="28" t="s">
        <v>954</v>
      </c>
      <c r="AF999" s="117" t="s">
        <v>4178</v>
      </c>
      <c r="AG999" s="28" t="s">
        <v>563</v>
      </c>
      <c r="AK999" s="60" t="s">
        <v>2927</v>
      </c>
      <c r="AL999" s="117">
        <f>1/COUNTIF(Tableau6[LAT],B999)</f>
        <v>0.5</v>
      </c>
      <c r="AM999" s="60" t="b">
        <f t="shared" si="108"/>
        <v>0</v>
      </c>
      <c r="AN999" s="60" t="b">
        <f t="shared" si="109"/>
        <v>0</v>
      </c>
      <c r="AO999" s="60" t="b">
        <f t="shared" si="110"/>
        <v>0</v>
      </c>
      <c r="AP999" s="60" t="b">
        <f t="shared" si="111"/>
        <v>0</v>
      </c>
      <c r="AQ999" s="60" t="b">
        <f t="shared" si="112"/>
        <v>0</v>
      </c>
      <c r="AR999" s="60" t="str">
        <f t="shared" si="113"/>
        <v>No</v>
      </c>
      <c r="AS999" s="60" t="str">
        <f t="shared" si="114"/>
        <v>No</v>
      </c>
    </row>
    <row r="1000" spans="1:45" ht="15" hidden="1">
      <c r="A1000" s="103">
        <v>45244</v>
      </c>
      <c r="B1000" s="117" t="s">
        <v>4177</v>
      </c>
      <c r="C1000" s="28" t="s">
        <v>548</v>
      </c>
      <c r="D1000" s="28" t="s">
        <v>4182</v>
      </c>
      <c r="F1000" s="28" t="s">
        <v>4128</v>
      </c>
      <c r="G1000" s="28" t="s">
        <v>1886</v>
      </c>
      <c r="H1000" s="28" t="s">
        <v>3145</v>
      </c>
      <c r="I1000" s="28" t="s">
        <v>516</v>
      </c>
      <c r="J1000" s="28" t="s">
        <v>517</v>
      </c>
      <c r="K1000" s="28" t="s">
        <v>518</v>
      </c>
      <c r="L1000" s="28" t="s">
        <v>697</v>
      </c>
      <c r="M1000" s="28" t="s">
        <v>520</v>
      </c>
      <c r="N1000" s="28" t="s">
        <v>627</v>
      </c>
      <c r="S1000" s="28" t="s">
        <v>740</v>
      </c>
      <c r="T1000" s="28" t="s">
        <v>699</v>
      </c>
      <c r="U1000" s="28" t="s">
        <v>699</v>
      </c>
      <c r="V1000" s="28" t="s">
        <v>517</v>
      </c>
      <c r="W1000" s="28" t="s">
        <v>4183</v>
      </c>
      <c r="Z1000" s="118" t="s">
        <v>4180</v>
      </c>
      <c r="AA1000" s="118"/>
      <c r="AB1000" s="118" t="s">
        <v>4181</v>
      </c>
      <c r="AD1000" s="28" t="s">
        <v>954</v>
      </c>
      <c r="AF1000" s="117" t="s">
        <v>4178</v>
      </c>
      <c r="AG1000" s="28" t="s">
        <v>563</v>
      </c>
      <c r="AK1000" s="60" t="s">
        <v>2927</v>
      </c>
      <c r="AL1000" s="117">
        <f>1/COUNTIF(Tableau6[LAT],B1000)</f>
        <v>0.5</v>
      </c>
      <c r="AM1000" s="60" t="b">
        <f t="shared" si="108"/>
        <v>0</v>
      </c>
      <c r="AN1000" s="60" t="b">
        <f t="shared" si="109"/>
        <v>0</v>
      </c>
      <c r="AO1000" s="60" t="b">
        <f t="shared" si="110"/>
        <v>0</v>
      </c>
      <c r="AP1000" s="60" t="b">
        <f t="shared" si="111"/>
        <v>0</v>
      </c>
      <c r="AQ1000" s="60" t="b">
        <f t="shared" si="112"/>
        <v>0</v>
      </c>
      <c r="AR1000" s="60" t="str">
        <f t="shared" si="113"/>
        <v>No</v>
      </c>
      <c r="AS1000" s="60" t="str">
        <f t="shared" si="114"/>
        <v>No</v>
      </c>
    </row>
    <row r="1001" spans="1:45" ht="15" hidden="1">
      <c r="A1001" s="103">
        <v>45244</v>
      </c>
      <c r="B1001" s="117" t="s">
        <v>4184</v>
      </c>
      <c r="C1001" s="28" t="s">
        <v>511</v>
      </c>
      <c r="D1001" s="28" t="s">
        <v>4185</v>
      </c>
      <c r="F1001" s="28" t="s">
        <v>1290</v>
      </c>
      <c r="G1001" s="28" t="s">
        <v>514</v>
      </c>
      <c r="H1001" s="28" t="s">
        <v>1428</v>
      </c>
      <c r="I1001" s="28" t="s">
        <v>516</v>
      </c>
      <c r="J1001" s="28" t="s">
        <v>517</v>
      </c>
      <c r="K1001" s="28" t="s">
        <v>518</v>
      </c>
      <c r="L1001" s="28" t="s">
        <v>801</v>
      </c>
      <c r="M1001" s="28" t="s">
        <v>535</v>
      </c>
      <c r="S1001" s="28" t="s">
        <v>536</v>
      </c>
      <c r="T1001" s="28" t="s">
        <v>803</v>
      </c>
      <c r="U1001" s="28" t="s">
        <v>803</v>
      </c>
      <c r="V1001" s="28" t="s">
        <v>517</v>
      </c>
      <c r="Z1001" s="118" t="s">
        <v>4180</v>
      </c>
      <c r="AA1001" s="118"/>
      <c r="AB1001" s="118" t="s">
        <v>4181</v>
      </c>
      <c r="AF1001" s="117"/>
      <c r="AK1001" s="60" t="s">
        <v>2927</v>
      </c>
      <c r="AL1001" s="117">
        <f>1/COUNTIF(Tableau6[LAT],B1001)</f>
        <v>1</v>
      </c>
      <c r="AM1001" s="60" t="b">
        <f t="shared" si="108"/>
        <v>0</v>
      </c>
      <c r="AN1001" s="60" t="b">
        <f t="shared" si="109"/>
        <v>0</v>
      </c>
      <c r="AO1001" s="60" t="b">
        <f t="shared" si="110"/>
        <v>0</v>
      </c>
      <c r="AP1001" s="60" t="b">
        <f t="shared" si="111"/>
        <v>0</v>
      </c>
      <c r="AQ1001" s="60" t="b">
        <f t="shared" si="112"/>
        <v>0</v>
      </c>
      <c r="AR1001" s="60" t="str">
        <f t="shared" si="113"/>
        <v>No</v>
      </c>
      <c r="AS1001" s="60" t="str">
        <f t="shared" si="114"/>
        <v>Yes</v>
      </c>
    </row>
    <row r="1002" spans="1:45" ht="15" hidden="1">
      <c r="A1002" s="103">
        <v>45244</v>
      </c>
      <c r="B1002" s="117" t="s">
        <v>4186</v>
      </c>
      <c r="C1002" s="28" t="s">
        <v>511</v>
      </c>
      <c r="D1002" s="28" t="s">
        <v>4187</v>
      </c>
      <c r="E1002" s="28" t="s">
        <v>3220</v>
      </c>
      <c r="F1002" s="28" t="s">
        <v>1050</v>
      </c>
      <c r="G1002" s="28" t="s">
        <v>514</v>
      </c>
      <c r="H1002" s="28" t="s">
        <v>904</v>
      </c>
      <c r="I1002" s="28" t="s">
        <v>517</v>
      </c>
      <c r="J1002" s="28" t="s">
        <v>517</v>
      </c>
      <c r="K1002" s="28" t="s">
        <v>518</v>
      </c>
      <c r="L1002" s="28" t="s">
        <v>2925</v>
      </c>
      <c r="M1002" s="28" t="s">
        <v>535</v>
      </c>
      <c r="N1002" s="28" t="s">
        <v>521</v>
      </c>
      <c r="O1002" s="28" t="s">
        <v>522</v>
      </c>
      <c r="P1002" s="28" t="s">
        <v>627</v>
      </c>
      <c r="S1002" s="28" t="s">
        <v>573</v>
      </c>
      <c r="T1002" s="28" t="s">
        <v>1042</v>
      </c>
      <c r="U1002" s="28" t="s">
        <v>1042</v>
      </c>
      <c r="V1002" s="28" t="s">
        <v>517</v>
      </c>
      <c r="W1002" s="28" t="s">
        <v>3223</v>
      </c>
      <c r="X1002" s="28" t="s">
        <v>1071</v>
      </c>
      <c r="Z1002" s="118" t="s">
        <v>526</v>
      </c>
      <c r="AA1002" s="118"/>
      <c r="AB1002" s="118"/>
      <c r="AD1002" s="28" t="s">
        <v>528</v>
      </c>
      <c r="AF1002" s="117" t="s">
        <v>4187</v>
      </c>
      <c r="AG1002" s="28" t="s">
        <v>563</v>
      </c>
      <c r="AK1002" s="60" t="s">
        <v>2927</v>
      </c>
      <c r="AL1002" s="117">
        <f>1/COUNTIF(Tableau6[LAT],B1002)</f>
        <v>1</v>
      </c>
      <c r="AM1002" s="60" t="b">
        <f t="shared" si="108"/>
        <v>0</v>
      </c>
      <c r="AN1002" s="60" t="b">
        <f t="shared" si="109"/>
        <v>0</v>
      </c>
      <c r="AO1002" s="60" t="b">
        <f t="shared" si="110"/>
        <v>0</v>
      </c>
      <c r="AP1002" s="60" t="b">
        <f t="shared" si="111"/>
        <v>0</v>
      </c>
      <c r="AQ1002" s="60" t="b">
        <f t="shared" si="112"/>
        <v>0</v>
      </c>
      <c r="AR1002" s="60" t="str">
        <f t="shared" si="113"/>
        <v>No</v>
      </c>
      <c r="AS1002" s="60" t="str">
        <f t="shared" si="114"/>
        <v>No</v>
      </c>
    </row>
    <row r="1003" spans="1:45" ht="15" hidden="1">
      <c r="A1003" s="103">
        <v>45244</v>
      </c>
      <c r="B1003" s="117" t="s">
        <v>4188</v>
      </c>
      <c r="C1003" s="28" t="s">
        <v>511</v>
      </c>
      <c r="D1003" s="28" t="s">
        <v>4189</v>
      </c>
      <c r="F1003" s="28" t="s">
        <v>4190</v>
      </c>
      <c r="G1003" s="28" t="s">
        <v>514</v>
      </c>
      <c r="H1003" s="28" t="s">
        <v>639</v>
      </c>
      <c r="I1003" s="28" t="s">
        <v>516</v>
      </c>
      <c r="J1003" s="28" t="s">
        <v>517</v>
      </c>
      <c r="K1003" s="28" t="s">
        <v>518</v>
      </c>
      <c r="L1003" s="28" t="s">
        <v>1040</v>
      </c>
      <c r="M1003" s="28" t="s">
        <v>520</v>
      </c>
      <c r="N1003" s="28" t="s">
        <v>521</v>
      </c>
      <c r="O1003" s="28" t="s">
        <v>544</v>
      </c>
      <c r="S1003" s="28" t="s">
        <v>1226</v>
      </c>
      <c r="T1003" s="28" t="s">
        <v>1042</v>
      </c>
      <c r="U1003" s="28" t="s">
        <v>1042</v>
      </c>
      <c r="V1003" s="28" t="s">
        <v>517</v>
      </c>
      <c r="W1003" s="28" t="s">
        <v>4191</v>
      </c>
      <c r="Z1003" s="118" t="s">
        <v>563</v>
      </c>
      <c r="AA1003" s="118"/>
      <c r="AB1003" s="118" t="s">
        <v>527</v>
      </c>
      <c r="AD1003" s="28" t="s">
        <v>528</v>
      </c>
      <c r="AF1003" s="117" t="s">
        <v>4189</v>
      </c>
      <c r="AG1003" s="28" t="s">
        <v>563</v>
      </c>
      <c r="AK1003" s="60" t="s">
        <v>2927</v>
      </c>
      <c r="AL1003" s="117">
        <f>1/COUNTIF(Tableau6[LAT],B1003)</f>
        <v>1</v>
      </c>
      <c r="AM1003" s="60" t="b">
        <f t="shared" si="108"/>
        <v>0</v>
      </c>
      <c r="AN1003" s="60" t="b">
        <f t="shared" si="109"/>
        <v>0</v>
      </c>
      <c r="AO1003" s="60" t="b">
        <f t="shared" si="110"/>
        <v>0</v>
      </c>
      <c r="AP1003" s="60" t="b">
        <f t="shared" si="111"/>
        <v>0</v>
      </c>
      <c r="AQ1003" s="60" t="b">
        <f t="shared" si="112"/>
        <v>0</v>
      </c>
      <c r="AR1003" s="60" t="str">
        <f t="shared" si="113"/>
        <v>No</v>
      </c>
      <c r="AS1003" s="60" t="str">
        <f t="shared" si="114"/>
        <v>No</v>
      </c>
    </row>
    <row r="1004" spans="1:45" ht="15" hidden="1">
      <c r="A1004" s="103">
        <v>45244</v>
      </c>
      <c r="B1004" s="117" t="s">
        <v>4192</v>
      </c>
      <c r="C1004" s="28" t="s">
        <v>511</v>
      </c>
      <c r="D1004" s="28" t="s">
        <v>4193</v>
      </c>
      <c r="F1004" s="28" t="s">
        <v>4194</v>
      </c>
      <c r="G1004" s="28" t="s">
        <v>514</v>
      </c>
      <c r="H1004" s="28" t="s">
        <v>915</v>
      </c>
      <c r="I1004" s="28" t="s">
        <v>516</v>
      </c>
      <c r="J1004" s="28" t="s">
        <v>517</v>
      </c>
      <c r="K1004" s="28" t="s">
        <v>518</v>
      </c>
      <c r="L1004" s="28" t="s">
        <v>4195</v>
      </c>
      <c r="M1004" s="28" t="s">
        <v>605</v>
      </c>
      <c r="N1004" s="28" t="s">
        <v>4196</v>
      </c>
      <c r="O1004" s="28" t="s">
        <v>544</v>
      </c>
      <c r="P1004" s="28" t="s">
        <v>522</v>
      </c>
      <c r="S1004" s="28" t="s">
        <v>740</v>
      </c>
      <c r="T1004" s="28" t="s">
        <v>1318</v>
      </c>
      <c r="U1004" s="28" t="s">
        <v>1318</v>
      </c>
      <c r="V1004" s="28" t="s">
        <v>517</v>
      </c>
      <c r="W1004" s="28" t="s">
        <v>4197</v>
      </c>
      <c r="Z1004" s="118" t="s">
        <v>563</v>
      </c>
      <c r="AA1004" s="118"/>
      <c r="AB1004" s="118" t="s">
        <v>3904</v>
      </c>
      <c r="AD1004" s="28" t="s">
        <v>954</v>
      </c>
      <c r="AF1004" s="117" t="s">
        <v>4193</v>
      </c>
      <c r="AG1004" s="28" t="s">
        <v>563</v>
      </c>
      <c r="AK1004" s="60" t="s">
        <v>2927</v>
      </c>
      <c r="AL1004" s="117">
        <f>1/COUNTIF(Tableau6[LAT],B1004)</f>
        <v>0.33333333333333331</v>
      </c>
      <c r="AM1004" s="60" t="str">
        <f t="shared" si="108"/>
        <v>Yes</v>
      </c>
      <c r="AN1004" s="60" t="b">
        <f t="shared" si="109"/>
        <v>0</v>
      </c>
      <c r="AO1004" s="60" t="b">
        <f t="shared" si="110"/>
        <v>0</v>
      </c>
      <c r="AP1004" s="60" t="b">
        <f t="shared" si="111"/>
        <v>0</v>
      </c>
      <c r="AQ1004" s="60" t="b">
        <f t="shared" si="112"/>
        <v>0</v>
      </c>
      <c r="AR1004" s="60" t="str">
        <f t="shared" si="113"/>
        <v>Yes</v>
      </c>
      <c r="AS1004" s="60" t="str">
        <f t="shared" si="114"/>
        <v>No</v>
      </c>
    </row>
    <row r="1005" spans="1:45" ht="15" hidden="1">
      <c r="A1005" s="103">
        <v>45244</v>
      </c>
      <c r="B1005" s="117" t="s">
        <v>4192</v>
      </c>
      <c r="C1005" s="28" t="s">
        <v>548</v>
      </c>
      <c r="D1005" s="28" t="s">
        <v>4198</v>
      </c>
      <c r="F1005" s="28" t="s">
        <v>2003</v>
      </c>
      <c r="G1005" s="28" t="s">
        <v>514</v>
      </c>
      <c r="H1005" s="28" t="s">
        <v>2211</v>
      </c>
      <c r="I1005" s="28" t="s">
        <v>516</v>
      </c>
      <c r="J1005" s="28" t="s">
        <v>517</v>
      </c>
      <c r="K1005" s="28" t="s">
        <v>518</v>
      </c>
      <c r="L1005" s="28" t="s">
        <v>4195</v>
      </c>
      <c r="M1005" s="28" t="s">
        <v>605</v>
      </c>
      <c r="N1005" s="28" t="s">
        <v>544</v>
      </c>
      <c r="O1005" s="28" t="s">
        <v>522</v>
      </c>
      <c r="S1005" s="28" t="s">
        <v>740</v>
      </c>
      <c r="T1005" s="28" t="s">
        <v>1318</v>
      </c>
      <c r="U1005" s="28" t="s">
        <v>1318</v>
      </c>
      <c r="V1005" s="28" t="s">
        <v>517</v>
      </c>
      <c r="W1005" s="28" t="s">
        <v>4199</v>
      </c>
      <c r="Z1005" s="118" t="s">
        <v>563</v>
      </c>
      <c r="AA1005" s="118"/>
      <c r="AB1005" s="118" t="s">
        <v>527</v>
      </c>
      <c r="AD1005" s="28" t="s">
        <v>954</v>
      </c>
      <c r="AF1005" s="117" t="s">
        <v>4198</v>
      </c>
      <c r="AG1005" s="28" t="s">
        <v>563</v>
      </c>
      <c r="AK1005" s="60" t="s">
        <v>2927</v>
      </c>
      <c r="AL1005" s="117">
        <f>1/COUNTIF(Tableau6[LAT],B1005)</f>
        <v>0.33333333333333331</v>
      </c>
      <c r="AM1005" s="60" t="b">
        <f t="shared" si="108"/>
        <v>0</v>
      </c>
      <c r="AN1005" s="60" t="b">
        <f t="shared" si="109"/>
        <v>0</v>
      </c>
      <c r="AO1005" s="60" t="b">
        <f t="shared" si="110"/>
        <v>0</v>
      </c>
      <c r="AP1005" s="60" t="b">
        <f t="shared" si="111"/>
        <v>0</v>
      </c>
      <c r="AQ1005" s="60" t="b">
        <f t="shared" si="112"/>
        <v>0</v>
      </c>
      <c r="AR1005" s="60" t="str">
        <f t="shared" si="113"/>
        <v>No</v>
      </c>
      <c r="AS1005" s="60" t="str">
        <f t="shared" si="114"/>
        <v>No</v>
      </c>
    </row>
    <row r="1006" spans="1:45" ht="15" hidden="1">
      <c r="A1006" s="103">
        <v>45244</v>
      </c>
      <c r="B1006" s="117" t="s">
        <v>4192</v>
      </c>
      <c r="C1006" s="28" t="s">
        <v>612</v>
      </c>
      <c r="D1006" s="28" t="s">
        <v>4200</v>
      </c>
      <c r="F1006" s="28" t="s">
        <v>2003</v>
      </c>
      <c r="G1006" s="28" t="s">
        <v>514</v>
      </c>
      <c r="H1006" s="28" t="s">
        <v>2211</v>
      </c>
      <c r="I1006" s="28" t="s">
        <v>516</v>
      </c>
      <c r="J1006" s="28" t="s">
        <v>517</v>
      </c>
      <c r="K1006" s="28" t="s">
        <v>518</v>
      </c>
      <c r="L1006" s="28" t="s">
        <v>4195</v>
      </c>
      <c r="M1006" s="28" t="s">
        <v>605</v>
      </c>
      <c r="N1006" s="28" t="s">
        <v>544</v>
      </c>
      <c r="O1006" s="28" t="s">
        <v>522</v>
      </c>
      <c r="S1006" s="28" t="s">
        <v>740</v>
      </c>
      <c r="T1006" s="28" t="s">
        <v>1318</v>
      </c>
      <c r="U1006" s="28" t="s">
        <v>1318</v>
      </c>
      <c r="V1006" s="28" t="s">
        <v>517</v>
      </c>
      <c r="W1006" s="28" t="s">
        <v>4201</v>
      </c>
      <c r="Z1006" s="118" t="s">
        <v>563</v>
      </c>
      <c r="AA1006" s="118"/>
      <c r="AB1006" s="118" t="s">
        <v>527</v>
      </c>
      <c r="AD1006" s="28" t="s">
        <v>954</v>
      </c>
      <c r="AF1006" s="117" t="s">
        <v>4200</v>
      </c>
      <c r="AG1006" s="28" t="s">
        <v>563</v>
      </c>
      <c r="AK1006" s="60" t="s">
        <v>2927</v>
      </c>
      <c r="AL1006" s="117">
        <f>1/COUNTIF(Tableau6[LAT],B1006)</f>
        <v>0.33333333333333331</v>
      </c>
      <c r="AM1006" s="60" t="b">
        <f t="shared" si="108"/>
        <v>0</v>
      </c>
      <c r="AN1006" s="60" t="b">
        <f t="shared" si="109"/>
        <v>0</v>
      </c>
      <c r="AO1006" s="60" t="b">
        <f t="shared" si="110"/>
        <v>0</v>
      </c>
      <c r="AP1006" s="60" t="b">
        <f t="shared" si="111"/>
        <v>0</v>
      </c>
      <c r="AQ1006" s="60" t="b">
        <f t="shared" si="112"/>
        <v>0</v>
      </c>
      <c r="AR1006" s="60" t="str">
        <f t="shared" si="113"/>
        <v>No</v>
      </c>
      <c r="AS1006" s="60" t="str">
        <f t="shared" si="114"/>
        <v>No</v>
      </c>
    </row>
    <row r="1007" spans="1:45" ht="15" hidden="1">
      <c r="A1007" s="103">
        <v>45244</v>
      </c>
      <c r="B1007" s="117" t="s">
        <v>4202</v>
      </c>
      <c r="C1007" s="28" t="s">
        <v>511</v>
      </c>
      <c r="D1007" s="28" t="s">
        <v>4203</v>
      </c>
      <c r="F1007" s="28" t="s">
        <v>4204</v>
      </c>
      <c r="G1007" s="28" t="s">
        <v>514</v>
      </c>
      <c r="H1007" s="28" t="s">
        <v>2163</v>
      </c>
      <c r="I1007" s="28" t="s">
        <v>516</v>
      </c>
      <c r="J1007" s="28" t="s">
        <v>517</v>
      </c>
      <c r="K1007" s="28" t="s">
        <v>518</v>
      </c>
      <c r="L1007" s="28" t="s">
        <v>751</v>
      </c>
      <c r="M1007" s="28" t="s">
        <v>520</v>
      </c>
      <c r="N1007" s="28" t="s">
        <v>544</v>
      </c>
      <c r="O1007" s="28" t="s">
        <v>1524</v>
      </c>
      <c r="P1007" s="28" t="s">
        <v>522</v>
      </c>
      <c r="S1007" s="28" t="s">
        <v>740</v>
      </c>
      <c r="T1007" s="28" t="s">
        <v>753</v>
      </c>
      <c r="U1007" s="28" t="s">
        <v>753</v>
      </c>
      <c r="V1007" s="28" t="s">
        <v>517</v>
      </c>
      <c r="W1007" s="28" t="s">
        <v>4205</v>
      </c>
      <c r="Z1007" s="118" t="s">
        <v>563</v>
      </c>
      <c r="AA1007" s="118"/>
      <c r="AB1007" s="118" t="s">
        <v>527</v>
      </c>
      <c r="AD1007" s="28" t="s">
        <v>528</v>
      </c>
      <c r="AF1007" s="117" t="s">
        <v>4203</v>
      </c>
      <c r="AG1007" s="28" t="s">
        <v>563</v>
      </c>
      <c r="AK1007" s="60" t="s">
        <v>2927</v>
      </c>
      <c r="AL1007" s="117">
        <f>1/COUNTIF(Tableau6[LAT],B1007)</f>
        <v>0.25</v>
      </c>
      <c r="AM1007" s="60" t="b">
        <f t="shared" si="108"/>
        <v>0</v>
      </c>
      <c r="AN1007" s="60" t="b">
        <f t="shared" si="109"/>
        <v>0</v>
      </c>
      <c r="AO1007" s="60" t="b">
        <f t="shared" si="110"/>
        <v>0</v>
      </c>
      <c r="AP1007" s="60" t="b">
        <f t="shared" si="111"/>
        <v>0</v>
      </c>
      <c r="AQ1007" s="60" t="b">
        <f t="shared" si="112"/>
        <v>0</v>
      </c>
      <c r="AR1007" s="60" t="str">
        <f t="shared" si="113"/>
        <v>No</v>
      </c>
      <c r="AS1007" s="60" t="str">
        <f t="shared" si="114"/>
        <v>No</v>
      </c>
    </row>
    <row r="1008" spans="1:45" ht="15" hidden="1">
      <c r="A1008" s="103">
        <v>45244</v>
      </c>
      <c r="B1008" s="117" t="s">
        <v>4202</v>
      </c>
      <c r="C1008" s="28" t="s">
        <v>548</v>
      </c>
      <c r="D1008" s="28" t="s">
        <v>4206</v>
      </c>
      <c r="E1008" s="28" t="s">
        <v>4207</v>
      </c>
      <c r="F1008" s="28" t="s">
        <v>4208</v>
      </c>
      <c r="G1008" s="28" t="s">
        <v>1077</v>
      </c>
      <c r="H1008" s="28" t="s">
        <v>3805</v>
      </c>
      <c r="I1008" s="28" t="s">
        <v>516</v>
      </c>
      <c r="J1008" s="28" t="s">
        <v>517</v>
      </c>
      <c r="K1008" s="28" t="s">
        <v>518</v>
      </c>
      <c r="L1008" s="28" t="s">
        <v>751</v>
      </c>
      <c r="M1008" s="28" t="s">
        <v>520</v>
      </c>
      <c r="N1008" s="28" t="s">
        <v>544</v>
      </c>
      <c r="O1008" s="28" t="s">
        <v>1524</v>
      </c>
      <c r="P1008" s="28" t="s">
        <v>522</v>
      </c>
      <c r="S1008" s="28" t="s">
        <v>740</v>
      </c>
      <c r="T1008" s="28" t="s">
        <v>753</v>
      </c>
      <c r="U1008" s="28" t="s">
        <v>753</v>
      </c>
      <c r="V1008" s="28" t="s">
        <v>517</v>
      </c>
      <c r="W1008" s="28" t="s">
        <v>4209</v>
      </c>
      <c r="X1008" s="28" t="s">
        <v>670</v>
      </c>
      <c r="Z1008" s="118" t="s">
        <v>563</v>
      </c>
      <c r="AA1008" s="118"/>
      <c r="AB1008" s="118" t="s">
        <v>527</v>
      </c>
      <c r="AD1008" s="28" t="s">
        <v>528</v>
      </c>
      <c r="AF1008" s="117"/>
      <c r="AG1008" s="28" t="s">
        <v>563</v>
      </c>
      <c r="AK1008" s="60" t="s">
        <v>2927</v>
      </c>
      <c r="AL1008" s="117">
        <f>1/COUNTIF(Tableau6[LAT],B1008)</f>
        <v>0.25</v>
      </c>
      <c r="AM1008" s="60" t="b">
        <f t="shared" si="108"/>
        <v>0</v>
      </c>
      <c r="AN1008" s="60" t="b">
        <f t="shared" si="109"/>
        <v>0</v>
      </c>
      <c r="AO1008" s="60" t="b">
        <f t="shared" si="110"/>
        <v>0</v>
      </c>
      <c r="AP1008" s="60" t="b">
        <f t="shared" si="111"/>
        <v>0</v>
      </c>
      <c r="AQ1008" s="60" t="b">
        <f t="shared" si="112"/>
        <v>0</v>
      </c>
      <c r="AR1008" s="60" t="str">
        <f t="shared" si="113"/>
        <v>No</v>
      </c>
      <c r="AS1008" s="60" t="str">
        <f t="shared" si="114"/>
        <v>No</v>
      </c>
    </row>
    <row r="1009" spans="1:45" ht="15" hidden="1">
      <c r="A1009" s="103">
        <v>45244</v>
      </c>
      <c r="B1009" s="117" t="s">
        <v>4202</v>
      </c>
      <c r="C1009" s="28" t="s">
        <v>612</v>
      </c>
      <c r="D1009" s="28" t="s">
        <v>4210</v>
      </c>
      <c r="E1009" s="28" t="s">
        <v>4211</v>
      </c>
      <c r="F1009" s="28" t="s">
        <v>4208</v>
      </c>
      <c r="G1009" s="28" t="s">
        <v>1077</v>
      </c>
      <c r="H1009" s="28" t="s">
        <v>3805</v>
      </c>
      <c r="I1009" s="28" t="s">
        <v>516</v>
      </c>
      <c r="J1009" s="28" t="s">
        <v>517</v>
      </c>
      <c r="K1009" s="28" t="s">
        <v>518</v>
      </c>
      <c r="L1009" s="28" t="s">
        <v>751</v>
      </c>
      <c r="M1009" s="28" t="s">
        <v>520</v>
      </c>
      <c r="N1009" s="28" t="s">
        <v>544</v>
      </c>
      <c r="O1009" s="28" t="s">
        <v>1524</v>
      </c>
      <c r="P1009" s="28" t="s">
        <v>522</v>
      </c>
      <c r="S1009" s="28" t="s">
        <v>740</v>
      </c>
      <c r="T1009" s="28" t="s">
        <v>753</v>
      </c>
      <c r="U1009" s="28" t="s">
        <v>753</v>
      </c>
      <c r="V1009" s="28" t="s">
        <v>517</v>
      </c>
      <c r="W1009" s="28" t="s">
        <v>4212</v>
      </c>
      <c r="X1009" s="28" t="s">
        <v>670</v>
      </c>
      <c r="Z1009" s="118" t="s">
        <v>563</v>
      </c>
      <c r="AA1009" s="118"/>
      <c r="AB1009" s="118" t="s">
        <v>527</v>
      </c>
      <c r="AD1009" s="28" t="s">
        <v>528</v>
      </c>
      <c r="AF1009" s="117" t="s">
        <v>4210</v>
      </c>
      <c r="AG1009" s="28" t="s">
        <v>563</v>
      </c>
      <c r="AK1009" s="60" t="s">
        <v>2927</v>
      </c>
      <c r="AL1009" s="117">
        <f>1/COUNTIF(Tableau6[LAT],B1009)</f>
        <v>0.25</v>
      </c>
      <c r="AM1009" s="60" t="b">
        <f t="shared" si="108"/>
        <v>0</v>
      </c>
      <c r="AN1009" s="60" t="b">
        <f t="shared" si="109"/>
        <v>0</v>
      </c>
      <c r="AO1009" s="60" t="b">
        <f t="shared" si="110"/>
        <v>0</v>
      </c>
      <c r="AP1009" s="60" t="b">
        <f t="shared" si="111"/>
        <v>0</v>
      </c>
      <c r="AQ1009" s="60" t="b">
        <f t="shared" si="112"/>
        <v>0</v>
      </c>
      <c r="AR1009" s="60" t="str">
        <f t="shared" si="113"/>
        <v>No</v>
      </c>
      <c r="AS1009" s="60" t="str">
        <f t="shared" si="114"/>
        <v>No</v>
      </c>
    </row>
    <row r="1010" spans="1:45" ht="15" hidden="1">
      <c r="A1010" s="103">
        <v>45244</v>
      </c>
      <c r="B1010" s="117" t="s">
        <v>4202</v>
      </c>
      <c r="C1010" s="28" t="s">
        <v>691</v>
      </c>
      <c r="D1010" s="28" t="s">
        <v>4213</v>
      </c>
      <c r="E1010" s="28" t="s">
        <v>4214</v>
      </c>
      <c r="F1010" s="28" t="s">
        <v>4208</v>
      </c>
      <c r="G1010" s="28" t="s">
        <v>1077</v>
      </c>
      <c r="H1010" s="28" t="s">
        <v>3805</v>
      </c>
      <c r="I1010" s="28" t="s">
        <v>516</v>
      </c>
      <c r="J1010" s="28" t="s">
        <v>517</v>
      </c>
      <c r="K1010" s="28" t="s">
        <v>518</v>
      </c>
      <c r="L1010" s="28" t="s">
        <v>751</v>
      </c>
      <c r="M1010" s="28" t="s">
        <v>520</v>
      </c>
      <c r="N1010" s="28" t="s">
        <v>544</v>
      </c>
      <c r="O1010" s="28" t="s">
        <v>1524</v>
      </c>
      <c r="P1010" s="28" t="s">
        <v>522</v>
      </c>
      <c r="S1010" s="28" t="s">
        <v>740</v>
      </c>
      <c r="T1010" s="28" t="s">
        <v>753</v>
      </c>
      <c r="U1010" s="28" t="s">
        <v>753</v>
      </c>
      <c r="V1010" s="28" t="s">
        <v>517</v>
      </c>
      <c r="W1010" s="28" t="s">
        <v>4215</v>
      </c>
      <c r="X1010" s="28" t="s">
        <v>670</v>
      </c>
      <c r="Z1010" s="118" t="s">
        <v>563</v>
      </c>
      <c r="AA1010" s="118"/>
      <c r="AB1010" s="118" t="s">
        <v>527</v>
      </c>
      <c r="AD1010" s="28" t="s">
        <v>528</v>
      </c>
      <c r="AF1010" s="117" t="s">
        <v>4213</v>
      </c>
      <c r="AG1010" s="28" t="s">
        <v>563</v>
      </c>
      <c r="AK1010" s="60" t="s">
        <v>2927</v>
      </c>
      <c r="AL1010" s="117">
        <f>1/COUNTIF(Tableau6[LAT],B1010)</f>
        <v>0.25</v>
      </c>
      <c r="AM1010" s="60" t="b">
        <f t="shared" si="108"/>
        <v>0</v>
      </c>
      <c r="AN1010" s="60" t="b">
        <f t="shared" si="109"/>
        <v>0</v>
      </c>
      <c r="AO1010" s="60" t="b">
        <f t="shared" si="110"/>
        <v>0</v>
      </c>
      <c r="AP1010" s="60" t="b">
        <f t="shared" si="111"/>
        <v>0</v>
      </c>
      <c r="AQ1010" s="60" t="b">
        <f t="shared" si="112"/>
        <v>0</v>
      </c>
      <c r="AR1010" s="60" t="str">
        <f t="shared" si="113"/>
        <v>No</v>
      </c>
      <c r="AS1010" s="60" t="str">
        <f t="shared" si="114"/>
        <v>No</v>
      </c>
    </row>
    <row r="1011" spans="1:45" ht="15" hidden="1">
      <c r="A1011" s="103">
        <v>45244</v>
      </c>
      <c r="B1011" s="117" t="s">
        <v>4216</v>
      </c>
      <c r="C1011" s="28" t="s">
        <v>511</v>
      </c>
      <c r="D1011" s="28" t="s">
        <v>4217</v>
      </c>
      <c r="E1011" s="28" t="s">
        <v>4218</v>
      </c>
      <c r="F1011" s="28" t="s">
        <v>4219</v>
      </c>
      <c r="G1011" s="28" t="s">
        <v>657</v>
      </c>
      <c r="H1011" s="28" t="s">
        <v>4220</v>
      </c>
      <c r="I1011" s="28" t="s">
        <v>516</v>
      </c>
      <c r="J1011" s="28" t="s">
        <v>517</v>
      </c>
      <c r="K1011" s="28" t="s">
        <v>518</v>
      </c>
      <c r="L1011" s="28" t="s">
        <v>3639</v>
      </c>
      <c r="M1011" s="28" t="s">
        <v>535</v>
      </c>
      <c r="N1011" s="28" t="s">
        <v>1124</v>
      </c>
      <c r="O1011" s="28" t="s">
        <v>544</v>
      </c>
      <c r="S1011" s="28" t="s">
        <v>905</v>
      </c>
      <c r="T1011" s="28" t="s">
        <v>3640</v>
      </c>
      <c r="U1011" s="28" t="s">
        <v>3640</v>
      </c>
      <c r="V1011" s="28" t="s">
        <v>517</v>
      </c>
      <c r="W1011" s="28" t="s">
        <v>4221</v>
      </c>
      <c r="X1011" s="28" t="s">
        <v>670</v>
      </c>
      <c r="Z1011" s="118" t="s">
        <v>563</v>
      </c>
      <c r="AA1011" s="118"/>
      <c r="AB1011" s="118" t="s">
        <v>527</v>
      </c>
      <c r="AD1011" s="28" t="s">
        <v>528</v>
      </c>
      <c r="AF1011" s="117" t="s">
        <v>4217</v>
      </c>
      <c r="AG1011" s="28" t="s">
        <v>563</v>
      </c>
      <c r="AK1011" s="60" t="s">
        <v>2927</v>
      </c>
      <c r="AL1011" s="117">
        <f>1/COUNTIF(Tableau6[LAT],B1011)</f>
        <v>0.25</v>
      </c>
      <c r="AM1011" s="60" t="b">
        <f t="shared" si="108"/>
        <v>0</v>
      </c>
      <c r="AN1011" s="60" t="b">
        <f t="shared" si="109"/>
        <v>0</v>
      </c>
      <c r="AO1011" s="60" t="b">
        <f t="shared" si="110"/>
        <v>0</v>
      </c>
      <c r="AP1011" s="60" t="b">
        <f t="shared" si="111"/>
        <v>0</v>
      </c>
      <c r="AQ1011" s="60" t="b">
        <f t="shared" si="112"/>
        <v>0</v>
      </c>
      <c r="AR1011" s="60" t="str">
        <f t="shared" si="113"/>
        <v>No</v>
      </c>
      <c r="AS1011" s="60" t="str">
        <f t="shared" si="114"/>
        <v>No</v>
      </c>
    </row>
    <row r="1012" spans="1:45" ht="15" hidden="1">
      <c r="A1012" s="103">
        <v>45244</v>
      </c>
      <c r="B1012" s="117" t="s">
        <v>4216</v>
      </c>
      <c r="C1012" s="28" t="s">
        <v>548</v>
      </c>
      <c r="D1012" s="28" t="s">
        <v>4222</v>
      </c>
      <c r="E1012" s="28" t="s">
        <v>4223</v>
      </c>
      <c r="F1012" s="28" t="s">
        <v>4219</v>
      </c>
      <c r="G1012" s="28" t="s">
        <v>657</v>
      </c>
      <c r="H1012" s="28" t="s">
        <v>4220</v>
      </c>
      <c r="I1012" s="28" t="s">
        <v>516</v>
      </c>
      <c r="J1012" s="28" t="s">
        <v>517</v>
      </c>
      <c r="K1012" s="28" t="s">
        <v>518</v>
      </c>
      <c r="L1012" s="28" t="s">
        <v>3639</v>
      </c>
      <c r="M1012" s="28" t="s">
        <v>535</v>
      </c>
      <c r="N1012" s="28" t="s">
        <v>1124</v>
      </c>
      <c r="O1012" s="28" t="s">
        <v>544</v>
      </c>
      <c r="S1012" s="28" t="s">
        <v>905</v>
      </c>
      <c r="T1012" s="28" t="s">
        <v>3640</v>
      </c>
      <c r="U1012" s="28" t="s">
        <v>3640</v>
      </c>
      <c r="V1012" s="28" t="s">
        <v>517</v>
      </c>
      <c r="W1012" s="28" t="s">
        <v>4224</v>
      </c>
      <c r="X1012" s="28" t="s">
        <v>670</v>
      </c>
      <c r="Z1012" s="118" t="s">
        <v>563</v>
      </c>
      <c r="AA1012" s="118"/>
      <c r="AB1012" s="118" t="s">
        <v>527</v>
      </c>
      <c r="AD1012" s="28" t="s">
        <v>528</v>
      </c>
      <c r="AF1012" s="117" t="s">
        <v>4217</v>
      </c>
      <c r="AG1012" s="28" t="s">
        <v>563</v>
      </c>
      <c r="AK1012" s="60" t="s">
        <v>2927</v>
      </c>
      <c r="AL1012" s="117">
        <f>1/COUNTIF(Tableau6[LAT],B1012)</f>
        <v>0.25</v>
      </c>
      <c r="AM1012" s="60" t="b">
        <f t="shared" ref="AM1012:AM1075" si="115">IF(N1012="ALM","Yes",IF(N1012="ALI","Yes",IF(N1012="CAO","Yes",IF(N1012="ICE","Yes",IF(N1012="MAG","Yes",IF(N1012="MAG","Yes",IF(N1012="RBI","Yes",IF(N1012="RBM","Yes",IF(N1012="RCL","Yes",IF(N1012="RCM","Yes",IF(N1012="RCX","Yes",IF(N1012="RDS","Yes",IF(N1012="REQ","Yes",IF(N1012="REX","Yes",IF(N1012="RFG","Yes",IF(N1012="RFL","Yes",IF(N1012="RFS","Yes",IF(N1012="RFW","Yes",IF(N1012="RGX","Yes",IF(N1012="RIS",IF(N1012="RLI","Yes",IF(N1012="RLM","Yes",IF(N1012="RMD","Yes",IF(N1012="RNG","Yes",IF(N1012="ROP","Yes",IF(N1012="ROX","Yes",IF(N1012="RPB","Yes",IF(N1012="RPG","Yes",IF(N1012="RRE","Yes",IF(N1012="RRW","Yes",IF(N1012="RRY","Yes",IF(N1012="RSB","Yes",IF(N1012="RSC","Yes",IF(N1012="RXB","Yes",IF(N1012="RXC","Yes",IF(N1012="RXD","Yes",IF(N1012="RXE","Yes",IF(N1012="RXG","Yes",IF(N1012="RXS","Yes",)))))))))))))))))))))))))))))))))))))))</f>
        <v>0</v>
      </c>
      <c r="AN1012" s="60" t="b">
        <f t="shared" ref="AN1012:AN1075" si="116">IF(O1012="ALM","Yes",IF(O1012="ALI","Yes",IF(O1012="CAO","Yes",IF(O1012="ICE","Yes",IF(O1012="MAG","Yes",IF(O1012="MAG","Yes",IF(O1012="RBI","Yes",IF(O1012="RBM","Yes",IF(O1012="RCL","Yes",IF(O1012="RCM","Yes",IF(O1012="RCX","Yes",IF(O1012="RDS","Yes",IF(O1012="REQ","Yes",IF(O1012="REX","Yes",IF(O1012="RFG","Yes",IF(O1012="RFL","Yes",IF(O1012="RFS","Yes",IF(O1012="RFW","Yes",IF(O1012="RGX","Yes",IF(O1012="RIS",IF(O1012="RLI","Yes",IF(O1012="RLM","Yes",IF(O1012="RMD","Yes",IF(O1012="RNG","Yes",IF(O1012="ROP","Yes",IF(O1012="ROX","Yes",IF(O1012="RPB","Yes",IF(O1012="RPG","Yes",IF(O1012="RRE","Yes",IF(O1012="RRW","Yes",IF(O1012="RRY","Yes",IF(O1012="RSB","Yes",IF(O1012="RSC","Yes",IF(O1012="RXB","Yes",IF(O1012="RXC","Yes",IF(O1012="RXD","Yes",IF(O1012="RXE","Yes",IF(O1012="RXG","Yes",IF(O1012="RXS","Yes",)))))))))))))))))))))))))))))))))))))))</f>
        <v>0</v>
      </c>
      <c r="AO1012" s="60" t="b">
        <f t="shared" ref="AO1012:AO1075" si="117">IF(P1012="ALM","Yes",IF(P1012="ALI","Yes",IF(P1012="CAO","Yes",IF(P1012="ICE","Yes",IF(P1012="MAG","Yes",IF(P1012="MAG","Yes",IF(P1012="RBI","Yes",IF(P1012="RBM","Yes",IF(P1012="RCL","Yes",IF(P1012="RCM","Yes",IF(P1012="RCX","Yes",IF(P1012="RDS","Yes",IF(P1012="REQ","Yes",IF(P1012="REX","Yes",IF(P1012="RFG","Yes",IF(P1012="RFL","Yes",IF(P1012="RFS","Yes",IF(P1012="RFW","Yes",IF(P1012="RGX","Yes",IF(P1012="RIS",IF(P1012="RLI","Yes",IF(P1012="RLM","Yes",IF(P1012="RMD","Yes",IF(P1012="RNG","Yes",IF(P1012="ROP","Yes",IF(P1012="ROX","Yes",IF(P1012="RPB","Yes",IF(P1012="RPG","Yes",IF(P1012="RRE","Yes",IF(P1012="RRW","Yes",IF(P1012="RRY","Yes",IF(P1012="RSB","Yes",IF(P1012="RSC","Yes",IF(P1012="RXB","Yes",IF(P1012="RXC","Yes",IF(P1012="RXD","Yes",IF(P1012="RXE","Yes",IF(P1012="RXG","Yes",IF(P1012="RXS","Yes",)))))))))))))))))))))))))))))))))))))))</f>
        <v>0</v>
      </c>
      <c r="AP1012" s="60" t="b">
        <f t="shared" ref="AP1012:AP1075" si="118">IF(Q1012="ALM","Yes",IF(Q1012="ALI","Yes",IF(Q1012="CAO","Yes",IF(Q1012="ICE","Yes",IF(Q1012="MAG","Yes",IF(Q1012="MAG","Yes",IF(Q1012="RBI","Yes",IF(Q1012="RBM","Yes",IF(Q1012="RCL","Yes",IF(Q1012="RCM","Yes",IF(Q1012="RCX","Yes",IF(Q1012="RDS","Yes",IF(Q1012="REQ","Yes",IF(Q1012="REX","Yes",IF(Q1012="RFG","Yes",IF(Q1012="RFL","Yes",IF(Q1012="RFS","Yes",IF(Q1012="RFW","Yes",IF(Q1012="RGX","Yes",IF(Q1012="RIS",IF(Q1012="RLI","Yes",IF(Q1012="RLM","Yes",IF(Q1012="RMD","Yes",IF(Q1012="RNG","Yes",IF(Q1012="ROP","Yes",IF(Q1012="ROX","Yes",IF(Q1012="RPB","Yes",IF(Q1012="RPG","Yes",IF(Q1012="RRE","Yes",IF(Q1012="RRW","Yes",IF(Q1012="RRY","Yes",IF(Q1012="RSB","Yes",IF(Q1012="RSC","Yes",IF(Q1012="RXB","Yes",IF(Q1012="RXC","Yes",IF(Q1012="RXD","Yes",IF(Q1012="RXE","Yes",IF(Q1012="RXG","Yes",IF(Q1012="RXS","Yes",)))))))))))))))))))))))))))))))))))))))</f>
        <v>0</v>
      </c>
      <c r="AQ1012" s="60" t="b">
        <f t="shared" ref="AQ1012:AQ1075" si="119">IF(R1012="ALM","Yes",IF(R1012="ALI","Yes",IF(R1012="CAO","Yes",IF(R1012="ICE","Yes",IF(R1012="MAG","Yes",IF(R1012="MAG","Yes",IF(R1012="RBI","Yes",IF(R1012="RBM","Yes",IF(R1012="RCL","Yes",IF(R1012="RCM","Yes",IF(R1012="RCX","Yes",IF(R1012="RDS","Yes",IF(R1012="REQ","Yes",IF(R1012="REX","Yes",IF(R1012="RFG","Yes",IF(R1012="RFL","Yes",IF(R1012="RFS","Yes",IF(R1012="RFW","Yes",IF(R1012="RGX","Yes",IF(R1012="RIS",IF(R1012="RLI","Yes",IF(R1012="RLM","Yes",IF(R1012="RMD","Yes",IF(R1012="RNG","Yes",IF(R1012="ROP","Yes",IF(R1012="ROX","Yes",IF(R1012="RPB","Yes",IF(R1012="RPG","Yes",IF(R1012="RRE","Yes",IF(R1012="RRW","Yes",IF(R1012="RRY","Yes",IF(R1012="RSB","Yes",IF(R1012="RSC","Yes",IF(R1012="RXB","Yes",IF(R1012="RXC","Yes",IF(R1012="RXD","Yes",IF(R1012="RXE","Yes",IF(R1012="RXG","Yes",IF(R1012="RXS","Yes",)))))))))))))))))))))))))))))))))))))))</f>
        <v>0</v>
      </c>
      <c r="AR1012" s="60" t="str">
        <f t="shared" ref="AR1012:AR1075" si="120">IF(AM1012="Yes","Yes",IF(AN1012="Yes","Yes",IF(AO1012="yes","Yes",IF(AP1012="Yes","Yes","No"))))</f>
        <v>No</v>
      </c>
      <c r="AS1012" s="60" t="str">
        <f t="shared" ref="AS1012:AS1075" si="121">IF(S1012="QFA","Yes",IF(S1012="LCJ","Yes",IF(S1012="CAJ","Yes",IF(S1012="WRO","Yes",IF(S1012="BEY","Yes",IF(S1012="TUN","Yes",IF(S1012="LFW","Yes",IF(S1012="DLA","Yes",IF(S1012="NSI","Yes",IF(S1012="OUA","Yes",IF(S1012="IAH","Yes",IF(S1012="LYS","Yes",IF(S1012="DSS","Yes",IF(S1012="BKO","Yes",IF(S1012="BZV","Yes",IF(S1012="COO","Yes",IF(S1012="EZE","Yes",IF(S1012="CKY","Yes",IF(S1012="PTP","Yes",IF(S1012="ORD","Yes",IF(S1012="CFE","Yes",IF(S1012="NKC","Yes",IF(S1012="FDF","Yes",IF(S1012="SDQ","Yes",IF(S1012="PNR","Yes",IF(S1012="ICAY","Yes",IF(S1012="DTW","Yes",IF(S1012="TNR","Yes",IF(S1012="RUN","Yes",IF(S1012="NIM","Yes","No"))))))))))))))))))))))))))))))</f>
        <v>No</v>
      </c>
    </row>
    <row r="1013" spans="1:45" ht="15" hidden="1">
      <c r="A1013" s="103">
        <v>45244</v>
      </c>
      <c r="B1013" s="117" t="s">
        <v>4216</v>
      </c>
      <c r="C1013" s="28" t="s">
        <v>612</v>
      </c>
      <c r="D1013" s="28" t="s">
        <v>4225</v>
      </c>
      <c r="E1013" s="28" t="s">
        <v>4226</v>
      </c>
      <c r="F1013" s="28" t="s">
        <v>4219</v>
      </c>
      <c r="G1013" s="28" t="s">
        <v>657</v>
      </c>
      <c r="H1013" s="28" t="s">
        <v>4220</v>
      </c>
      <c r="I1013" s="28" t="s">
        <v>516</v>
      </c>
      <c r="J1013" s="28" t="s">
        <v>517</v>
      </c>
      <c r="K1013" s="28" t="s">
        <v>518</v>
      </c>
      <c r="L1013" s="28" t="s">
        <v>3639</v>
      </c>
      <c r="M1013" s="28" t="s">
        <v>535</v>
      </c>
      <c r="N1013" s="28" t="s">
        <v>1124</v>
      </c>
      <c r="O1013" s="28" t="s">
        <v>544</v>
      </c>
      <c r="S1013" s="28" t="s">
        <v>905</v>
      </c>
      <c r="T1013" s="28" t="s">
        <v>3640</v>
      </c>
      <c r="U1013" s="28" t="s">
        <v>3640</v>
      </c>
      <c r="V1013" s="28" t="s">
        <v>517</v>
      </c>
      <c r="W1013" s="28" t="s">
        <v>4227</v>
      </c>
      <c r="X1013" s="28" t="s">
        <v>670</v>
      </c>
      <c r="Z1013" s="118" t="s">
        <v>563</v>
      </c>
      <c r="AA1013" s="118"/>
      <c r="AB1013" s="118" t="s">
        <v>527</v>
      </c>
      <c r="AD1013" s="28" t="s">
        <v>528</v>
      </c>
      <c r="AF1013" s="117" t="s">
        <v>4217</v>
      </c>
      <c r="AG1013" s="28" t="s">
        <v>563</v>
      </c>
      <c r="AK1013" s="60" t="s">
        <v>2927</v>
      </c>
      <c r="AL1013" s="117">
        <f>1/COUNTIF(Tableau6[LAT],B1013)</f>
        <v>0.25</v>
      </c>
      <c r="AM1013" s="60" t="b">
        <f t="shared" si="115"/>
        <v>0</v>
      </c>
      <c r="AN1013" s="60" t="b">
        <f t="shared" si="116"/>
        <v>0</v>
      </c>
      <c r="AO1013" s="60" t="b">
        <f t="shared" si="117"/>
        <v>0</v>
      </c>
      <c r="AP1013" s="60" t="b">
        <f t="shared" si="118"/>
        <v>0</v>
      </c>
      <c r="AQ1013" s="60" t="b">
        <f t="shared" si="119"/>
        <v>0</v>
      </c>
      <c r="AR1013" s="60" t="str">
        <f t="shared" si="120"/>
        <v>No</v>
      </c>
      <c r="AS1013" s="60" t="str">
        <f t="shared" si="121"/>
        <v>No</v>
      </c>
    </row>
    <row r="1014" spans="1:45" ht="15" hidden="1">
      <c r="A1014" s="103">
        <v>45244</v>
      </c>
      <c r="B1014" s="117" t="s">
        <v>4216</v>
      </c>
      <c r="C1014" s="28" t="s">
        <v>691</v>
      </c>
      <c r="D1014" s="28" t="s">
        <v>4228</v>
      </c>
      <c r="E1014" s="28" t="s">
        <v>4229</v>
      </c>
      <c r="F1014" s="28" t="s">
        <v>4219</v>
      </c>
      <c r="G1014" s="28" t="s">
        <v>657</v>
      </c>
      <c r="H1014" s="28" t="s">
        <v>4220</v>
      </c>
      <c r="I1014" s="28" t="s">
        <v>516</v>
      </c>
      <c r="J1014" s="28" t="s">
        <v>517</v>
      </c>
      <c r="K1014" s="28" t="s">
        <v>518</v>
      </c>
      <c r="L1014" s="28" t="s">
        <v>3639</v>
      </c>
      <c r="M1014" s="28" t="s">
        <v>535</v>
      </c>
      <c r="N1014" s="28" t="s">
        <v>1124</v>
      </c>
      <c r="O1014" s="28" t="s">
        <v>544</v>
      </c>
      <c r="S1014" s="28" t="s">
        <v>905</v>
      </c>
      <c r="T1014" s="28" t="s">
        <v>3640</v>
      </c>
      <c r="U1014" s="28" t="s">
        <v>3640</v>
      </c>
      <c r="V1014" s="28" t="s">
        <v>517</v>
      </c>
      <c r="W1014" s="28" t="s">
        <v>4230</v>
      </c>
      <c r="X1014" s="28" t="s">
        <v>670</v>
      </c>
      <c r="Z1014" s="118" t="s">
        <v>563</v>
      </c>
      <c r="AA1014" s="118"/>
      <c r="AB1014" s="118" t="s">
        <v>527</v>
      </c>
      <c r="AD1014" s="28" t="s">
        <v>528</v>
      </c>
      <c r="AF1014" s="117" t="s">
        <v>4217</v>
      </c>
      <c r="AG1014" s="28" t="s">
        <v>563</v>
      </c>
      <c r="AK1014" s="60" t="s">
        <v>2927</v>
      </c>
      <c r="AL1014" s="117">
        <f>1/COUNTIF(Tableau6[LAT],B1014)</f>
        <v>0.25</v>
      </c>
      <c r="AM1014" s="60" t="b">
        <f t="shared" si="115"/>
        <v>0</v>
      </c>
      <c r="AN1014" s="60" t="b">
        <f t="shared" si="116"/>
        <v>0</v>
      </c>
      <c r="AO1014" s="60" t="b">
        <f t="shared" si="117"/>
        <v>0</v>
      </c>
      <c r="AP1014" s="60" t="b">
        <f t="shared" si="118"/>
        <v>0</v>
      </c>
      <c r="AQ1014" s="60" t="b">
        <f t="shared" si="119"/>
        <v>0</v>
      </c>
      <c r="AR1014" s="60" t="str">
        <f t="shared" si="120"/>
        <v>No</v>
      </c>
      <c r="AS1014" s="60" t="str">
        <f t="shared" si="121"/>
        <v>No</v>
      </c>
    </row>
    <row r="1015" spans="1:45" ht="15" hidden="1">
      <c r="A1015" s="103">
        <v>45244</v>
      </c>
      <c r="B1015" s="117" t="s">
        <v>4231</v>
      </c>
      <c r="C1015" s="28" t="s">
        <v>548</v>
      </c>
      <c r="D1015" s="28" t="s">
        <v>4232</v>
      </c>
      <c r="E1015" s="28" t="s">
        <v>4233</v>
      </c>
      <c r="F1015" s="28" t="s">
        <v>4234</v>
      </c>
      <c r="G1015" s="28" t="s">
        <v>657</v>
      </c>
      <c r="H1015" s="28" t="s">
        <v>2050</v>
      </c>
      <c r="I1015" s="28" t="s">
        <v>516</v>
      </c>
      <c r="J1015" s="28" t="s">
        <v>517</v>
      </c>
      <c r="K1015" s="28" t="s">
        <v>518</v>
      </c>
      <c r="L1015" s="28" t="s">
        <v>1097</v>
      </c>
      <c r="M1015" s="28" t="s">
        <v>605</v>
      </c>
      <c r="S1015" s="28" t="s">
        <v>718</v>
      </c>
      <c r="T1015" s="28" t="s">
        <v>1098</v>
      </c>
      <c r="U1015" s="28" t="s">
        <v>1098</v>
      </c>
      <c r="V1015" s="28" t="s">
        <v>517</v>
      </c>
      <c r="W1015" s="28" t="s">
        <v>4235</v>
      </c>
      <c r="X1015" s="28" t="s">
        <v>670</v>
      </c>
      <c r="Z1015" s="118" t="s">
        <v>563</v>
      </c>
      <c r="AA1015" s="118"/>
      <c r="AB1015" s="118" t="s">
        <v>527</v>
      </c>
      <c r="AD1015" s="28" t="s">
        <v>528</v>
      </c>
      <c r="AF1015" s="117" t="s">
        <v>4236</v>
      </c>
      <c r="AG1015" s="28" t="s">
        <v>563</v>
      </c>
      <c r="AK1015" s="60" t="s">
        <v>2927</v>
      </c>
      <c r="AL1015" s="117">
        <f>1/COUNTIF(Tableau6[LAT],B1015)</f>
        <v>1</v>
      </c>
      <c r="AM1015" s="60" t="b">
        <f t="shared" si="115"/>
        <v>0</v>
      </c>
      <c r="AN1015" s="60" t="b">
        <f t="shared" si="116"/>
        <v>0</v>
      </c>
      <c r="AO1015" s="60" t="b">
        <f t="shared" si="117"/>
        <v>0</v>
      </c>
      <c r="AP1015" s="60" t="b">
        <f t="shared" si="118"/>
        <v>0</v>
      </c>
      <c r="AQ1015" s="60" t="b">
        <f t="shared" si="119"/>
        <v>0</v>
      </c>
      <c r="AR1015" s="60" t="str">
        <f t="shared" si="120"/>
        <v>No</v>
      </c>
      <c r="AS1015" s="60" t="str">
        <f t="shared" si="121"/>
        <v>No</v>
      </c>
    </row>
    <row r="1016" spans="1:45" ht="15" hidden="1">
      <c r="A1016" s="103">
        <v>45244</v>
      </c>
      <c r="B1016" s="117" t="s">
        <v>4237</v>
      </c>
      <c r="C1016" s="28" t="s">
        <v>511</v>
      </c>
      <c r="D1016" s="28" t="s">
        <v>4238</v>
      </c>
      <c r="F1016" s="28" t="s">
        <v>1002</v>
      </c>
      <c r="G1016" s="28" t="s">
        <v>514</v>
      </c>
      <c r="H1016" s="28" t="s">
        <v>4042</v>
      </c>
      <c r="I1016" s="28" t="s">
        <v>516</v>
      </c>
      <c r="J1016" s="28" t="s">
        <v>517</v>
      </c>
      <c r="K1016" s="28" t="s">
        <v>518</v>
      </c>
      <c r="L1016" s="28" t="s">
        <v>1097</v>
      </c>
      <c r="M1016" s="28" t="s">
        <v>535</v>
      </c>
      <c r="N1016" s="28" t="s">
        <v>934</v>
      </c>
      <c r="O1016" s="28" t="s">
        <v>544</v>
      </c>
      <c r="P1016" s="28" t="s">
        <v>627</v>
      </c>
      <c r="S1016" s="28" t="s">
        <v>740</v>
      </c>
      <c r="T1016" s="28" t="s">
        <v>1098</v>
      </c>
      <c r="U1016" s="28" t="s">
        <v>1098</v>
      </c>
      <c r="V1016" s="28" t="s">
        <v>517</v>
      </c>
      <c r="W1016" s="28" t="s">
        <v>4239</v>
      </c>
      <c r="Z1016" s="118" t="s">
        <v>563</v>
      </c>
      <c r="AA1016" s="118"/>
      <c r="AB1016" s="118" t="s">
        <v>527</v>
      </c>
      <c r="AF1016" s="117"/>
      <c r="AK1016" s="60" t="s">
        <v>2927</v>
      </c>
      <c r="AL1016" s="117">
        <f>1/COUNTIF(Tableau6[LAT],B1016)</f>
        <v>1</v>
      </c>
      <c r="AM1016" s="60" t="b">
        <f t="shared" si="115"/>
        <v>0</v>
      </c>
      <c r="AN1016" s="60" t="b">
        <f t="shared" si="116"/>
        <v>0</v>
      </c>
      <c r="AO1016" s="60" t="b">
        <f t="shared" si="117"/>
        <v>0</v>
      </c>
      <c r="AP1016" s="60" t="b">
        <f t="shared" si="118"/>
        <v>0</v>
      </c>
      <c r="AQ1016" s="60" t="b">
        <f t="shared" si="119"/>
        <v>0</v>
      </c>
      <c r="AR1016" s="60" t="str">
        <f t="shared" si="120"/>
        <v>No</v>
      </c>
      <c r="AS1016" s="60" t="str">
        <f t="shared" si="121"/>
        <v>No</v>
      </c>
    </row>
    <row r="1017" spans="1:45" ht="15" hidden="1">
      <c r="A1017" s="103">
        <v>45244</v>
      </c>
      <c r="B1017" s="117" t="s">
        <v>4240</v>
      </c>
      <c r="C1017" s="28" t="s">
        <v>511</v>
      </c>
      <c r="D1017" s="28" t="s">
        <v>4241</v>
      </c>
      <c r="F1017" s="28" t="s">
        <v>3884</v>
      </c>
      <c r="G1017" s="28" t="s">
        <v>514</v>
      </c>
      <c r="H1017" s="28" t="s">
        <v>794</v>
      </c>
      <c r="I1017" s="28" t="s">
        <v>516</v>
      </c>
      <c r="J1017" s="28" t="s">
        <v>517</v>
      </c>
      <c r="K1017" s="28" t="s">
        <v>518</v>
      </c>
      <c r="L1017" s="28" t="s">
        <v>839</v>
      </c>
      <c r="M1017" s="28" t="s">
        <v>605</v>
      </c>
      <c r="N1017" s="28" t="s">
        <v>544</v>
      </c>
      <c r="O1017" s="28" t="s">
        <v>522</v>
      </c>
      <c r="S1017" s="28" t="s">
        <v>740</v>
      </c>
      <c r="T1017" s="28" t="s">
        <v>840</v>
      </c>
      <c r="U1017" s="28" t="s">
        <v>840</v>
      </c>
      <c r="V1017" s="28" t="s">
        <v>517</v>
      </c>
      <c r="W1017" s="28" t="s">
        <v>2916</v>
      </c>
      <c r="Z1017" s="118" t="s">
        <v>563</v>
      </c>
      <c r="AA1017" s="118"/>
      <c r="AB1017" s="118" t="s">
        <v>527</v>
      </c>
      <c r="AF1017" s="117"/>
      <c r="AK1017" s="60" t="s">
        <v>2927</v>
      </c>
      <c r="AL1017" s="117">
        <f>1/COUNTIF(Tableau6[LAT],B1017)</f>
        <v>1</v>
      </c>
      <c r="AM1017" s="60" t="b">
        <f t="shared" si="115"/>
        <v>0</v>
      </c>
      <c r="AN1017" s="60" t="b">
        <f t="shared" si="116"/>
        <v>0</v>
      </c>
      <c r="AO1017" s="60" t="b">
        <f t="shared" si="117"/>
        <v>0</v>
      </c>
      <c r="AP1017" s="60" t="b">
        <f t="shared" si="118"/>
        <v>0</v>
      </c>
      <c r="AQ1017" s="60" t="b">
        <f t="shared" si="119"/>
        <v>0</v>
      </c>
      <c r="AR1017" s="60" t="str">
        <f t="shared" si="120"/>
        <v>No</v>
      </c>
      <c r="AS1017" s="60" t="str">
        <f t="shared" si="121"/>
        <v>No</v>
      </c>
    </row>
    <row r="1018" spans="1:45" ht="15" hidden="1">
      <c r="A1018" s="103">
        <v>45244</v>
      </c>
      <c r="B1018" s="117" t="s">
        <v>4242</v>
      </c>
      <c r="C1018" s="28" t="s">
        <v>511</v>
      </c>
      <c r="D1018" s="28" t="s">
        <v>4243</v>
      </c>
      <c r="F1018" s="28" t="s">
        <v>1128</v>
      </c>
      <c r="G1018" s="28" t="s">
        <v>514</v>
      </c>
      <c r="H1018" s="28" t="s">
        <v>947</v>
      </c>
      <c r="I1018" s="28" t="s">
        <v>516</v>
      </c>
      <c r="J1018" s="28" t="s">
        <v>517</v>
      </c>
      <c r="K1018" s="28" t="s">
        <v>518</v>
      </c>
      <c r="L1018" s="28" t="s">
        <v>1276</v>
      </c>
      <c r="M1018" s="28" t="s">
        <v>535</v>
      </c>
      <c r="N1018" s="28" t="s">
        <v>557</v>
      </c>
      <c r="O1018" s="28" t="s">
        <v>559</v>
      </c>
      <c r="S1018" s="28" t="s">
        <v>4244</v>
      </c>
      <c r="T1018" s="28" t="s">
        <v>917</v>
      </c>
      <c r="U1018" s="28" t="s">
        <v>917</v>
      </c>
      <c r="V1018" s="28" t="s">
        <v>517</v>
      </c>
      <c r="W1018" s="28" t="s">
        <v>4245</v>
      </c>
      <c r="Z1018" s="118" t="s">
        <v>4246</v>
      </c>
      <c r="AA1018" s="118"/>
      <c r="AB1018" s="118" t="s">
        <v>2458</v>
      </c>
      <c r="AD1018" s="28" t="s">
        <v>528</v>
      </c>
      <c r="AF1018" s="117" t="s">
        <v>4243</v>
      </c>
      <c r="AG1018" s="28" t="s">
        <v>563</v>
      </c>
      <c r="AK1018" s="60" t="s">
        <v>2927</v>
      </c>
      <c r="AL1018" s="117">
        <f>1/COUNTIF(Tableau6[LAT],B1018)</f>
        <v>0.5</v>
      </c>
      <c r="AM1018" s="60" t="b">
        <f t="shared" si="115"/>
        <v>0</v>
      </c>
      <c r="AN1018" s="60" t="b">
        <f t="shared" si="116"/>
        <v>0</v>
      </c>
      <c r="AO1018" s="60" t="b">
        <f t="shared" si="117"/>
        <v>0</v>
      </c>
      <c r="AP1018" s="60" t="b">
        <f t="shared" si="118"/>
        <v>0</v>
      </c>
      <c r="AQ1018" s="60" t="b">
        <f t="shared" si="119"/>
        <v>0</v>
      </c>
      <c r="AR1018" s="60" t="str">
        <f t="shared" si="120"/>
        <v>No</v>
      </c>
      <c r="AS1018" s="60" t="str">
        <f t="shared" si="121"/>
        <v>No</v>
      </c>
    </row>
    <row r="1019" spans="1:45" ht="15" hidden="1">
      <c r="A1019" s="103">
        <v>45244</v>
      </c>
      <c r="B1019" s="117" t="s">
        <v>4242</v>
      </c>
      <c r="C1019" s="28" t="s">
        <v>548</v>
      </c>
      <c r="D1019" s="28" t="s">
        <v>4247</v>
      </c>
      <c r="F1019" s="28" t="s">
        <v>1128</v>
      </c>
      <c r="G1019" s="28" t="s">
        <v>514</v>
      </c>
      <c r="H1019" s="28" t="s">
        <v>894</v>
      </c>
      <c r="I1019" s="28" t="s">
        <v>516</v>
      </c>
      <c r="J1019" s="28" t="s">
        <v>517</v>
      </c>
      <c r="K1019" s="28" t="s">
        <v>518</v>
      </c>
      <c r="L1019" s="28" t="s">
        <v>1276</v>
      </c>
      <c r="M1019" s="28" t="s">
        <v>535</v>
      </c>
      <c r="N1019" s="28" t="s">
        <v>557</v>
      </c>
      <c r="O1019" s="28" t="s">
        <v>559</v>
      </c>
      <c r="S1019" s="28" t="s">
        <v>4244</v>
      </c>
      <c r="T1019" s="28" t="s">
        <v>917</v>
      </c>
      <c r="U1019" s="28" t="s">
        <v>917</v>
      </c>
      <c r="V1019" s="28" t="s">
        <v>517</v>
      </c>
      <c r="W1019" s="28" t="s">
        <v>4248</v>
      </c>
      <c r="Z1019" s="118" t="s">
        <v>4246</v>
      </c>
      <c r="AA1019" s="118"/>
      <c r="AB1019" s="118" t="s">
        <v>2458</v>
      </c>
      <c r="AD1019" s="28" t="s">
        <v>528</v>
      </c>
      <c r="AF1019" s="117" t="s">
        <v>4243</v>
      </c>
      <c r="AG1019" s="28" t="s">
        <v>563</v>
      </c>
      <c r="AK1019" s="60" t="s">
        <v>2927</v>
      </c>
      <c r="AL1019" s="117">
        <f>1/COUNTIF(Tableau6[LAT],B1019)</f>
        <v>0.5</v>
      </c>
      <c r="AM1019" s="60" t="b">
        <f t="shared" si="115"/>
        <v>0</v>
      </c>
      <c r="AN1019" s="60" t="b">
        <f t="shared" si="116"/>
        <v>0</v>
      </c>
      <c r="AO1019" s="60" t="b">
        <f t="shared" si="117"/>
        <v>0</v>
      </c>
      <c r="AP1019" s="60" t="b">
        <f t="shared" si="118"/>
        <v>0</v>
      </c>
      <c r="AQ1019" s="60" t="b">
        <f t="shared" si="119"/>
        <v>0</v>
      </c>
      <c r="AR1019" s="60" t="str">
        <f t="shared" si="120"/>
        <v>No</v>
      </c>
      <c r="AS1019" s="60" t="str">
        <f t="shared" si="121"/>
        <v>No</v>
      </c>
    </row>
    <row r="1020" spans="1:45" ht="15" hidden="1">
      <c r="A1020" s="103">
        <v>45244</v>
      </c>
      <c r="B1020" s="117" t="s">
        <v>4249</v>
      </c>
      <c r="C1020" s="28" t="s">
        <v>511</v>
      </c>
      <c r="D1020" s="28" t="s">
        <v>4250</v>
      </c>
      <c r="F1020" s="28" t="s">
        <v>4251</v>
      </c>
      <c r="G1020" s="28" t="s">
        <v>514</v>
      </c>
      <c r="H1020" s="28" t="s">
        <v>915</v>
      </c>
      <c r="I1020" s="28" t="s">
        <v>516</v>
      </c>
      <c r="J1020" s="28" t="s">
        <v>517</v>
      </c>
      <c r="K1020" s="28" t="s">
        <v>518</v>
      </c>
      <c r="L1020" s="28" t="s">
        <v>625</v>
      </c>
      <c r="M1020" s="28" t="s">
        <v>535</v>
      </c>
      <c r="N1020" s="28" t="s">
        <v>521</v>
      </c>
      <c r="O1020" s="28" t="s">
        <v>934</v>
      </c>
      <c r="P1020" s="28" t="s">
        <v>522</v>
      </c>
      <c r="S1020" s="28" t="s">
        <v>1318</v>
      </c>
      <c r="T1020" s="28" t="s">
        <v>628</v>
      </c>
      <c r="U1020" s="28" t="s">
        <v>628</v>
      </c>
      <c r="V1020" s="28" t="s">
        <v>517</v>
      </c>
      <c r="W1020" s="28" t="s">
        <v>4252</v>
      </c>
      <c r="Z1020" s="118" t="s">
        <v>563</v>
      </c>
      <c r="AA1020" s="118"/>
      <c r="AB1020" s="118" t="s">
        <v>527</v>
      </c>
      <c r="AD1020" s="28" t="s">
        <v>528</v>
      </c>
      <c r="AF1020" s="117" t="s">
        <v>4250</v>
      </c>
      <c r="AG1020" s="28" t="s">
        <v>563</v>
      </c>
      <c r="AK1020" s="60" t="s">
        <v>2927</v>
      </c>
      <c r="AL1020" s="117">
        <f>1/COUNTIF(Tableau6[LAT],B1020)</f>
        <v>1</v>
      </c>
      <c r="AM1020" s="60" t="b">
        <f t="shared" si="115"/>
        <v>0</v>
      </c>
      <c r="AN1020" s="60" t="b">
        <f t="shared" si="116"/>
        <v>0</v>
      </c>
      <c r="AO1020" s="60" t="b">
        <f t="shared" si="117"/>
        <v>0</v>
      </c>
      <c r="AP1020" s="60" t="b">
        <f t="shared" si="118"/>
        <v>0</v>
      </c>
      <c r="AQ1020" s="60" t="b">
        <f t="shared" si="119"/>
        <v>0</v>
      </c>
      <c r="AR1020" s="60" t="str">
        <f t="shared" si="120"/>
        <v>No</v>
      </c>
      <c r="AS1020" s="60" t="str">
        <f t="shared" si="121"/>
        <v>No</v>
      </c>
    </row>
    <row r="1021" spans="1:45" ht="15" hidden="1">
      <c r="A1021" s="103">
        <v>45244</v>
      </c>
      <c r="B1021" s="117" t="s">
        <v>4253</v>
      </c>
      <c r="C1021" s="28" t="s">
        <v>511</v>
      </c>
      <c r="D1021" s="28" t="s">
        <v>4254</v>
      </c>
      <c r="E1021" s="28" t="s">
        <v>4255</v>
      </c>
      <c r="F1021" s="28" t="s">
        <v>4256</v>
      </c>
      <c r="G1021" s="28" t="s">
        <v>1163</v>
      </c>
      <c r="H1021" s="28" t="s">
        <v>4257</v>
      </c>
      <c r="I1021" s="28" t="s">
        <v>516</v>
      </c>
      <c r="J1021" s="28" t="s">
        <v>517</v>
      </c>
      <c r="K1021" s="28" t="s">
        <v>518</v>
      </c>
      <c r="L1021" s="28" t="s">
        <v>1013</v>
      </c>
      <c r="M1021" s="28" t="s">
        <v>535</v>
      </c>
      <c r="N1021" s="28" t="s">
        <v>557</v>
      </c>
      <c r="O1021" s="28" t="s">
        <v>559</v>
      </c>
      <c r="S1021" s="28" t="s">
        <v>2199</v>
      </c>
      <c r="T1021" s="28" t="s">
        <v>1015</v>
      </c>
      <c r="U1021" s="28" t="s">
        <v>1015</v>
      </c>
      <c r="V1021" s="28" t="s">
        <v>517</v>
      </c>
      <c r="W1021" s="28" t="s">
        <v>4258</v>
      </c>
      <c r="X1021" s="28" t="s">
        <v>670</v>
      </c>
      <c r="Z1021" s="118" t="s">
        <v>563</v>
      </c>
      <c r="AA1021" s="118"/>
      <c r="AB1021" s="118" t="s">
        <v>527</v>
      </c>
      <c r="AD1021" s="28" t="s">
        <v>528</v>
      </c>
      <c r="AF1021" s="117" t="s">
        <v>4254</v>
      </c>
      <c r="AG1021" s="28" t="s">
        <v>563</v>
      </c>
      <c r="AK1021" s="60" t="s">
        <v>2927</v>
      </c>
      <c r="AL1021" s="117">
        <f>1/COUNTIF(Tableau6[LAT],B1021)</f>
        <v>0.5</v>
      </c>
      <c r="AM1021" s="60" t="b">
        <f t="shared" si="115"/>
        <v>0</v>
      </c>
      <c r="AN1021" s="60" t="b">
        <f t="shared" si="116"/>
        <v>0</v>
      </c>
      <c r="AO1021" s="60" t="b">
        <f t="shared" si="117"/>
        <v>0</v>
      </c>
      <c r="AP1021" s="60" t="b">
        <f t="shared" si="118"/>
        <v>0</v>
      </c>
      <c r="AQ1021" s="60" t="b">
        <f t="shared" si="119"/>
        <v>0</v>
      </c>
      <c r="AR1021" s="60" t="str">
        <f t="shared" si="120"/>
        <v>No</v>
      </c>
      <c r="AS1021" s="60" t="str">
        <f t="shared" si="121"/>
        <v>No</v>
      </c>
    </row>
    <row r="1022" spans="1:45" ht="15" hidden="1">
      <c r="A1022" s="103">
        <v>45244</v>
      </c>
      <c r="B1022" s="117" t="s">
        <v>4253</v>
      </c>
      <c r="C1022" s="28" t="s">
        <v>548</v>
      </c>
      <c r="D1022" s="28" t="s">
        <v>4259</v>
      </c>
      <c r="E1022" s="28" t="s">
        <v>4260</v>
      </c>
      <c r="F1022" s="28" t="s">
        <v>4261</v>
      </c>
      <c r="G1022" s="28" t="s">
        <v>1077</v>
      </c>
      <c r="H1022" s="28" t="s">
        <v>4262</v>
      </c>
      <c r="I1022" s="28" t="s">
        <v>516</v>
      </c>
      <c r="J1022" s="28" t="s">
        <v>517</v>
      </c>
      <c r="K1022" s="28" t="s">
        <v>518</v>
      </c>
      <c r="L1022" s="28" t="s">
        <v>1013</v>
      </c>
      <c r="M1022" s="28" t="s">
        <v>535</v>
      </c>
      <c r="N1022" s="28" t="s">
        <v>557</v>
      </c>
      <c r="O1022" s="28" t="s">
        <v>559</v>
      </c>
      <c r="S1022" s="28" t="s">
        <v>2199</v>
      </c>
      <c r="T1022" s="28" t="s">
        <v>1015</v>
      </c>
      <c r="U1022" s="28" t="s">
        <v>1015</v>
      </c>
      <c r="V1022" s="28" t="s">
        <v>517</v>
      </c>
      <c r="W1022" s="28" t="s">
        <v>4263</v>
      </c>
      <c r="X1022" s="28" t="s">
        <v>670</v>
      </c>
      <c r="Z1022" s="118" t="s">
        <v>563</v>
      </c>
      <c r="AA1022" s="118"/>
      <c r="AB1022" s="118" t="s">
        <v>527</v>
      </c>
      <c r="AD1022" s="28" t="s">
        <v>528</v>
      </c>
      <c r="AF1022" s="117" t="s">
        <v>4259</v>
      </c>
      <c r="AG1022" s="28" t="s">
        <v>563</v>
      </c>
      <c r="AK1022" s="60" t="s">
        <v>2927</v>
      </c>
      <c r="AL1022" s="117">
        <f>1/COUNTIF(Tableau6[LAT],B1022)</f>
        <v>0.5</v>
      </c>
      <c r="AM1022" s="60" t="b">
        <f t="shared" si="115"/>
        <v>0</v>
      </c>
      <c r="AN1022" s="60" t="b">
        <f t="shared" si="116"/>
        <v>0</v>
      </c>
      <c r="AO1022" s="60" t="b">
        <f t="shared" si="117"/>
        <v>0</v>
      </c>
      <c r="AP1022" s="60" t="b">
        <f t="shared" si="118"/>
        <v>0</v>
      </c>
      <c r="AQ1022" s="60" t="b">
        <f t="shared" si="119"/>
        <v>0</v>
      </c>
      <c r="AR1022" s="60" t="str">
        <f t="shared" si="120"/>
        <v>No</v>
      </c>
      <c r="AS1022" s="60" t="str">
        <f t="shared" si="121"/>
        <v>No</v>
      </c>
    </row>
    <row r="1023" spans="1:45" ht="15" hidden="1">
      <c r="A1023" s="103">
        <v>45244</v>
      </c>
      <c r="B1023" s="117" t="s">
        <v>4264</v>
      </c>
      <c r="C1023" s="28" t="s">
        <v>511</v>
      </c>
      <c r="D1023" s="28" t="s">
        <v>4265</v>
      </c>
      <c r="F1023" s="28" t="s">
        <v>4266</v>
      </c>
      <c r="G1023" s="28" t="s">
        <v>514</v>
      </c>
      <c r="H1023" s="28" t="s">
        <v>980</v>
      </c>
      <c r="I1023" s="28" t="s">
        <v>516</v>
      </c>
      <c r="J1023" s="28" t="s">
        <v>517</v>
      </c>
      <c r="K1023" s="28" t="s">
        <v>518</v>
      </c>
      <c r="L1023" s="28" t="s">
        <v>675</v>
      </c>
      <c r="M1023" s="28" t="s">
        <v>535</v>
      </c>
      <c r="N1023" s="28" t="s">
        <v>1383</v>
      </c>
      <c r="O1023" s="28" t="s">
        <v>544</v>
      </c>
      <c r="S1023" s="28" t="s">
        <v>2943</v>
      </c>
      <c r="T1023" s="28" t="s">
        <v>676</v>
      </c>
      <c r="U1023" s="28" t="s">
        <v>676</v>
      </c>
      <c r="V1023" s="28" t="s">
        <v>517</v>
      </c>
      <c r="W1023" s="28" t="s">
        <v>3526</v>
      </c>
      <c r="Z1023" s="118" t="s">
        <v>4180</v>
      </c>
      <c r="AA1023" s="118"/>
      <c r="AB1023" s="118"/>
      <c r="AD1023" s="28" t="s">
        <v>528</v>
      </c>
      <c r="AF1023" s="117" t="s">
        <v>4265</v>
      </c>
      <c r="AG1023" s="28" t="s">
        <v>529</v>
      </c>
      <c r="AK1023" s="60" t="s">
        <v>2927</v>
      </c>
      <c r="AL1023" s="117">
        <f>1/COUNTIF(Tableau6[LAT],B1023)</f>
        <v>0.33333333333333331</v>
      </c>
      <c r="AM1023" s="60" t="b">
        <f t="shared" si="115"/>
        <v>0</v>
      </c>
      <c r="AN1023" s="60" t="b">
        <f t="shared" si="116"/>
        <v>0</v>
      </c>
      <c r="AO1023" s="60" t="b">
        <f t="shared" si="117"/>
        <v>0</v>
      </c>
      <c r="AP1023" s="60" t="b">
        <f t="shared" si="118"/>
        <v>0</v>
      </c>
      <c r="AQ1023" s="60" t="b">
        <f t="shared" si="119"/>
        <v>0</v>
      </c>
      <c r="AR1023" s="60" t="str">
        <f t="shared" si="120"/>
        <v>No</v>
      </c>
      <c r="AS1023" s="60" t="str">
        <f t="shared" si="121"/>
        <v>No</v>
      </c>
    </row>
    <row r="1024" spans="1:45" ht="15" hidden="1">
      <c r="A1024" s="103">
        <v>45244</v>
      </c>
      <c r="B1024" s="117" t="s">
        <v>4264</v>
      </c>
      <c r="C1024" s="28" t="s">
        <v>548</v>
      </c>
      <c r="D1024" s="28" t="s">
        <v>4267</v>
      </c>
      <c r="F1024" s="28" t="s">
        <v>4266</v>
      </c>
      <c r="G1024" s="28" t="s">
        <v>514</v>
      </c>
      <c r="H1024" s="28" t="s">
        <v>980</v>
      </c>
      <c r="I1024" s="28" t="s">
        <v>516</v>
      </c>
      <c r="J1024" s="28" t="s">
        <v>517</v>
      </c>
      <c r="K1024" s="28" t="s">
        <v>518</v>
      </c>
      <c r="L1024" s="28" t="s">
        <v>675</v>
      </c>
      <c r="M1024" s="28" t="s">
        <v>535</v>
      </c>
      <c r="N1024" s="28" t="s">
        <v>1383</v>
      </c>
      <c r="O1024" s="28" t="s">
        <v>544</v>
      </c>
      <c r="S1024" s="28" t="s">
        <v>2943</v>
      </c>
      <c r="T1024" s="28" t="s">
        <v>676</v>
      </c>
      <c r="U1024" s="28" t="s">
        <v>676</v>
      </c>
      <c r="V1024" s="28" t="s">
        <v>517</v>
      </c>
      <c r="W1024" s="28" t="s">
        <v>4268</v>
      </c>
      <c r="Z1024" s="118" t="s">
        <v>4180</v>
      </c>
      <c r="AA1024" s="118"/>
      <c r="AB1024" s="118"/>
      <c r="AD1024" s="28" t="s">
        <v>528</v>
      </c>
      <c r="AF1024" s="117" t="s">
        <v>4265</v>
      </c>
      <c r="AG1024" s="28" t="s">
        <v>529</v>
      </c>
      <c r="AK1024" s="60" t="s">
        <v>2927</v>
      </c>
      <c r="AL1024" s="117">
        <f>1/COUNTIF(Tableau6[LAT],B1024)</f>
        <v>0.33333333333333331</v>
      </c>
      <c r="AM1024" s="60" t="b">
        <f t="shared" si="115"/>
        <v>0</v>
      </c>
      <c r="AN1024" s="60" t="b">
        <f t="shared" si="116"/>
        <v>0</v>
      </c>
      <c r="AO1024" s="60" t="b">
        <f t="shared" si="117"/>
        <v>0</v>
      </c>
      <c r="AP1024" s="60" t="b">
        <f t="shared" si="118"/>
        <v>0</v>
      </c>
      <c r="AQ1024" s="60" t="b">
        <f t="shared" si="119"/>
        <v>0</v>
      </c>
      <c r="AR1024" s="60" t="str">
        <f t="shared" si="120"/>
        <v>No</v>
      </c>
      <c r="AS1024" s="60" t="str">
        <f t="shared" si="121"/>
        <v>No</v>
      </c>
    </row>
    <row r="1025" spans="1:45" ht="15" hidden="1">
      <c r="A1025" s="103">
        <v>45244</v>
      </c>
      <c r="B1025" s="117" t="s">
        <v>4264</v>
      </c>
      <c r="C1025" s="28" t="s">
        <v>612</v>
      </c>
      <c r="D1025" s="28" t="s">
        <v>4269</v>
      </c>
      <c r="F1025" s="28" t="s">
        <v>4266</v>
      </c>
      <c r="G1025" s="28" t="s">
        <v>514</v>
      </c>
      <c r="H1025" s="28" t="s">
        <v>980</v>
      </c>
      <c r="I1025" s="28" t="s">
        <v>516</v>
      </c>
      <c r="J1025" s="28" t="s">
        <v>517</v>
      </c>
      <c r="K1025" s="28" t="s">
        <v>518</v>
      </c>
      <c r="L1025" s="28" t="s">
        <v>675</v>
      </c>
      <c r="M1025" s="28" t="s">
        <v>535</v>
      </c>
      <c r="N1025" s="28" t="s">
        <v>1383</v>
      </c>
      <c r="O1025" s="28" t="s">
        <v>544</v>
      </c>
      <c r="S1025" s="28" t="s">
        <v>2943</v>
      </c>
      <c r="T1025" s="28" t="s">
        <v>676</v>
      </c>
      <c r="U1025" s="28" t="s">
        <v>676</v>
      </c>
      <c r="V1025" s="28" t="s">
        <v>517</v>
      </c>
      <c r="W1025" s="28" t="s">
        <v>4270</v>
      </c>
      <c r="Z1025" s="118" t="s">
        <v>4180</v>
      </c>
      <c r="AA1025" s="118"/>
      <c r="AB1025" s="118"/>
      <c r="AD1025" s="28" t="s">
        <v>528</v>
      </c>
      <c r="AF1025" s="117" t="s">
        <v>4265</v>
      </c>
      <c r="AG1025" s="28" t="s">
        <v>529</v>
      </c>
      <c r="AK1025" s="60" t="s">
        <v>2927</v>
      </c>
      <c r="AL1025" s="117">
        <f>1/COUNTIF(Tableau6[LAT],B1025)</f>
        <v>0.33333333333333331</v>
      </c>
      <c r="AM1025" s="60" t="b">
        <f t="shared" si="115"/>
        <v>0</v>
      </c>
      <c r="AN1025" s="60" t="b">
        <f t="shared" si="116"/>
        <v>0</v>
      </c>
      <c r="AO1025" s="60" t="b">
        <f t="shared" si="117"/>
        <v>0</v>
      </c>
      <c r="AP1025" s="60" t="b">
        <f t="shared" si="118"/>
        <v>0</v>
      </c>
      <c r="AQ1025" s="60" t="b">
        <f t="shared" si="119"/>
        <v>0</v>
      </c>
      <c r="AR1025" s="60" t="str">
        <f t="shared" si="120"/>
        <v>No</v>
      </c>
      <c r="AS1025" s="60" t="str">
        <f t="shared" si="121"/>
        <v>No</v>
      </c>
    </row>
    <row r="1026" spans="1:45" ht="15" hidden="1">
      <c r="A1026" s="103">
        <v>45244</v>
      </c>
      <c r="B1026" s="117" t="s">
        <v>4271</v>
      </c>
      <c r="C1026" s="28" t="s">
        <v>511</v>
      </c>
      <c r="D1026" s="28" t="s">
        <v>4272</v>
      </c>
      <c r="F1026" s="28" t="s">
        <v>4273</v>
      </c>
      <c r="G1026" s="28" t="s">
        <v>514</v>
      </c>
      <c r="H1026" s="28" t="s">
        <v>1123</v>
      </c>
      <c r="I1026" s="28" t="s">
        <v>516</v>
      </c>
      <c r="J1026" s="28" t="s">
        <v>517</v>
      </c>
      <c r="K1026" s="28" t="s">
        <v>518</v>
      </c>
      <c r="L1026" s="28" t="s">
        <v>675</v>
      </c>
      <c r="M1026" s="28" t="s">
        <v>535</v>
      </c>
      <c r="N1026" s="28" t="s">
        <v>521</v>
      </c>
      <c r="O1026" s="28" t="s">
        <v>522</v>
      </c>
      <c r="S1026" s="28" t="s">
        <v>740</v>
      </c>
      <c r="T1026" s="28" t="s">
        <v>676</v>
      </c>
      <c r="U1026" s="28" t="s">
        <v>676</v>
      </c>
      <c r="V1026" s="28" t="s">
        <v>517</v>
      </c>
      <c r="W1026" s="28" t="s">
        <v>4274</v>
      </c>
      <c r="Z1026" s="118" t="s">
        <v>563</v>
      </c>
      <c r="AA1026" s="118"/>
      <c r="AB1026" s="118" t="s">
        <v>527</v>
      </c>
      <c r="AD1026" s="28" t="s">
        <v>528</v>
      </c>
      <c r="AF1026" s="117" t="s">
        <v>4272</v>
      </c>
      <c r="AG1026" s="28" t="s">
        <v>563</v>
      </c>
      <c r="AK1026" s="60" t="s">
        <v>2927</v>
      </c>
      <c r="AL1026" s="117">
        <f>1/COUNTIF(Tableau6[LAT],B1026)</f>
        <v>0.33333333333333331</v>
      </c>
      <c r="AM1026" s="60" t="b">
        <f t="shared" si="115"/>
        <v>0</v>
      </c>
      <c r="AN1026" s="60" t="b">
        <f t="shared" si="116"/>
        <v>0</v>
      </c>
      <c r="AO1026" s="60" t="b">
        <f t="shared" si="117"/>
        <v>0</v>
      </c>
      <c r="AP1026" s="60" t="b">
        <f t="shared" si="118"/>
        <v>0</v>
      </c>
      <c r="AQ1026" s="60" t="b">
        <f t="shared" si="119"/>
        <v>0</v>
      </c>
      <c r="AR1026" s="60" t="str">
        <f t="shared" si="120"/>
        <v>No</v>
      </c>
      <c r="AS1026" s="60" t="str">
        <f t="shared" si="121"/>
        <v>No</v>
      </c>
    </row>
    <row r="1027" spans="1:45" ht="15" hidden="1">
      <c r="A1027" s="103">
        <v>45244</v>
      </c>
      <c r="B1027" s="117" t="s">
        <v>4271</v>
      </c>
      <c r="C1027" s="28" t="s">
        <v>548</v>
      </c>
      <c r="D1027" s="28" t="s">
        <v>4275</v>
      </c>
      <c r="F1027" s="28" t="s">
        <v>4273</v>
      </c>
      <c r="G1027" s="28" t="s">
        <v>514</v>
      </c>
      <c r="H1027" s="28" t="s">
        <v>1123</v>
      </c>
      <c r="I1027" s="28" t="s">
        <v>516</v>
      </c>
      <c r="J1027" s="28" t="s">
        <v>517</v>
      </c>
      <c r="K1027" s="28" t="s">
        <v>518</v>
      </c>
      <c r="L1027" s="28" t="s">
        <v>675</v>
      </c>
      <c r="M1027" s="28" t="s">
        <v>535</v>
      </c>
      <c r="N1027" s="28" t="s">
        <v>521</v>
      </c>
      <c r="O1027" s="28" t="s">
        <v>522</v>
      </c>
      <c r="S1027" s="28" t="s">
        <v>740</v>
      </c>
      <c r="T1027" s="28" t="s">
        <v>676</v>
      </c>
      <c r="U1027" s="28" t="s">
        <v>676</v>
      </c>
      <c r="V1027" s="28" t="s">
        <v>517</v>
      </c>
      <c r="W1027" s="28" t="s">
        <v>4276</v>
      </c>
      <c r="Z1027" s="118" t="s">
        <v>563</v>
      </c>
      <c r="AA1027" s="118"/>
      <c r="AB1027" s="118" t="s">
        <v>527</v>
      </c>
      <c r="AD1027" s="28" t="s">
        <v>528</v>
      </c>
      <c r="AF1027" s="117" t="s">
        <v>4272</v>
      </c>
      <c r="AG1027" s="28" t="s">
        <v>563</v>
      </c>
      <c r="AK1027" s="60" t="s">
        <v>2927</v>
      </c>
      <c r="AL1027" s="117">
        <f>1/COUNTIF(Tableau6[LAT],B1027)</f>
        <v>0.33333333333333331</v>
      </c>
      <c r="AM1027" s="60" t="b">
        <f t="shared" si="115"/>
        <v>0</v>
      </c>
      <c r="AN1027" s="60" t="b">
        <f t="shared" si="116"/>
        <v>0</v>
      </c>
      <c r="AO1027" s="60" t="b">
        <f t="shared" si="117"/>
        <v>0</v>
      </c>
      <c r="AP1027" s="60" t="b">
        <f t="shared" si="118"/>
        <v>0</v>
      </c>
      <c r="AQ1027" s="60" t="b">
        <f t="shared" si="119"/>
        <v>0</v>
      </c>
      <c r="AR1027" s="60" t="str">
        <f t="shared" si="120"/>
        <v>No</v>
      </c>
      <c r="AS1027" s="60" t="str">
        <f t="shared" si="121"/>
        <v>No</v>
      </c>
    </row>
    <row r="1028" spans="1:45" ht="15" hidden="1">
      <c r="A1028" s="103">
        <v>45244</v>
      </c>
      <c r="B1028" s="117" t="s">
        <v>4271</v>
      </c>
      <c r="C1028" s="28" t="s">
        <v>612</v>
      </c>
      <c r="D1028" s="28" t="s">
        <v>4277</v>
      </c>
      <c r="F1028" s="28" t="s">
        <v>4273</v>
      </c>
      <c r="G1028" s="28" t="s">
        <v>514</v>
      </c>
      <c r="H1028" s="28" t="s">
        <v>1123</v>
      </c>
      <c r="I1028" s="28" t="s">
        <v>516</v>
      </c>
      <c r="J1028" s="28" t="s">
        <v>517</v>
      </c>
      <c r="K1028" s="28" t="s">
        <v>518</v>
      </c>
      <c r="L1028" s="28" t="s">
        <v>675</v>
      </c>
      <c r="M1028" s="28" t="s">
        <v>535</v>
      </c>
      <c r="N1028" s="28" t="s">
        <v>521</v>
      </c>
      <c r="O1028" s="28" t="s">
        <v>522</v>
      </c>
      <c r="S1028" s="28" t="s">
        <v>740</v>
      </c>
      <c r="T1028" s="28" t="s">
        <v>676</v>
      </c>
      <c r="U1028" s="28" t="s">
        <v>676</v>
      </c>
      <c r="V1028" s="28" t="s">
        <v>517</v>
      </c>
      <c r="W1028" s="28" t="s">
        <v>4278</v>
      </c>
      <c r="Z1028" s="118" t="s">
        <v>563</v>
      </c>
      <c r="AA1028" s="118"/>
      <c r="AB1028" s="118" t="s">
        <v>527</v>
      </c>
      <c r="AD1028" s="28" t="s">
        <v>528</v>
      </c>
      <c r="AF1028" s="117" t="s">
        <v>4272</v>
      </c>
      <c r="AG1028" s="28" t="s">
        <v>563</v>
      </c>
      <c r="AK1028" s="60" t="s">
        <v>2927</v>
      </c>
      <c r="AL1028" s="117">
        <f>1/COUNTIF(Tableau6[LAT],B1028)</f>
        <v>0.33333333333333331</v>
      </c>
      <c r="AM1028" s="60" t="b">
        <f t="shared" si="115"/>
        <v>0</v>
      </c>
      <c r="AN1028" s="60" t="b">
        <f t="shared" si="116"/>
        <v>0</v>
      </c>
      <c r="AO1028" s="60" t="b">
        <f t="shared" si="117"/>
        <v>0</v>
      </c>
      <c r="AP1028" s="60" t="b">
        <f t="shared" si="118"/>
        <v>0</v>
      </c>
      <c r="AQ1028" s="60" t="b">
        <f t="shared" si="119"/>
        <v>0</v>
      </c>
      <c r="AR1028" s="60" t="str">
        <f t="shared" si="120"/>
        <v>No</v>
      </c>
      <c r="AS1028" s="60" t="str">
        <f t="shared" si="121"/>
        <v>No</v>
      </c>
    </row>
    <row r="1029" spans="1:45" ht="15" hidden="1">
      <c r="A1029" s="103">
        <v>45244</v>
      </c>
      <c r="B1029" s="117" t="s">
        <v>4279</v>
      </c>
      <c r="C1029" s="28" t="s">
        <v>511</v>
      </c>
      <c r="D1029" s="28" t="s">
        <v>4280</v>
      </c>
      <c r="E1029" s="28" t="s">
        <v>4281</v>
      </c>
      <c r="F1029" s="28" t="s">
        <v>4282</v>
      </c>
      <c r="G1029" s="28" t="s">
        <v>3812</v>
      </c>
      <c r="H1029" s="28" t="s">
        <v>4283</v>
      </c>
      <c r="I1029" s="28" t="s">
        <v>516</v>
      </c>
      <c r="J1029" s="28" t="s">
        <v>517</v>
      </c>
      <c r="K1029" s="28" t="s">
        <v>518</v>
      </c>
      <c r="L1029" s="28" t="s">
        <v>519</v>
      </c>
      <c r="M1029" s="28" t="s">
        <v>535</v>
      </c>
      <c r="N1029" s="28" t="s">
        <v>544</v>
      </c>
      <c r="O1029" s="28" t="s">
        <v>4284</v>
      </c>
      <c r="P1029" s="28" t="s">
        <v>522</v>
      </c>
      <c r="S1029" s="28" t="s">
        <v>740</v>
      </c>
      <c r="T1029" s="28" t="s">
        <v>524</v>
      </c>
      <c r="U1029" s="28" t="s">
        <v>524</v>
      </c>
      <c r="V1029" s="28" t="s">
        <v>517</v>
      </c>
      <c r="W1029" s="28" t="s">
        <v>4285</v>
      </c>
      <c r="X1029" s="28" t="s">
        <v>670</v>
      </c>
      <c r="Z1029" s="118" t="s">
        <v>563</v>
      </c>
      <c r="AA1029" s="118"/>
      <c r="AB1029" s="118" t="s">
        <v>4286</v>
      </c>
      <c r="AD1029" s="28" t="s">
        <v>528</v>
      </c>
      <c r="AF1029" s="117" t="s">
        <v>4280</v>
      </c>
      <c r="AG1029" s="28" t="s">
        <v>563</v>
      </c>
      <c r="AK1029" s="60" t="s">
        <v>2927</v>
      </c>
      <c r="AL1029" s="117">
        <f>1/COUNTIF(Tableau6[LAT],B1029)</f>
        <v>0.33333333333333331</v>
      </c>
      <c r="AM1029" s="60" t="b">
        <f t="shared" si="115"/>
        <v>0</v>
      </c>
      <c r="AN1029" s="60" t="b">
        <f t="shared" si="116"/>
        <v>0</v>
      </c>
      <c r="AO1029" s="60" t="b">
        <f t="shared" si="117"/>
        <v>0</v>
      </c>
      <c r="AP1029" s="60" t="b">
        <f t="shared" si="118"/>
        <v>0</v>
      </c>
      <c r="AQ1029" s="60" t="b">
        <f t="shared" si="119"/>
        <v>0</v>
      </c>
      <c r="AR1029" s="60" t="str">
        <f t="shared" si="120"/>
        <v>No</v>
      </c>
      <c r="AS1029" s="60" t="str">
        <f t="shared" si="121"/>
        <v>No</v>
      </c>
    </row>
    <row r="1030" spans="1:45" ht="15" hidden="1">
      <c r="A1030" s="103">
        <v>45244</v>
      </c>
      <c r="B1030" s="117" t="s">
        <v>4279</v>
      </c>
      <c r="C1030" s="28" t="s">
        <v>548</v>
      </c>
      <c r="D1030" s="28" t="s">
        <v>4287</v>
      </c>
      <c r="E1030" s="28" t="s">
        <v>4281</v>
      </c>
      <c r="F1030" s="28" t="s">
        <v>4288</v>
      </c>
      <c r="G1030" s="28" t="s">
        <v>514</v>
      </c>
      <c r="H1030" s="28" t="s">
        <v>1580</v>
      </c>
      <c r="I1030" s="28" t="s">
        <v>516</v>
      </c>
      <c r="J1030" s="28" t="s">
        <v>517</v>
      </c>
      <c r="K1030" s="28" t="s">
        <v>518</v>
      </c>
      <c r="L1030" s="28" t="s">
        <v>519</v>
      </c>
      <c r="M1030" s="28" t="s">
        <v>535</v>
      </c>
      <c r="N1030" s="28" t="s">
        <v>544</v>
      </c>
      <c r="O1030" s="28" t="s">
        <v>4284</v>
      </c>
      <c r="P1030" s="28" t="s">
        <v>522</v>
      </c>
      <c r="S1030" s="28" t="s">
        <v>740</v>
      </c>
      <c r="T1030" s="28" t="s">
        <v>524</v>
      </c>
      <c r="U1030" s="28" t="s">
        <v>524</v>
      </c>
      <c r="V1030" s="28" t="s">
        <v>517</v>
      </c>
      <c r="W1030" s="28" t="s">
        <v>4285</v>
      </c>
      <c r="X1030" s="28" t="s">
        <v>670</v>
      </c>
      <c r="Z1030" s="118" t="s">
        <v>563</v>
      </c>
      <c r="AA1030" s="118"/>
      <c r="AB1030" s="118" t="s">
        <v>4286</v>
      </c>
      <c r="AD1030" s="28" t="s">
        <v>528</v>
      </c>
      <c r="AF1030" s="117" t="s">
        <v>4287</v>
      </c>
      <c r="AG1030" s="28" t="s">
        <v>563</v>
      </c>
      <c r="AK1030" s="60" t="s">
        <v>2927</v>
      </c>
      <c r="AL1030" s="117">
        <f>1/COUNTIF(Tableau6[LAT],B1030)</f>
        <v>0.33333333333333331</v>
      </c>
      <c r="AM1030" s="60" t="b">
        <f t="shared" si="115"/>
        <v>0</v>
      </c>
      <c r="AN1030" s="60" t="b">
        <f t="shared" si="116"/>
        <v>0</v>
      </c>
      <c r="AO1030" s="60" t="b">
        <f t="shared" si="117"/>
        <v>0</v>
      </c>
      <c r="AP1030" s="60" t="b">
        <f t="shared" si="118"/>
        <v>0</v>
      </c>
      <c r="AQ1030" s="60" t="b">
        <f t="shared" si="119"/>
        <v>0</v>
      </c>
      <c r="AR1030" s="60" t="str">
        <f t="shared" si="120"/>
        <v>No</v>
      </c>
      <c r="AS1030" s="60" t="str">
        <f t="shared" si="121"/>
        <v>No</v>
      </c>
    </row>
    <row r="1031" spans="1:45" ht="15" hidden="1">
      <c r="A1031" s="103">
        <v>45244</v>
      </c>
      <c r="B1031" s="117" t="s">
        <v>4279</v>
      </c>
      <c r="C1031" s="28" t="s">
        <v>612</v>
      </c>
      <c r="D1031" s="28" t="s">
        <v>4289</v>
      </c>
      <c r="E1031" s="28" t="s">
        <v>4290</v>
      </c>
      <c r="F1031" s="28" t="s">
        <v>4291</v>
      </c>
      <c r="G1031" s="28" t="s">
        <v>3864</v>
      </c>
      <c r="H1031" s="28" t="s">
        <v>4292</v>
      </c>
      <c r="I1031" s="28" t="s">
        <v>516</v>
      </c>
      <c r="J1031" s="28" t="s">
        <v>517</v>
      </c>
      <c r="K1031" s="28" t="s">
        <v>518</v>
      </c>
      <c r="L1031" s="28" t="s">
        <v>519</v>
      </c>
      <c r="M1031" s="28" t="s">
        <v>535</v>
      </c>
      <c r="N1031" s="28" t="s">
        <v>544</v>
      </c>
      <c r="O1031" s="28" t="s">
        <v>4284</v>
      </c>
      <c r="P1031" s="28" t="s">
        <v>522</v>
      </c>
      <c r="S1031" s="28" t="s">
        <v>740</v>
      </c>
      <c r="T1031" s="28" t="s">
        <v>524</v>
      </c>
      <c r="U1031" s="28" t="s">
        <v>524</v>
      </c>
      <c r="V1031" s="28" t="s">
        <v>517</v>
      </c>
      <c r="W1031" s="28" t="s">
        <v>4293</v>
      </c>
      <c r="X1031" s="28" t="s">
        <v>670</v>
      </c>
      <c r="Z1031" s="118" t="s">
        <v>563</v>
      </c>
      <c r="AA1031" s="118"/>
      <c r="AB1031" s="118" t="s">
        <v>4286</v>
      </c>
      <c r="AD1031" s="28" t="s">
        <v>528</v>
      </c>
      <c r="AF1031" s="117" t="s">
        <v>4280</v>
      </c>
      <c r="AG1031" s="28" t="s">
        <v>563</v>
      </c>
      <c r="AK1031" s="60" t="s">
        <v>2927</v>
      </c>
      <c r="AL1031" s="117">
        <f>1/COUNTIF(Tableau6[LAT],B1031)</f>
        <v>0.33333333333333331</v>
      </c>
      <c r="AM1031" s="60" t="b">
        <f t="shared" si="115"/>
        <v>0</v>
      </c>
      <c r="AN1031" s="60" t="b">
        <f t="shared" si="116"/>
        <v>0</v>
      </c>
      <c r="AO1031" s="60" t="b">
        <f t="shared" si="117"/>
        <v>0</v>
      </c>
      <c r="AP1031" s="60" t="b">
        <f t="shared" si="118"/>
        <v>0</v>
      </c>
      <c r="AQ1031" s="60" t="b">
        <f t="shared" si="119"/>
        <v>0</v>
      </c>
      <c r="AR1031" s="60" t="str">
        <f t="shared" si="120"/>
        <v>No</v>
      </c>
      <c r="AS1031" s="60" t="str">
        <f t="shared" si="121"/>
        <v>No</v>
      </c>
    </row>
    <row r="1032" spans="1:45" ht="15" hidden="1">
      <c r="A1032" s="103">
        <v>45244</v>
      </c>
      <c r="B1032" s="117" t="s">
        <v>4294</v>
      </c>
      <c r="C1032" s="28" t="s">
        <v>511</v>
      </c>
      <c r="D1032" s="28" t="s">
        <v>4295</v>
      </c>
      <c r="E1032" s="28" t="s">
        <v>4296</v>
      </c>
      <c r="F1032" s="28" t="s">
        <v>4297</v>
      </c>
      <c r="G1032" s="28" t="s">
        <v>2579</v>
      </c>
      <c r="H1032" s="28" t="s">
        <v>4298</v>
      </c>
      <c r="I1032" s="28" t="s">
        <v>516</v>
      </c>
      <c r="J1032" s="28" t="s">
        <v>517</v>
      </c>
      <c r="K1032" s="28" t="s">
        <v>518</v>
      </c>
      <c r="L1032" s="28" t="s">
        <v>839</v>
      </c>
      <c r="M1032" s="28" t="s">
        <v>520</v>
      </c>
      <c r="N1032" s="28" t="s">
        <v>4284</v>
      </c>
      <c r="O1032" s="28" t="s">
        <v>559</v>
      </c>
      <c r="S1032" s="28" t="s">
        <v>740</v>
      </c>
      <c r="T1032" s="28" t="s">
        <v>840</v>
      </c>
      <c r="U1032" s="28" t="s">
        <v>840</v>
      </c>
      <c r="V1032" s="28" t="s">
        <v>517</v>
      </c>
      <c r="W1032" s="28" t="s">
        <v>4299</v>
      </c>
      <c r="X1032" s="28" t="s">
        <v>670</v>
      </c>
      <c r="Z1032" s="118" t="s">
        <v>563</v>
      </c>
      <c r="AA1032" s="118"/>
      <c r="AB1032" s="118" t="s">
        <v>527</v>
      </c>
      <c r="AF1032" s="117"/>
      <c r="AK1032" s="60" t="s">
        <v>2927</v>
      </c>
      <c r="AL1032" s="117">
        <f>1/COUNTIF(Tableau6[LAT],B1032)</f>
        <v>1</v>
      </c>
      <c r="AM1032" s="60" t="b">
        <f t="shared" si="115"/>
        <v>0</v>
      </c>
      <c r="AN1032" s="60" t="b">
        <f t="shared" si="116"/>
        <v>0</v>
      </c>
      <c r="AO1032" s="60" t="b">
        <f t="shared" si="117"/>
        <v>0</v>
      </c>
      <c r="AP1032" s="60" t="b">
        <f t="shared" si="118"/>
        <v>0</v>
      </c>
      <c r="AQ1032" s="60" t="b">
        <f t="shared" si="119"/>
        <v>0</v>
      </c>
      <c r="AR1032" s="60" t="str">
        <f t="shared" si="120"/>
        <v>No</v>
      </c>
      <c r="AS1032" s="60" t="str">
        <f t="shared" si="121"/>
        <v>No</v>
      </c>
    </row>
    <row r="1033" spans="1:45" ht="15" hidden="1">
      <c r="A1033" s="103">
        <v>45244</v>
      </c>
      <c r="B1033" s="117" t="s">
        <v>4300</v>
      </c>
      <c r="C1033" s="28" t="s">
        <v>511</v>
      </c>
      <c r="D1033" s="28" t="s">
        <v>4301</v>
      </c>
      <c r="E1033" s="28" t="s">
        <v>4302</v>
      </c>
      <c r="F1033" s="28" t="s">
        <v>4303</v>
      </c>
      <c r="G1033" s="28" t="s">
        <v>657</v>
      </c>
      <c r="H1033" s="28" t="s">
        <v>1413</v>
      </c>
      <c r="I1033" s="28" t="s">
        <v>516</v>
      </c>
      <c r="J1033" s="28" t="s">
        <v>517</v>
      </c>
      <c r="K1033" s="28" t="s">
        <v>518</v>
      </c>
      <c r="L1033" s="28" t="s">
        <v>1032</v>
      </c>
      <c r="M1033" s="28" t="s">
        <v>605</v>
      </c>
      <c r="N1033" s="28" t="s">
        <v>557</v>
      </c>
      <c r="O1033" s="28" t="s">
        <v>544</v>
      </c>
      <c r="P1033" s="28" t="s">
        <v>522</v>
      </c>
      <c r="S1033" s="28" t="s">
        <v>705</v>
      </c>
      <c r="T1033" s="28" t="s">
        <v>545</v>
      </c>
      <c r="U1033" s="28" t="s">
        <v>545</v>
      </c>
      <c r="V1033" s="28" t="s">
        <v>517</v>
      </c>
      <c r="W1033" s="28" t="s">
        <v>4304</v>
      </c>
      <c r="X1033" s="28" t="s">
        <v>670</v>
      </c>
      <c r="Z1033" s="118" t="s">
        <v>563</v>
      </c>
      <c r="AA1033" s="118"/>
      <c r="AB1033" s="118" t="s">
        <v>527</v>
      </c>
      <c r="AD1033" s="28" t="s">
        <v>528</v>
      </c>
      <c r="AF1033" s="117" t="s">
        <v>4301</v>
      </c>
      <c r="AG1033" s="28" t="s">
        <v>563</v>
      </c>
      <c r="AK1033" s="60" t="s">
        <v>2927</v>
      </c>
      <c r="AL1033" s="117">
        <f>1/COUNTIF(Tableau6[LAT],B1033)</f>
        <v>1</v>
      </c>
      <c r="AM1033" s="60" t="b">
        <f t="shared" si="115"/>
        <v>0</v>
      </c>
      <c r="AN1033" s="60" t="b">
        <f t="shared" si="116"/>
        <v>0</v>
      </c>
      <c r="AO1033" s="60" t="b">
        <f t="shared" si="117"/>
        <v>0</v>
      </c>
      <c r="AP1033" s="60" t="b">
        <f t="shared" si="118"/>
        <v>0</v>
      </c>
      <c r="AQ1033" s="60" t="b">
        <f t="shared" si="119"/>
        <v>0</v>
      </c>
      <c r="AR1033" s="60" t="str">
        <f t="shared" si="120"/>
        <v>No</v>
      </c>
      <c r="AS1033" s="60" t="str">
        <f t="shared" si="121"/>
        <v>No</v>
      </c>
    </row>
    <row r="1034" spans="1:45" ht="15" hidden="1">
      <c r="A1034" s="103">
        <v>45244</v>
      </c>
      <c r="B1034" s="117" t="s">
        <v>4305</v>
      </c>
      <c r="C1034" s="28" t="s">
        <v>511</v>
      </c>
      <c r="D1034" s="28" t="s">
        <v>4306</v>
      </c>
      <c r="F1034" s="28" t="s">
        <v>4307</v>
      </c>
      <c r="G1034" s="28" t="s">
        <v>514</v>
      </c>
      <c r="H1034" s="28" t="s">
        <v>681</v>
      </c>
      <c r="I1034" s="28" t="s">
        <v>516</v>
      </c>
      <c r="J1034" s="28" t="s">
        <v>517</v>
      </c>
      <c r="K1034" s="28" t="s">
        <v>518</v>
      </c>
      <c r="L1034" s="28" t="s">
        <v>1040</v>
      </c>
      <c r="M1034" s="28" t="s">
        <v>535</v>
      </c>
      <c r="N1034" s="28" t="s">
        <v>1382</v>
      </c>
      <c r="O1034" s="28" t="s">
        <v>1383</v>
      </c>
      <c r="P1034" s="28" t="s">
        <v>544</v>
      </c>
      <c r="S1034" s="28" t="s">
        <v>536</v>
      </c>
      <c r="T1034" s="28" t="s">
        <v>1042</v>
      </c>
      <c r="U1034" s="28" t="s">
        <v>1042</v>
      </c>
      <c r="V1034" s="28" t="s">
        <v>517</v>
      </c>
      <c r="W1034" s="28" t="s">
        <v>4308</v>
      </c>
      <c r="Z1034" s="118" t="s">
        <v>563</v>
      </c>
      <c r="AA1034" s="118"/>
      <c r="AB1034" s="118" t="s">
        <v>527</v>
      </c>
      <c r="AD1034" s="28" t="s">
        <v>528</v>
      </c>
      <c r="AF1034" s="117" t="s">
        <v>4306</v>
      </c>
      <c r="AG1034" s="28" t="s">
        <v>563</v>
      </c>
      <c r="AK1034" s="60" t="s">
        <v>2927</v>
      </c>
      <c r="AL1034" s="117">
        <f>1/COUNTIF(Tableau6[LAT],B1034)</f>
        <v>0.33333333333333331</v>
      </c>
      <c r="AM1034" s="60" t="b">
        <f t="shared" si="115"/>
        <v>0</v>
      </c>
      <c r="AN1034" s="60" t="b">
        <f t="shared" si="116"/>
        <v>0</v>
      </c>
      <c r="AO1034" s="60" t="b">
        <f t="shared" si="117"/>
        <v>0</v>
      </c>
      <c r="AP1034" s="60" t="b">
        <f t="shared" si="118"/>
        <v>0</v>
      </c>
      <c r="AQ1034" s="60" t="b">
        <f t="shared" si="119"/>
        <v>0</v>
      </c>
      <c r="AR1034" s="60" t="str">
        <f t="shared" si="120"/>
        <v>No</v>
      </c>
      <c r="AS1034" s="60" t="str">
        <f t="shared" si="121"/>
        <v>Yes</v>
      </c>
    </row>
    <row r="1035" spans="1:45" ht="15" hidden="1">
      <c r="A1035" s="103">
        <v>45244</v>
      </c>
      <c r="B1035" s="117" t="s">
        <v>4305</v>
      </c>
      <c r="C1035" s="28" t="s">
        <v>548</v>
      </c>
      <c r="D1035" s="28" t="s">
        <v>4309</v>
      </c>
      <c r="F1035" s="28" t="s">
        <v>4307</v>
      </c>
      <c r="G1035" s="28" t="s">
        <v>514</v>
      </c>
      <c r="H1035" s="28" t="s">
        <v>681</v>
      </c>
      <c r="I1035" s="28" t="s">
        <v>516</v>
      </c>
      <c r="J1035" s="28" t="s">
        <v>517</v>
      </c>
      <c r="K1035" s="28" t="s">
        <v>518</v>
      </c>
      <c r="L1035" s="28" t="s">
        <v>1040</v>
      </c>
      <c r="M1035" s="28" t="s">
        <v>535</v>
      </c>
      <c r="N1035" s="28" t="s">
        <v>1382</v>
      </c>
      <c r="O1035" s="28" t="s">
        <v>1383</v>
      </c>
      <c r="P1035" s="28" t="s">
        <v>544</v>
      </c>
      <c r="S1035" s="28" t="s">
        <v>536</v>
      </c>
      <c r="T1035" s="28" t="s">
        <v>1042</v>
      </c>
      <c r="U1035" s="28" t="s">
        <v>1042</v>
      </c>
      <c r="V1035" s="28" t="s">
        <v>517</v>
      </c>
      <c r="W1035" s="28" t="s">
        <v>4310</v>
      </c>
      <c r="Z1035" s="118" t="s">
        <v>563</v>
      </c>
      <c r="AA1035" s="118"/>
      <c r="AB1035" s="118" t="s">
        <v>527</v>
      </c>
      <c r="AD1035" s="28" t="s">
        <v>528</v>
      </c>
      <c r="AF1035" s="117" t="s">
        <v>4306</v>
      </c>
      <c r="AG1035" s="28" t="s">
        <v>563</v>
      </c>
      <c r="AK1035" s="60" t="s">
        <v>2927</v>
      </c>
      <c r="AL1035" s="117">
        <f>1/COUNTIF(Tableau6[LAT],B1035)</f>
        <v>0.33333333333333331</v>
      </c>
      <c r="AM1035" s="60" t="b">
        <f t="shared" si="115"/>
        <v>0</v>
      </c>
      <c r="AN1035" s="60" t="b">
        <f t="shared" si="116"/>
        <v>0</v>
      </c>
      <c r="AO1035" s="60" t="b">
        <f t="shared" si="117"/>
        <v>0</v>
      </c>
      <c r="AP1035" s="60" t="b">
        <f t="shared" si="118"/>
        <v>0</v>
      </c>
      <c r="AQ1035" s="60" t="b">
        <f t="shared" si="119"/>
        <v>0</v>
      </c>
      <c r="AR1035" s="60" t="str">
        <f t="shared" si="120"/>
        <v>No</v>
      </c>
      <c r="AS1035" s="60" t="str">
        <f t="shared" si="121"/>
        <v>Yes</v>
      </c>
    </row>
    <row r="1036" spans="1:45" ht="15" hidden="1">
      <c r="A1036" s="103">
        <v>45244</v>
      </c>
      <c r="B1036" s="117" t="s">
        <v>4305</v>
      </c>
      <c r="C1036" s="28" t="s">
        <v>612</v>
      </c>
      <c r="D1036" s="28" t="s">
        <v>4311</v>
      </c>
      <c r="F1036" s="28" t="s">
        <v>4307</v>
      </c>
      <c r="G1036" s="28" t="s">
        <v>514</v>
      </c>
      <c r="H1036" s="28" t="s">
        <v>681</v>
      </c>
      <c r="I1036" s="28" t="s">
        <v>516</v>
      </c>
      <c r="J1036" s="28" t="s">
        <v>517</v>
      </c>
      <c r="K1036" s="28" t="s">
        <v>518</v>
      </c>
      <c r="L1036" s="28" t="s">
        <v>1040</v>
      </c>
      <c r="M1036" s="28" t="s">
        <v>535</v>
      </c>
      <c r="N1036" s="28" t="s">
        <v>1382</v>
      </c>
      <c r="O1036" s="28" t="s">
        <v>1383</v>
      </c>
      <c r="P1036" s="28" t="s">
        <v>544</v>
      </c>
      <c r="S1036" s="28" t="s">
        <v>536</v>
      </c>
      <c r="T1036" s="28" t="s">
        <v>1042</v>
      </c>
      <c r="U1036" s="28" t="s">
        <v>1042</v>
      </c>
      <c r="V1036" s="28" t="s">
        <v>517</v>
      </c>
      <c r="W1036" s="28" t="s">
        <v>4312</v>
      </c>
      <c r="Z1036" s="118" t="s">
        <v>563</v>
      </c>
      <c r="AA1036" s="118"/>
      <c r="AB1036" s="118" t="s">
        <v>527</v>
      </c>
      <c r="AD1036" s="28" t="s">
        <v>528</v>
      </c>
      <c r="AF1036" s="117" t="s">
        <v>4306</v>
      </c>
      <c r="AG1036" s="28" t="s">
        <v>563</v>
      </c>
      <c r="AK1036" s="60" t="s">
        <v>2927</v>
      </c>
      <c r="AL1036" s="117">
        <f>1/COUNTIF(Tableau6[LAT],B1036)</f>
        <v>0.33333333333333331</v>
      </c>
      <c r="AM1036" s="60" t="b">
        <f t="shared" si="115"/>
        <v>0</v>
      </c>
      <c r="AN1036" s="60" t="b">
        <f t="shared" si="116"/>
        <v>0</v>
      </c>
      <c r="AO1036" s="60" t="b">
        <f t="shared" si="117"/>
        <v>0</v>
      </c>
      <c r="AP1036" s="60" t="b">
        <f t="shared" si="118"/>
        <v>0</v>
      </c>
      <c r="AQ1036" s="60" t="b">
        <f t="shared" si="119"/>
        <v>0</v>
      </c>
      <c r="AR1036" s="60" t="str">
        <f t="shared" si="120"/>
        <v>No</v>
      </c>
      <c r="AS1036" s="60" t="str">
        <f t="shared" si="121"/>
        <v>Yes</v>
      </c>
    </row>
    <row r="1037" spans="1:45" ht="15" hidden="1">
      <c r="A1037" s="103">
        <v>45244</v>
      </c>
      <c r="B1037" s="117" t="s">
        <v>4313</v>
      </c>
      <c r="C1037" s="28" t="s">
        <v>511</v>
      </c>
      <c r="D1037" s="28" t="s">
        <v>4314</v>
      </c>
      <c r="F1037" s="28" t="s">
        <v>4315</v>
      </c>
      <c r="G1037" s="28" t="s">
        <v>514</v>
      </c>
      <c r="H1037" s="28" t="s">
        <v>1554</v>
      </c>
      <c r="I1037" s="28" t="s">
        <v>517</v>
      </c>
      <c r="J1037" s="28" t="s">
        <v>517</v>
      </c>
      <c r="K1037" s="28" t="s">
        <v>518</v>
      </c>
      <c r="L1037" s="28" t="s">
        <v>1199</v>
      </c>
      <c r="M1037" s="28" t="s">
        <v>535</v>
      </c>
      <c r="N1037" s="28" t="s">
        <v>810</v>
      </c>
      <c r="O1037" s="28" t="s">
        <v>1383</v>
      </c>
      <c r="P1037" s="28" t="s">
        <v>522</v>
      </c>
      <c r="S1037" s="28" t="s">
        <v>573</v>
      </c>
      <c r="T1037" s="28" t="s">
        <v>651</v>
      </c>
      <c r="U1037" s="28" t="s">
        <v>651</v>
      </c>
      <c r="V1037" s="28" t="s">
        <v>517</v>
      </c>
      <c r="W1037" s="28" t="s">
        <v>4316</v>
      </c>
      <c r="Z1037" s="118" t="s">
        <v>526</v>
      </c>
      <c r="AA1037" s="118"/>
      <c r="AB1037" s="118"/>
      <c r="AF1037" s="117"/>
      <c r="AK1037" s="60" t="s">
        <v>2927</v>
      </c>
      <c r="AL1037" s="117">
        <f>1/COUNTIF(Tableau6[LAT],B1037)</f>
        <v>1</v>
      </c>
      <c r="AM1037" s="60" t="b">
        <f t="shared" si="115"/>
        <v>0</v>
      </c>
      <c r="AN1037" s="60" t="b">
        <f t="shared" si="116"/>
        <v>0</v>
      </c>
      <c r="AO1037" s="60" t="b">
        <f t="shared" si="117"/>
        <v>0</v>
      </c>
      <c r="AP1037" s="60" t="b">
        <f t="shared" si="118"/>
        <v>0</v>
      </c>
      <c r="AQ1037" s="60" t="b">
        <f t="shared" si="119"/>
        <v>0</v>
      </c>
      <c r="AR1037" s="60" t="str">
        <f t="shared" si="120"/>
        <v>No</v>
      </c>
      <c r="AS1037" s="60" t="str">
        <f t="shared" si="121"/>
        <v>No</v>
      </c>
    </row>
    <row r="1038" spans="1:45" ht="15" hidden="1">
      <c r="A1038" s="103">
        <v>45244</v>
      </c>
      <c r="B1038" s="117" t="s">
        <v>4317</v>
      </c>
      <c r="C1038" s="28" t="s">
        <v>511</v>
      </c>
      <c r="D1038" s="28" t="s">
        <v>4318</v>
      </c>
      <c r="F1038" s="28" t="s">
        <v>4319</v>
      </c>
      <c r="G1038" s="28" t="s">
        <v>514</v>
      </c>
      <c r="H1038" s="28" t="s">
        <v>1809</v>
      </c>
      <c r="I1038" s="28" t="s">
        <v>516</v>
      </c>
      <c r="J1038" s="28" t="s">
        <v>517</v>
      </c>
      <c r="K1038" s="28" t="s">
        <v>682</v>
      </c>
      <c r="L1038" s="28" t="s">
        <v>3078</v>
      </c>
      <c r="M1038" s="28" t="s">
        <v>535</v>
      </c>
      <c r="N1038" s="28" t="s">
        <v>557</v>
      </c>
      <c r="O1038" s="28" t="s">
        <v>544</v>
      </c>
      <c r="P1038" s="28" t="s">
        <v>522</v>
      </c>
      <c r="S1038" s="28" t="s">
        <v>1366</v>
      </c>
      <c r="T1038" s="28" t="s">
        <v>545</v>
      </c>
      <c r="U1038" s="28" t="s">
        <v>545</v>
      </c>
      <c r="V1038" s="28" t="s">
        <v>517</v>
      </c>
      <c r="W1038" s="28" t="s">
        <v>4320</v>
      </c>
      <c r="Z1038" s="118" t="s">
        <v>563</v>
      </c>
      <c r="AA1038" s="118"/>
      <c r="AB1038" s="118" t="s">
        <v>527</v>
      </c>
      <c r="AD1038" s="28" t="s">
        <v>954</v>
      </c>
      <c r="AF1038" s="117" t="s">
        <v>4318</v>
      </c>
      <c r="AG1038" s="28" t="s">
        <v>563</v>
      </c>
      <c r="AK1038" s="60" t="s">
        <v>2927</v>
      </c>
      <c r="AL1038" s="117">
        <f>1/COUNTIF(Tableau6[LAT],B1038)</f>
        <v>0.5</v>
      </c>
      <c r="AM1038" s="60" t="b">
        <f t="shared" si="115"/>
        <v>0</v>
      </c>
      <c r="AN1038" s="60" t="b">
        <f t="shared" si="116"/>
        <v>0</v>
      </c>
      <c r="AO1038" s="60" t="b">
        <f t="shared" si="117"/>
        <v>0</v>
      </c>
      <c r="AP1038" s="60" t="b">
        <f t="shared" si="118"/>
        <v>0</v>
      </c>
      <c r="AQ1038" s="60" t="b">
        <f t="shared" si="119"/>
        <v>0</v>
      </c>
      <c r="AR1038" s="60" t="str">
        <f t="shared" si="120"/>
        <v>No</v>
      </c>
      <c r="AS1038" s="60" t="str">
        <f t="shared" si="121"/>
        <v>No</v>
      </c>
    </row>
    <row r="1039" spans="1:45" ht="15" hidden="1">
      <c r="A1039" s="103">
        <v>45244</v>
      </c>
      <c r="B1039" s="117" t="s">
        <v>4317</v>
      </c>
      <c r="C1039" s="28" t="s">
        <v>548</v>
      </c>
      <c r="D1039" s="28" t="s">
        <v>4321</v>
      </c>
      <c r="F1039" s="28" t="s">
        <v>4319</v>
      </c>
      <c r="G1039" s="28" t="s">
        <v>514</v>
      </c>
      <c r="H1039" s="28" t="s">
        <v>1715</v>
      </c>
      <c r="I1039" s="28" t="s">
        <v>516</v>
      </c>
      <c r="J1039" s="28" t="s">
        <v>517</v>
      </c>
      <c r="K1039" s="28" t="s">
        <v>682</v>
      </c>
      <c r="L1039" s="28" t="s">
        <v>3078</v>
      </c>
      <c r="M1039" s="28" t="s">
        <v>535</v>
      </c>
      <c r="N1039" s="28" t="s">
        <v>557</v>
      </c>
      <c r="O1039" s="28" t="s">
        <v>544</v>
      </c>
      <c r="P1039" s="28" t="s">
        <v>522</v>
      </c>
      <c r="S1039" s="28" t="s">
        <v>1366</v>
      </c>
      <c r="T1039" s="28" t="s">
        <v>545</v>
      </c>
      <c r="U1039" s="28" t="s">
        <v>545</v>
      </c>
      <c r="V1039" s="28" t="s">
        <v>517</v>
      </c>
      <c r="W1039" s="28" t="s">
        <v>4322</v>
      </c>
      <c r="Z1039" s="118" t="s">
        <v>563</v>
      </c>
      <c r="AA1039" s="118"/>
      <c r="AB1039" s="118" t="s">
        <v>527</v>
      </c>
      <c r="AD1039" s="28" t="s">
        <v>954</v>
      </c>
      <c r="AF1039" s="117" t="s">
        <v>4318</v>
      </c>
      <c r="AG1039" s="28" t="s">
        <v>563</v>
      </c>
      <c r="AK1039" s="60" t="s">
        <v>2927</v>
      </c>
      <c r="AL1039" s="117">
        <f>1/COUNTIF(Tableau6[LAT],B1039)</f>
        <v>0.5</v>
      </c>
      <c r="AM1039" s="60" t="b">
        <f t="shared" si="115"/>
        <v>0</v>
      </c>
      <c r="AN1039" s="60" t="b">
        <f t="shared" si="116"/>
        <v>0</v>
      </c>
      <c r="AO1039" s="60" t="b">
        <f t="shared" si="117"/>
        <v>0</v>
      </c>
      <c r="AP1039" s="60" t="b">
        <f t="shared" si="118"/>
        <v>0</v>
      </c>
      <c r="AQ1039" s="60" t="b">
        <f t="shared" si="119"/>
        <v>0</v>
      </c>
      <c r="AR1039" s="60" t="str">
        <f t="shared" si="120"/>
        <v>No</v>
      </c>
      <c r="AS1039" s="60" t="str">
        <f t="shared" si="121"/>
        <v>No</v>
      </c>
    </row>
    <row r="1040" spans="1:45" ht="15" hidden="1">
      <c r="A1040" s="103">
        <v>45244</v>
      </c>
      <c r="B1040" s="117" t="s">
        <v>4323</v>
      </c>
      <c r="C1040" s="28" t="s">
        <v>548</v>
      </c>
      <c r="D1040" s="28" t="s">
        <v>4324</v>
      </c>
      <c r="F1040" s="28" t="s">
        <v>4325</v>
      </c>
      <c r="G1040" s="28" t="s">
        <v>657</v>
      </c>
      <c r="H1040" s="28" t="s">
        <v>1330</v>
      </c>
      <c r="I1040" s="28" t="s">
        <v>516</v>
      </c>
      <c r="J1040" s="28" t="s">
        <v>517</v>
      </c>
      <c r="K1040" s="28" t="s">
        <v>518</v>
      </c>
      <c r="L1040" s="28" t="s">
        <v>3338</v>
      </c>
      <c r="M1040" s="28" t="s">
        <v>520</v>
      </c>
      <c r="S1040" s="28" t="s">
        <v>589</v>
      </c>
      <c r="T1040" s="28" t="s">
        <v>3083</v>
      </c>
      <c r="U1040" s="28" t="s">
        <v>3083</v>
      </c>
      <c r="V1040" s="28" t="s">
        <v>517</v>
      </c>
      <c r="W1040" s="28" t="s">
        <v>4326</v>
      </c>
      <c r="Z1040" s="118" t="s">
        <v>563</v>
      </c>
      <c r="AA1040" s="118"/>
      <c r="AB1040" s="118" t="s">
        <v>527</v>
      </c>
      <c r="AD1040" s="28" t="s">
        <v>528</v>
      </c>
      <c r="AF1040" s="117" t="s">
        <v>4327</v>
      </c>
      <c r="AG1040" s="28" t="s">
        <v>563</v>
      </c>
      <c r="AK1040" s="60" t="s">
        <v>2927</v>
      </c>
      <c r="AL1040" s="117">
        <f>1/COUNTIF(Tableau6[LAT],B1040)</f>
        <v>0.2</v>
      </c>
      <c r="AM1040" s="60" t="b">
        <f t="shared" si="115"/>
        <v>0</v>
      </c>
      <c r="AN1040" s="60" t="b">
        <f t="shared" si="116"/>
        <v>0</v>
      </c>
      <c r="AO1040" s="60" t="b">
        <f t="shared" si="117"/>
        <v>0</v>
      </c>
      <c r="AP1040" s="60" t="b">
        <f t="shared" si="118"/>
        <v>0</v>
      </c>
      <c r="AQ1040" s="60" t="b">
        <f t="shared" si="119"/>
        <v>0</v>
      </c>
      <c r="AR1040" s="60" t="str">
        <f t="shared" si="120"/>
        <v>No</v>
      </c>
      <c r="AS1040" s="60" t="str">
        <f t="shared" si="121"/>
        <v>No</v>
      </c>
    </row>
    <row r="1041" spans="1:45" ht="15" hidden="1">
      <c r="A1041" s="103">
        <v>45244</v>
      </c>
      <c r="B1041" s="117" t="s">
        <v>4323</v>
      </c>
      <c r="C1041" s="28" t="s">
        <v>612</v>
      </c>
      <c r="D1041" s="28" t="s">
        <v>4328</v>
      </c>
      <c r="F1041" s="28" t="s">
        <v>4329</v>
      </c>
      <c r="G1041" s="28" t="s">
        <v>2675</v>
      </c>
      <c r="H1041" s="28" t="s">
        <v>711</v>
      </c>
      <c r="I1041" s="28" t="s">
        <v>516</v>
      </c>
      <c r="J1041" s="28" t="s">
        <v>517</v>
      </c>
      <c r="K1041" s="28" t="s">
        <v>518</v>
      </c>
      <c r="L1041" s="28" t="s">
        <v>3338</v>
      </c>
      <c r="M1041" s="28" t="s">
        <v>520</v>
      </c>
      <c r="S1041" s="28" t="s">
        <v>589</v>
      </c>
      <c r="T1041" s="28" t="s">
        <v>3083</v>
      </c>
      <c r="U1041" s="28" t="s">
        <v>3083</v>
      </c>
      <c r="V1041" s="28" t="s">
        <v>517</v>
      </c>
      <c r="W1041" s="28" t="s">
        <v>821</v>
      </c>
      <c r="Z1041" s="118" t="s">
        <v>563</v>
      </c>
      <c r="AA1041" s="118"/>
      <c r="AB1041" s="118" t="s">
        <v>527</v>
      </c>
      <c r="AD1041" s="28" t="s">
        <v>528</v>
      </c>
      <c r="AF1041" s="117" t="s">
        <v>4324</v>
      </c>
      <c r="AG1041" s="28" t="s">
        <v>563</v>
      </c>
      <c r="AK1041" s="60" t="s">
        <v>2927</v>
      </c>
      <c r="AL1041" s="117">
        <f>1/COUNTIF(Tableau6[LAT],B1041)</f>
        <v>0.2</v>
      </c>
      <c r="AM1041" s="60" t="b">
        <f t="shared" si="115"/>
        <v>0</v>
      </c>
      <c r="AN1041" s="60" t="b">
        <f t="shared" si="116"/>
        <v>0</v>
      </c>
      <c r="AO1041" s="60" t="b">
        <f t="shared" si="117"/>
        <v>0</v>
      </c>
      <c r="AP1041" s="60" t="b">
        <f t="shared" si="118"/>
        <v>0</v>
      </c>
      <c r="AQ1041" s="60" t="b">
        <f t="shared" si="119"/>
        <v>0</v>
      </c>
      <c r="AR1041" s="60" t="str">
        <f t="shared" si="120"/>
        <v>No</v>
      </c>
      <c r="AS1041" s="60" t="str">
        <f t="shared" si="121"/>
        <v>No</v>
      </c>
    </row>
    <row r="1042" spans="1:45" ht="15" hidden="1">
      <c r="A1042" s="103">
        <v>45244</v>
      </c>
      <c r="B1042" s="117" t="s">
        <v>4323</v>
      </c>
      <c r="C1042" s="28" t="s">
        <v>691</v>
      </c>
      <c r="D1042" s="28" t="s">
        <v>4330</v>
      </c>
      <c r="F1042" s="28" t="s">
        <v>4331</v>
      </c>
      <c r="G1042" s="28" t="s">
        <v>1635</v>
      </c>
      <c r="H1042" s="28" t="s">
        <v>1340</v>
      </c>
      <c r="I1042" s="28" t="s">
        <v>516</v>
      </c>
      <c r="J1042" s="28" t="s">
        <v>517</v>
      </c>
      <c r="K1042" s="28" t="s">
        <v>518</v>
      </c>
      <c r="L1042" s="28" t="s">
        <v>3338</v>
      </c>
      <c r="M1042" s="28" t="s">
        <v>520</v>
      </c>
      <c r="S1042" s="28" t="s">
        <v>589</v>
      </c>
      <c r="T1042" s="28" t="s">
        <v>3083</v>
      </c>
      <c r="U1042" s="28" t="s">
        <v>3083</v>
      </c>
      <c r="V1042" s="28" t="s">
        <v>517</v>
      </c>
      <c r="W1042" s="28" t="s">
        <v>821</v>
      </c>
      <c r="Z1042" s="118" t="s">
        <v>563</v>
      </c>
      <c r="AA1042" s="118"/>
      <c r="AB1042" s="118" t="s">
        <v>527</v>
      </c>
      <c r="AD1042" s="28" t="s">
        <v>528</v>
      </c>
      <c r="AF1042" s="117" t="s">
        <v>4328</v>
      </c>
      <c r="AG1042" s="28" t="s">
        <v>563</v>
      </c>
      <c r="AK1042" s="60" t="s">
        <v>2927</v>
      </c>
      <c r="AL1042" s="117">
        <f>1/COUNTIF(Tableau6[LAT],B1042)</f>
        <v>0.2</v>
      </c>
      <c r="AM1042" s="60" t="b">
        <f t="shared" si="115"/>
        <v>0</v>
      </c>
      <c r="AN1042" s="60" t="b">
        <f t="shared" si="116"/>
        <v>0</v>
      </c>
      <c r="AO1042" s="60" t="b">
        <f t="shared" si="117"/>
        <v>0</v>
      </c>
      <c r="AP1042" s="60" t="b">
        <f t="shared" si="118"/>
        <v>0</v>
      </c>
      <c r="AQ1042" s="60" t="b">
        <f t="shared" si="119"/>
        <v>0</v>
      </c>
      <c r="AR1042" s="60" t="str">
        <f t="shared" si="120"/>
        <v>No</v>
      </c>
      <c r="AS1042" s="60" t="str">
        <f t="shared" si="121"/>
        <v>No</v>
      </c>
    </row>
    <row r="1043" spans="1:45" ht="15" hidden="1">
      <c r="A1043" s="103">
        <v>45244</v>
      </c>
      <c r="B1043" s="117" t="s">
        <v>4323</v>
      </c>
      <c r="C1043" s="28" t="s">
        <v>859</v>
      </c>
      <c r="D1043" s="28" t="s">
        <v>4332</v>
      </c>
      <c r="F1043" s="28" t="s">
        <v>4331</v>
      </c>
      <c r="G1043" s="28" t="s">
        <v>1635</v>
      </c>
      <c r="H1043" s="28" t="s">
        <v>2175</v>
      </c>
      <c r="I1043" s="28" t="s">
        <v>516</v>
      </c>
      <c r="J1043" s="28" t="s">
        <v>517</v>
      </c>
      <c r="K1043" s="28" t="s">
        <v>518</v>
      </c>
      <c r="L1043" s="28" t="s">
        <v>3338</v>
      </c>
      <c r="M1043" s="28" t="s">
        <v>520</v>
      </c>
      <c r="S1043" s="28" t="s">
        <v>589</v>
      </c>
      <c r="T1043" s="28" t="s">
        <v>3083</v>
      </c>
      <c r="U1043" s="28" t="s">
        <v>3083</v>
      </c>
      <c r="V1043" s="28" t="s">
        <v>517</v>
      </c>
      <c r="W1043" s="28" t="s">
        <v>821</v>
      </c>
      <c r="Z1043" s="118" t="s">
        <v>563</v>
      </c>
      <c r="AA1043" s="118"/>
      <c r="AB1043" s="118" t="s">
        <v>527</v>
      </c>
      <c r="AD1043" s="28" t="s">
        <v>528</v>
      </c>
      <c r="AF1043" s="117" t="s">
        <v>4330</v>
      </c>
      <c r="AG1043" s="28" t="s">
        <v>563</v>
      </c>
      <c r="AK1043" s="60" t="s">
        <v>2927</v>
      </c>
      <c r="AL1043" s="117">
        <f>1/COUNTIF(Tableau6[LAT],B1043)</f>
        <v>0.2</v>
      </c>
      <c r="AM1043" s="60" t="b">
        <f t="shared" si="115"/>
        <v>0</v>
      </c>
      <c r="AN1043" s="60" t="b">
        <f t="shared" si="116"/>
        <v>0</v>
      </c>
      <c r="AO1043" s="60" t="b">
        <f t="shared" si="117"/>
        <v>0</v>
      </c>
      <c r="AP1043" s="60" t="b">
        <f t="shared" si="118"/>
        <v>0</v>
      </c>
      <c r="AQ1043" s="60" t="b">
        <f t="shared" si="119"/>
        <v>0</v>
      </c>
      <c r="AR1043" s="60" t="str">
        <f t="shared" si="120"/>
        <v>No</v>
      </c>
      <c r="AS1043" s="60" t="str">
        <f t="shared" si="121"/>
        <v>No</v>
      </c>
    </row>
    <row r="1044" spans="1:45" ht="15" hidden="1">
      <c r="A1044" s="103">
        <v>45244</v>
      </c>
      <c r="B1044" s="117" t="s">
        <v>4323</v>
      </c>
      <c r="C1044" s="28" t="s">
        <v>861</v>
      </c>
      <c r="D1044" s="28" t="s">
        <v>4333</v>
      </c>
      <c r="F1044" s="28" t="s">
        <v>4331</v>
      </c>
      <c r="G1044" s="28" t="s">
        <v>1635</v>
      </c>
      <c r="H1044" s="28" t="s">
        <v>1340</v>
      </c>
      <c r="I1044" s="28" t="s">
        <v>516</v>
      </c>
      <c r="J1044" s="28" t="s">
        <v>517</v>
      </c>
      <c r="K1044" s="28" t="s">
        <v>518</v>
      </c>
      <c r="L1044" s="28" t="s">
        <v>3338</v>
      </c>
      <c r="M1044" s="28" t="s">
        <v>520</v>
      </c>
      <c r="S1044" s="28" t="s">
        <v>589</v>
      </c>
      <c r="T1044" s="28" t="s">
        <v>3083</v>
      </c>
      <c r="U1044" s="28" t="s">
        <v>3083</v>
      </c>
      <c r="V1044" s="28" t="s">
        <v>517</v>
      </c>
      <c r="W1044" s="28" t="s">
        <v>821</v>
      </c>
      <c r="Z1044" s="118" t="s">
        <v>563</v>
      </c>
      <c r="AA1044" s="118"/>
      <c r="AB1044" s="118" t="s">
        <v>527</v>
      </c>
      <c r="AD1044" s="28" t="s">
        <v>528</v>
      </c>
      <c r="AF1044" s="117" t="s">
        <v>4332</v>
      </c>
      <c r="AG1044" s="28" t="s">
        <v>563</v>
      </c>
      <c r="AK1044" s="60" t="s">
        <v>2927</v>
      </c>
      <c r="AL1044" s="117">
        <f>1/COUNTIF(Tableau6[LAT],B1044)</f>
        <v>0.2</v>
      </c>
      <c r="AM1044" s="60" t="b">
        <f t="shared" si="115"/>
        <v>0</v>
      </c>
      <c r="AN1044" s="60" t="b">
        <f t="shared" si="116"/>
        <v>0</v>
      </c>
      <c r="AO1044" s="60" t="b">
        <f t="shared" si="117"/>
        <v>0</v>
      </c>
      <c r="AP1044" s="60" t="b">
        <f t="shared" si="118"/>
        <v>0</v>
      </c>
      <c r="AQ1044" s="60" t="b">
        <f t="shared" si="119"/>
        <v>0</v>
      </c>
      <c r="AR1044" s="60" t="str">
        <f t="shared" si="120"/>
        <v>No</v>
      </c>
      <c r="AS1044" s="60" t="str">
        <f t="shared" si="121"/>
        <v>No</v>
      </c>
    </row>
    <row r="1045" spans="1:45" ht="15" hidden="1">
      <c r="A1045" s="103">
        <v>45244</v>
      </c>
      <c r="B1045" s="117" t="s">
        <v>4334</v>
      </c>
      <c r="C1045" s="28" t="s">
        <v>612</v>
      </c>
      <c r="D1045" s="28" t="s">
        <v>4335</v>
      </c>
      <c r="F1045" s="28" t="s">
        <v>4336</v>
      </c>
      <c r="G1045" s="28" t="s">
        <v>1077</v>
      </c>
      <c r="H1045" s="28" t="s">
        <v>2119</v>
      </c>
      <c r="I1045" s="28" t="s">
        <v>516</v>
      </c>
      <c r="J1045" s="28" t="s">
        <v>517</v>
      </c>
      <c r="K1045" s="28" t="s">
        <v>518</v>
      </c>
      <c r="L1045" s="28" t="s">
        <v>2363</v>
      </c>
      <c r="M1045" s="28" t="s">
        <v>535</v>
      </c>
      <c r="N1045" s="28" t="s">
        <v>619</v>
      </c>
      <c r="O1045" s="28" t="s">
        <v>557</v>
      </c>
      <c r="P1045" s="28" t="s">
        <v>559</v>
      </c>
      <c r="S1045" s="28" t="s">
        <v>1529</v>
      </c>
      <c r="T1045" s="28" t="s">
        <v>2364</v>
      </c>
      <c r="U1045" s="28" t="s">
        <v>2364</v>
      </c>
      <c r="V1045" s="28" t="s">
        <v>517</v>
      </c>
      <c r="W1045" s="28" t="s">
        <v>4337</v>
      </c>
      <c r="Z1045" s="118" t="s">
        <v>563</v>
      </c>
      <c r="AA1045" s="118"/>
      <c r="AB1045" s="73" t="s">
        <v>609</v>
      </c>
      <c r="AD1045" s="28" t="s">
        <v>528</v>
      </c>
      <c r="AF1045" s="117" t="s">
        <v>4338</v>
      </c>
      <c r="AG1045" s="28" t="s">
        <v>563</v>
      </c>
      <c r="AK1045" s="60" t="s">
        <v>2927</v>
      </c>
      <c r="AL1045" s="117">
        <f>1/COUNTIF(Tableau6[LAT],B1045)</f>
        <v>1</v>
      </c>
      <c r="AM1045" s="60" t="b">
        <f t="shared" si="115"/>
        <v>0</v>
      </c>
      <c r="AN1045" s="60" t="b">
        <f t="shared" si="116"/>
        <v>0</v>
      </c>
      <c r="AO1045" s="60" t="b">
        <f t="shared" si="117"/>
        <v>0</v>
      </c>
      <c r="AP1045" s="60" t="b">
        <f t="shared" si="118"/>
        <v>0</v>
      </c>
      <c r="AQ1045" s="60" t="b">
        <f t="shared" si="119"/>
        <v>0</v>
      </c>
      <c r="AR1045" s="60" t="str">
        <f t="shared" si="120"/>
        <v>No</v>
      </c>
      <c r="AS1045" s="60" t="str">
        <f t="shared" si="121"/>
        <v>No</v>
      </c>
    </row>
    <row r="1046" spans="1:45" ht="15" hidden="1">
      <c r="A1046" s="103">
        <v>45244</v>
      </c>
      <c r="B1046" s="117" t="s">
        <v>4339</v>
      </c>
      <c r="C1046" s="28" t="s">
        <v>691</v>
      </c>
      <c r="D1046" s="28" t="s">
        <v>4340</v>
      </c>
      <c r="E1046" s="28" t="s">
        <v>4341</v>
      </c>
      <c r="F1046" s="28" t="s">
        <v>4342</v>
      </c>
      <c r="G1046" s="28" t="s">
        <v>3864</v>
      </c>
      <c r="H1046" s="28" t="s">
        <v>4343</v>
      </c>
      <c r="I1046" s="28" t="s">
        <v>516</v>
      </c>
      <c r="J1046" s="28" t="s">
        <v>517</v>
      </c>
      <c r="K1046" s="28" t="s">
        <v>518</v>
      </c>
      <c r="L1046" s="28" t="s">
        <v>2363</v>
      </c>
      <c r="M1046" s="28" t="s">
        <v>535</v>
      </c>
      <c r="N1046" s="28" t="s">
        <v>557</v>
      </c>
      <c r="O1046" s="28" t="s">
        <v>559</v>
      </c>
      <c r="S1046" s="28" t="s">
        <v>1529</v>
      </c>
      <c r="T1046" s="28" t="s">
        <v>2364</v>
      </c>
      <c r="U1046" s="28" t="s">
        <v>2364</v>
      </c>
      <c r="V1046" s="28" t="s">
        <v>517</v>
      </c>
      <c r="W1046" s="28" t="s">
        <v>4344</v>
      </c>
      <c r="X1046" s="28" t="s">
        <v>1071</v>
      </c>
      <c r="Z1046" s="118" t="s">
        <v>563</v>
      </c>
      <c r="AA1046" s="118"/>
      <c r="AB1046" s="73" t="s">
        <v>609</v>
      </c>
      <c r="AD1046" s="28" t="s">
        <v>528</v>
      </c>
      <c r="AF1046" s="117" t="s">
        <v>4345</v>
      </c>
      <c r="AG1046" s="28" t="s">
        <v>563</v>
      </c>
      <c r="AK1046" s="60" t="s">
        <v>2927</v>
      </c>
      <c r="AL1046" s="117">
        <f>1/COUNTIF(Tableau6[LAT],B1046)</f>
        <v>1</v>
      </c>
      <c r="AM1046" s="60" t="b">
        <f t="shared" si="115"/>
        <v>0</v>
      </c>
      <c r="AN1046" s="60" t="b">
        <f t="shared" si="116"/>
        <v>0</v>
      </c>
      <c r="AO1046" s="60" t="b">
        <f t="shared" si="117"/>
        <v>0</v>
      </c>
      <c r="AP1046" s="60" t="b">
        <f t="shared" si="118"/>
        <v>0</v>
      </c>
      <c r="AQ1046" s="60" t="b">
        <f t="shared" si="119"/>
        <v>0</v>
      </c>
      <c r="AR1046" s="60" t="str">
        <f t="shared" si="120"/>
        <v>No</v>
      </c>
      <c r="AS1046" s="60" t="str">
        <f t="shared" si="121"/>
        <v>No</v>
      </c>
    </row>
    <row r="1047" spans="1:45" ht="15" hidden="1">
      <c r="A1047" s="103">
        <v>45244</v>
      </c>
      <c r="B1047" s="117" t="s">
        <v>4346</v>
      </c>
      <c r="C1047" s="28" t="s">
        <v>511</v>
      </c>
      <c r="D1047" s="28" t="s">
        <v>4347</v>
      </c>
      <c r="F1047" s="28" t="s">
        <v>1002</v>
      </c>
      <c r="G1047" s="28" t="s">
        <v>958</v>
      </c>
      <c r="H1047" s="28" t="s">
        <v>2094</v>
      </c>
      <c r="I1047" s="28" t="s">
        <v>516</v>
      </c>
      <c r="J1047" s="28" t="s">
        <v>517</v>
      </c>
      <c r="K1047" s="28" t="s">
        <v>518</v>
      </c>
      <c r="L1047" s="28" t="s">
        <v>1276</v>
      </c>
      <c r="M1047" s="28" t="s">
        <v>535</v>
      </c>
      <c r="N1047" s="28" t="s">
        <v>522</v>
      </c>
      <c r="S1047" s="28" t="s">
        <v>1529</v>
      </c>
      <c r="T1047" s="28" t="s">
        <v>917</v>
      </c>
      <c r="U1047" s="28" t="s">
        <v>917</v>
      </c>
      <c r="V1047" s="28" t="s">
        <v>517</v>
      </c>
      <c r="W1047" s="28" t="s">
        <v>4348</v>
      </c>
      <c r="Z1047" s="118" t="s">
        <v>563</v>
      </c>
      <c r="AA1047" s="118"/>
      <c r="AB1047" s="118" t="s">
        <v>4349</v>
      </c>
      <c r="AD1047" s="28" t="s">
        <v>528</v>
      </c>
      <c r="AF1047" s="117" t="s">
        <v>4347</v>
      </c>
      <c r="AG1047" s="28" t="s">
        <v>563</v>
      </c>
      <c r="AK1047" s="60" t="s">
        <v>2927</v>
      </c>
      <c r="AL1047" s="117">
        <f>1/COUNTIF(Tableau6[LAT],B1047)</f>
        <v>0.14285714285714285</v>
      </c>
      <c r="AM1047" s="60" t="b">
        <f t="shared" si="115"/>
        <v>0</v>
      </c>
      <c r="AN1047" s="60" t="b">
        <f t="shared" si="116"/>
        <v>0</v>
      </c>
      <c r="AO1047" s="60" t="b">
        <f t="shared" si="117"/>
        <v>0</v>
      </c>
      <c r="AP1047" s="60" t="b">
        <f t="shared" si="118"/>
        <v>0</v>
      </c>
      <c r="AQ1047" s="60" t="b">
        <f t="shared" si="119"/>
        <v>0</v>
      </c>
      <c r="AR1047" s="60" t="str">
        <f t="shared" si="120"/>
        <v>No</v>
      </c>
      <c r="AS1047" s="60" t="str">
        <f t="shared" si="121"/>
        <v>No</v>
      </c>
    </row>
    <row r="1048" spans="1:45" ht="15" hidden="1">
      <c r="A1048" s="103">
        <v>45244</v>
      </c>
      <c r="B1048" s="117" t="s">
        <v>4346</v>
      </c>
      <c r="C1048" s="28" t="s">
        <v>548</v>
      </c>
      <c r="D1048" s="28" t="s">
        <v>4350</v>
      </c>
      <c r="F1048" s="28" t="s">
        <v>4351</v>
      </c>
      <c r="G1048" s="28" t="s">
        <v>514</v>
      </c>
      <c r="H1048" s="28" t="s">
        <v>1187</v>
      </c>
      <c r="I1048" s="28" t="s">
        <v>516</v>
      </c>
      <c r="J1048" s="28" t="s">
        <v>517</v>
      </c>
      <c r="K1048" s="28" t="s">
        <v>518</v>
      </c>
      <c r="L1048" s="28" t="s">
        <v>1276</v>
      </c>
      <c r="M1048" s="28" t="s">
        <v>535</v>
      </c>
      <c r="N1048" s="28" t="s">
        <v>522</v>
      </c>
      <c r="S1048" s="28" t="s">
        <v>1529</v>
      </c>
      <c r="T1048" s="28" t="s">
        <v>917</v>
      </c>
      <c r="U1048" s="28" t="s">
        <v>917</v>
      </c>
      <c r="V1048" s="28" t="s">
        <v>517</v>
      </c>
      <c r="W1048" s="28" t="s">
        <v>821</v>
      </c>
      <c r="Z1048" s="118" t="s">
        <v>563</v>
      </c>
      <c r="AA1048" s="118"/>
      <c r="AB1048" s="118" t="s">
        <v>4349</v>
      </c>
      <c r="AD1048" s="28" t="s">
        <v>528</v>
      </c>
      <c r="AF1048" s="117" t="s">
        <v>4350</v>
      </c>
      <c r="AG1048" s="28" t="s">
        <v>563</v>
      </c>
      <c r="AK1048" s="60" t="s">
        <v>2927</v>
      </c>
      <c r="AL1048" s="117">
        <f>1/COUNTIF(Tableau6[LAT],B1048)</f>
        <v>0.14285714285714285</v>
      </c>
      <c r="AM1048" s="60" t="b">
        <f t="shared" si="115"/>
        <v>0</v>
      </c>
      <c r="AN1048" s="60" t="b">
        <f t="shared" si="116"/>
        <v>0</v>
      </c>
      <c r="AO1048" s="60" t="b">
        <f t="shared" si="117"/>
        <v>0</v>
      </c>
      <c r="AP1048" s="60" t="b">
        <f t="shared" si="118"/>
        <v>0</v>
      </c>
      <c r="AQ1048" s="60" t="b">
        <f t="shared" si="119"/>
        <v>0</v>
      </c>
      <c r="AR1048" s="60" t="str">
        <f t="shared" si="120"/>
        <v>No</v>
      </c>
      <c r="AS1048" s="60" t="str">
        <f t="shared" si="121"/>
        <v>No</v>
      </c>
    </row>
    <row r="1049" spans="1:45" ht="15" hidden="1">
      <c r="A1049" s="103">
        <v>45244</v>
      </c>
      <c r="B1049" s="117" t="s">
        <v>4346</v>
      </c>
      <c r="C1049" s="28" t="s">
        <v>612</v>
      </c>
      <c r="D1049" s="28" t="s">
        <v>4352</v>
      </c>
      <c r="F1049" s="28" t="s">
        <v>4351</v>
      </c>
      <c r="G1049" s="28" t="s">
        <v>514</v>
      </c>
      <c r="H1049" s="28" t="s">
        <v>515</v>
      </c>
      <c r="I1049" s="28" t="s">
        <v>516</v>
      </c>
      <c r="J1049" s="28" t="s">
        <v>517</v>
      </c>
      <c r="K1049" s="28" t="s">
        <v>518</v>
      </c>
      <c r="L1049" s="28" t="s">
        <v>1276</v>
      </c>
      <c r="M1049" s="28" t="s">
        <v>535</v>
      </c>
      <c r="N1049" s="28" t="s">
        <v>522</v>
      </c>
      <c r="S1049" s="28" t="s">
        <v>1529</v>
      </c>
      <c r="T1049" s="28" t="s">
        <v>917</v>
      </c>
      <c r="U1049" s="28" t="s">
        <v>917</v>
      </c>
      <c r="V1049" s="28" t="s">
        <v>517</v>
      </c>
      <c r="W1049" s="28" t="s">
        <v>821</v>
      </c>
      <c r="Z1049" s="118" t="s">
        <v>563</v>
      </c>
      <c r="AA1049" s="118"/>
      <c r="AB1049" s="118" t="s">
        <v>4349</v>
      </c>
      <c r="AD1049" s="28" t="s">
        <v>528</v>
      </c>
      <c r="AF1049" s="117" t="s">
        <v>4352</v>
      </c>
      <c r="AG1049" s="28" t="s">
        <v>563</v>
      </c>
      <c r="AK1049" s="60" t="s">
        <v>2927</v>
      </c>
      <c r="AL1049" s="117">
        <f>1/COUNTIF(Tableau6[LAT],B1049)</f>
        <v>0.14285714285714285</v>
      </c>
      <c r="AM1049" s="60" t="b">
        <f t="shared" si="115"/>
        <v>0</v>
      </c>
      <c r="AN1049" s="60" t="b">
        <f t="shared" si="116"/>
        <v>0</v>
      </c>
      <c r="AO1049" s="60" t="b">
        <f t="shared" si="117"/>
        <v>0</v>
      </c>
      <c r="AP1049" s="60" t="b">
        <f t="shared" si="118"/>
        <v>0</v>
      </c>
      <c r="AQ1049" s="60" t="b">
        <f t="shared" si="119"/>
        <v>0</v>
      </c>
      <c r="AR1049" s="60" t="str">
        <f t="shared" si="120"/>
        <v>No</v>
      </c>
      <c r="AS1049" s="60" t="str">
        <f t="shared" si="121"/>
        <v>No</v>
      </c>
    </row>
    <row r="1050" spans="1:45" ht="15" hidden="1">
      <c r="A1050" s="103">
        <v>45244</v>
      </c>
      <c r="B1050" s="117" t="s">
        <v>4346</v>
      </c>
      <c r="C1050" s="28" t="s">
        <v>691</v>
      </c>
      <c r="D1050" s="28" t="s">
        <v>4353</v>
      </c>
      <c r="F1050" s="28" t="s">
        <v>4351</v>
      </c>
      <c r="G1050" s="28" t="s">
        <v>514</v>
      </c>
      <c r="H1050" s="28" t="s">
        <v>515</v>
      </c>
      <c r="I1050" s="28" t="s">
        <v>516</v>
      </c>
      <c r="J1050" s="28" t="s">
        <v>517</v>
      </c>
      <c r="K1050" s="28" t="s">
        <v>518</v>
      </c>
      <c r="L1050" s="28" t="s">
        <v>1276</v>
      </c>
      <c r="M1050" s="28" t="s">
        <v>535</v>
      </c>
      <c r="N1050" s="28" t="s">
        <v>522</v>
      </c>
      <c r="S1050" s="28" t="s">
        <v>1529</v>
      </c>
      <c r="T1050" s="28" t="s">
        <v>917</v>
      </c>
      <c r="U1050" s="28" t="s">
        <v>917</v>
      </c>
      <c r="V1050" s="28" t="s">
        <v>517</v>
      </c>
      <c r="W1050" s="28" t="s">
        <v>821</v>
      </c>
      <c r="Z1050" s="118" t="s">
        <v>563</v>
      </c>
      <c r="AA1050" s="118"/>
      <c r="AB1050" s="118" t="s">
        <v>4349</v>
      </c>
      <c r="AD1050" s="28" t="s">
        <v>528</v>
      </c>
      <c r="AF1050" s="117" t="s">
        <v>4353</v>
      </c>
      <c r="AG1050" s="28" t="s">
        <v>563</v>
      </c>
      <c r="AK1050" s="60" t="s">
        <v>2927</v>
      </c>
      <c r="AL1050" s="117">
        <f>1/COUNTIF(Tableau6[LAT],B1050)</f>
        <v>0.14285714285714285</v>
      </c>
      <c r="AM1050" s="60" t="b">
        <f t="shared" si="115"/>
        <v>0</v>
      </c>
      <c r="AN1050" s="60" t="b">
        <f t="shared" si="116"/>
        <v>0</v>
      </c>
      <c r="AO1050" s="60" t="b">
        <f t="shared" si="117"/>
        <v>0</v>
      </c>
      <c r="AP1050" s="60" t="b">
        <f t="shared" si="118"/>
        <v>0</v>
      </c>
      <c r="AQ1050" s="60" t="b">
        <f t="shared" si="119"/>
        <v>0</v>
      </c>
      <c r="AR1050" s="60" t="str">
        <f t="shared" si="120"/>
        <v>No</v>
      </c>
      <c r="AS1050" s="60" t="str">
        <f t="shared" si="121"/>
        <v>No</v>
      </c>
    </row>
    <row r="1051" spans="1:45" ht="15" hidden="1">
      <c r="A1051" s="103">
        <v>45244</v>
      </c>
      <c r="B1051" s="117" t="s">
        <v>4346</v>
      </c>
      <c r="C1051" s="28" t="s">
        <v>859</v>
      </c>
      <c r="D1051" s="28" t="s">
        <v>4354</v>
      </c>
      <c r="F1051" s="28" t="s">
        <v>4351</v>
      </c>
      <c r="G1051" s="28" t="s">
        <v>514</v>
      </c>
      <c r="H1051" s="28" t="s">
        <v>515</v>
      </c>
      <c r="I1051" s="28" t="s">
        <v>516</v>
      </c>
      <c r="J1051" s="28" t="s">
        <v>517</v>
      </c>
      <c r="K1051" s="28" t="s">
        <v>518</v>
      </c>
      <c r="L1051" s="28" t="s">
        <v>1276</v>
      </c>
      <c r="M1051" s="28" t="s">
        <v>535</v>
      </c>
      <c r="N1051" s="28" t="s">
        <v>522</v>
      </c>
      <c r="S1051" s="28" t="s">
        <v>1529</v>
      </c>
      <c r="T1051" s="28" t="s">
        <v>917</v>
      </c>
      <c r="U1051" s="28" t="s">
        <v>917</v>
      </c>
      <c r="V1051" s="28" t="s">
        <v>517</v>
      </c>
      <c r="W1051" s="28" t="s">
        <v>821</v>
      </c>
      <c r="Z1051" s="118" t="s">
        <v>563</v>
      </c>
      <c r="AA1051" s="118"/>
      <c r="AB1051" s="118" t="s">
        <v>4349</v>
      </c>
      <c r="AD1051" s="28" t="s">
        <v>528</v>
      </c>
      <c r="AF1051" s="117" t="s">
        <v>4354</v>
      </c>
      <c r="AG1051" s="28" t="s">
        <v>563</v>
      </c>
      <c r="AK1051" s="60" t="s">
        <v>2927</v>
      </c>
      <c r="AL1051" s="117">
        <f>1/COUNTIF(Tableau6[LAT],B1051)</f>
        <v>0.14285714285714285</v>
      </c>
      <c r="AM1051" s="60" t="b">
        <f t="shared" si="115"/>
        <v>0</v>
      </c>
      <c r="AN1051" s="60" t="b">
        <f t="shared" si="116"/>
        <v>0</v>
      </c>
      <c r="AO1051" s="60" t="b">
        <f t="shared" si="117"/>
        <v>0</v>
      </c>
      <c r="AP1051" s="60" t="b">
        <f t="shared" si="118"/>
        <v>0</v>
      </c>
      <c r="AQ1051" s="60" t="b">
        <f t="shared" si="119"/>
        <v>0</v>
      </c>
      <c r="AR1051" s="60" t="str">
        <f t="shared" si="120"/>
        <v>No</v>
      </c>
      <c r="AS1051" s="60" t="str">
        <f t="shared" si="121"/>
        <v>No</v>
      </c>
    </row>
    <row r="1052" spans="1:45" ht="15" hidden="1">
      <c r="A1052" s="103">
        <v>45244</v>
      </c>
      <c r="B1052" s="117" t="s">
        <v>4346</v>
      </c>
      <c r="C1052" s="28" t="s">
        <v>861</v>
      </c>
      <c r="D1052" s="28" t="s">
        <v>4355</v>
      </c>
      <c r="F1052" s="28" t="s">
        <v>4351</v>
      </c>
      <c r="G1052" s="28" t="s">
        <v>514</v>
      </c>
      <c r="H1052" s="28" t="s">
        <v>515</v>
      </c>
      <c r="I1052" s="28" t="s">
        <v>516</v>
      </c>
      <c r="J1052" s="28" t="s">
        <v>517</v>
      </c>
      <c r="K1052" s="28" t="s">
        <v>518</v>
      </c>
      <c r="L1052" s="28" t="s">
        <v>1276</v>
      </c>
      <c r="M1052" s="28" t="s">
        <v>535</v>
      </c>
      <c r="N1052" s="28" t="s">
        <v>522</v>
      </c>
      <c r="S1052" s="28" t="s">
        <v>1529</v>
      </c>
      <c r="T1052" s="28" t="s">
        <v>917</v>
      </c>
      <c r="U1052" s="28" t="s">
        <v>917</v>
      </c>
      <c r="V1052" s="28" t="s">
        <v>517</v>
      </c>
      <c r="W1052" s="28" t="s">
        <v>821</v>
      </c>
      <c r="Z1052" s="118" t="s">
        <v>563</v>
      </c>
      <c r="AA1052" s="118"/>
      <c r="AB1052" s="118" t="s">
        <v>4349</v>
      </c>
      <c r="AD1052" s="28" t="s">
        <v>528</v>
      </c>
      <c r="AF1052" s="117" t="s">
        <v>4355</v>
      </c>
      <c r="AG1052" s="28" t="s">
        <v>563</v>
      </c>
      <c r="AK1052" s="60" t="s">
        <v>2927</v>
      </c>
      <c r="AL1052" s="117">
        <f>1/COUNTIF(Tableau6[LAT],B1052)</f>
        <v>0.14285714285714285</v>
      </c>
      <c r="AM1052" s="60" t="b">
        <f t="shared" si="115"/>
        <v>0</v>
      </c>
      <c r="AN1052" s="60" t="b">
        <f t="shared" si="116"/>
        <v>0</v>
      </c>
      <c r="AO1052" s="60" t="b">
        <f t="shared" si="117"/>
        <v>0</v>
      </c>
      <c r="AP1052" s="60" t="b">
        <f t="shared" si="118"/>
        <v>0</v>
      </c>
      <c r="AQ1052" s="60" t="b">
        <f t="shared" si="119"/>
        <v>0</v>
      </c>
      <c r="AR1052" s="60" t="str">
        <f t="shared" si="120"/>
        <v>No</v>
      </c>
      <c r="AS1052" s="60" t="str">
        <f t="shared" si="121"/>
        <v>No</v>
      </c>
    </row>
    <row r="1053" spans="1:45" ht="15" hidden="1">
      <c r="A1053" s="103">
        <v>45244</v>
      </c>
      <c r="B1053" s="117" t="s">
        <v>4346</v>
      </c>
      <c r="D1053" s="28" t="s">
        <v>4356</v>
      </c>
      <c r="F1053" s="28" t="s">
        <v>4351</v>
      </c>
      <c r="G1053" s="28" t="s">
        <v>514</v>
      </c>
      <c r="H1053" s="28" t="s">
        <v>1187</v>
      </c>
      <c r="I1053" s="28" t="s">
        <v>516</v>
      </c>
      <c r="J1053" s="28" t="s">
        <v>517</v>
      </c>
      <c r="K1053" s="28" t="s">
        <v>518</v>
      </c>
      <c r="L1053" s="28" t="s">
        <v>1276</v>
      </c>
      <c r="M1053" s="28" t="s">
        <v>535</v>
      </c>
      <c r="N1053" s="28" t="s">
        <v>522</v>
      </c>
      <c r="S1053" s="28" t="s">
        <v>1529</v>
      </c>
      <c r="T1053" s="28" t="s">
        <v>917</v>
      </c>
      <c r="U1053" s="28" t="s">
        <v>917</v>
      </c>
      <c r="V1053" s="28" t="s">
        <v>517</v>
      </c>
      <c r="W1053" s="28" t="s">
        <v>821</v>
      </c>
      <c r="Z1053" s="118" t="s">
        <v>563</v>
      </c>
      <c r="AA1053" s="118"/>
      <c r="AB1053" s="118" t="s">
        <v>4349</v>
      </c>
      <c r="AD1053" s="28" t="s">
        <v>528</v>
      </c>
      <c r="AF1053" s="117" t="s">
        <v>4356</v>
      </c>
      <c r="AG1053" s="28" t="s">
        <v>563</v>
      </c>
      <c r="AK1053" s="60" t="s">
        <v>2927</v>
      </c>
      <c r="AL1053" s="117">
        <f>1/COUNTIF(Tableau6[LAT],B1053)</f>
        <v>0.14285714285714285</v>
      </c>
      <c r="AM1053" s="60" t="b">
        <f t="shared" si="115"/>
        <v>0</v>
      </c>
      <c r="AN1053" s="60" t="b">
        <f t="shared" si="116"/>
        <v>0</v>
      </c>
      <c r="AO1053" s="60" t="b">
        <f t="shared" si="117"/>
        <v>0</v>
      </c>
      <c r="AP1053" s="60" t="b">
        <f t="shared" si="118"/>
        <v>0</v>
      </c>
      <c r="AQ1053" s="60" t="b">
        <f t="shared" si="119"/>
        <v>0</v>
      </c>
      <c r="AR1053" s="60" t="str">
        <f t="shared" si="120"/>
        <v>No</v>
      </c>
      <c r="AS1053" s="60" t="str">
        <f t="shared" si="121"/>
        <v>No</v>
      </c>
    </row>
    <row r="1054" spans="1:45" ht="15" hidden="1">
      <c r="A1054" s="103">
        <v>45244</v>
      </c>
      <c r="B1054" s="117" t="s">
        <v>4357</v>
      </c>
      <c r="C1054" s="28" t="s">
        <v>511</v>
      </c>
      <c r="D1054" s="28" t="s">
        <v>4358</v>
      </c>
      <c r="F1054" s="28" t="s">
        <v>4359</v>
      </c>
      <c r="G1054" s="28" t="s">
        <v>514</v>
      </c>
      <c r="H1054" s="28" t="s">
        <v>3878</v>
      </c>
      <c r="I1054" s="28" t="s">
        <v>516</v>
      </c>
      <c r="J1054" s="28" t="s">
        <v>517</v>
      </c>
      <c r="K1054" s="28" t="s">
        <v>518</v>
      </c>
      <c r="L1054" s="28" t="s">
        <v>801</v>
      </c>
      <c r="M1054" s="28" t="s">
        <v>520</v>
      </c>
      <c r="N1054" s="28" t="s">
        <v>521</v>
      </c>
      <c r="O1054" s="28" t="s">
        <v>544</v>
      </c>
      <c r="S1054" s="28" t="s">
        <v>561</v>
      </c>
      <c r="T1054" s="28" t="s">
        <v>803</v>
      </c>
      <c r="U1054" s="28" t="s">
        <v>803</v>
      </c>
      <c r="V1054" s="28" t="s">
        <v>517</v>
      </c>
      <c r="W1054" s="28" t="s">
        <v>4360</v>
      </c>
      <c r="Z1054" s="118" t="s">
        <v>526</v>
      </c>
      <c r="AA1054" s="118"/>
      <c r="AB1054" s="118" t="s">
        <v>4361</v>
      </c>
      <c r="AD1054" s="28" t="s">
        <v>954</v>
      </c>
      <c r="AF1054" s="117" t="s">
        <v>4358</v>
      </c>
      <c r="AG1054" s="28" t="s">
        <v>563</v>
      </c>
      <c r="AK1054" s="60" t="s">
        <v>2927</v>
      </c>
      <c r="AL1054" s="117">
        <f>1/COUNTIF(Tableau6[LAT],B1054)</f>
        <v>1</v>
      </c>
      <c r="AM1054" s="60" t="b">
        <f t="shared" si="115"/>
        <v>0</v>
      </c>
      <c r="AN1054" s="60" t="b">
        <f t="shared" si="116"/>
        <v>0</v>
      </c>
      <c r="AO1054" s="60" t="b">
        <f t="shared" si="117"/>
        <v>0</v>
      </c>
      <c r="AP1054" s="60" t="b">
        <f t="shared" si="118"/>
        <v>0</v>
      </c>
      <c r="AQ1054" s="60" t="b">
        <f t="shared" si="119"/>
        <v>0</v>
      </c>
      <c r="AR1054" s="60" t="str">
        <f t="shared" si="120"/>
        <v>No</v>
      </c>
      <c r="AS1054" s="60" t="str">
        <f t="shared" si="121"/>
        <v>No</v>
      </c>
    </row>
    <row r="1055" spans="1:45" ht="15" hidden="1">
      <c r="A1055" s="103">
        <v>45244</v>
      </c>
      <c r="B1055" s="117" t="s">
        <v>4362</v>
      </c>
      <c r="C1055" s="28" t="s">
        <v>511</v>
      </c>
      <c r="D1055" s="28" t="s">
        <v>4363</v>
      </c>
      <c r="E1055" s="28" t="s">
        <v>4364</v>
      </c>
      <c r="F1055" s="28" t="s">
        <v>4365</v>
      </c>
      <c r="G1055" s="28" t="s">
        <v>4366</v>
      </c>
      <c r="H1055" s="28" t="s">
        <v>555</v>
      </c>
      <c r="I1055" s="28" t="s">
        <v>516</v>
      </c>
      <c r="J1055" s="28" t="s">
        <v>517</v>
      </c>
      <c r="K1055" s="28" t="s">
        <v>518</v>
      </c>
      <c r="L1055" s="28" t="s">
        <v>4077</v>
      </c>
      <c r="M1055" s="28" t="s">
        <v>535</v>
      </c>
      <c r="N1055" s="28" t="s">
        <v>557</v>
      </c>
      <c r="O1055" s="28" t="s">
        <v>4367</v>
      </c>
      <c r="P1055" s="28" t="s">
        <v>427</v>
      </c>
      <c r="Q1055" s="28" t="s">
        <v>522</v>
      </c>
      <c r="S1055" s="28" t="s">
        <v>606</v>
      </c>
      <c r="T1055" s="28" t="s">
        <v>1918</v>
      </c>
      <c r="U1055" s="28" t="s">
        <v>1918</v>
      </c>
      <c r="V1055" s="28" t="s">
        <v>517</v>
      </c>
      <c r="W1055" s="28" t="s">
        <v>4368</v>
      </c>
      <c r="X1055" s="28" t="s">
        <v>670</v>
      </c>
      <c r="Z1055" s="118" t="s">
        <v>563</v>
      </c>
      <c r="AA1055" s="118"/>
      <c r="AB1055" s="73" t="s">
        <v>609</v>
      </c>
      <c r="AD1055" s="28" t="s">
        <v>528</v>
      </c>
      <c r="AF1055" s="117" t="s">
        <v>4363</v>
      </c>
      <c r="AG1055" s="28" t="s">
        <v>563</v>
      </c>
      <c r="AK1055" s="60" t="s">
        <v>2927</v>
      </c>
      <c r="AL1055" s="117">
        <f>1/COUNTIF(Tableau6[LAT],B1055)</f>
        <v>1</v>
      </c>
      <c r="AM1055" s="60" t="b">
        <f t="shared" si="115"/>
        <v>0</v>
      </c>
      <c r="AN1055" s="60" t="b">
        <f t="shared" si="116"/>
        <v>0</v>
      </c>
      <c r="AO1055" s="60" t="b">
        <f t="shared" si="117"/>
        <v>0</v>
      </c>
      <c r="AP1055" s="60" t="b">
        <f t="shared" si="118"/>
        <v>0</v>
      </c>
      <c r="AQ1055" s="60" t="b">
        <f t="shared" si="119"/>
        <v>0</v>
      </c>
      <c r="AR1055" s="60" t="str">
        <f t="shared" si="120"/>
        <v>No</v>
      </c>
      <c r="AS1055" s="60" t="str">
        <f t="shared" si="121"/>
        <v>No</v>
      </c>
    </row>
    <row r="1056" spans="1:45" ht="15" hidden="1">
      <c r="A1056" s="103">
        <v>45244</v>
      </c>
      <c r="B1056" s="117" t="s">
        <v>4369</v>
      </c>
      <c r="C1056" s="28" t="s">
        <v>511</v>
      </c>
      <c r="D1056" s="28" t="s">
        <v>4370</v>
      </c>
      <c r="E1056" s="28" t="s">
        <v>4371</v>
      </c>
      <c r="F1056" s="28" t="s">
        <v>4372</v>
      </c>
      <c r="G1056" s="28" t="s">
        <v>4373</v>
      </c>
      <c r="H1056" s="28" t="s">
        <v>555</v>
      </c>
      <c r="I1056" s="28" t="s">
        <v>516</v>
      </c>
      <c r="J1056" s="28" t="s">
        <v>517</v>
      </c>
      <c r="K1056" s="28" t="s">
        <v>518</v>
      </c>
      <c r="L1056" s="28" t="s">
        <v>4077</v>
      </c>
      <c r="M1056" s="28" t="s">
        <v>535</v>
      </c>
      <c r="N1056" s="28" t="s">
        <v>557</v>
      </c>
      <c r="O1056" s="28" t="s">
        <v>4367</v>
      </c>
      <c r="P1056" s="28" t="s">
        <v>427</v>
      </c>
      <c r="Q1056" s="28" t="s">
        <v>522</v>
      </c>
      <c r="S1056" s="28" t="s">
        <v>606</v>
      </c>
      <c r="T1056" s="28" t="s">
        <v>1918</v>
      </c>
      <c r="U1056" s="28" t="s">
        <v>1918</v>
      </c>
      <c r="V1056" s="28" t="s">
        <v>517</v>
      </c>
      <c r="W1056" s="28" t="s">
        <v>4374</v>
      </c>
      <c r="X1056" s="28" t="s">
        <v>670</v>
      </c>
      <c r="Z1056" s="118" t="s">
        <v>563</v>
      </c>
      <c r="AA1056" s="118"/>
      <c r="AB1056" s="73" t="s">
        <v>609</v>
      </c>
      <c r="AD1056" s="28" t="s">
        <v>528</v>
      </c>
      <c r="AF1056" s="117" t="s">
        <v>4370</v>
      </c>
      <c r="AG1056" s="28" t="s">
        <v>563</v>
      </c>
      <c r="AK1056" s="60" t="s">
        <v>2927</v>
      </c>
      <c r="AL1056" s="117">
        <f>1/COUNTIF(Tableau6[LAT],B1056)</f>
        <v>1</v>
      </c>
      <c r="AM1056" s="60" t="b">
        <f t="shared" si="115"/>
        <v>0</v>
      </c>
      <c r="AN1056" s="60" t="b">
        <f t="shared" si="116"/>
        <v>0</v>
      </c>
      <c r="AO1056" s="60" t="b">
        <f t="shared" si="117"/>
        <v>0</v>
      </c>
      <c r="AP1056" s="60" t="b">
        <f t="shared" si="118"/>
        <v>0</v>
      </c>
      <c r="AQ1056" s="60" t="b">
        <f t="shared" si="119"/>
        <v>0</v>
      </c>
      <c r="AR1056" s="60" t="str">
        <f t="shared" si="120"/>
        <v>No</v>
      </c>
      <c r="AS1056" s="60" t="str">
        <f t="shared" si="121"/>
        <v>No</v>
      </c>
    </row>
    <row r="1057" spans="1:45" ht="15" hidden="1">
      <c r="A1057" s="103">
        <v>45244</v>
      </c>
      <c r="B1057" s="117" t="s">
        <v>4375</v>
      </c>
      <c r="C1057" s="28" t="s">
        <v>511</v>
      </c>
      <c r="D1057" s="28" t="s">
        <v>4376</v>
      </c>
      <c r="F1057" s="28" t="s">
        <v>4377</v>
      </c>
      <c r="G1057" s="28" t="s">
        <v>514</v>
      </c>
      <c r="H1057" s="28" t="s">
        <v>966</v>
      </c>
      <c r="I1057" s="28" t="s">
        <v>516</v>
      </c>
      <c r="J1057" s="28" t="s">
        <v>517</v>
      </c>
      <c r="K1057" s="28" t="s">
        <v>518</v>
      </c>
      <c r="L1057" s="28" t="s">
        <v>751</v>
      </c>
      <c r="M1057" s="28" t="s">
        <v>535</v>
      </c>
      <c r="N1057" s="28" t="s">
        <v>810</v>
      </c>
      <c r="O1057" s="28" t="s">
        <v>1383</v>
      </c>
      <c r="S1057" s="28" t="s">
        <v>752</v>
      </c>
      <c r="T1057" s="28" t="s">
        <v>753</v>
      </c>
      <c r="U1057" s="28" t="s">
        <v>753</v>
      </c>
      <c r="V1057" s="28" t="s">
        <v>517</v>
      </c>
      <c r="W1057" s="28" t="s">
        <v>4378</v>
      </c>
      <c r="Z1057" s="118" t="s">
        <v>563</v>
      </c>
      <c r="AA1057" s="118"/>
      <c r="AB1057" s="118" t="s">
        <v>527</v>
      </c>
      <c r="AD1057" s="28" t="s">
        <v>954</v>
      </c>
      <c r="AF1057" s="117"/>
      <c r="AG1057" s="28" t="s">
        <v>563</v>
      </c>
      <c r="AK1057" s="60" t="s">
        <v>2927</v>
      </c>
      <c r="AL1057" s="117">
        <f>1/COUNTIF(Tableau6[LAT],B1057)</f>
        <v>1</v>
      </c>
      <c r="AM1057" s="60" t="b">
        <f t="shared" si="115"/>
        <v>0</v>
      </c>
      <c r="AN1057" s="60" t="b">
        <f t="shared" si="116"/>
        <v>0</v>
      </c>
      <c r="AO1057" s="60" t="b">
        <f t="shared" si="117"/>
        <v>0</v>
      </c>
      <c r="AP1057" s="60" t="b">
        <f t="shared" si="118"/>
        <v>0</v>
      </c>
      <c r="AQ1057" s="60" t="b">
        <f t="shared" si="119"/>
        <v>0</v>
      </c>
      <c r="AR1057" s="60" t="str">
        <f t="shared" si="120"/>
        <v>No</v>
      </c>
      <c r="AS1057" s="60" t="str">
        <f t="shared" si="121"/>
        <v>No</v>
      </c>
    </row>
    <row r="1058" spans="1:45" ht="15" hidden="1">
      <c r="A1058" s="103">
        <v>45244</v>
      </c>
      <c r="B1058" s="117" t="s">
        <v>4379</v>
      </c>
      <c r="C1058" s="28" t="s">
        <v>511</v>
      </c>
      <c r="D1058" s="28" t="s">
        <v>4380</v>
      </c>
      <c r="F1058" s="28" t="s">
        <v>4381</v>
      </c>
      <c r="G1058" s="28" t="s">
        <v>514</v>
      </c>
      <c r="H1058" s="28" t="s">
        <v>4382</v>
      </c>
      <c r="I1058" s="28" t="s">
        <v>516</v>
      </c>
      <c r="J1058" s="28" t="s">
        <v>517</v>
      </c>
      <c r="K1058" s="28" t="s">
        <v>682</v>
      </c>
      <c r="L1058" s="28" t="s">
        <v>1262</v>
      </c>
      <c r="M1058" s="28" t="s">
        <v>520</v>
      </c>
      <c r="N1058" s="28" t="s">
        <v>557</v>
      </c>
      <c r="O1058" s="28" t="s">
        <v>544</v>
      </c>
      <c r="P1058" s="28" t="s">
        <v>522</v>
      </c>
      <c r="S1058" s="28" t="s">
        <v>1318</v>
      </c>
      <c r="T1058" s="28" t="s">
        <v>733</v>
      </c>
      <c r="U1058" s="28" t="s">
        <v>1264</v>
      </c>
      <c r="V1058" s="28" t="s">
        <v>517</v>
      </c>
      <c r="W1058" s="28" t="s">
        <v>4383</v>
      </c>
      <c r="Z1058" s="118" t="s">
        <v>526</v>
      </c>
      <c r="AA1058" s="118"/>
      <c r="AB1058" s="118" t="s">
        <v>4384</v>
      </c>
      <c r="AD1058" s="28" t="s">
        <v>954</v>
      </c>
      <c r="AF1058" s="117" t="s">
        <v>4380</v>
      </c>
      <c r="AG1058" s="28" t="s">
        <v>563</v>
      </c>
      <c r="AK1058" s="60" t="s">
        <v>2927</v>
      </c>
      <c r="AL1058" s="117">
        <f>1/COUNTIF(Tableau6[LAT],B1058)</f>
        <v>0.25</v>
      </c>
      <c r="AM1058" s="60" t="b">
        <f t="shared" si="115"/>
        <v>0</v>
      </c>
      <c r="AN1058" s="60" t="b">
        <f t="shared" si="116"/>
        <v>0</v>
      </c>
      <c r="AO1058" s="60" t="b">
        <f t="shared" si="117"/>
        <v>0</v>
      </c>
      <c r="AP1058" s="60" t="b">
        <f t="shared" si="118"/>
        <v>0</v>
      </c>
      <c r="AQ1058" s="60" t="b">
        <f t="shared" si="119"/>
        <v>0</v>
      </c>
      <c r="AR1058" s="60" t="str">
        <f t="shared" si="120"/>
        <v>No</v>
      </c>
      <c r="AS1058" s="60" t="str">
        <f t="shared" si="121"/>
        <v>No</v>
      </c>
    </row>
    <row r="1059" spans="1:45" ht="15" hidden="1">
      <c r="A1059" s="103">
        <v>45244</v>
      </c>
      <c r="B1059" s="117" t="s">
        <v>4379</v>
      </c>
      <c r="C1059" s="28" t="s">
        <v>548</v>
      </c>
      <c r="D1059" s="28" t="s">
        <v>4385</v>
      </c>
      <c r="F1059" s="28" t="s">
        <v>4386</v>
      </c>
      <c r="G1059" s="28" t="s">
        <v>514</v>
      </c>
      <c r="H1059" s="28" t="s">
        <v>4382</v>
      </c>
      <c r="I1059" s="28" t="s">
        <v>516</v>
      </c>
      <c r="J1059" s="28" t="s">
        <v>517</v>
      </c>
      <c r="K1059" s="28" t="s">
        <v>682</v>
      </c>
      <c r="L1059" s="28" t="s">
        <v>1262</v>
      </c>
      <c r="M1059" s="28" t="s">
        <v>520</v>
      </c>
      <c r="N1059" s="28" t="s">
        <v>557</v>
      </c>
      <c r="O1059" s="28" t="s">
        <v>544</v>
      </c>
      <c r="P1059" s="28" t="s">
        <v>522</v>
      </c>
      <c r="S1059" s="28" t="s">
        <v>1318</v>
      </c>
      <c r="T1059" s="28" t="s">
        <v>733</v>
      </c>
      <c r="U1059" s="28" t="s">
        <v>1264</v>
      </c>
      <c r="V1059" s="28" t="s">
        <v>517</v>
      </c>
      <c r="W1059" s="28" t="s">
        <v>4383</v>
      </c>
      <c r="Z1059" s="118" t="s">
        <v>526</v>
      </c>
      <c r="AA1059" s="118"/>
      <c r="AB1059" s="118" t="s">
        <v>4384</v>
      </c>
      <c r="AD1059" s="28" t="s">
        <v>954</v>
      </c>
      <c r="AF1059" s="117" t="s">
        <v>4385</v>
      </c>
      <c r="AG1059" s="28" t="s">
        <v>563</v>
      </c>
      <c r="AK1059" s="60" t="s">
        <v>2927</v>
      </c>
      <c r="AL1059" s="117">
        <f>1/COUNTIF(Tableau6[LAT],B1059)</f>
        <v>0.25</v>
      </c>
      <c r="AM1059" s="60" t="b">
        <f t="shared" si="115"/>
        <v>0</v>
      </c>
      <c r="AN1059" s="60" t="b">
        <f t="shared" si="116"/>
        <v>0</v>
      </c>
      <c r="AO1059" s="60" t="b">
        <f t="shared" si="117"/>
        <v>0</v>
      </c>
      <c r="AP1059" s="60" t="b">
        <f t="shared" si="118"/>
        <v>0</v>
      </c>
      <c r="AQ1059" s="60" t="b">
        <f t="shared" si="119"/>
        <v>0</v>
      </c>
      <c r="AR1059" s="60" t="str">
        <f t="shared" si="120"/>
        <v>No</v>
      </c>
      <c r="AS1059" s="60" t="str">
        <f t="shared" si="121"/>
        <v>No</v>
      </c>
    </row>
    <row r="1060" spans="1:45" ht="15" hidden="1">
      <c r="A1060" s="103">
        <v>45244</v>
      </c>
      <c r="B1060" s="117" t="s">
        <v>4379</v>
      </c>
      <c r="C1060" s="28" t="s">
        <v>612</v>
      </c>
      <c r="D1060" s="28" t="s">
        <v>4387</v>
      </c>
      <c r="F1060" s="28" t="s">
        <v>4386</v>
      </c>
      <c r="G1060" s="28" t="s">
        <v>514</v>
      </c>
      <c r="H1060" s="28" t="s">
        <v>4382</v>
      </c>
      <c r="I1060" s="28" t="s">
        <v>516</v>
      </c>
      <c r="J1060" s="28" t="s">
        <v>517</v>
      </c>
      <c r="K1060" s="28" t="s">
        <v>682</v>
      </c>
      <c r="L1060" s="28" t="s">
        <v>1262</v>
      </c>
      <c r="M1060" s="28" t="s">
        <v>520</v>
      </c>
      <c r="N1060" s="28" t="s">
        <v>557</v>
      </c>
      <c r="O1060" s="28" t="s">
        <v>544</v>
      </c>
      <c r="P1060" s="28" t="s">
        <v>522</v>
      </c>
      <c r="S1060" s="28" t="s">
        <v>1318</v>
      </c>
      <c r="T1060" s="28" t="s">
        <v>733</v>
      </c>
      <c r="U1060" s="28" t="s">
        <v>1264</v>
      </c>
      <c r="V1060" s="28" t="s">
        <v>517</v>
      </c>
      <c r="W1060" s="28" t="s">
        <v>2102</v>
      </c>
      <c r="Z1060" s="118" t="s">
        <v>526</v>
      </c>
      <c r="AA1060" s="118"/>
      <c r="AB1060" s="118" t="s">
        <v>4384</v>
      </c>
      <c r="AD1060" s="28" t="s">
        <v>954</v>
      </c>
      <c r="AF1060" s="117" t="s">
        <v>4387</v>
      </c>
      <c r="AG1060" s="28" t="s">
        <v>563</v>
      </c>
      <c r="AK1060" s="60" t="s">
        <v>2927</v>
      </c>
      <c r="AL1060" s="117">
        <f>1/COUNTIF(Tableau6[LAT],B1060)</f>
        <v>0.25</v>
      </c>
      <c r="AM1060" s="60" t="b">
        <f t="shared" si="115"/>
        <v>0</v>
      </c>
      <c r="AN1060" s="60" t="b">
        <f t="shared" si="116"/>
        <v>0</v>
      </c>
      <c r="AO1060" s="60" t="b">
        <f t="shared" si="117"/>
        <v>0</v>
      </c>
      <c r="AP1060" s="60" t="b">
        <f t="shared" si="118"/>
        <v>0</v>
      </c>
      <c r="AQ1060" s="60" t="b">
        <f t="shared" si="119"/>
        <v>0</v>
      </c>
      <c r="AR1060" s="60" t="str">
        <f t="shared" si="120"/>
        <v>No</v>
      </c>
      <c r="AS1060" s="60" t="str">
        <f t="shared" si="121"/>
        <v>No</v>
      </c>
    </row>
    <row r="1061" spans="1:45" ht="15" hidden="1">
      <c r="A1061" s="103">
        <v>45244</v>
      </c>
      <c r="B1061" s="117" t="s">
        <v>4379</v>
      </c>
      <c r="C1061" s="28" t="s">
        <v>691</v>
      </c>
      <c r="D1061" s="28" t="s">
        <v>4388</v>
      </c>
      <c r="F1061" s="28" t="s">
        <v>4386</v>
      </c>
      <c r="G1061" s="28" t="s">
        <v>514</v>
      </c>
      <c r="H1061" s="28" t="s">
        <v>4382</v>
      </c>
      <c r="I1061" s="28" t="s">
        <v>516</v>
      </c>
      <c r="J1061" s="28" t="s">
        <v>517</v>
      </c>
      <c r="K1061" s="28" t="s">
        <v>682</v>
      </c>
      <c r="L1061" s="28" t="s">
        <v>1262</v>
      </c>
      <c r="M1061" s="28" t="s">
        <v>520</v>
      </c>
      <c r="N1061" s="28" t="s">
        <v>557</v>
      </c>
      <c r="O1061" s="28" t="s">
        <v>544</v>
      </c>
      <c r="P1061" s="28" t="s">
        <v>522</v>
      </c>
      <c r="S1061" s="28" t="s">
        <v>1318</v>
      </c>
      <c r="T1061" s="28" t="s">
        <v>733</v>
      </c>
      <c r="U1061" s="28" t="s">
        <v>1264</v>
      </c>
      <c r="V1061" s="28" t="s">
        <v>517</v>
      </c>
      <c r="W1061" s="28" t="s">
        <v>4383</v>
      </c>
      <c r="Z1061" s="118" t="s">
        <v>526</v>
      </c>
      <c r="AA1061" s="118"/>
      <c r="AB1061" s="118" t="s">
        <v>4384</v>
      </c>
      <c r="AF1061" s="117" t="s">
        <v>4388</v>
      </c>
      <c r="AK1061" s="60" t="s">
        <v>2927</v>
      </c>
      <c r="AL1061" s="117">
        <f>1/COUNTIF(Tableau6[LAT],B1061)</f>
        <v>0.25</v>
      </c>
      <c r="AM1061" s="60" t="b">
        <f t="shared" si="115"/>
        <v>0</v>
      </c>
      <c r="AN1061" s="60" t="b">
        <f t="shared" si="116"/>
        <v>0</v>
      </c>
      <c r="AO1061" s="60" t="b">
        <f t="shared" si="117"/>
        <v>0</v>
      </c>
      <c r="AP1061" s="60" t="b">
        <f t="shared" si="118"/>
        <v>0</v>
      </c>
      <c r="AQ1061" s="60" t="b">
        <f t="shared" si="119"/>
        <v>0</v>
      </c>
      <c r="AR1061" s="60" t="str">
        <f t="shared" si="120"/>
        <v>No</v>
      </c>
      <c r="AS1061" s="60" t="str">
        <f t="shared" si="121"/>
        <v>No</v>
      </c>
    </row>
    <row r="1062" spans="1:45" ht="15" hidden="1">
      <c r="A1062" s="103">
        <v>45244</v>
      </c>
      <c r="B1062" s="117" t="s">
        <v>4389</v>
      </c>
      <c r="C1062" s="28" t="s">
        <v>511</v>
      </c>
      <c r="D1062" s="28" t="s">
        <v>4390</v>
      </c>
      <c r="F1062" s="28" t="s">
        <v>1579</v>
      </c>
      <c r="G1062" s="28" t="s">
        <v>514</v>
      </c>
      <c r="H1062" s="28" t="s">
        <v>1275</v>
      </c>
      <c r="I1062" s="28" t="s">
        <v>516</v>
      </c>
      <c r="J1062" s="28" t="s">
        <v>517</v>
      </c>
      <c r="K1062" s="28" t="s">
        <v>518</v>
      </c>
      <c r="L1062" s="28" t="s">
        <v>726</v>
      </c>
      <c r="M1062" s="28" t="s">
        <v>535</v>
      </c>
      <c r="N1062" s="28" t="s">
        <v>521</v>
      </c>
      <c r="O1062" s="28" t="s">
        <v>544</v>
      </c>
      <c r="P1062" s="28" t="s">
        <v>559</v>
      </c>
      <c r="S1062" s="28" t="s">
        <v>718</v>
      </c>
      <c r="T1062" s="28" t="s">
        <v>589</v>
      </c>
      <c r="U1062" s="28" t="s">
        <v>589</v>
      </c>
      <c r="V1062" s="28" t="s">
        <v>517</v>
      </c>
      <c r="Z1062" s="118" t="s">
        <v>526</v>
      </c>
      <c r="AA1062" s="118"/>
      <c r="AB1062" s="118" t="s">
        <v>4361</v>
      </c>
      <c r="AF1062" s="117"/>
      <c r="AK1062" s="60" t="s">
        <v>2927</v>
      </c>
      <c r="AL1062" s="117">
        <f>1/COUNTIF(Tableau6[LAT],B1062)</f>
        <v>1</v>
      </c>
      <c r="AM1062" s="60" t="b">
        <f t="shared" si="115"/>
        <v>0</v>
      </c>
      <c r="AN1062" s="60" t="b">
        <f t="shared" si="116"/>
        <v>0</v>
      </c>
      <c r="AO1062" s="60" t="b">
        <f t="shared" si="117"/>
        <v>0</v>
      </c>
      <c r="AP1062" s="60" t="b">
        <f t="shared" si="118"/>
        <v>0</v>
      </c>
      <c r="AQ1062" s="60" t="b">
        <f t="shared" si="119"/>
        <v>0</v>
      </c>
      <c r="AR1062" s="60" t="str">
        <f t="shared" si="120"/>
        <v>No</v>
      </c>
      <c r="AS1062" s="60" t="str">
        <f t="shared" si="121"/>
        <v>No</v>
      </c>
    </row>
    <row r="1063" spans="1:45" ht="15" hidden="1">
      <c r="A1063" s="103">
        <v>45244</v>
      </c>
      <c r="B1063" s="117" t="s">
        <v>4391</v>
      </c>
      <c r="C1063" s="28" t="s">
        <v>511</v>
      </c>
      <c r="D1063" s="28" t="s">
        <v>4392</v>
      </c>
      <c r="F1063" s="28" t="s">
        <v>4393</v>
      </c>
      <c r="G1063" s="28" t="s">
        <v>514</v>
      </c>
      <c r="H1063" s="28" t="s">
        <v>2614</v>
      </c>
      <c r="I1063" s="28" t="s">
        <v>516</v>
      </c>
      <c r="J1063" s="28" t="s">
        <v>517</v>
      </c>
      <c r="K1063" s="28" t="s">
        <v>518</v>
      </c>
      <c r="L1063" s="28" t="s">
        <v>4394</v>
      </c>
      <c r="M1063" s="28" t="s">
        <v>535</v>
      </c>
      <c r="N1063" s="28" t="s">
        <v>522</v>
      </c>
      <c r="S1063" s="28" t="s">
        <v>3756</v>
      </c>
      <c r="T1063" s="28" t="s">
        <v>659</v>
      </c>
      <c r="U1063" s="28" t="s">
        <v>659</v>
      </c>
      <c r="V1063" s="28" t="s">
        <v>517</v>
      </c>
      <c r="W1063" s="28" t="s">
        <v>4015</v>
      </c>
      <c r="Z1063" s="118" t="s">
        <v>563</v>
      </c>
      <c r="AA1063" s="118"/>
      <c r="AB1063" s="118" t="s">
        <v>527</v>
      </c>
      <c r="AD1063" s="28" t="s">
        <v>528</v>
      </c>
      <c r="AF1063" s="117" t="s">
        <v>4392</v>
      </c>
      <c r="AG1063" s="28" t="s">
        <v>529</v>
      </c>
      <c r="AK1063" s="60" t="s">
        <v>2927</v>
      </c>
      <c r="AL1063" s="117">
        <f>1/COUNTIF(Tableau6[LAT],B1063)</f>
        <v>0.5</v>
      </c>
      <c r="AM1063" s="60" t="b">
        <f t="shared" si="115"/>
        <v>0</v>
      </c>
      <c r="AN1063" s="60" t="b">
        <f t="shared" si="116"/>
        <v>0</v>
      </c>
      <c r="AO1063" s="60" t="b">
        <f t="shared" si="117"/>
        <v>0</v>
      </c>
      <c r="AP1063" s="60" t="b">
        <f t="shared" si="118"/>
        <v>0</v>
      </c>
      <c r="AQ1063" s="60" t="b">
        <f t="shared" si="119"/>
        <v>0</v>
      </c>
      <c r="AR1063" s="60" t="str">
        <f t="shared" si="120"/>
        <v>No</v>
      </c>
      <c r="AS1063" s="60" t="str">
        <f t="shared" si="121"/>
        <v>No</v>
      </c>
    </row>
    <row r="1064" spans="1:45" ht="15" hidden="1">
      <c r="A1064" s="103">
        <v>45244</v>
      </c>
      <c r="B1064" s="117" t="s">
        <v>4391</v>
      </c>
      <c r="C1064" s="28" t="s">
        <v>548</v>
      </c>
      <c r="D1064" s="28" t="s">
        <v>4395</v>
      </c>
      <c r="F1064" s="28" t="s">
        <v>4393</v>
      </c>
      <c r="G1064" s="28" t="s">
        <v>514</v>
      </c>
      <c r="H1064" s="28" t="s">
        <v>2964</v>
      </c>
      <c r="I1064" s="28" t="s">
        <v>516</v>
      </c>
      <c r="J1064" s="28" t="s">
        <v>517</v>
      </c>
      <c r="K1064" s="28" t="s">
        <v>518</v>
      </c>
      <c r="L1064" s="28" t="s">
        <v>4394</v>
      </c>
      <c r="M1064" s="28" t="s">
        <v>535</v>
      </c>
      <c r="N1064" s="28" t="s">
        <v>1415</v>
      </c>
      <c r="O1064" s="28" t="s">
        <v>522</v>
      </c>
      <c r="S1064" s="28" t="s">
        <v>3756</v>
      </c>
      <c r="T1064" s="28" t="s">
        <v>659</v>
      </c>
      <c r="U1064" s="28" t="s">
        <v>659</v>
      </c>
      <c r="V1064" s="28" t="s">
        <v>517</v>
      </c>
      <c r="W1064" s="28" t="s">
        <v>4015</v>
      </c>
      <c r="Z1064" s="118" t="s">
        <v>563</v>
      </c>
      <c r="AA1064" s="118"/>
      <c r="AB1064" s="118" t="s">
        <v>3904</v>
      </c>
      <c r="AD1064" s="28" t="s">
        <v>528</v>
      </c>
      <c r="AF1064" s="117" t="s">
        <v>4392</v>
      </c>
      <c r="AG1064" s="28" t="s">
        <v>529</v>
      </c>
      <c r="AK1064" s="60" t="s">
        <v>2927</v>
      </c>
      <c r="AL1064" s="117">
        <f>1/COUNTIF(Tableau6[LAT],B1064)</f>
        <v>0.5</v>
      </c>
      <c r="AM1064" s="60" t="str">
        <f t="shared" si="115"/>
        <v>Yes</v>
      </c>
      <c r="AN1064" s="60" t="b">
        <f t="shared" si="116"/>
        <v>0</v>
      </c>
      <c r="AO1064" s="60" t="b">
        <f t="shared" si="117"/>
        <v>0</v>
      </c>
      <c r="AP1064" s="60" t="b">
        <f t="shared" si="118"/>
        <v>0</v>
      </c>
      <c r="AQ1064" s="60" t="b">
        <f t="shared" si="119"/>
        <v>0</v>
      </c>
      <c r="AR1064" s="60" t="str">
        <f t="shared" si="120"/>
        <v>Yes</v>
      </c>
      <c r="AS1064" s="60" t="str">
        <f t="shared" si="121"/>
        <v>No</v>
      </c>
    </row>
    <row r="1065" spans="1:45" ht="15" hidden="1">
      <c r="A1065" s="103">
        <v>45244</v>
      </c>
      <c r="B1065" s="117" t="s">
        <v>4396</v>
      </c>
      <c r="C1065" s="28" t="s">
        <v>548</v>
      </c>
      <c r="D1065" s="28" t="s">
        <v>4397</v>
      </c>
      <c r="F1065" s="28" t="s">
        <v>1050</v>
      </c>
      <c r="G1065" s="28" t="s">
        <v>2895</v>
      </c>
      <c r="H1065" s="28" t="s">
        <v>4398</v>
      </c>
      <c r="I1065" s="28" t="s">
        <v>516</v>
      </c>
      <c r="J1065" s="28" t="s">
        <v>517</v>
      </c>
      <c r="K1065" s="28" t="s">
        <v>518</v>
      </c>
      <c r="L1065" s="28" t="s">
        <v>3338</v>
      </c>
      <c r="M1065" s="28" t="s">
        <v>535</v>
      </c>
      <c r="N1065" s="28" t="s">
        <v>557</v>
      </c>
      <c r="O1065" s="28" t="s">
        <v>522</v>
      </c>
      <c r="S1065" s="28" t="s">
        <v>1712</v>
      </c>
      <c r="T1065" s="28" t="s">
        <v>3083</v>
      </c>
      <c r="U1065" s="28" t="s">
        <v>3083</v>
      </c>
      <c r="V1065" s="28" t="s">
        <v>517</v>
      </c>
      <c r="W1065" s="28" t="s">
        <v>4399</v>
      </c>
      <c r="Z1065" s="118" t="s">
        <v>526</v>
      </c>
      <c r="AA1065" s="118"/>
      <c r="AB1065" s="118" t="s">
        <v>4361</v>
      </c>
      <c r="AD1065" s="28" t="s">
        <v>528</v>
      </c>
      <c r="AF1065" s="117" t="s">
        <v>4400</v>
      </c>
      <c r="AG1065" s="28" t="s">
        <v>529</v>
      </c>
      <c r="AK1065" s="60" t="s">
        <v>2927</v>
      </c>
      <c r="AL1065" s="117">
        <f>1/COUNTIF(Tableau6[LAT],B1065)</f>
        <v>0.25</v>
      </c>
      <c r="AM1065" s="60" t="b">
        <f t="shared" si="115"/>
        <v>0</v>
      </c>
      <c r="AN1065" s="60" t="b">
        <f t="shared" si="116"/>
        <v>0</v>
      </c>
      <c r="AO1065" s="60" t="b">
        <f t="shared" si="117"/>
        <v>0</v>
      </c>
      <c r="AP1065" s="60" t="b">
        <f t="shared" si="118"/>
        <v>0</v>
      </c>
      <c r="AQ1065" s="60" t="b">
        <f t="shared" si="119"/>
        <v>0</v>
      </c>
      <c r="AR1065" s="60" t="str">
        <f t="shared" si="120"/>
        <v>No</v>
      </c>
      <c r="AS1065" s="60" t="str">
        <f t="shared" si="121"/>
        <v>No</v>
      </c>
    </row>
    <row r="1066" spans="1:45" ht="15" hidden="1">
      <c r="A1066" s="103">
        <v>45244</v>
      </c>
      <c r="B1066" s="117" t="s">
        <v>4396</v>
      </c>
      <c r="C1066" s="28" t="s">
        <v>861</v>
      </c>
      <c r="D1066" s="28" t="s">
        <v>4401</v>
      </c>
      <c r="F1066" s="28" t="s">
        <v>1982</v>
      </c>
      <c r="G1066" s="28" t="s">
        <v>4402</v>
      </c>
      <c r="H1066" s="28" t="s">
        <v>828</v>
      </c>
      <c r="I1066" s="28" t="s">
        <v>516</v>
      </c>
      <c r="J1066" s="28" t="s">
        <v>517</v>
      </c>
      <c r="K1066" s="28" t="s">
        <v>518</v>
      </c>
      <c r="L1066" s="28" t="s">
        <v>3338</v>
      </c>
      <c r="M1066" s="28" t="s">
        <v>535</v>
      </c>
      <c r="N1066" s="28" t="s">
        <v>557</v>
      </c>
      <c r="O1066" s="28" t="s">
        <v>522</v>
      </c>
      <c r="S1066" s="28" t="s">
        <v>1712</v>
      </c>
      <c r="T1066" s="28" t="s">
        <v>3083</v>
      </c>
      <c r="U1066" s="28" t="s">
        <v>3083</v>
      </c>
      <c r="V1066" s="28" t="s">
        <v>517</v>
      </c>
      <c r="W1066" s="28" t="s">
        <v>4403</v>
      </c>
      <c r="Z1066" s="118" t="s">
        <v>526</v>
      </c>
      <c r="AA1066" s="118"/>
      <c r="AB1066" s="118" t="s">
        <v>4361</v>
      </c>
      <c r="AD1066" s="28" t="s">
        <v>528</v>
      </c>
      <c r="AF1066" s="117" t="s">
        <v>4397</v>
      </c>
      <c r="AG1066" s="28" t="s">
        <v>529</v>
      </c>
      <c r="AK1066" s="60" t="s">
        <v>2927</v>
      </c>
      <c r="AL1066" s="117">
        <f>1/COUNTIF(Tableau6[LAT],B1066)</f>
        <v>0.25</v>
      </c>
      <c r="AM1066" s="60" t="b">
        <f t="shared" si="115"/>
        <v>0</v>
      </c>
      <c r="AN1066" s="60" t="b">
        <f t="shared" si="116"/>
        <v>0</v>
      </c>
      <c r="AO1066" s="60" t="b">
        <f t="shared" si="117"/>
        <v>0</v>
      </c>
      <c r="AP1066" s="60" t="b">
        <f t="shared" si="118"/>
        <v>0</v>
      </c>
      <c r="AQ1066" s="60" t="b">
        <f t="shared" si="119"/>
        <v>0</v>
      </c>
      <c r="AR1066" s="60" t="str">
        <f t="shared" si="120"/>
        <v>No</v>
      </c>
      <c r="AS1066" s="60" t="str">
        <f t="shared" si="121"/>
        <v>No</v>
      </c>
    </row>
    <row r="1067" spans="1:45" ht="15" hidden="1">
      <c r="A1067" s="103">
        <v>45244</v>
      </c>
      <c r="B1067" s="117" t="s">
        <v>4396</v>
      </c>
      <c r="D1067" s="28" t="s">
        <v>4404</v>
      </c>
      <c r="F1067" s="28" t="s">
        <v>4405</v>
      </c>
      <c r="G1067" s="28" t="s">
        <v>4406</v>
      </c>
      <c r="H1067" s="28" t="s">
        <v>915</v>
      </c>
      <c r="I1067" s="28" t="s">
        <v>516</v>
      </c>
      <c r="J1067" s="28" t="s">
        <v>517</v>
      </c>
      <c r="K1067" s="28" t="s">
        <v>518</v>
      </c>
      <c r="L1067" s="28" t="s">
        <v>3338</v>
      </c>
      <c r="M1067" s="28" t="s">
        <v>535</v>
      </c>
      <c r="N1067" s="28" t="s">
        <v>557</v>
      </c>
      <c r="O1067" s="28" t="s">
        <v>522</v>
      </c>
      <c r="S1067" s="28" t="s">
        <v>1712</v>
      </c>
      <c r="T1067" s="28" t="s">
        <v>3083</v>
      </c>
      <c r="U1067" s="28" t="s">
        <v>3083</v>
      </c>
      <c r="V1067" s="28" t="s">
        <v>517</v>
      </c>
      <c r="W1067" s="28" t="s">
        <v>4407</v>
      </c>
      <c r="Z1067" s="118" t="s">
        <v>526</v>
      </c>
      <c r="AA1067" s="118"/>
      <c r="AB1067" s="118" t="s">
        <v>4361</v>
      </c>
      <c r="AD1067" s="28" t="s">
        <v>528</v>
      </c>
      <c r="AF1067" s="117" t="s">
        <v>4408</v>
      </c>
      <c r="AG1067" s="28" t="s">
        <v>529</v>
      </c>
      <c r="AK1067" s="60" t="s">
        <v>2927</v>
      </c>
      <c r="AL1067" s="117">
        <f>1/COUNTIF(Tableau6[LAT],B1067)</f>
        <v>0.25</v>
      </c>
      <c r="AM1067" s="60" t="b">
        <f t="shared" si="115"/>
        <v>0</v>
      </c>
      <c r="AN1067" s="60" t="b">
        <f t="shared" si="116"/>
        <v>0</v>
      </c>
      <c r="AO1067" s="60" t="b">
        <f t="shared" si="117"/>
        <v>0</v>
      </c>
      <c r="AP1067" s="60" t="b">
        <f t="shared" si="118"/>
        <v>0</v>
      </c>
      <c r="AQ1067" s="60" t="b">
        <f t="shared" si="119"/>
        <v>0</v>
      </c>
      <c r="AR1067" s="60" t="str">
        <f t="shared" si="120"/>
        <v>No</v>
      </c>
      <c r="AS1067" s="60" t="str">
        <f t="shared" si="121"/>
        <v>No</v>
      </c>
    </row>
    <row r="1068" spans="1:45" ht="15" hidden="1">
      <c r="A1068" s="103">
        <v>45244</v>
      </c>
      <c r="B1068" s="117" t="s">
        <v>4396</v>
      </c>
      <c r="C1068" s="28" t="s">
        <v>864</v>
      </c>
      <c r="D1068" s="28" t="s">
        <v>4409</v>
      </c>
      <c r="F1068" s="28" t="s">
        <v>3451</v>
      </c>
      <c r="G1068" s="28" t="s">
        <v>1635</v>
      </c>
      <c r="H1068" s="28" t="s">
        <v>3516</v>
      </c>
      <c r="I1068" s="28" t="s">
        <v>516</v>
      </c>
      <c r="J1068" s="28" t="s">
        <v>517</v>
      </c>
      <c r="K1068" s="28" t="s">
        <v>518</v>
      </c>
      <c r="L1068" s="28" t="s">
        <v>3338</v>
      </c>
      <c r="M1068" s="28" t="s">
        <v>535</v>
      </c>
      <c r="N1068" s="28" t="s">
        <v>522</v>
      </c>
      <c r="S1068" s="28" t="s">
        <v>1712</v>
      </c>
      <c r="T1068" s="28" t="s">
        <v>3083</v>
      </c>
      <c r="U1068" s="28" t="s">
        <v>3083</v>
      </c>
      <c r="V1068" s="28" t="s">
        <v>517</v>
      </c>
      <c r="W1068" s="28" t="s">
        <v>4410</v>
      </c>
      <c r="Z1068" s="118" t="s">
        <v>526</v>
      </c>
      <c r="AA1068" s="118"/>
      <c r="AB1068" s="118" t="s">
        <v>4361</v>
      </c>
      <c r="AD1068" s="28" t="s">
        <v>528</v>
      </c>
      <c r="AF1068" s="117" t="s">
        <v>4411</v>
      </c>
      <c r="AG1068" s="28" t="s">
        <v>529</v>
      </c>
      <c r="AK1068" s="60" t="s">
        <v>2927</v>
      </c>
      <c r="AL1068" s="117">
        <f>1/COUNTIF(Tableau6[LAT],B1068)</f>
        <v>0.25</v>
      </c>
      <c r="AM1068" s="60" t="b">
        <f t="shared" si="115"/>
        <v>0</v>
      </c>
      <c r="AN1068" s="60" t="b">
        <f t="shared" si="116"/>
        <v>0</v>
      </c>
      <c r="AO1068" s="60" t="b">
        <f t="shared" si="117"/>
        <v>0</v>
      </c>
      <c r="AP1068" s="60" t="b">
        <f t="shared" si="118"/>
        <v>0</v>
      </c>
      <c r="AQ1068" s="60" t="b">
        <f t="shared" si="119"/>
        <v>0</v>
      </c>
      <c r="AR1068" s="60" t="str">
        <f t="shared" si="120"/>
        <v>No</v>
      </c>
      <c r="AS1068" s="60" t="str">
        <f t="shared" si="121"/>
        <v>No</v>
      </c>
    </row>
    <row r="1069" spans="1:45" ht="15" hidden="1">
      <c r="A1069" s="103">
        <v>45244</v>
      </c>
      <c r="B1069" s="117" t="s">
        <v>4412</v>
      </c>
      <c r="C1069" s="28" t="s">
        <v>511</v>
      </c>
      <c r="D1069" s="28" t="s">
        <v>4413</v>
      </c>
      <c r="F1069" s="28" t="s">
        <v>1311</v>
      </c>
      <c r="G1069" s="28" t="s">
        <v>1077</v>
      </c>
      <c r="H1069" s="28" t="s">
        <v>1360</v>
      </c>
      <c r="I1069" s="28" t="s">
        <v>516</v>
      </c>
      <c r="J1069" s="28" t="s">
        <v>517</v>
      </c>
      <c r="K1069" s="28" t="s">
        <v>518</v>
      </c>
      <c r="L1069" s="28" t="s">
        <v>2662</v>
      </c>
      <c r="M1069" s="28" t="s">
        <v>535</v>
      </c>
      <c r="N1069" s="28" t="s">
        <v>521</v>
      </c>
      <c r="O1069" s="28" t="s">
        <v>522</v>
      </c>
      <c r="S1069" s="28" t="s">
        <v>1712</v>
      </c>
      <c r="T1069" s="28" t="s">
        <v>2663</v>
      </c>
      <c r="U1069" s="28" t="s">
        <v>2663</v>
      </c>
      <c r="V1069" s="28" t="s">
        <v>517</v>
      </c>
      <c r="W1069" s="28" t="s">
        <v>4414</v>
      </c>
      <c r="Z1069" s="118" t="s">
        <v>526</v>
      </c>
      <c r="AA1069" s="118" t="s">
        <v>35</v>
      </c>
      <c r="AB1069" s="28" t="s">
        <v>923</v>
      </c>
      <c r="AC1069" s="28" t="s">
        <v>3871</v>
      </c>
      <c r="AD1069" s="28" t="s">
        <v>528</v>
      </c>
      <c r="AF1069" s="117" t="s">
        <v>4413</v>
      </c>
      <c r="AG1069" s="28" t="s">
        <v>529</v>
      </c>
      <c r="AK1069" s="60" t="s">
        <v>2927</v>
      </c>
      <c r="AL1069" s="117">
        <f>1/COUNTIF(Tableau6[LAT],B1069)</f>
        <v>1</v>
      </c>
      <c r="AM1069" s="60" t="b">
        <f t="shared" si="115"/>
        <v>0</v>
      </c>
      <c r="AN1069" s="60" t="b">
        <f t="shared" si="116"/>
        <v>0</v>
      </c>
      <c r="AO1069" s="60" t="b">
        <f t="shared" si="117"/>
        <v>0</v>
      </c>
      <c r="AP1069" s="60" t="b">
        <f t="shared" si="118"/>
        <v>0</v>
      </c>
      <c r="AQ1069" s="60" t="b">
        <f t="shared" si="119"/>
        <v>0</v>
      </c>
      <c r="AR1069" s="60" t="str">
        <f t="shared" si="120"/>
        <v>No</v>
      </c>
      <c r="AS1069" s="60" t="str">
        <f t="shared" si="121"/>
        <v>No</v>
      </c>
    </row>
    <row r="1070" spans="1:45" ht="15" hidden="1">
      <c r="A1070" s="103">
        <v>45244</v>
      </c>
      <c r="B1070" s="117" t="s">
        <v>4415</v>
      </c>
      <c r="C1070" s="28" t="s">
        <v>511</v>
      </c>
      <c r="D1070" s="28" t="s">
        <v>4416</v>
      </c>
      <c r="F1070" s="28" t="s">
        <v>4417</v>
      </c>
      <c r="G1070" s="28" t="s">
        <v>958</v>
      </c>
      <c r="H1070" s="28" t="s">
        <v>1822</v>
      </c>
      <c r="I1070" s="28" t="s">
        <v>516</v>
      </c>
      <c r="J1070" s="28" t="s">
        <v>517</v>
      </c>
      <c r="K1070" s="28" t="s">
        <v>518</v>
      </c>
      <c r="L1070" s="28" t="s">
        <v>2833</v>
      </c>
      <c r="M1070" s="28" t="s">
        <v>535</v>
      </c>
      <c r="N1070" s="28" t="s">
        <v>521</v>
      </c>
      <c r="O1070" s="28" t="s">
        <v>559</v>
      </c>
      <c r="S1070" s="28" t="s">
        <v>560</v>
      </c>
      <c r="T1070" s="28" t="s">
        <v>2834</v>
      </c>
      <c r="U1070" s="28" t="s">
        <v>2834</v>
      </c>
      <c r="V1070" s="28" t="s">
        <v>517</v>
      </c>
      <c r="W1070" s="28" t="s">
        <v>4015</v>
      </c>
      <c r="Z1070" s="118" t="s">
        <v>526</v>
      </c>
      <c r="AA1070" s="118"/>
      <c r="AB1070" s="118" t="s">
        <v>4361</v>
      </c>
      <c r="AD1070" s="28" t="s">
        <v>528</v>
      </c>
      <c r="AF1070" s="117" t="s">
        <v>4416</v>
      </c>
      <c r="AG1070" s="28" t="s">
        <v>563</v>
      </c>
      <c r="AK1070" s="60" t="s">
        <v>2927</v>
      </c>
      <c r="AL1070" s="117">
        <f>1/COUNTIF(Tableau6[LAT],B1070)</f>
        <v>0.5</v>
      </c>
      <c r="AM1070" s="60" t="b">
        <f t="shared" si="115"/>
        <v>0</v>
      </c>
      <c r="AN1070" s="60" t="b">
        <f t="shared" si="116"/>
        <v>0</v>
      </c>
      <c r="AO1070" s="60" t="b">
        <f t="shared" si="117"/>
        <v>0</v>
      </c>
      <c r="AP1070" s="60" t="b">
        <f t="shared" si="118"/>
        <v>0</v>
      </c>
      <c r="AQ1070" s="60" t="b">
        <f t="shared" si="119"/>
        <v>0</v>
      </c>
      <c r="AR1070" s="60" t="str">
        <f t="shared" si="120"/>
        <v>No</v>
      </c>
      <c r="AS1070" s="60" t="str">
        <f t="shared" si="121"/>
        <v>No</v>
      </c>
    </row>
    <row r="1071" spans="1:45" ht="15" hidden="1">
      <c r="A1071" s="103">
        <v>45244</v>
      </c>
      <c r="B1071" s="117" t="s">
        <v>4415</v>
      </c>
      <c r="C1071" s="28" t="s">
        <v>548</v>
      </c>
      <c r="D1071" s="28" t="s">
        <v>4418</v>
      </c>
      <c r="F1071" s="28" t="s">
        <v>4419</v>
      </c>
      <c r="G1071" s="28" t="s">
        <v>2579</v>
      </c>
      <c r="H1071" s="28" t="s">
        <v>1134</v>
      </c>
      <c r="I1071" s="28" t="s">
        <v>516</v>
      </c>
      <c r="J1071" s="28" t="s">
        <v>517</v>
      </c>
      <c r="K1071" s="28" t="s">
        <v>518</v>
      </c>
      <c r="L1071" s="28" t="s">
        <v>2833</v>
      </c>
      <c r="M1071" s="28" t="s">
        <v>535</v>
      </c>
      <c r="N1071" s="28" t="s">
        <v>521</v>
      </c>
      <c r="O1071" s="28" t="s">
        <v>559</v>
      </c>
      <c r="S1071" s="28" t="s">
        <v>560</v>
      </c>
      <c r="T1071" s="28" t="s">
        <v>2834</v>
      </c>
      <c r="U1071" s="28" t="s">
        <v>2834</v>
      </c>
      <c r="V1071" s="28" t="s">
        <v>517</v>
      </c>
      <c r="W1071" s="28" t="s">
        <v>4420</v>
      </c>
      <c r="Z1071" s="118" t="s">
        <v>526</v>
      </c>
      <c r="AA1071" s="118"/>
      <c r="AB1071" s="118" t="s">
        <v>4361</v>
      </c>
      <c r="AD1071" s="28" t="s">
        <v>528</v>
      </c>
      <c r="AF1071" s="117" t="s">
        <v>4418</v>
      </c>
      <c r="AG1071" s="28" t="s">
        <v>563</v>
      </c>
      <c r="AK1071" s="60" t="s">
        <v>2927</v>
      </c>
      <c r="AL1071" s="117">
        <f>1/COUNTIF(Tableau6[LAT],B1071)</f>
        <v>0.5</v>
      </c>
      <c r="AM1071" s="60" t="b">
        <f t="shared" si="115"/>
        <v>0</v>
      </c>
      <c r="AN1071" s="60" t="b">
        <f t="shared" si="116"/>
        <v>0</v>
      </c>
      <c r="AO1071" s="60" t="b">
        <f t="shared" si="117"/>
        <v>0</v>
      </c>
      <c r="AP1071" s="60" t="b">
        <f t="shared" si="118"/>
        <v>0</v>
      </c>
      <c r="AQ1071" s="60" t="b">
        <f t="shared" si="119"/>
        <v>0</v>
      </c>
      <c r="AR1071" s="60" t="str">
        <f t="shared" si="120"/>
        <v>No</v>
      </c>
      <c r="AS1071" s="60" t="str">
        <f t="shared" si="121"/>
        <v>No</v>
      </c>
    </row>
    <row r="1072" spans="1:45" ht="15" hidden="1">
      <c r="A1072" s="103">
        <v>45244</v>
      </c>
      <c r="B1072" s="117" t="s">
        <v>4421</v>
      </c>
      <c r="C1072" s="28" t="s">
        <v>511</v>
      </c>
      <c r="D1072" s="28" t="s">
        <v>4422</v>
      </c>
      <c r="E1072" s="28" t="s">
        <v>4423</v>
      </c>
      <c r="F1072" s="28" t="s">
        <v>4424</v>
      </c>
      <c r="G1072" s="28" t="s">
        <v>724</v>
      </c>
      <c r="H1072" s="28" t="s">
        <v>4425</v>
      </c>
      <c r="I1072" s="28" t="s">
        <v>516</v>
      </c>
      <c r="J1072" s="28" t="s">
        <v>517</v>
      </c>
      <c r="K1072" s="28" t="s">
        <v>518</v>
      </c>
      <c r="L1072" s="28" t="s">
        <v>809</v>
      </c>
      <c r="M1072" s="28" t="s">
        <v>520</v>
      </c>
      <c r="N1072" s="28" t="s">
        <v>557</v>
      </c>
      <c r="O1072" s="28" t="s">
        <v>544</v>
      </c>
      <c r="P1072" s="28" t="s">
        <v>522</v>
      </c>
      <c r="S1072" s="28" t="s">
        <v>1494</v>
      </c>
      <c r="T1072" s="28" t="s">
        <v>811</v>
      </c>
      <c r="U1072" s="28" t="s">
        <v>811</v>
      </c>
      <c r="V1072" s="28" t="s">
        <v>517</v>
      </c>
      <c r="W1072" s="28" t="s">
        <v>4426</v>
      </c>
      <c r="X1072" s="28" t="s">
        <v>670</v>
      </c>
      <c r="Z1072" s="118" t="s">
        <v>563</v>
      </c>
      <c r="AA1072" s="118"/>
      <c r="AB1072" s="118" t="s">
        <v>527</v>
      </c>
      <c r="AD1072" s="28" t="s">
        <v>528</v>
      </c>
      <c r="AF1072" s="117" t="s">
        <v>4422</v>
      </c>
      <c r="AG1072" s="28" t="s">
        <v>563</v>
      </c>
      <c r="AK1072" s="60" t="s">
        <v>2927</v>
      </c>
      <c r="AL1072" s="117">
        <f>1/COUNTIF(Tableau6[LAT],B1072)</f>
        <v>1</v>
      </c>
      <c r="AM1072" s="60" t="b">
        <f t="shared" si="115"/>
        <v>0</v>
      </c>
      <c r="AN1072" s="60" t="b">
        <f t="shared" si="116"/>
        <v>0</v>
      </c>
      <c r="AO1072" s="60" t="b">
        <f t="shared" si="117"/>
        <v>0</v>
      </c>
      <c r="AP1072" s="60" t="b">
        <f t="shared" si="118"/>
        <v>0</v>
      </c>
      <c r="AQ1072" s="60" t="b">
        <f t="shared" si="119"/>
        <v>0</v>
      </c>
      <c r="AR1072" s="60" t="str">
        <f t="shared" si="120"/>
        <v>No</v>
      </c>
      <c r="AS1072" s="60" t="str">
        <f t="shared" si="121"/>
        <v>No</v>
      </c>
    </row>
    <row r="1073" spans="1:45" ht="15" hidden="1">
      <c r="A1073" s="103">
        <v>45244</v>
      </c>
      <c r="B1073" s="117" t="s">
        <v>4427</v>
      </c>
      <c r="C1073" s="28" t="s">
        <v>511</v>
      </c>
      <c r="D1073" s="28" t="s">
        <v>4428</v>
      </c>
      <c r="F1073" s="28" t="s">
        <v>680</v>
      </c>
      <c r="G1073" s="28" t="s">
        <v>514</v>
      </c>
      <c r="H1073" s="28" t="s">
        <v>1372</v>
      </c>
      <c r="I1073" s="28" t="s">
        <v>516</v>
      </c>
      <c r="J1073" s="28" t="s">
        <v>517</v>
      </c>
      <c r="K1073" s="28" t="s">
        <v>518</v>
      </c>
      <c r="L1073" s="28" t="s">
        <v>1199</v>
      </c>
      <c r="M1073" s="28" t="s">
        <v>605</v>
      </c>
      <c r="N1073" s="28" t="s">
        <v>557</v>
      </c>
      <c r="O1073" s="28" t="s">
        <v>544</v>
      </c>
      <c r="P1073" s="28" t="s">
        <v>522</v>
      </c>
      <c r="S1073" s="28" t="s">
        <v>1270</v>
      </c>
      <c r="T1073" s="28" t="s">
        <v>651</v>
      </c>
      <c r="U1073" s="28" t="s">
        <v>651</v>
      </c>
      <c r="V1073" s="28" t="s">
        <v>517</v>
      </c>
      <c r="W1073" s="28" t="s">
        <v>4429</v>
      </c>
      <c r="Z1073" s="118" t="s">
        <v>563</v>
      </c>
      <c r="AA1073" s="118"/>
      <c r="AB1073" s="118" t="s">
        <v>527</v>
      </c>
      <c r="AD1073" s="28" t="s">
        <v>528</v>
      </c>
      <c r="AF1073" s="117" t="s">
        <v>4428</v>
      </c>
      <c r="AG1073" s="28" t="s">
        <v>563</v>
      </c>
      <c r="AK1073" s="60" t="s">
        <v>2927</v>
      </c>
      <c r="AL1073" s="117">
        <f>1/COUNTIF(Tableau6[LAT],B1073)</f>
        <v>1</v>
      </c>
      <c r="AM1073" s="60" t="b">
        <f t="shared" si="115"/>
        <v>0</v>
      </c>
      <c r="AN1073" s="60" t="b">
        <f t="shared" si="116"/>
        <v>0</v>
      </c>
      <c r="AO1073" s="60" t="b">
        <f t="shared" si="117"/>
        <v>0</v>
      </c>
      <c r="AP1073" s="60" t="b">
        <f t="shared" si="118"/>
        <v>0</v>
      </c>
      <c r="AQ1073" s="60" t="b">
        <f t="shared" si="119"/>
        <v>0</v>
      </c>
      <c r="AR1073" s="60" t="str">
        <f t="shared" si="120"/>
        <v>No</v>
      </c>
      <c r="AS1073" s="60" t="str">
        <f t="shared" si="121"/>
        <v>No</v>
      </c>
    </row>
    <row r="1074" spans="1:45" ht="15" hidden="1">
      <c r="A1074" s="103">
        <v>45244</v>
      </c>
      <c r="B1074" s="117" t="s">
        <v>4430</v>
      </c>
      <c r="C1074" s="28" t="s">
        <v>511</v>
      </c>
      <c r="D1074" s="28" t="s">
        <v>4431</v>
      </c>
      <c r="F1074" s="28" t="s">
        <v>4432</v>
      </c>
      <c r="G1074" s="28" t="s">
        <v>2579</v>
      </c>
      <c r="H1074" s="28" t="s">
        <v>1129</v>
      </c>
      <c r="I1074" s="28" t="s">
        <v>516</v>
      </c>
      <c r="J1074" s="28" t="s">
        <v>517</v>
      </c>
      <c r="K1074" s="28" t="s">
        <v>518</v>
      </c>
      <c r="L1074" s="28" t="s">
        <v>974</v>
      </c>
      <c r="M1074" s="28" t="s">
        <v>535</v>
      </c>
      <c r="S1074" s="28" t="s">
        <v>803</v>
      </c>
      <c r="T1074" s="28" t="s">
        <v>4433</v>
      </c>
      <c r="U1074" s="28" t="s">
        <v>897</v>
      </c>
      <c r="V1074" s="28" t="s">
        <v>517</v>
      </c>
      <c r="W1074" s="28" t="s">
        <v>4434</v>
      </c>
      <c r="Z1074" s="118" t="s">
        <v>563</v>
      </c>
      <c r="AA1074" s="118"/>
      <c r="AB1074" s="73" t="s">
        <v>609</v>
      </c>
      <c r="AD1074" s="28" t="s">
        <v>528</v>
      </c>
      <c r="AF1074" s="117" t="s">
        <v>4431</v>
      </c>
      <c r="AG1074" s="28" t="s">
        <v>563</v>
      </c>
      <c r="AK1074" s="60" t="s">
        <v>2927</v>
      </c>
      <c r="AL1074" s="117">
        <f>1/COUNTIF(Tableau6[LAT],B1074)</f>
        <v>1</v>
      </c>
      <c r="AM1074" s="60" t="b">
        <f t="shared" si="115"/>
        <v>0</v>
      </c>
      <c r="AN1074" s="60" t="b">
        <f t="shared" si="116"/>
        <v>0</v>
      </c>
      <c r="AO1074" s="60" t="b">
        <f t="shared" si="117"/>
        <v>0</v>
      </c>
      <c r="AP1074" s="60" t="b">
        <f t="shared" si="118"/>
        <v>0</v>
      </c>
      <c r="AQ1074" s="60" t="b">
        <f t="shared" si="119"/>
        <v>0</v>
      </c>
      <c r="AR1074" s="60" t="str">
        <f t="shared" si="120"/>
        <v>No</v>
      </c>
      <c r="AS1074" s="60" t="str">
        <f t="shared" si="121"/>
        <v>No</v>
      </c>
    </row>
    <row r="1075" spans="1:45" ht="15" hidden="1">
      <c r="A1075" s="103">
        <v>45244</v>
      </c>
      <c r="B1075" s="117" t="s">
        <v>4435</v>
      </c>
      <c r="C1075" s="28" t="s">
        <v>511</v>
      </c>
      <c r="D1075" s="28" t="s">
        <v>4436</v>
      </c>
      <c r="F1075" s="28" t="s">
        <v>4437</v>
      </c>
      <c r="G1075" s="28" t="s">
        <v>958</v>
      </c>
      <c r="H1075" s="28" t="s">
        <v>4438</v>
      </c>
      <c r="I1075" s="28" t="s">
        <v>516</v>
      </c>
      <c r="J1075" s="28" t="s">
        <v>517</v>
      </c>
      <c r="K1075" s="28" t="s">
        <v>518</v>
      </c>
      <c r="L1075" s="28" t="s">
        <v>4077</v>
      </c>
      <c r="M1075" s="28" t="s">
        <v>535</v>
      </c>
      <c r="N1075" s="28" t="s">
        <v>1124</v>
      </c>
      <c r="O1075" s="28" t="s">
        <v>544</v>
      </c>
      <c r="S1075" s="28" t="s">
        <v>820</v>
      </c>
      <c r="T1075" s="28" t="s">
        <v>1918</v>
      </c>
      <c r="U1075" s="28" t="s">
        <v>1918</v>
      </c>
      <c r="V1075" s="28" t="s">
        <v>517</v>
      </c>
      <c r="W1075" s="28" t="s">
        <v>4439</v>
      </c>
      <c r="Z1075" s="118" t="s">
        <v>563</v>
      </c>
      <c r="AA1075" s="118"/>
      <c r="AB1075" s="118" t="s">
        <v>527</v>
      </c>
      <c r="AD1075" s="28" t="s">
        <v>954</v>
      </c>
      <c r="AF1075" s="117" t="s">
        <v>4436</v>
      </c>
      <c r="AG1075" s="28" t="s">
        <v>563</v>
      </c>
      <c r="AK1075" s="60" t="s">
        <v>2927</v>
      </c>
      <c r="AL1075" s="117">
        <f>1/COUNTIF(Tableau6[LAT],B1075)</f>
        <v>0.33333333333333331</v>
      </c>
      <c r="AM1075" s="60" t="b">
        <f t="shared" si="115"/>
        <v>0</v>
      </c>
      <c r="AN1075" s="60" t="b">
        <f t="shared" si="116"/>
        <v>0</v>
      </c>
      <c r="AO1075" s="60" t="b">
        <f t="shared" si="117"/>
        <v>0</v>
      </c>
      <c r="AP1075" s="60" t="b">
        <f t="shared" si="118"/>
        <v>0</v>
      </c>
      <c r="AQ1075" s="60" t="b">
        <f t="shared" si="119"/>
        <v>0</v>
      </c>
      <c r="AR1075" s="60" t="str">
        <f t="shared" si="120"/>
        <v>No</v>
      </c>
      <c r="AS1075" s="60" t="str">
        <f t="shared" si="121"/>
        <v>No</v>
      </c>
    </row>
    <row r="1076" spans="1:45" ht="15" hidden="1">
      <c r="A1076" s="103">
        <v>45244</v>
      </c>
      <c r="B1076" s="117" t="s">
        <v>4435</v>
      </c>
      <c r="C1076" s="28" t="s">
        <v>548</v>
      </c>
      <c r="D1076" s="28" t="s">
        <v>4440</v>
      </c>
      <c r="F1076" s="28" t="s">
        <v>4441</v>
      </c>
      <c r="G1076" s="28" t="s">
        <v>514</v>
      </c>
      <c r="H1076" s="28" t="s">
        <v>533</v>
      </c>
      <c r="I1076" s="28" t="s">
        <v>516</v>
      </c>
      <c r="J1076" s="28" t="s">
        <v>517</v>
      </c>
      <c r="K1076" s="28" t="s">
        <v>518</v>
      </c>
      <c r="L1076" s="28" t="s">
        <v>4077</v>
      </c>
      <c r="M1076" s="28" t="s">
        <v>535</v>
      </c>
      <c r="N1076" s="28" t="s">
        <v>544</v>
      </c>
      <c r="S1076" s="28" t="s">
        <v>820</v>
      </c>
      <c r="T1076" s="28" t="s">
        <v>1918</v>
      </c>
      <c r="U1076" s="28" t="s">
        <v>1918</v>
      </c>
      <c r="V1076" s="28" t="s">
        <v>517</v>
      </c>
      <c r="W1076" s="28" t="s">
        <v>3526</v>
      </c>
      <c r="Z1076" s="118" t="s">
        <v>563</v>
      </c>
      <c r="AA1076" s="118"/>
      <c r="AB1076" s="118" t="s">
        <v>527</v>
      </c>
      <c r="AD1076" s="28" t="s">
        <v>954</v>
      </c>
      <c r="AF1076" s="117" t="s">
        <v>4440</v>
      </c>
      <c r="AG1076" s="28" t="s">
        <v>563</v>
      </c>
      <c r="AK1076" s="60" t="s">
        <v>2927</v>
      </c>
      <c r="AL1076" s="117">
        <f>1/COUNTIF(Tableau6[LAT],B1076)</f>
        <v>0.33333333333333331</v>
      </c>
      <c r="AM1076" s="60" t="b">
        <f t="shared" ref="AM1076:AM1139" si="122">IF(N1076="ALM","Yes",IF(N1076="ALI","Yes",IF(N1076="CAO","Yes",IF(N1076="ICE","Yes",IF(N1076="MAG","Yes",IF(N1076="MAG","Yes",IF(N1076="RBI","Yes",IF(N1076="RBM","Yes",IF(N1076="RCL","Yes",IF(N1076="RCM","Yes",IF(N1076="RCX","Yes",IF(N1076="RDS","Yes",IF(N1076="REQ","Yes",IF(N1076="REX","Yes",IF(N1076="RFG","Yes",IF(N1076="RFL","Yes",IF(N1076="RFS","Yes",IF(N1076="RFW","Yes",IF(N1076="RGX","Yes",IF(N1076="RIS",IF(N1076="RLI","Yes",IF(N1076="RLM","Yes",IF(N1076="RMD","Yes",IF(N1076="RNG","Yes",IF(N1076="ROP","Yes",IF(N1076="ROX","Yes",IF(N1076="RPB","Yes",IF(N1076="RPG","Yes",IF(N1076="RRE","Yes",IF(N1076="RRW","Yes",IF(N1076="RRY","Yes",IF(N1076="RSB","Yes",IF(N1076="RSC","Yes",IF(N1076="RXB","Yes",IF(N1076="RXC","Yes",IF(N1076="RXD","Yes",IF(N1076="RXE","Yes",IF(N1076="RXG","Yes",IF(N1076="RXS","Yes",)))))))))))))))))))))))))))))))))))))))</f>
        <v>0</v>
      </c>
      <c r="AN1076" s="60" t="b">
        <f t="shared" ref="AN1076:AN1139" si="123">IF(O1076="ALM","Yes",IF(O1076="ALI","Yes",IF(O1076="CAO","Yes",IF(O1076="ICE","Yes",IF(O1076="MAG","Yes",IF(O1076="MAG","Yes",IF(O1076="RBI","Yes",IF(O1076="RBM","Yes",IF(O1076="RCL","Yes",IF(O1076="RCM","Yes",IF(O1076="RCX","Yes",IF(O1076="RDS","Yes",IF(O1076="REQ","Yes",IF(O1076="REX","Yes",IF(O1076="RFG","Yes",IF(O1076="RFL","Yes",IF(O1076="RFS","Yes",IF(O1076="RFW","Yes",IF(O1076="RGX","Yes",IF(O1076="RIS",IF(O1076="RLI","Yes",IF(O1076="RLM","Yes",IF(O1076="RMD","Yes",IF(O1076="RNG","Yes",IF(O1076="ROP","Yes",IF(O1076="ROX","Yes",IF(O1076="RPB","Yes",IF(O1076="RPG","Yes",IF(O1076="RRE","Yes",IF(O1076="RRW","Yes",IF(O1076="RRY","Yes",IF(O1076="RSB","Yes",IF(O1076="RSC","Yes",IF(O1076="RXB","Yes",IF(O1076="RXC","Yes",IF(O1076="RXD","Yes",IF(O1076="RXE","Yes",IF(O1076="RXG","Yes",IF(O1076="RXS","Yes",)))))))))))))))))))))))))))))))))))))))</f>
        <v>0</v>
      </c>
      <c r="AO1076" s="60" t="b">
        <f t="shared" ref="AO1076:AO1139" si="124">IF(P1076="ALM","Yes",IF(P1076="ALI","Yes",IF(P1076="CAO","Yes",IF(P1076="ICE","Yes",IF(P1076="MAG","Yes",IF(P1076="MAG","Yes",IF(P1076="RBI","Yes",IF(P1076="RBM","Yes",IF(P1076="RCL","Yes",IF(P1076="RCM","Yes",IF(P1076="RCX","Yes",IF(P1076="RDS","Yes",IF(P1076="REQ","Yes",IF(P1076="REX","Yes",IF(P1076="RFG","Yes",IF(P1076="RFL","Yes",IF(P1076="RFS","Yes",IF(P1076="RFW","Yes",IF(P1076="RGX","Yes",IF(P1076="RIS",IF(P1076="RLI","Yes",IF(P1076="RLM","Yes",IF(P1076="RMD","Yes",IF(P1076="RNG","Yes",IF(P1076="ROP","Yes",IF(P1076="ROX","Yes",IF(P1076="RPB","Yes",IF(P1076="RPG","Yes",IF(P1076="RRE","Yes",IF(P1076="RRW","Yes",IF(P1076="RRY","Yes",IF(P1076="RSB","Yes",IF(P1076="RSC","Yes",IF(P1076="RXB","Yes",IF(P1076="RXC","Yes",IF(P1076="RXD","Yes",IF(P1076="RXE","Yes",IF(P1076="RXG","Yes",IF(P1076="RXS","Yes",)))))))))))))))))))))))))))))))))))))))</f>
        <v>0</v>
      </c>
      <c r="AP1076" s="60" t="b">
        <f t="shared" ref="AP1076:AP1139" si="125">IF(Q1076="ALM","Yes",IF(Q1076="ALI","Yes",IF(Q1076="CAO","Yes",IF(Q1076="ICE","Yes",IF(Q1076="MAG","Yes",IF(Q1076="MAG","Yes",IF(Q1076="RBI","Yes",IF(Q1076="RBM","Yes",IF(Q1076="RCL","Yes",IF(Q1076="RCM","Yes",IF(Q1076="RCX","Yes",IF(Q1076="RDS","Yes",IF(Q1076="REQ","Yes",IF(Q1076="REX","Yes",IF(Q1076="RFG","Yes",IF(Q1076="RFL","Yes",IF(Q1076="RFS","Yes",IF(Q1076="RFW","Yes",IF(Q1076="RGX","Yes",IF(Q1076="RIS",IF(Q1076="RLI","Yes",IF(Q1076="RLM","Yes",IF(Q1076="RMD","Yes",IF(Q1076="RNG","Yes",IF(Q1076="ROP","Yes",IF(Q1076="ROX","Yes",IF(Q1076="RPB","Yes",IF(Q1076="RPG","Yes",IF(Q1076="RRE","Yes",IF(Q1076="RRW","Yes",IF(Q1076="RRY","Yes",IF(Q1076="RSB","Yes",IF(Q1076="RSC","Yes",IF(Q1076="RXB","Yes",IF(Q1076="RXC","Yes",IF(Q1076="RXD","Yes",IF(Q1076="RXE","Yes",IF(Q1076="RXG","Yes",IF(Q1076="RXS","Yes",)))))))))))))))))))))))))))))))))))))))</f>
        <v>0</v>
      </c>
      <c r="AQ1076" s="60" t="b">
        <f t="shared" ref="AQ1076:AQ1139" si="126">IF(R1076="ALM","Yes",IF(R1076="ALI","Yes",IF(R1076="CAO","Yes",IF(R1076="ICE","Yes",IF(R1076="MAG","Yes",IF(R1076="MAG","Yes",IF(R1076="RBI","Yes",IF(R1076="RBM","Yes",IF(R1076="RCL","Yes",IF(R1076="RCM","Yes",IF(R1076="RCX","Yes",IF(R1076="RDS","Yes",IF(R1076="REQ","Yes",IF(R1076="REX","Yes",IF(R1076="RFG","Yes",IF(R1076="RFL","Yes",IF(R1076="RFS","Yes",IF(R1076="RFW","Yes",IF(R1076="RGX","Yes",IF(R1076="RIS",IF(R1076="RLI","Yes",IF(R1076="RLM","Yes",IF(R1076="RMD","Yes",IF(R1076="RNG","Yes",IF(R1076="ROP","Yes",IF(R1076="ROX","Yes",IF(R1076="RPB","Yes",IF(R1076="RPG","Yes",IF(R1076="RRE","Yes",IF(R1076="RRW","Yes",IF(R1076="RRY","Yes",IF(R1076="RSB","Yes",IF(R1076="RSC","Yes",IF(R1076="RXB","Yes",IF(R1076="RXC","Yes",IF(R1076="RXD","Yes",IF(R1076="RXE","Yes",IF(R1076="RXG","Yes",IF(R1076="RXS","Yes",)))))))))))))))))))))))))))))))))))))))</f>
        <v>0</v>
      </c>
      <c r="AR1076" s="60" t="str">
        <f t="shared" ref="AR1076:AR1139" si="127">IF(AM1076="Yes","Yes",IF(AN1076="Yes","Yes",IF(AO1076="yes","Yes",IF(AP1076="Yes","Yes","No"))))</f>
        <v>No</v>
      </c>
      <c r="AS1076" s="60" t="str">
        <f t="shared" ref="AS1076:AS1139" si="128">IF(S1076="QFA","Yes",IF(S1076="LCJ","Yes",IF(S1076="CAJ","Yes",IF(S1076="WRO","Yes",IF(S1076="BEY","Yes",IF(S1076="TUN","Yes",IF(S1076="LFW","Yes",IF(S1076="DLA","Yes",IF(S1076="NSI","Yes",IF(S1076="OUA","Yes",IF(S1076="IAH","Yes",IF(S1076="LYS","Yes",IF(S1076="DSS","Yes",IF(S1076="BKO","Yes",IF(S1076="BZV","Yes",IF(S1076="COO","Yes",IF(S1076="EZE","Yes",IF(S1076="CKY","Yes",IF(S1076="PTP","Yes",IF(S1076="ORD","Yes",IF(S1076="CFE","Yes",IF(S1076="NKC","Yes",IF(S1076="FDF","Yes",IF(S1076="SDQ","Yes",IF(S1076="PNR","Yes",IF(S1076="ICAY","Yes",IF(S1076="DTW","Yes",IF(S1076="TNR","Yes",IF(S1076="RUN","Yes",IF(S1076="NIM","Yes","No"))))))))))))))))))))))))))))))</f>
        <v>No</v>
      </c>
    </row>
    <row r="1077" spans="1:45" ht="15" hidden="1">
      <c r="A1077" s="103">
        <v>45244</v>
      </c>
      <c r="B1077" s="117" t="s">
        <v>4435</v>
      </c>
      <c r="C1077" s="28" t="s">
        <v>612</v>
      </c>
      <c r="D1077" s="28" t="s">
        <v>4442</v>
      </c>
      <c r="F1077" s="28" t="s">
        <v>4443</v>
      </c>
      <c r="G1077" s="28" t="s">
        <v>665</v>
      </c>
      <c r="H1077" s="28" t="s">
        <v>980</v>
      </c>
      <c r="I1077" s="28" t="s">
        <v>516</v>
      </c>
      <c r="J1077" s="28" t="s">
        <v>517</v>
      </c>
      <c r="K1077" s="28" t="s">
        <v>518</v>
      </c>
      <c r="L1077" s="28" t="s">
        <v>4077</v>
      </c>
      <c r="M1077" s="28" t="s">
        <v>535</v>
      </c>
      <c r="N1077" s="28" t="s">
        <v>1124</v>
      </c>
      <c r="O1077" s="28" t="s">
        <v>544</v>
      </c>
      <c r="S1077" s="28" t="s">
        <v>820</v>
      </c>
      <c r="T1077" s="28" t="s">
        <v>1918</v>
      </c>
      <c r="U1077" s="28" t="s">
        <v>1918</v>
      </c>
      <c r="V1077" s="28" t="s">
        <v>517</v>
      </c>
      <c r="W1077" s="28" t="s">
        <v>4444</v>
      </c>
      <c r="Z1077" s="118" t="s">
        <v>563</v>
      </c>
      <c r="AA1077" s="118"/>
      <c r="AB1077" s="118" t="s">
        <v>527</v>
      </c>
      <c r="AD1077" s="28" t="s">
        <v>954</v>
      </c>
      <c r="AF1077" s="117" t="s">
        <v>4442</v>
      </c>
      <c r="AG1077" s="28" t="s">
        <v>563</v>
      </c>
      <c r="AK1077" s="60" t="s">
        <v>2927</v>
      </c>
      <c r="AL1077" s="117">
        <f>1/COUNTIF(Tableau6[LAT],B1077)</f>
        <v>0.33333333333333331</v>
      </c>
      <c r="AM1077" s="60" t="b">
        <f t="shared" si="122"/>
        <v>0</v>
      </c>
      <c r="AN1077" s="60" t="b">
        <f t="shared" si="123"/>
        <v>0</v>
      </c>
      <c r="AO1077" s="60" t="b">
        <f t="shared" si="124"/>
        <v>0</v>
      </c>
      <c r="AP1077" s="60" t="b">
        <f t="shared" si="125"/>
        <v>0</v>
      </c>
      <c r="AQ1077" s="60" t="b">
        <f t="shared" si="126"/>
        <v>0</v>
      </c>
      <c r="AR1077" s="60" t="str">
        <f t="shared" si="127"/>
        <v>No</v>
      </c>
      <c r="AS1077" s="60" t="str">
        <f t="shared" si="128"/>
        <v>No</v>
      </c>
    </row>
    <row r="1078" spans="1:45" ht="15" hidden="1">
      <c r="A1078" s="103">
        <v>45244</v>
      </c>
      <c r="B1078" s="117" t="s">
        <v>4445</v>
      </c>
      <c r="C1078" s="28" t="s">
        <v>511</v>
      </c>
      <c r="D1078" s="28" t="s">
        <v>4446</v>
      </c>
      <c r="F1078" s="28" t="s">
        <v>3125</v>
      </c>
      <c r="G1078" s="28" t="s">
        <v>514</v>
      </c>
      <c r="H1078" s="28" t="s">
        <v>1217</v>
      </c>
      <c r="I1078" s="28" t="s">
        <v>516</v>
      </c>
      <c r="J1078" s="28" t="s">
        <v>517</v>
      </c>
      <c r="K1078" s="28" t="s">
        <v>518</v>
      </c>
      <c r="L1078" s="28" t="s">
        <v>4043</v>
      </c>
      <c r="M1078" s="28" t="s">
        <v>535</v>
      </c>
      <c r="N1078" s="28" t="s">
        <v>557</v>
      </c>
      <c r="S1078" s="28" t="s">
        <v>523</v>
      </c>
      <c r="T1078" s="28" t="s">
        <v>2078</v>
      </c>
      <c r="U1078" s="28" t="s">
        <v>2406</v>
      </c>
      <c r="V1078" s="28" t="s">
        <v>517</v>
      </c>
      <c r="W1078" s="28" t="s">
        <v>4044</v>
      </c>
      <c r="Z1078" s="118" t="s">
        <v>526</v>
      </c>
      <c r="AA1078" s="118"/>
      <c r="AB1078" s="118" t="s">
        <v>4384</v>
      </c>
      <c r="AD1078" s="28" t="s">
        <v>528</v>
      </c>
      <c r="AF1078" s="117"/>
      <c r="AG1078" s="28" t="s">
        <v>563</v>
      </c>
      <c r="AK1078" s="60" t="s">
        <v>2927</v>
      </c>
      <c r="AL1078" s="117">
        <f>1/COUNTIF(Tableau6[LAT],B1078)</f>
        <v>1</v>
      </c>
      <c r="AM1078" s="60" t="b">
        <f t="shared" si="122"/>
        <v>0</v>
      </c>
      <c r="AN1078" s="60" t="b">
        <f t="shared" si="123"/>
        <v>0</v>
      </c>
      <c r="AO1078" s="60" t="b">
        <f t="shared" si="124"/>
        <v>0</v>
      </c>
      <c r="AP1078" s="60" t="b">
        <f t="shared" si="125"/>
        <v>0</v>
      </c>
      <c r="AQ1078" s="60" t="b">
        <f t="shared" si="126"/>
        <v>0</v>
      </c>
      <c r="AR1078" s="60" t="str">
        <f t="shared" si="127"/>
        <v>No</v>
      </c>
      <c r="AS1078" s="60" t="str">
        <f t="shared" si="128"/>
        <v>No</v>
      </c>
    </row>
    <row r="1079" spans="1:45" ht="15" hidden="1">
      <c r="A1079" s="103">
        <v>45244</v>
      </c>
      <c r="B1079" s="117" t="s">
        <v>4447</v>
      </c>
      <c r="C1079" s="28" t="s">
        <v>511</v>
      </c>
      <c r="D1079" s="28" t="s">
        <v>4448</v>
      </c>
      <c r="F1079" s="28" t="s">
        <v>1672</v>
      </c>
      <c r="G1079" s="28" t="s">
        <v>514</v>
      </c>
      <c r="H1079" s="28" t="s">
        <v>4449</v>
      </c>
      <c r="I1079" s="28" t="s">
        <v>516</v>
      </c>
      <c r="J1079" s="28" t="s">
        <v>517</v>
      </c>
      <c r="K1079" s="28" t="s">
        <v>518</v>
      </c>
      <c r="L1079" s="28" t="s">
        <v>839</v>
      </c>
      <c r="M1079" s="28" t="s">
        <v>605</v>
      </c>
      <c r="N1079" s="28" t="s">
        <v>544</v>
      </c>
      <c r="S1079" s="28" t="s">
        <v>546</v>
      </c>
      <c r="T1079" s="28" t="s">
        <v>840</v>
      </c>
      <c r="U1079" s="28" t="s">
        <v>840</v>
      </c>
      <c r="V1079" s="28" t="s">
        <v>517</v>
      </c>
      <c r="W1079" s="28" t="s">
        <v>975</v>
      </c>
      <c r="Z1079" s="118" t="s">
        <v>563</v>
      </c>
      <c r="AA1079" s="118"/>
      <c r="AB1079" s="118" t="s">
        <v>527</v>
      </c>
      <c r="AF1079" s="117" t="s">
        <v>4448</v>
      </c>
      <c r="AK1079" s="60" t="s">
        <v>2927</v>
      </c>
      <c r="AL1079" s="117">
        <f>1/COUNTIF(Tableau6[LAT],B1079)</f>
        <v>1</v>
      </c>
      <c r="AM1079" s="60" t="b">
        <f t="shared" si="122"/>
        <v>0</v>
      </c>
      <c r="AN1079" s="60" t="b">
        <f t="shared" si="123"/>
        <v>0</v>
      </c>
      <c r="AO1079" s="60" t="b">
        <f t="shared" si="124"/>
        <v>0</v>
      </c>
      <c r="AP1079" s="60" t="b">
        <f t="shared" si="125"/>
        <v>0</v>
      </c>
      <c r="AQ1079" s="60" t="b">
        <f t="shared" si="126"/>
        <v>0</v>
      </c>
      <c r="AR1079" s="60" t="str">
        <f t="shared" si="127"/>
        <v>No</v>
      </c>
      <c r="AS1079" s="60" t="str">
        <f t="shared" si="128"/>
        <v>No</v>
      </c>
    </row>
    <row r="1080" spans="1:45" ht="15" hidden="1">
      <c r="A1080" s="103">
        <v>45244</v>
      </c>
      <c r="B1080" s="117" t="s">
        <v>2269</v>
      </c>
      <c r="C1080" s="28" t="s">
        <v>511</v>
      </c>
      <c r="D1080" s="28" t="s">
        <v>2274</v>
      </c>
      <c r="F1080" s="28" t="s">
        <v>4450</v>
      </c>
      <c r="G1080" s="28" t="s">
        <v>4451</v>
      </c>
      <c r="H1080" s="28" t="s">
        <v>4452</v>
      </c>
      <c r="I1080" s="28" t="s">
        <v>516</v>
      </c>
      <c r="J1080" s="28" t="s">
        <v>517</v>
      </c>
      <c r="K1080" s="28" t="s">
        <v>518</v>
      </c>
      <c r="L1080" s="28" t="s">
        <v>2272</v>
      </c>
      <c r="M1080" s="28" t="s">
        <v>535</v>
      </c>
      <c r="N1080" s="28" t="s">
        <v>557</v>
      </c>
      <c r="O1080" s="28" t="s">
        <v>522</v>
      </c>
      <c r="S1080" s="28" t="s">
        <v>1934</v>
      </c>
      <c r="T1080" s="28" t="s">
        <v>733</v>
      </c>
      <c r="U1080" s="28" t="s">
        <v>733</v>
      </c>
      <c r="V1080" s="28" t="s">
        <v>517</v>
      </c>
      <c r="W1080" s="28" t="s">
        <v>4453</v>
      </c>
      <c r="Z1080" s="118" t="s">
        <v>526</v>
      </c>
      <c r="AA1080" s="118"/>
      <c r="AB1080" s="118"/>
      <c r="AF1080" s="117" t="s">
        <v>2270</v>
      </c>
      <c r="AK1080" s="60" t="s">
        <v>2927</v>
      </c>
      <c r="AL1080" s="117">
        <f>1/COUNTIF(Tableau6[LAT],B1080)</f>
        <v>0.16666666666666666</v>
      </c>
      <c r="AM1080" s="60" t="b">
        <f t="shared" si="122"/>
        <v>0</v>
      </c>
      <c r="AN1080" s="60" t="b">
        <f t="shared" si="123"/>
        <v>0</v>
      </c>
      <c r="AO1080" s="60" t="b">
        <f t="shared" si="124"/>
        <v>0</v>
      </c>
      <c r="AP1080" s="60" t="b">
        <f t="shared" si="125"/>
        <v>0</v>
      </c>
      <c r="AQ1080" s="60" t="b">
        <f t="shared" si="126"/>
        <v>0</v>
      </c>
      <c r="AR1080" s="60" t="str">
        <f t="shared" si="127"/>
        <v>No</v>
      </c>
      <c r="AS1080" s="60" t="str">
        <f t="shared" si="128"/>
        <v>No</v>
      </c>
    </row>
    <row r="1081" spans="1:45" ht="15" hidden="1">
      <c r="A1081" s="103">
        <v>45244</v>
      </c>
      <c r="B1081" s="117" t="s">
        <v>2269</v>
      </c>
      <c r="C1081" s="28" t="s">
        <v>612</v>
      </c>
      <c r="D1081" s="28" t="s">
        <v>4454</v>
      </c>
      <c r="F1081" s="28" t="s">
        <v>4455</v>
      </c>
      <c r="G1081" s="28" t="s">
        <v>3875</v>
      </c>
      <c r="H1081" s="28" t="s">
        <v>1144</v>
      </c>
      <c r="I1081" s="28" t="s">
        <v>516</v>
      </c>
      <c r="J1081" s="28" t="s">
        <v>517</v>
      </c>
      <c r="K1081" s="28" t="s">
        <v>518</v>
      </c>
      <c r="L1081" s="28" t="s">
        <v>2272</v>
      </c>
      <c r="M1081" s="28" t="s">
        <v>535</v>
      </c>
      <c r="N1081" s="28" t="s">
        <v>557</v>
      </c>
      <c r="O1081" s="28" t="s">
        <v>522</v>
      </c>
      <c r="S1081" s="28" t="s">
        <v>1934</v>
      </c>
      <c r="T1081" s="28" t="s">
        <v>733</v>
      </c>
      <c r="U1081" s="28" t="s">
        <v>733</v>
      </c>
      <c r="V1081" s="28" t="s">
        <v>517</v>
      </c>
      <c r="W1081" s="28" t="s">
        <v>4453</v>
      </c>
      <c r="Z1081" s="118" t="s">
        <v>526</v>
      </c>
      <c r="AA1081" s="118"/>
      <c r="AB1081" s="118"/>
      <c r="AF1081" s="117" t="s">
        <v>4454</v>
      </c>
      <c r="AK1081" s="60" t="s">
        <v>2927</v>
      </c>
      <c r="AL1081" s="117">
        <f>1/COUNTIF(Tableau6[LAT],B1081)</f>
        <v>0.16666666666666666</v>
      </c>
      <c r="AM1081" s="60" t="b">
        <f t="shared" si="122"/>
        <v>0</v>
      </c>
      <c r="AN1081" s="60" t="b">
        <f t="shared" si="123"/>
        <v>0</v>
      </c>
      <c r="AO1081" s="60" t="b">
        <f t="shared" si="124"/>
        <v>0</v>
      </c>
      <c r="AP1081" s="60" t="b">
        <f t="shared" si="125"/>
        <v>0</v>
      </c>
      <c r="AQ1081" s="60" t="b">
        <f t="shared" si="126"/>
        <v>0</v>
      </c>
      <c r="AR1081" s="60" t="str">
        <f t="shared" si="127"/>
        <v>No</v>
      </c>
      <c r="AS1081" s="60" t="str">
        <f t="shared" si="128"/>
        <v>No</v>
      </c>
    </row>
    <row r="1082" spans="1:45" ht="15" hidden="1">
      <c r="A1082" s="103">
        <v>45244</v>
      </c>
      <c r="B1082" s="117" t="s">
        <v>2269</v>
      </c>
      <c r="C1082" s="28" t="s">
        <v>691</v>
      </c>
      <c r="D1082" s="28" t="s">
        <v>4456</v>
      </c>
      <c r="F1082" s="28" t="s">
        <v>4455</v>
      </c>
      <c r="G1082" s="28" t="s">
        <v>3875</v>
      </c>
      <c r="H1082" s="28" t="s">
        <v>1144</v>
      </c>
      <c r="I1082" s="28" t="s">
        <v>516</v>
      </c>
      <c r="J1082" s="28" t="s">
        <v>517</v>
      </c>
      <c r="K1082" s="28" t="s">
        <v>518</v>
      </c>
      <c r="L1082" s="28" t="s">
        <v>2272</v>
      </c>
      <c r="M1082" s="28" t="s">
        <v>535</v>
      </c>
      <c r="N1082" s="28" t="s">
        <v>557</v>
      </c>
      <c r="O1082" s="28" t="s">
        <v>522</v>
      </c>
      <c r="S1082" s="28" t="s">
        <v>1934</v>
      </c>
      <c r="T1082" s="28" t="s">
        <v>733</v>
      </c>
      <c r="U1082" s="28" t="s">
        <v>733</v>
      </c>
      <c r="V1082" s="28" t="s">
        <v>517</v>
      </c>
      <c r="W1082" s="28" t="s">
        <v>4453</v>
      </c>
      <c r="Z1082" s="118" t="s">
        <v>526</v>
      </c>
      <c r="AA1082" s="118"/>
      <c r="AB1082" s="118"/>
      <c r="AF1082" s="117" t="s">
        <v>4456</v>
      </c>
      <c r="AK1082" s="60" t="s">
        <v>2927</v>
      </c>
      <c r="AL1082" s="117">
        <f>1/COUNTIF(Tableau6[LAT],B1082)</f>
        <v>0.16666666666666666</v>
      </c>
      <c r="AM1082" s="60" t="b">
        <f t="shared" si="122"/>
        <v>0</v>
      </c>
      <c r="AN1082" s="60" t="b">
        <f t="shared" si="123"/>
        <v>0</v>
      </c>
      <c r="AO1082" s="60" t="b">
        <f t="shared" si="124"/>
        <v>0</v>
      </c>
      <c r="AP1082" s="60" t="b">
        <f t="shared" si="125"/>
        <v>0</v>
      </c>
      <c r="AQ1082" s="60" t="b">
        <f t="shared" si="126"/>
        <v>0</v>
      </c>
      <c r="AR1082" s="60" t="str">
        <f t="shared" si="127"/>
        <v>No</v>
      </c>
      <c r="AS1082" s="60" t="str">
        <f t="shared" si="128"/>
        <v>No</v>
      </c>
    </row>
    <row r="1083" spans="1:45" ht="15" hidden="1">
      <c r="A1083" s="103">
        <v>45244</v>
      </c>
      <c r="B1083" s="117" t="s">
        <v>2269</v>
      </c>
      <c r="C1083" s="28" t="s">
        <v>859</v>
      </c>
      <c r="D1083" s="28" t="s">
        <v>4457</v>
      </c>
      <c r="F1083" s="28" t="s">
        <v>4455</v>
      </c>
      <c r="G1083" s="28" t="s">
        <v>3875</v>
      </c>
      <c r="H1083" s="28" t="s">
        <v>1144</v>
      </c>
      <c r="I1083" s="28" t="s">
        <v>516</v>
      </c>
      <c r="J1083" s="28" t="s">
        <v>517</v>
      </c>
      <c r="K1083" s="28" t="s">
        <v>518</v>
      </c>
      <c r="L1083" s="28" t="s">
        <v>2272</v>
      </c>
      <c r="M1083" s="28" t="s">
        <v>535</v>
      </c>
      <c r="N1083" s="28" t="s">
        <v>557</v>
      </c>
      <c r="O1083" s="28" t="s">
        <v>522</v>
      </c>
      <c r="S1083" s="28" t="s">
        <v>1934</v>
      </c>
      <c r="T1083" s="28" t="s">
        <v>733</v>
      </c>
      <c r="U1083" s="28" t="s">
        <v>733</v>
      </c>
      <c r="V1083" s="28" t="s">
        <v>517</v>
      </c>
      <c r="W1083" s="28" t="s">
        <v>4453</v>
      </c>
      <c r="Z1083" s="118" t="s">
        <v>526</v>
      </c>
      <c r="AA1083" s="118"/>
      <c r="AB1083" s="118"/>
      <c r="AF1083" s="117" t="s">
        <v>4457</v>
      </c>
      <c r="AK1083" s="60" t="s">
        <v>2927</v>
      </c>
      <c r="AL1083" s="117">
        <f>1/COUNTIF(Tableau6[LAT],B1083)</f>
        <v>0.16666666666666666</v>
      </c>
      <c r="AM1083" s="60" t="b">
        <f t="shared" si="122"/>
        <v>0</v>
      </c>
      <c r="AN1083" s="60" t="b">
        <f t="shared" si="123"/>
        <v>0</v>
      </c>
      <c r="AO1083" s="60" t="b">
        <f t="shared" si="124"/>
        <v>0</v>
      </c>
      <c r="AP1083" s="60" t="b">
        <f t="shared" si="125"/>
        <v>0</v>
      </c>
      <c r="AQ1083" s="60" t="b">
        <f t="shared" si="126"/>
        <v>0</v>
      </c>
      <c r="AR1083" s="60" t="str">
        <f t="shared" si="127"/>
        <v>No</v>
      </c>
      <c r="AS1083" s="60" t="str">
        <f t="shared" si="128"/>
        <v>No</v>
      </c>
    </row>
    <row r="1084" spans="1:45" ht="15" hidden="1">
      <c r="A1084" s="103">
        <v>45244</v>
      </c>
      <c r="B1084" s="117" t="s">
        <v>2269</v>
      </c>
      <c r="C1084" s="28" t="s">
        <v>861</v>
      </c>
      <c r="D1084" s="28" t="s">
        <v>4458</v>
      </c>
      <c r="F1084" s="28" t="s">
        <v>4455</v>
      </c>
      <c r="G1084" s="28" t="s">
        <v>3875</v>
      </c>
      <c r="H1084" s="28" t="s">
        <v>1144</v>
      </c>
      <c r="I1084" s="28" t="s">
        <v>516</v>
      </c>
      <c r="J1084" s="28" t="s">
        <v>517</v>
      </c>
      <c r="K1084" s="28" t="s">
        <v>518</v>
      </c>
      <c r="L1084" s="28" t="s">
        <v>2272</v>
      </c>
      <c r="M1084" s="28" t="s">
        <v>535</v>
      </c>
      <c r="N1084" s="28" t="s">
        <v>557</v>
      </c>
      <c r="O1084" s="28" t="s">
        <v>522</v>
      </c>
      <c r="S1084" s="28" t="s">
        <v>1934</v>
      </c>
      <c r="T1084" s="28" t="s">
        <v>733</v>
      </c>
      <c r="U1084" s="28" t="s">
        <v>733</v>
      </c>
      <c r="V1084" s="28" t="s">
        <v>517</v>
      </c>
      <c r="W1084" s="28" t="s">
        <v>4453</v>
      </c>
      <c r="Z1084" s="118" t="s">
        <v>526</v>
      </c>
      <c r="AA1084" s="118"/>
      <c r="AB1084" s="118"/>
      <c r="AF1084" s="117"/>
      <c r="AK1084" s="60" t="s">
        <v>2927</v>
      </c>
      <c r="AL1084" s="117">
        <f>1/COUNTIF(Tableau6[LAT],B1084)</f>
        <v>0.16666666666666666</v>
      </c>
      <c r="AM1084" s="60" t="b">
        <f t="shared" si="122"/>
        <v>0</v>
      </c>
      <c r="AN1084" s="60" t="b">
        <f t="shared" si="123"/>
        <v>0</v>
      </c>
      <c r="AO1084" s="60" t="b">
        <f t="shared" si="124"/>
        <v>0</v>
      </c>
      <c r="AP1084" s="60" t="b">
        <f t="shared" si="125"/>
        <v>0</v>
      </c>
      <c r="AQ1084" s="60" t="b">
        <f t="shared" si="126"/>
        <v>0</v>
      </c>
      <c r="AR1084" s="60" t="str">
        <f t="shared" si="127"/>
        <v>No</v>
      </c>
      <c r="AS1084" s="60" t="str">
        <f t="shared" si="128"/>
        <v>No</v>
      </c>
    </row>
    <row r="1085" spans="1:45" ht="15" hidden="1">
      <c r="A1085" s="103">
        <v>45244</v>
      </c>
      <c r="B1085" s="117" t="s">
        <v>4459</v>
      </c>
      <c r="C1085" s="28" t="s">
        <v>511</v>
      </c>
      <c r="D1085" s="28" t="s">
        <v>4460</v>
      </c>
      <c r="F1085" s="28" t="s">
        <v>4461</v>
      </c>
      <c r="G1085" s="28" t="s">
        <v>1077</v>
      </c>
      <c r="H1085" s="28" t="s">
        <v>750</v>
      </c>
      <c r="I1085" s="28" t="s">
        <v>516</v>
      </c>
      <c r="J1085" s="28" t="s">
        <v>517</v>
      </c>
      <c r="K1085" s="28" t="s">
        <v>518</v>
      </c>
      <c r="L1085" s="28" t="s">
        <v>895</v>
      </c>
      <c r="M1085" s="28" t="s">
        <v>605</v>
      </c>
      <c r="S1085" s="28" t="s">
        <v>2284</v>
      </c>
      <c r="T1085" s="28" t="s">
        <v>897</v>
      </c>
      <c r="U1085" s="28" t="s">
        <v>897</v>
      </c>
      <c r="V1085" s="28" t="s">
        <v>517</v>
      </c>
      <c r="W1085" s="28" t="s">
        <v>4462</v>
      </c>
      <c r="Z1085" s="118" t="s">
        <v>563</v>
      </c>
      <c r="AA1085" s="118"/>
      <c r="AB1085" s="118" t="s">
        <v>527</v>
      </c>
      <c r="AD1085" s="28" t="s">
        <v>528</v>
      </c>
      <c r="AF1085" s="117" t="s">
        <v>4460</v>
      </c>
      <c r="AG1085" s="28" t="s">
        <v>563</v>
      </c>
      <c r="AK1085" s="60" t="s">
        <v>2927</v>
      </c>
      <c r="AL1085" s="117">
        <f>1/COUNTIF(Tableau6[LAT],B1085)</f>
        <v>1</v>
      </c>
      <c r="AM1085" s="60" t="b">
        <f t="shared" si="122"/>
        <v>0</v>
      </c>
      <c r="AN1085" s="60" t="b">
        <f t="shared" si="123"/>
        <v>0</v>
      </c>
      <c r="AO1085" s="60" t="b">
        <f t="shared" si="124"/>
        <v>0</v>
      </c>
      <c r="AP1085" s="60" t="b">
        <f t="shared" si="125"/>
        <v>0</v>
      </c>
      <c r="AQ1085" s="60" t="b">
        <f t="shared" si="126"/>
        <v>0</v>
      </c>
      <c r="AR1085" s="60" t="str">
        <f t="shared" si="127"/>
        <v>No</v>
      </c>
      <c r="AS1085" s="60" t="str">
        <f t="shared" si="128"/>
        <v>No</v>
      </c>
    </row>
    <row r="1086" spans="1:45" ht="15" hidden="1">
      <c r="A1086" s="103">
        <v>45244</v>
      </c>
      <c r="B1086" s="117" t="s">
        <v>4463</v>
      </c>
      <c r="C1086" s="28" t="s">
        <v>511</v>
      </c>
      <c r="D1086" s="28" t="s">
        <v>4464</v>
      </c>
      <c r="F1086" s="28" t="s">
        <v>1844</v>
      </c>
      <c r="G1086" s="28" t="s">
        <v>1635</v>
      </c>
      <c r="H1086" s="28" t="s">
        <v>952</v>
      </c>
      <c r="I1086" s="28" t="s">
        <v>516</v>
      </c>
      <c r="J1086" s="28" t="s">
        <v>517</v>
      </c>
      <c r="K1086" s="28" t="s">
        <v>518</v>
      </c>
      <c r="L1086" s="28" t="s">
        <v>2100</v>
      </c>
      <c r="M1086" s="28" t="s">
        <v>605</v>
      </c>
      <c r="S1086" s="28" t="s">
        <v>2284</v>
      </c>
      <c r="T1086" s="28" t="s">
        <v>1918</v>
      </c>
      <c r="U1086" s="28" t="s">
        <v>1918</v>
      </c>
      <c r="V1086" s="28" t="s">
        <v>517</v>
      </c>
      <c r="W1086" s="28" t="s">
        <v>4465</v>
      </c>
      <c r="Z1086" s="118" t="s">
        <v>563</v>
      </c>
      <c r="AA1086" s="118"/>
      <c r="AB1086" s="118" t="s">
        <v>527</v>
      </c>
      <c r="AD1086" s="28" t="s">
        <v>954</v>
      </c>
      <c r="AF1086" s="117" t="s">
        <v>4464</v>
      </c>
      <c r="AG1086" s="28" t="s">
        <v>563</v>
      </c>
      <c r="AK1086" s="60" t="s">
        <v>2927</v>
      </c>
      <c r="AL1086" s="117">
        <f>1/COUNTIF(Tableau6[LAT],B1086)</f>
        <v>1</v>
      </c>
      <c r="AM1086" s="60" t="b">
        <f t="shared" si="122"/>
        <v>0</v>
      </c>
      <c r="AN1086" s="60" t="b">
        <f t="shared" si="123"/>
        <v>0</v>
      </c>
      <c r="AO1086" s="60" t="b">
        <f t="shared" si="124"/>
        <v>0</v>
      </c>
      <c r="AP1086" s="60" t="b">
        <f t="shared" si="125"/>
        <v>0</v>
      </c>
      <c r="AQ1086" s="60" t="b">
        <f t="shared" si="126"/>
        <v>0</v>
      </c>
      <c r="AR1086" s="60" t="str">
        <f t="shared" si="127"/>
        <v>No</v>
      </c>
      <c r="AS1086" s="60" t="str">
        <f t="shared" si="128"/>
        <v>No</v>
      </c>
    </row>
    <row r="1087" spans="1:45" ht="15" hidden="1">
      <c r="A1087" s="103">
        <v>45244</v>
      </c>
      <c r="B1087" s="117" t="s">
        <v>4466</v>
      </c>
      <c r="C1087" s="28" t="s">
        <v>511</v>
      </c>
      <c r="D1087" s="28" t="s">
        <v>4467</v>
      </c>
      <c r="F1087" s="28" t="s">
        <v>4468</v>
      </c>
      <c r="G1087" s="28" t="s">
        <v>514</v>
      </c>
      <c r="H1087" s="28" t="s">
        <v>1291</v>
      </c>
      <c r="I1087" s="28" t="s">
        <v>516</v>
      </c>
      <c r="J1087" s="28" t="s">
        <v>517</v>
      </c>
      <c r="K1087" s="28" t="s">
        <v>518</v>
      </c>
      <c r="L1087" s="28" t="s">
        <v>1097</v>
      </c>
      <c r="M1087" s="28" t="s">
        <v>520</v>
      </c>
      <c r="N1087" s="28" t="s">
        <v>557</v>
      </c>
      <c r="O1087" s="28" t="s">
        <v>559</v>
      </c>
      <c r="S1087" s="28" t="s">
        <v>1581</v>
      </c>
      <c r="T1087" s="28" t="s">
        <v>1098</v>
      </c>
      <c r="U1087" s="28" t="s">
        <v>1098</v>
      </c>
      <c r="V1087" s="28" t="s">
        <v>517</v>
      </c>
      <c r="W1087" s="28" t="s">
        <v>4469</v>
      </c>
      <c r="Z1087" s="118" t="s">
        <v>563</v>
      </c>
      <c r="AA1087" s="118"/>
      <c r="AB1087" s="118" t="s">
        <v>527</v>
      </c>
      <c r="AD1087" s="28" t="s">
        <v>528</v>
      </c>
      <c r="AF1087" s="117" t="s">
        <v>4470</v>
      </c>
      <c r="AG1087" s="28" t="s">
        <v>563</v>
      </c>
      <c r="AK1087" s="60" t="s">
        <v>2927</v>
      </c>
      <c r="AL1087" s="117">
        <f>1/COUNTIF(Tableau6[LAT],B1087)</f>
        <v>0.16666666666666666</v>
      </c>
      <c r="AM1087" s="60" t="b">
        <f t="shared" si="122"/>
        <v>0</v>
      </c>
      <c r="AN1087" s="60" t="b">
        <f t="shared" si="123"/>
        <v>0</v>
      </c>
      <c r="AO1087" s="60" t="b">
        <f t="shared" si="124"/>
        <v>0</v>
      </c>
      <c r="AP1087" s="60" t="b">
        <f t="shared" si="125"/>
        <v>0</v>
      </c>
      <c r="AQ1087" s="60" t="b">
        <f t="shared" si="126"/>
        <v>0</v>
      </c>
      <c r="AR1087" s="60" t="str">
        <f t="shared" si="127"/>
        <v>No</v>
      </c>
      <c r="AS1087" s="60" t="str">
        <f t="shared" si="128"/>
        <v>No</v>
      </c>
    </row>
    <row r="1088" spans="1:45" ht="15" hidden="1">
      <c r="A1088" s="103">
        <v>45244</v>
      </c>
      <c r="B1088" s="117" t="s">
        <v>4466</v>
      </c>
      <c r="C1088" s="28" t="s">
        <v>548</v>
      </c>
      <c r="D1088" s="28" t="s">
        <v>4470</v>
      </c>
      <c r="F1088" s="28" t="s">
        <v>4471</v>
      </c>
      <c r="G1088" s="28" t="s">
        <v>958</v>
      </c>
      <c r="H1088" s="28" t="s">
        <v>1268</v>
      </c>
      <c r="I1088" s="28" t="s">
        <v>516</v>
      </c>
      <c r="J1088" s="28" t="s">
        <v>517</v>
      </c>
      <c r="K1088" s="28" t="s">
        <v>518</v>
      </c>
      <c r="L1088" s="28" t="s">
        <v>1097</v>
      </c>
      <c r="M1088" s="28" t="s">
        <v>520</v>
      </c>
      <c r="N1088" s="28" t="s">
        <v>557</v>
      </c>
      <c r="O1088" s="28" t="s">
        <v>559</v>
      </c>
      <c r="S1088" s="28" t="s">
        <v>1581</v>
      </c>
      <c r="T1088" s="28" t="s">
        <v>1098</v>
      </c>
      <c r="U1088" s="28" t="s">
        <v>1098</v>
      </c>
      <c r="V1088" s="28" t="s">
        <v>517</v>
      </c>
      <c r="W1088" s="28" t="s">
        <v>4472</v>
      </c>
      <c r="Z1088" s="118" t="s">
        <v>563</v>
      </c>
      <c r="AA1088" s="118"/>
      <c r="AB1088" s="118" t="s">
        <v>527</v>
      </c>
      <c r="AD1088" s="28" t="s">
        <v>528</v>
      </c>
      <c r="AF1088" s="117" t="s">
        <v>4470</v>
      </c>
      <c r="AG1088" s="28" t="s">
        <v>563</v>
      </c>
      <c r="AK1088" s="60" t="s">
        <v>2927</v>
      </c>
      <c r="AL1088" s="117">
        <f>1/COUNTIF(Tableau6[LAT],B1088)</f>
        <v>0.16666666666666666</v>
      </c>
      <c r="AM1088" s="60" t="b">
        <f t="shared" si="122"/>
        <v>0</v>
      </c>
      <c r="AN1088" s="60" t="b">
        <f t="shared" si="123"/>
        <v>0</v>
      </c>
      <c r="AO1088" s="60" t="b">
        <f t="shared" si="124"/>
        <v>0</v>
      </c>
      <c r="AP1088" s="60" t="b">
        <f t="shared" si="125"/>
        <v>0</v>
      </c>
      <c r="AQ1088" s="60" t="b">
        <f t="shared" si="126"/>
        <v>0</v>
      </c>
      <c r="AR1088" s="60" t="str">
        <f t="shared" si="127"/>
        <v>No</v>
      </c>
      <c r="AS1088" s="60" t="str">
        <f t="shared" si="128"/>
        <v>No</v>
      </c>
    </row>
    <row r="1089" spans="1:45" ht="15" hidden="1">
      <c r="A1089" s="103">
        <v>45244</v>
      </c>
      <c r="B1089" s="117" t="s">
        <v>4466</v>
      </c>
      <c r="C1089" s="28" t="s">
        <v>612</v>
      </c>
      <c r="D1089" s="28" t="s">
        <v>4473</v>
      </c>
      <c r="F1089" s="28" t="s">
        <v>4474</v>
      </c>
      <c r="G1089" s="28" t="s">
        <v>514</v>
      </c>
      <c r="H1089" s="28" t="s">
        <v>1291</v>
      </c>
      <c r="I1089" s="28" t="s">
        <v>516</v>
      </c>
      <c r="J1089" s="28" t="s">
        <v>517</v>
      </c>
      <c r="K1089" s="28" t="s">
        <v>518</v>
      </c>
      <c r="L1089" s="28" t="s">
        <v>1097</v>
      </c>
      <c r="M1089" s="28" t="s">
        <v>520</v>
      </c>
      <c r="N1089" s="28" t="s">
        <v>557</v>
      </c>
      <c r="O1089" s="28" t="s">
        <v>559</v>
      </c>
      <c r="S1089" s="28" t="s">
        <v>1581</v>
      </c>
      <c r="T1089" s="28" t="s">
        <v>1098</v>
      </c>
      <c r="U1089" s="28" t="s">
        <v>1098</v>
      </c>
      <c r="V1089" s="28" t="s">
        <v>517</v>
      </c>
      <c r="W1089" s="28" t="s">
        <v>4475</v>
      </c>
      <c r="Z1089" s="118" t="s">
        <v>563</v>
      </c>
      <c r="AA1089" s="118"/>
      <c r="AB1089" s="118" t="s">
        <v>527</v>
      </c>
      <c r="AD1089" s="28" t="s">
        <v>528</v>
      </c>
      <c r="AF1089" s="117" t="s">
        <v>4473</v>
      </c>
      <c r="AG1089" s="28" t="s">
        <v>563</v>
      </c>
      <c r="AK1089" s="60" t="s">
        <v>2927</v>
      </c>
      <c r="AL1089" s="117">
        <f>1/COUNTIF(Tableau6[LAT],B1089)</f>
        <v>0.16666666666666666</v>
      </c>
      <c r="AM1089" s="60" t="b">
        <f t="shared" si="122"/>
        <v>0</v>
      </c>
      <c r="AN1089" s="60" t="b">
        <f t="shared" si="123"/>
        <v>0</v>
      </c>
      <c r="AO1089" s="60" t="b">
        <f t="shared" si="124"/>
        <v>0</v>
      </c>
      <c r="AP1089" s="60" t="b">
        <f t="shared" si="125"/>
        <v>0</v>
      </c>
      <c r="AQ1089" s="60" t="b">
        <f t="shared" si="126"/>
        <v>0</v>
      </c>
      <c r="AR1089" s="60" t="str">
        <f t="shared" si="127"/>
        <v>No</v>
      </c>
      <c r="AS1089" s="60" t="str">
        <f t="shared" si="128"/>
        <v>No</v>
      </c>
    </row>
    <row r="1090" spans="1:45" ht="15" hidden="1">
      <c r="A1090" s="103">
        <v>45244</v>
      </c>
      <c r="B1090" s="117" t="s">
        <v>4466</v>
      </c>
      <c r="C1090" s="28" t="s">
        <v>691</v>
      </c>
      <c r="D1090" s="28" t="s">
        <v>4476</v>
      </c>
      <c r="F1090" s="28" t="s">
        <v>4474</v>
      </c>
      <c r="G1090" s="28" t="s">
        <v>514</v>
      </c>
      <c r="H1090" s="28" t="s">
        <v>1291</v>
      </c>
      <c r="I1090" s="28" t="s">
        <v>516</v>
      </c>
      <c r="J1090" s="28" t="s">
        <v>517</v>
      </c>
      <c r="K1090" s="28" t="s">
        <v>518</v>
      </c>
      <c r="L1090" s="28" t="s">
        <v>1097</v>
      </c>
      <c r="M1090" s="28" t="s">
        <v>520</v>
      </c>
      <c r="N1090" s="28" t="s">
        <v>557</v>
      </c>
      <c r="O1090" s="28" t="s">
        <v>559</v>
      </c>
      <c r="S1090" s="28" t="s">
        <v>1581</v>
      </c>
      <c r="T1090" s="28" t="s">
        <v>1098</v>
      </c>
      <c r="U1090" s="28" t="s">
        <v>1098</v>
      </c>
      <c r="V1090" s="28" t="s">
        <v>517</v>
      </c>
      <c r="W1090" s="28" t="s">
        <v>4477</v>
      </c>
      <c r="Z1090" s="118" t="s">
        <v>563</v>
      </c>
      <c r="AA1090" s="118"/>
      <c r="AB1090" s="118" t="s">
        <v>527</v>
      </c>
      <c r="AD1090" s="28" t="s">
        <v>528</v>
      </c>
      <c r="AF1090" s="117" t="s">
        <v>4476</v>
      </c>
      <c r="AG1090" s="28" t="s">
        <v>563</v>
      </c>
      <c r="AK1090" s="60" t="s">
        <v>2927</v>
      </c>
      <c r="AL1090" s="117">
        <f>1/COUNTIF(Tableau6[LAT],B1090)</f>
        <v>0.16666666666666666</v>
      </c>
      <c r="AM1090" s="60" t="b">
        <f t="shared" si="122"/>
        <v>0</v>
      </c>
      <c r="AN1090" s="60" t="b">
        <f t="shared" si="123"/>
        <v>0</v>
      </c>
      <c r="AO1090" s="60" t="b">
        <f t="shared" si="124"/>
        <v>0</v>
      </c>
      <c r="AP1090" s="60" t="b">
        <f t="shared" si="125"/>
        <v>0</v>
      </c>
      <c r="AQ1090" s="60" t="b">
        <f t="shared" si="126"/>
        <v>0</v>
      </c>
      <c r="AR1090" s="60" t="str">
        <f t="shared" si="127"/>
        <v>No</v>
      </c>
      <c r="AS1090" s="60" t="str">
        <f t="shared" si="128"/>
        <v>No</v>
      </c>
    </row>
    <row r="1091" spans="1:45" ht="15" hidden="1">
      <c r="A1091" s="103">
        <v>45244</v>
      </c>
      <c r="B1091" s="117" t="s">
        <v>4466</v>
      </c>
      <c r="C1091" s="28" t="s">
        <v>859</v>
      </c>
      <c r="D1091" s="28" t="s">
        <v>4478</v>
      </c>
      <c r="F1091" s="28" t="s">
        <v>4474</v>
      </c>
      <c r="G1091" s="28" t="s">
        <v>514</v>
      </c>
      <c r="H1091" s="28" t="s">
        <v>1291</v>
      </c>
      <c r="I1091" s="28" t="s">
        <v>516</v>
      </c>
      <c r="J1091" s="28" t="s">
        <v>517</v>
      </c>
      <c r="K1091" s="28" t="s">
        <v>518</v>
      </c>
      <c r="L1091" s="28" t="s">
        <v>1097</v>
      </c>
      <c r="M1091" s="28" t="s">
        <v>520</v>
      </c>
      <c r="N1091" s="28" t="s">
        <v>557</v>
      </c>
      <c r="O1091" s="28" t="s">
        <v>559</v>
      </c>
      <c r="S1091" s="28" t="s">
        <v>1581</v>
      </c>
      <c r="T1091" s="28" t="s">
        <v>1098</v>
      </c>
      <c r="U1091" s="28" t="s">
        <v>1098</v>
      </c>
      <c r="V1091" s="28" t="s">
        <v>517</v>
      </c>
      <c r="W1091" s="28" t="s">
        <v>4479</v>
      </c>
      <c r="Z1091" s="118" t="s">
        <v>563</v>
      </c>
      <c r="AA1091" s="118"/>
      <c r="AB1091" s="118" t="s">
        <v>527</v>
      </c>
      <c r="AD1091" s="28" t="s">
        <v>528</v>
      </c>
      <c r="AF1091" s="117" t="s">
        <v>4478</v>
      </c>
      <c r="AG1091" s="28" t="s">
        <v>563</v>
      </c>
      <c r="AK1091" s="60" t="s">
        <v>2927</v>
      </c>
      <c r="AL1091" s="117">
        <f>1/COUNTIF(Tableau6[LAT],B1091)</f>
        <v>0.16666666666666666</v>
      </c>
      <c r="AM1091" s="60" t="b">
        <f t="shared" si="122"/>
        <v>0</v>
      </c>
      <c r="AN1091" s="60" t="b">
        <f t="shared" si="123"/>
        <v>0</v>
      </c>
      <c r="AO1091" s="60" t="b">
        <f t="shared" si="124"/>
        <v>0</v>
      </c>
      <c r="AP1091" s="60" t="b">
        <f t="shared" si="125"/>
        <v>0</v>
      </c>
      <c r="AQ1091" s="60" t="b">
        <f t="shared" si="126"/>
        <v>0</v>
      </c>
      <c r="AR1091" s="60" t="str">
        <f t="shared" si="127"/>
        <v>No</v>
      </c>
      <c r="AS1091" s="60" t="str">
        <f t="shared" si="128"/>
        <v>No</v>
      </c>
    </row>
    <row r="1092" spans="1:45" ht="15" hidden="1">
      <c r="A1092" s="103">
        <v>45244</v>
      </c>
      <c r="B1092" s="117" t="s">
        <v>4466</v>
      </c>
      <c r="C1092" s="28" t="s">
        <v>861</v>
      </c>
      <c r="D1092" s="28" t="s">
        <v>4480</v>
      </c>
      <c r="F1092" s="28" t="s">
        <v>4474</v>
      </c>
      <c r="G1092" s="28" t="s">
        <v>514</v>
      </c>
      <c r="H1092" s="28" t="s">
        <v>1291</v>
      </c>
      <c r="I1092" s="28" t="s">
        <v>516</v>
      </c>
      <c r="J1092" s="28" t="s">
        <v>517</v>
      </c>
      <c r="K1092" s="28" t="s">
        <v>518</v>
      </c>
      <c r="L1092" s="28" t="s">
        <v>1097</v>
      </c>
      <c r="M1092" s="28" t="s">
        <v>520</v>
      </c>
      <c r="N1092" s="28" t="s">
        <v>557</v>
      </c>
      <c r="O1092" s="28" t="s">
        <v>559</v>
      </c>
      <c r="S1092" s="28" t="s">
        <v>1581</v>
      </c>
      <c r="T1092" s="28" t="s">
        <v>1098</v>
      </c>
      <c r="U1092" s="28" t="s">
        <v>1098</v>
      </c>
      <c r="V1092" s="28" t="s">
        <v>517</v>
      </c>
      <c r="W1092" s="28" t="s">
        <v>992</v>
      </c>
      <c r="Z1092" s="118" t="s">
        <v>563</v>
      </c>
      <c r="AA1092" s="118"/>
      <c r="AB1092" s="118" t="s">
        <v>527</v>
      </c>
      <c r="AD1092" s="28" t="s">
        <v>528</v>
      </c>
      <c r="AF1092" s="117" t="s">
        <v>4480</v>
      </c>
      <c r="AG1092" s="28" t="s">
        <v>563</v>
      </c>
      <c r="AK1092" s="60" t="s">
        <v>2927</v>
      </c>
      <c r="AL1092" s="117">
        <f>1/COUNTIF(Tableau6[LAT],B1092)</f>
        <v>0.16666666666666666</v>
      </c>
      <c r="AM1092" s="60" t="b">
        <f t="shared" si="122"/>
        <v>0</v>
      </c>
      <c r="AN1092" s="60" t="b">
        <f t="shared" si="123"/>
        <v>0</v>
      </c>
      <c r="AO1092" s="60" t="b">
        <f t="shared" si="124"/>
        <v>0</v>
      </c>
      <c r="AP1092" s="60" t="b">
        <f t="shared" si="125"/>
        <v>0</v>
      </c>
      <c r="AQ1092" s="60" t="b">
        <f t="shared" si="126"/>
        <v>0</v>
      </c>
      <c r="AR1092" s="60" t="str">
        <f t="shared" si="127"/>
        <v>No</v>
      </c>
      <c r="AS1092" s="60" t="str">
        <f t="shared" si="128"/>
        <v>No</v>
      </c>
    </row>
    <row r="1093" spans="1:45" ht="15" hidden="1">
      <c r="A1093" s="103">
        <v>45244</v>
      </c>
      <c r="B1093" s="117" t="s">
        <v>4481</v>
      </c>
      <c r="C1093" s="28" t="s">
        <v>511</v>
      </c>
      <c r="D1093" s="28" t="s">
        <v>4482</v>
      </c>
      <c r="F1093" s="28" t="s">
        <v>4483</v>
      </c>
      <c r="G1093" s="28" t="s">
        <v>514</v>
      </c>
      <c r="H1093" s="28" t="s">
        <v>4484</v>
      </c>
      <c r="I1093" s="28" t="s">
        <v>516</v>
      </c>
      <c r="J1093" s="28" t="s">
        <v>517</v>
      </c>
      <c r="K1093" s="28" t="s">
        <v>518</v>
      </c>
      <c r="L1093" s="28" t="s">
        <v>1097</v>
      </c>
      <c r="M1093" s="28" t="s">
        <v>605</v>
      </c>
      <c r="N1093" s="28" t="s">
        <v>544</v>
      </c>
      <c r="O1093" s="28" t="s">
        <v>559</v>
      </c>
      <c r="S1093" s="28" t="s">
        <v>991</v>
      </c>
      <c r="T1093" s="28" t="s">
        <v>1098</v>
      </c>
      <c r="U1093" s="28" t="s">
        <v>1098</v>
      </c>
      <c r="V1093" s="28" t="s">
        <v>517</v>
      </c>
      <c r="W1093" s="28" t="s">
        <v>4485</v>
      </c>
      <c r="Z1093" s="118" t="s">
        <v>563</v>
      </c>
      <c r="AA1093" s="118"/>
      <c r="AB1093" s="118" t="s">
        <v>527</v>
      </c>
      <c r="AD1093" s="28" t="s">
        <v>528</v>
      </c>
      <c r="AF1093" s="117" t="s">
        <v>4482</v>
      </c>
      <c r="AG1093" s="28" t="s">
        <v>563</v>
      </c>
      <c r="AK1093" s="60" t="s">
        <v>2927</v>
      </c>
      <c r="AL1093" s="117">
        <f>1/COUNTIF(Tableau6[LAT],B1093)</f>
        <v>0.33333333333333331</v>
      </c>
      <c r="AM1093" s="60" t="b">
        <f t="shared" si="122"/>
        <v>0</v>
      </c>
      <c r="AN1093" s="60" t="b">
        <f t="shared" si="123"/>
        <v>0</v>
      </c>
      <c r="AO1093" s="60" t="b">
        <f t="shared" si="124"/>
        <v>0</v>
      </c>
      <c r="AP1093" s="60" t="b">
        <f t="shared" si="125"/>
        <v>0</v>
      </c>
      <c r="AQ1093" s="60" t="b">
        <f t="shared" si="126"/>
        <v>0</v>
      </c>
      <c r="AR1093" s="60" t="str">
        <f t="shared" si="127"/>
        <v>No</v>
      </c>
      <c r="AS1093" s="60" t="str">
        <f t="shared" si="128"/>
        <v>No</v>
      </c>
    </row>
    <row r="1094" spans="1:45" ht="15" hidden="1">
      <c r="A1094" s="103">
        <v>45244</v>
      </c>
      <c r="B1094" s="117" t="s">
        <v>4481</v>
      </c>
      <c r="C1094" s="28" t="s">
        <v>548</v>
      </c>
      <c r="D1094" s="28" t="s">
        <v>4486</v>
      </c>
      <c r="E1094" s="28" t="s">
        <v>3214</v>
      </c>
      <c r="F1094" s="28" t="s">
        <v>4483</v>
      </c>
      <c r="G1094" s="28" t="s">
        <v>514</v>
      </c>
      <c r="H1094" s="28" t="s">
        <v>4484</v>
      </c>
      <c r="I1094" s="28" t="s">
        <v>516</v>
      </c>
      <c r="J1094" s="28" t="s">
        <v>517</v>
      </c>
      <c r="K1094" s="28" t="s">
        <v>518</v>
      </c>
      <c r="L1094" s="28" t="s">
        <v>1097</v>
      </c>
      <c r="M1094" s="28" t="s">
        <v>605</v>
      </c>
      <c r="N1094" s="28" t="s">
        <v>544</v>
      </c>
      <c r="O1094" s="28" t="s">
        <v>559</v>
      </c>
      <c r="S1094" s="28" t="s">
        <v>991</v>
      </c>
      <c r="T1094" s="28" t="s">
        <v>1098</v>
      </c>
      <c r="U1094" s="28" t="s">
        <v>1098</v>
      </c>
      <c r="V1094" s="28" t="s">
        <v>517</v>
      </c>
      <c r="W1094" s="28" t="s">
        <v>3215</v>
      </c>
      <c r="X1094" s="28" t="s">
        <v>670</v>
      </c>
      <c r="Z1094" s="118" t="s">
        <v>563</v>
      </c>
      <c r="AA1094" s="118"/>
      <c r="AB1094" s="118" t="s">
        <v>527</v>
      </c>
      <c r="AD1094" s="28" t="s">
        <v>528</v>
      </c>
      <c r="AF1094" s="117" t="s">
        <v>4482</v>
      </c>
      <c r="AG1094" s="28" t="s">
        <v>563</v>
      </c>
      <c r="AK1094" s="60" t="s">
        <v>2927</v>
      </c>
      <c r="AL1094" s="117">
        <f>1/COUNTIF(Tableau6[LAT],B1094)</f>
        <v>0.33333333333333331</v>
      </c>
      <c r="AM1094" s="60" t="b">
        <f t="shared" si="122"/>
        <v>0</v>
      </c>
      <c r="AN1094" s="60" t="b">
        <f t="shared" si="123"/>
        <v>0</v>
      </c>
      <c r="AO1094" s="60" t="b">
        <f t="shared" si="124"/>
        <v>0</v>
      </c>
      <c r="AP1094" s="60" t="b">
        <f t="shared" si="125"/>
        <v>0</v>
      </c>
      <c r="AQ1094" s="60" t="b">
        <f t="shared" si="126"/>
        <v>0</v>
      </c>
      <c r="AR1094" s="60" t="str">
        <f t="shared" si="127"/>
        <v>No</v>
      </c>
      <c r="AS1094" s="60" t="str">
        <f t="shared" si="128"/>
        <v>No</v>
      </c>
    </row>
    <row r="1095" spans="1:45" ht="15" hidden="1">
      <c r="A1095" s="103">
        <v>45244</v>
      </c>
      <c r="B1095" s="117" t="s">
        <v>4481</v>
      </c>
      <c r="C1095" s="28" t="s">
        <v>612</v>
      </c>
      <c r="D1095" s="28" t="s">
        <v>4487</v>
      </c>
      <c r="E1095" s="28" t="s">
        <v>3210</v>
      </c>
      <c r="F1095" s="28" t="s">
        <v>4483</v>
      </c>
      <c r="G1095" s="28" t="s">
        <v>514</v>
      </c>
      <c r="H1095" s="28" t="s">
        <v>4484</v>
      </c>
      <c r="I1095" s="28" t="s">
        <v>516</v>
      </c>
      <c r="J1095" s="28" t="s">
        <v>517</v>
      </c>
      <c r="K1095" s="28" t="s">
        <v>518</v>
      </c>
      <c r="L1095" s="28" t="s">
        <v>1097</v>
      </c>
      <c r="M1095" s="28" t="s">
        <v>605</v>
      </c>
      <c r="N1095" s="28" t="s">
        <v>544</v>
      </c>
      <c r="O1095" s="28" t="s">
        <v>559</v>
      </c>
      <c r="S1095" s="28" t="s">
        <v>991</v>
      </c>
      <c r="T1095" s="28" t="s">
        <v>1098</v>
      </c>
      <c r="U1095" s="28" t="s">
        <v>1098</v>
      </c>
      <c r="V1095" s="28" t="s">
        <v>517</v>
      </c>
      <c r="W1095" s="28" t="s">
        <v>3212</v>
      </c>
      <c r="X1095" s="28" t="s">
        <v>1071</v>
      </c>
      <c r="Z1095" s="118" t="s">
        <v>563</v>
      </c>
      <c r="AA1095" s="118"/>
      <c r="AB1095" s="118" t="s">
        <v>527</v>
      </c>
      <c r="AD1095" s="28" t="s">
        <v>528</v>
      </c>
      <c r="AF1095" s="117" t="s">
        <v>4482</v>
      </c>
      <c r="AG1095" s="28" t="s">
        <v>563</v>
      </c>
      <c r="AK1095" s="60" t="s">
        <v>2927</v>
      </c>
      <c r="AL1095" s="117">
        <f>1/COUNTIF(Tableau6[LAT],B1095)</f>
        <v>0.33333333333333331</v>
      </c>
      <c r="AM1095" s="60" t="b">
        <f t="shared" si="122"/>
        <v>0</v>
      </c>
      <c r="AN1095" s="60" t="b">
        <f t="shared" si="123"/>
        <v>0</v>
      </c>
      <c r="AO1095" s="60" t="b">
        <f t="shared" si="124"/>
        <v>0</v>
      </c>
      <c r="AP1095" s="60" t="b">
        <f t="shared" si="125"/>
        <v>0</v>
      </c>
      <c r="AQ1095" s="60" t="b">
        <f t="shared" si="126"/>
        <v>0</v>
      </c>
      <c r="AR1095" s="60" t="str">
        <f t="shared" si="127"/>
        <v>No</v>
      </c>
      <c r="AS1095" s="60" t="str">
        <f t="shared" si="128"/>
        <v>No</v>
      </c>
    </row>
    <row r="1096" spans="1:45" ht="15" hidden="1">
      <c r="A1096" s="103">
        <v>45244</v>
      </c>
      <c r="B1096" s="117" t="s">
        <v>4488</v>
      </c>
      <c r="C1096" s="28" t="s">
        <v>511</v>
      </c>
      <c r="D1096" s="28" t="s">
        <v>4489</v>
      </c>
      <c r="F1096" s="28" t="s">
        <v>1267</v>
      </c>
      <c r="G1096" s="28" t="s">
        <v>514</v>
      </c>
      <c r="H1096" s="28" t="s">
        <v>980</v>
      </c>
      <c r="I1096" s="28" t="s">
        <v>516</v>
      </c>
      <c r="J1096" s="28" t="s">
        <v>517</v>
      </c>
      <c r="K1096" s="28" t="s">
        <v>518</v>
      </c>
      <c r="L1096" s="28" t="s">
        <v>588</v>
      </c>
      <c r="M1096" s="28" t="s">
        <v>605</v>
      </c>
      <c r="N1096" s="28" t="s">
        <v>1492</v>
      </c>
      <c r="O1096" s="28" t="s">
        <v>522</v>
      </c>
      <c r="S1096" s="28" t="s">
        <v>1958</v>
      </c>
      <c r="T1096" s="28" t="s">
        <v>590</v>
      </c>
      <c r="U1096" s="28" t="s">
        <v>590</v>
      </c>
      <c r="V1096" s="28" t="s">
        <v>517</v>
      </c>
      <c r="W1096" s="28" t="s">
        <v>4490</v>
      </c>
      <c r="Z1096" s="118" t="s">
        <v>563</v>
      </c>
      <c r="AA1096" s="118"/>
      <c r="AB1096" s="118" t="s">
        <v>527</v>
      </c>
      <c r="AD1096" s="28" t="s">
        <v>528</v>
      </c>
      <c r="AF1096" s="117" t="s">
        <v>4489</v>
      </c>
      <c r="AG1096" s="28" t="s">
        <v>563</v>
      </c>
      <c r="AK1096" s="60" t="s">
        <v>2927</v>
      </c>
      <c r="AL1096" s="117">
        <f>1/COUNTIF(Tableau6[LAT],B1096)</f>
        <v>1</v>
      </c>
      <c r="AM1096" s="60" t="b">
        <f t="shared" si="122"/>
        <v>0</v>
      </c>
      <c r="AN1096" s="60" t="b">
        <f t="shared" si="123"/>
        <v>0</v>
      </c>
      <c r="AO1096" s="60" t="b">
        <f t="shared" si="124"/>
        <v>0</v>
      </c>
      <c r="AP1096" s="60" t="b">
        <f t="shared" si="125"/>
        <v>0</v>
      </c>
      <c r="AQ1096" s="60" t="b">
        <f t="shared" si="126"/>
        <v>0</v>
      </c>
      <c r="AR1096" s="60" t="str">
        <f t="shared" si="127"/>
        <v>No</v>
      </c>
      <c r="AS1096" s="60" t="str">
        <f t="shared" si="128"/>
        <v>No</v>
      </c>
    </row>
    <row r="1097" spans="1:45" ht="15" hidden="1">
      <c r="A1097" s="103">
        <v>45244</v>
      </c>
      <c r="B1097" s="117" t="s">
        <v>4491</v>
      </c>
      <c r="C1097" s="28" t="s">
        <v>511</v>
      </c>
      <c r="D1097" s="28" t="s">
        <v>4492</v>
      </c>
      <c r="F1097" s="28" t="s">
        <v>4493</v>
      </c>
      <c r="G1097" s="28" t="s">
        <v>514</v>
      </c>
      <c r="H1097" s="28" t="s">
        <v>1171</v>
      </c>
      <c r="I1097" s="28" t="s">
        <v>516</v>
      </c>
      <c r="J1097" s="28" t="s">
        <v>517</v>
      </c>
      <c r="K1097" s="28" t="s">
        <v>518</v>
      </c>
      <c r="L1097" s="28" t="s">
        <v>3553</v>
      </c>
      <c r="M1097" s="28" t="s">
        <v>535</v>
      </c>
      <c r="N1097" s="28" t="s">
        <v>572</v>
      </c>
      <c r="O1097" s="28" t="s">
        <v>521</v>
      </c>
      <c r="P1097" s="28" t="s">
        <v>544</v>
      </c>
      <c r="Q1097" s="28" t="s">
        <v>522</v>
      </c>
      <c r="S1097" s="28" t="s">
        <v>2943</v>
      </c>
      <c r="T1097" s="28" t="s">
        <v>1366</v>
      </c>
      <c r="U1097" s="28" t="s">
        <v>1366</v>
      </c>
      <c r="V1097" s="28" t="s">
        <v>517</v>
      </c>
      <c r="W1097" s="28" t="s">
        <v>4494</v>
      </c>
      <c r="Z1097" s="118" t="s">
        <v>563</v>
      </c>
      <c r="AA1097" s="118"/>
      <c r="AB1097" s="118" t="s">
        <v>527</v>
      </c>
      <c r="AD1097" s="28" t="s">
        <v>528</v>
      </c>
      <c r="AF1097" s="117" t="s">
        <v>4492</v>
      </c>
      <c r="AG1097" s="28" t="s">
        <v>563</v>
      </c>
      <c r="AK1097" s="60" t="s">
        <v>2927</v>
      </c>
      <c r="AL1097" s="117">
        <f>1/COUNTIF(Tableau6[LAT],B1097)</f>
        <v>1</v>
      </c>
      <c r="AM1097" s="60" t="b">
        <f t="shared" si="122"/>
        <v>0</v>
      </c>
      <c r="AN1097" s="60" t="b">
        <f t="shared" si="123"/>
        <v>0</v>
      </c>
      <c r="AO1097" s="60" t="b">
        <f t="shared" si="124"/>
        <v>0</v>
      </c>
      <c r="AP1097" s="60" t="b">
        <f t="shared" si="125"/>
        <v>0</v>
      </c>
      <c r="AQ1097" s="60" t="b">
        <f t="shared" si="126"/>
        <v>0</v>
      </c>
      <c r="AR1097" s="60" t="str">
        <f t="shared" si="127"/>
        <v>No</v>
      </c>
      <c r="AS1097" s="60" t="str">
        <f t="shared" si="128"/>
        <v>No</v>
      </c>
    </row>
    <row r="1098" spans="1:45" ht="15" hidden="1">
      <c r="A1098" s="103">
        <v>45244</v>
      </c>
      <c r="B1098" s="117" t="s">
        <v>4495</v>
      </c>
      <c r="C1098" s="28" t="s">
        <v>511</v>
      </c>
      <c r="D1098" s="28" t="s">
        <v>4496</v>
      </c>
      <c r="F1098" s="28" t="s">
        <v>4497</v>
      </c>
      <c r="G1098" s="28" t="s">
        <v>514</v>
      </c>
      <c r="H1098" s="28" t="s">
        <v>1693</v>
      </c>
      <c r="I1098" s="28" t="s">
        <v>516</v>
      </c>
      <c r="J1098" s="28" t="s">
        <v>517</v>
      </c>
      <c r="K1098" s="28" t="s">
        <v>518</v>
      </c>
      <c r="L1098" s="28" t="s">
        <v>4498</v>
      </c>
      <c r="M1098" s="28" t="s">
        <v>535</v>
      </c>
      <c r="N1098" s="28" t="s">
        <v>521</v>
      </c>
      <c r="O1098" s="28" t="s">
        <v>934</v>
      </c>
      <c r="P1098" s="28" t="s">
        <v>522</v>
      </c>
      <c r="S1098" s="28" t="s">
        <v>2943</v>
      </c>
      <c r="T1098" s="28" t="s">
        <v>606</v>
      </c>
      <c r="U1098" s="28" t="s">
        <v>606</v>
      </c>
      <c r="V1098" s="28" t="s">
        <v>517</v>
      </c>
      <c r="W1098" s="28" t="s">
        <v>4499</v>
      </c>
      <c r="Z1098" s="118" t="s">
        <v>563</v>
      </c>
      <c r="AA1098" s="118"/>
      <c r="AB1098" s="118" t="s">
        <v>527</v>
      </c>
      <c r="AD1098" s="28" t="s">
        <v>528</v>
      </c>
      <c r="AF1098" s="117" t="s">
        <v>4496</v>
      </c>
      <c r="AG1098" s="28" t="s">
        <v>563</v>
      </c>
      <c r="AK1098" s="60" t="s">
        <v>2927</v>
      </c>
      <c r="AL1098" s="117">
        <f>1/COUNTIF(Tableau6[LAT],B1098)</f>
        <v>1</v>
      </c>
      <c r="AM1098" s="60" t="b">
        <f t="shared" si="122"/>
        <v>0</v>
      </c>
      <c r="AN1098" s="60" t="b">
        <f t="shared" si="123"/>
        <v>0</v>
      </c>
      <c r="AO1098" s="60" t="b">
        <f t="shared" si="124"/>
        <v>0</v>
      </c>
      <c r="AP1098" s="60" t="b">
        <f t="shared" si="125"/>
        <v>0</v>
      </c>
      <c r="AQ1098" s="60" t="b">
        <f t="shared" si="126"/>
        <v>0</v>
      </c>
      <c r="AR1098" s="60" t="str">
        <f t="shared" si="127"/>
        <v>No</v>
      </c>
      <c r="AS1098" s="60" t="str">
        <f t="shared" si="128"/>
        <v>No</v>
      </c>
    </row>
    <row r="1099" spans="1:45" ht="15" hidden="1">
      <c r="A1099" s="103">
        <v>45244</v>
      </c>
      <c r="B1099" s="117" t="s">
        <v>4500</v>
      </c>
      <c r="C1099" s="28" t="s">
        <v>511</v>
      </c>
      <c r="D1099" s="28" t="s">
        <v>4501</v>
      </c>
      <c r="F1099" s="28" t="s">
        <v>696</v>
      </c>
      <c r="G1099" s="28" t="s">
        <v>2895</v>
      </c>
      <c r="H1099" s="28" t="s">
        <v>2017</v>
      </c>
      <c r="I1099" s="28" t="s">
        <v>516</v>
      </c>
      <c r="J1099" s="28" t="s">
        <v>517</v>
      </c>
      <c r="K1099" s="28" t="s">
        <v>518</v>
      </c>
      <c r="L1099" s="28" t="s">
        <v>3034</v>
      </c>
      <c r="M1099" s="28" t="s">
        <v>520</v>
      </c>
      <c r="S1099" s="28" t="s">
        <v>589</v>
      </c>
      <c r="T1099" s="28" t="s">
        <v>3035</v>
      </c>
      <c r="U1099" s="28" t="s">
        <v>3035</v>
      </c>
      <c r="V1099" s="28" t="s">
        <v>517</v>
      </c>
      <c r="W1099" s="28" t="s">
        <v>4502</v>
      </c>
      <c r="Z1099" s="118" t="s">
        <v>563</v>
      </c>
      <c r="AA1099" s="118"/>
      <c r="AB1099" s="118" t="s">
        <v>527</v>
      </c>
      <c r="AD1099" s="28" t="s">
        <v>528</v>
      </c>
      <c r="AF1099" s="117" t="s">
        <v>4501</v>
      </c>
      <c r="AG1099" s="28" t="s">
        <v>563</v>
      </c>
      <c r="AK1099" s="60" t="s">
        <v>2927</v>
      </c>
      <c r="AL1099" s="117">
        <f>1/COUNTIF(Tableau6[LAT],B1099)</f>
        <v>1</v>
      </c>
      <c r="AM1099" s="60" t="b">
        <f t="shared" si="122"/>
        <v>0</v>
      </c>
      <c r="AN1099" s="60" t="b">
        <f t="shared" si="123"/>
        <v>0</v>
      </c>
      <c r="AO1099" s="60" t="b">
        <f t="shared" si="124"/>
        <v>0</v>
      </c>
      <c r="AP1099" s="60" t="b">
        <f t="shared" si="125"/>
        <v>0</v>
      </c>
      <c r="AQ1099" s="60" t="b">
        <f t="shared" si="126"/>
        <v>0</v>
      </c>
      <c r="AR1099" s="60" t="str">
        <f t="shared" si="127"/>
        <v>No</v>
      </c>
      <c r="AS1099" s="60" t="str">
        <f t="shared" si="128"/>
        <v>No</v>
      </c>
    </row>
    <row r="1100" spans="1:45" ht="15" hidden="1">
      <c r="A1100" s="103">
        <v>45244</v>
      </c>
      <c r="B1100" s="117" t="s">
        <v>4503</v>
      </c>
      <c r="C1100" s="28" t="s">
        <v>511</v>
      </c>
      <c r="D1100" s="28" t="s">
        <v>4504</v>
      </c>
      <c r="F1100" s="28" t="s">
        <v>3180</v>
      </c>
      <c r="G1100" s="28" t="s">
        <v>514</v>
      </c>
      <c r="H1100" s="28" t="s">
        <v>1822</v>
      </c>
      <c r="I1100" s="28" t="s">
        <v>517</v>
      </c>
      <c r="J1100" s="28" t="s">
        <v>517</v>
      </c>
      <c r="K1100" s="28" t="s">
        <v>518</v>
      </c>
      <c r="L1100" s="28" t="s">
        <v>4505</v>
      </c>
      <c r="M1100" s="28" t="s">
        <v>535</v>
      </c>
      <c r="N1100" s="28" t="s">
        <v>521</v>
      </c>
      <c r="O1100" s="28" t="s">
        <v>1523</v>
      </c>
      <c r="S1100" s="28" t="s">
        <v>573</v>
      </c>
      <c r="T1100" s="28" t="s">
        <v>1934</v>
      </c>
      <c r="U1100" s="28" t="s">
        <v>1934</v>
      </c>
      <c r="V1100" s="28" t="s">
        <v>517</v>
      </c>
      <c r="W1100" s="28" t="s">
        <v>1442</v>
      </c>
      <c r="Z1100" s="118" t="s">
        <v>563</v>
      </c>
      <c r="AA1100" s="118"/>
      <c r="AB1100" s="73" t="s">
        <v>4506</v>
      </c>
      <c r="AD1100" s="28" t="s">
        <v>954</v>
      </c>
      <c r="AF1100" s="117" t="s">
        <v>4504</v>
      </c>
      <c r="AG1100" s="28" t="s">
        <v>563</v>
      </c>
      <c r="AK1100" s="60" t="s">
        <v>2927</v>
      </c>
      <c r="AL1100" s="117">
        <f>1/COUNTIF(Tableau6[LAT],B1100)</f>
        <v>1</v>
      </c>
      <c r="AM1100" s="60" t="b">
        <f t="shared" si="122"/>
        <v>0</v>
      </c>
      <c r="AN1100" s="60" t="b">
        <f t="shared" si="123"/>
        <v>0</v>
      </c>
      <c r="AO1100" s="60" t="b">
        <f t="shared" si="124"/>
        <v>0</v>
      </c>
      <c r="AP1100" s="60" t="b">
        <f t="shared" si="125"/>
        <v>0</v>
      </c>
      <c r="AQ1100" s="60" t="b">
        <f t="shared" si="126"/>
        <v>0</v>
      </c>
      <c r="AR1100" s="60" t="str">
        <f t="shared" si="127"/>
        <v>No</v>
      </c>
      <c r="AS1100" s="60" t="str">
        <f t="shared" si="128"/>
        <v>No</v>
      </c>
    </row>
    <row r="1101" spans="1:45" ht="15" hidden="1">
      <c r="A1101" s="103">
        <v>45244</v>
      </c>
      <c r="B1101" s="117" t="s">
        <v>4507</v>
      </c>
      <c r="C1101" s="28" t="s">
        <v>511</v>
      </c>
      <c r="D1101" s="28" t="s">
        <v>4508</v>
      </c>
      <c r="F1101" s="28" t="s">
        <v>4509</v>
      </c>
      <c r="G1101" s="28" t="s">
        <v>514</v>
      </c>
      <c r="H1101" s="28" t="s">
        <v>2741</v>
      </c>
      <c r="I1101" s="28" t="s">
        <v>517</v>
      </c>
      <c r="J1101" s="28" t="s">
        <v>517</v>
      </c>
      <c r="K1101" s="28" t="s">
        <v>518</v>
      </c>
      <c r="L1101" s="28" t="s">
        <v>2925</v>
      </c>
      <c r="M1101" s="28" t="s">
        <v>520</v>
      </c>
      <c r="N1101" s="28" t="s">
        <v>544</v>
      </c>
      <c r="O1101" s="28" t="s">
        <v>626</v>
      </c>
      <c r="S1101" s="28" t="s">
        <v>573</v>
      </c>
      <c r="T1101" s="28" t="s">
        <v>1042</v>
      </c>
      <c r="U1101" s="28" t="s">
        <v>1042</v>
      </c>
      <c r="V1101" s="28" t="s">
        <v>517</v>
      </c>
      <c r="W1101" s="28" t="s">
        <v>4510</v>
      </c>
      <c r="Z1101" s="118" t="s">
        <v>563</v>
      </c>
      <c r="AA1101" s="118"/>
      <c r="AB1101" s="118" t="s">
        <v>4511</v>
      </c>
      <c r="AD1101" s="28" t="s">
        <v>954</v>
      </c>
      <c r="AF1101" s="117" t="s">
        <v>4508</v>
      </c>
      <c r="AG1101" s="28" t="s">
        <v>563</v>
      </c>
      <c r="AK1101" s="60" t="s">
        <v>2927</v>
      </c>
      <c r="AL1101" s="117">
        <f>1/COUNTIF(Tableau6[LAT],B1101)</f>
        <v>0.5</v>
      </c>
      <c r="AM1101" s="60" t="b">
        <f t="shared" si="122"/>
        <v>0</v>
      </c>
      <c r="AN1101" s="60" t="b">
        <f t="shared" si="123"/>
        <v>0</v>
      </c>
      <c r="AO1101" s="60" t="b">
        <f t="shared" si="124"/>
        <v>0</v>
      </c>
      <c r="AP1101" s="60" t="b">
        <f t="shared" si="125"/>
        <v>0</v>
      </c>
      <c r="AQ1101" s="60" t="b">
        <f t="shared" si="126"/>
        <v>0</v>
      </c>
      <c r="AR1101" s="60" t="str">
        <f t="shared" si="127"/>
        <v>No</v>
      </c>
      <c r="AS1101" s="60" t="str">
        <f t="shared" si="128"/>
        <v>No</v>
      </c>
    </row>
    <row r="1102" spans="1:45" ht="15" hidden="1">
      <c r="A1102" s="103">
        <v>45244</v>
      </c>
      <c r="B1102" s="117" t="s">
        <v>4507</v>
      </c>
      <c r="C1102" s="28" t="s">
        <v>548</v>
      </c>
      <c r="D1102" s="28" t="s">
        <v>4512</v>
      </c>
      <c r="F1102" s="28" t="s">
        <v>4509</v>
      </c>
      <c r="G1102" s="28" t="s">
        <v>514</v>
      </c>
      <c r="H1102" s="28" t="s">
        <v>2741</v>
      </c>
      <c r="I1102" s="28" t="s">
        <v>517</v>
      </c>
      <c r="J1102" s="28" t="s">
        <v>517</v>
      </c>
      <c r="K1102" s="28" t="s">
        <v>518</v>
      </c>
      <c r="L1102" s="28" t="s">
        <v>2925</v>
      </c>
      <c r="M1102" s="28" t="s">
        <v>520</v>
      </c>
      <c r="N1102" s="28" t="s">
        <v>544</v>
      </c>
      <c r="O1102" s="28" t="s">
        <v>626</v>
      </c>
      <c r="S1102" s="28" t="s">
        <v>573</v>
      </c>
      <c r="T1102" s="28" t="s">
        <v>1042</v>
      </c>
      <c r="U1102" s="28" t="s">
        <v>1042</v>
      </c>
      <c r="V1102" s="28" t="s">
        <v>517</v>
      </c>
      <c r="W1102" s="28" t="s">
        <v>4513</v>
      </c>
      <c r="Z1102" s="118" t="s">
        <v>563</v>
      </c>
      <c r="AA1102" s="118"/>
      <c r="AB1102" s="118" t="s">
        <v>4511</v>
      </c>
      <c r="AD1102" s="28" t="s">
        <v>954</v>
      </c>
      <c r="AF1102" s="117" t="s">
        <v>4508</v>
      </c>
      <c r="AG1102" s="28" t="s">
        <v>563</v>
      </c>
      <c r="AK1102" s="60" t="s">
        <v>2927</v>
      </c>
      <c r="AL1102" s="117">
        <f>1/COUNTIF(Tableau6[LAT],B1102)</f>
        <v>0.5</v>
      </c>
      <c r="AM1102" s="60" t="b">
        <f t="shared" si="122"/>
        <v>0</v>
      </c>
      <c r="AN1102" s="60" t="b">
        <f t="shared" si="123"/>
        <v>0</v>
      </c>
      <c r="AO1102" s="60" t="b">
        <f t="shared" si="124"/>
        <v>0</v>
      </c>
      <c r="AP1102" s="60" t="b">
        <f t="shared" si="125"/>
        <v>0</v>
      </c>
      <c r="AQ1102" s="60" t="b">
        <f t="shared" si="126"/>
        <v>0</v>
      </c>
      <c r="AR1102" s="60" t="str">
        <f t="shared" si="127"/>
        <v>No</v>
      </c>
      <c r="AS1102" s="60" t="str">
        <f t="shared" si="128"/>
        <v>No</v>
      </c>
    </row>
    <row r="1103" spans="1:45" ht="15" hidden="1">
      <c r="A1103" s="103">
        <v>45244</v>
      </c>
      <c r="B1103" s="117" t="s">
        <v>4514</v>
      </c>
      <c r="C1103" s="28" t="s">
        <v>511</v>
      </c>
      <c r="D1103" s="28" t="s">
        <v>4515</v>
      </c>
      <c r="F1103" s="28" t="s">
        <v>4516</v>
      </c>
      <c r="G1103" s="28" t="s">
        <v>3055</v>
      </c>
      <c r="H1103" s="28" t="s">
        <v>1138</v>
      </c>
      <c r="I1103" s="28" t="s">
        <v>517</v>
      </c>
      <c r="J1103" s="28" t="s">
        <v>517</v>
      </c>
      <c r="K1103" s="28" t="s">
        <v>518</v>
      </c>
      <c r="L1103" s="28" t="s">
        <v>4043</v>
      </c>
      <c r="M1103" s="28" t="s">
        <v>535</v>
      </c>
      <c r="N1103" s="28" t="s">
        <v>619</v>
      </c>
      <c r="O1103" s="28" t="s">
        <v>557</v>
      </c>
      <c r="P1103" s="28" t="s">
        <v>934</v>
      </c>
      <c r="S1103" s="28" t="s">
        <v>573</v>
      </c>
      <c r="T1103" s="28" t="s">
        <v>2900</v>
      </c>
      <c r="U1103" s="28" t="s">
        <v>2406</v>
      </c>
      <c r="V1103" s="28" t="s">
        <v>517</v>
      </c>
      <c r="W1103" s="28" t="s">
        <v>4044</v>
      </c>
      <c r="Z1103" s="118" t="s">
        <v>563</v>
      </c>
      <c r="AA1103" s="118"/>
      <c r="AB1103" s="73" t="s">
        <v>4506</v>
      </c>
      <c r="AD1103" s="28" t="s">
        <v>954</v>
      </c>
      <c r="AF1103" s="117" t="s">
        <v>4515</v>
      </c>
      <c r="AG1103" s="28" t="s">
        <v>563</v>
      </c>
      <c r="AK1103" s="60" t="s">
        <v>2927</v>
      </c>
      <c r="AL1103" s="117">
        <f>1/COUNTIF(Tableau6[LAT],B1103)</f>
        <v>0.5</v>
      </c>
      <c r="AM1103" s="60" t="b">
        <f t="shared" si="122"/>
        <v>0</v>
      </c>
      <c r="AN1103" s="60" t="b">
        <f t="shared" si="123"/>
        <v>0</v>
      </c>
      <c r="AO1103" s="60" t="b">
        <f t="shared" si="124"/>
        <v>0</v>
      </c>
      <c r="AP1103" s="60" t="b">
        <f t="shared" si="125"/>
        <v>0</v>
      </c>
      <c r="AQ1103" s="60" t="b">
        <f t="shared" si="126"/>
        <v>0</v>
      </c>
      <c r="AR1103" s="60" t="str">
        <f t="shared" si="127"/>
        <v>No</v>
      </c>
      <c r="AS1103" s="60" t="str">
        <f t="shared" si="128"/>
        <v>No</v>
      </c>
    </row>
    <row r="1104" spans="1:45" ht="15" hidden="1">
      <c r="A1104" s="103">
        <v>45244</v>
      </c>
      <c r="B1104" s="117" t="s">
        <v>4514</v>
      </c>
      <c r="C1104" s="28" t="s">
        <v>548</v>
      </c>
      <c r="D1104" s="28" t="s">
        <v>4517</v>
      </c>
      <c r="F1104" s="28" t="s">
        <v>2613</v>
      </c>
      <c r="G1104" s="28" t="s">
        <v>514</v>
      </c>
      <c r="H1104" s="28" t="s">
        <v>2964</v>
      </c>
      <c r="I1104" s="28" t="s">
        <v>517</v>
      </c>
      <c r="J1104" s="28" t="s">
        <v>517</v>
      </c>
      <c r="K1104" s="28" t="s">
        <v>518</v>
      </c>
      <c r="L1104" s="28" t="s">
        <v>4043</v>
      </c>
      <c r="M1104" s="28" t="s">
        <v>535</v>
      </c>
      <c r="N1104" s="28" t="s">
        <v>1492</v>
      </c>
      <c r="O1104" s="28" t="s">
        <v>557</v>
      </c>
      <c r="P1104" s="28" t="s">
        <v>934</v>
      </c>
      <c r="S1104" s="28" t="s">
        <v>573</v>
      </c>
      <c r="T1104" s="28" t="s">
        <v>2900</v>
      </c>
      <c r="U1104" s="28" t="s">
        <v>2406</v>
      </c>
      <c r="V1104" s="28" t="s">
        <v>517</v>
      </c>
      <c r="W1104" s="28" t="s">
        <v>4044</v>
      </c>
      <c r="Z1104" s="118" t="s">
        <v>563</v>
      </c>
      <c r="AA1104" s="118"/>
      <c r="AB1104" s="73" t="s">
        <v>4506</v>
      </c>
      <c r="AD1104" s="28" t="s">
        <v>954</v>
      </c>
      <c r="AF1104" s="117" t="s">
        <v>4517</v>
      </c>
      <c r="AG1104" s="28" t="s">
        <v>563</v>
      </c>
      <c r="AK1104" s="60" t="s">
        <v>2927</v>
      </c>
      <c r="AL1104" s="117">
        <f>1/COUNTIF(Tableau6[LAT],B1104)</f>
        <v>0.5</v>
      </c>
      <c r="AM1104" s="60" t="b">
        <f t="shared" si="122"/>
        <v>0</v>
      </c>
      <c r="AN1104" s="60" t="b">
        <f t="shared" si="123"/>
        <v>0</v>
      </c>
      <c r="AO1104" s="60" t="b">
        <f t="shared" si="124"/>
        <v>0</v>
      </c>
      <c r="AP1104" s="60" t="b">
        <f t="shared" si="125"/>
        <v>0</v>
      </c>
      <c r="AQ1104" s="60" t="b">
        <f t="shared" si="126"/>
        <v>0</v>
      </c>
      <c r="AR1104" s="60" t="str">
        <f t="shared" si="127"/>
        <v>No</v>
      </c>
      <c r="AS1104" s="60" t="str">
        <f t="shared" si="128"/>
        <v>No</v>
      </c>
    </row>
    <row r="1105" spans="1:45" ht="15" hidden="1">
      <c r="A1105" s="103">
        <v>45244</v>
      </c>
      <c r="B1105" s="117" t="s">
        <v>4518</v>
      </c>
      <c r="C1105" s="28" t="s">
        <v>511</v>
      </c>
      <c r="D1105" s="28" t="s">
        <v>4519</v>
      </c>
      <c r="F1105" s="28" t="s">
        <v>2963</v>
      </c>
      <c r="G1105" s="28" t="s">
        <v>514</v>
      </c>
      <c r="H1105" s="28" t="s">
        <v>2832</v>
      </c>
      <c r="I1105" s="28" t="s">
        <v>517</v>
      </c>
      <c r="J1105" s="28" t="s">
        <v>517</v>
      </c>
      <c r="K1105" s="28" t="s">
        <v>518</v>
      </c>
      <c r="L1105" s="28" t="s">
        <v>2833</v>
      </c>
      <c r="M1105" s="28" t="s">
        <v>535</v>
      </c>
      <c r="N1105" s="28" t="s">
        <v>1492</v>
      </c>
      <c r="O1105" s="28" t="s">
        <v>521</v>
      </c>
      <c r="P1105" s="28" t="s">
        <v>934</v>
      </c>
      <c r="Q1105" s="28" t="s">
        <v>559</v>
      </c>
      <c r="S1105" s="28" t="s">
        <v>573</v>
      </c>
      <c r="T1105" s="28" t="s">
        <v>2834</v>
      </c>
      <c r="U1105" s="28" t="s">
        <v>2834</v>
      </c>
      <c r="V1105" s="28" t="s">
        <v>517</v>
      </c>
      <c r="W1105" s="28" t="s">
        <v>2835</v>
      </c>
      <c r="Z1105" s="118" t="s">
        <v>563</v>
      </c>
      <c r="AA1105" s="118"/>
      <c r="AB1105" s="73" t="s">
        <v>4506</v>
      </c>
      <c r="AD1105" s="28" t="s">
        <v>954</v>
      </c>
      <c r="AF1105" s="117" t="s">
        <v>4519</v>
      </c>
      <c r="AG1105" s="28" t="s">
        <v>563</v>
      </c>
      <c r="AK1105" s="60" t="s">
        <v>2927</v>
      </c>
      <c r="AL1105" s="117">
        <f>1/COUNTIF(Tableau6[LAT],B1105)</f>
        <v>0.5</v>
      </c>
      <c r="AM1105" s="60" t="b">
        <f t="shared" si="122"/>
        <v>0</v>
      </c>
      <c r="AN1105" s="60" t="b">
        <f t="shared" si="123"/>
        <v>0</v>
      </c>
      <c r="AO1105" s="60" t="b">
        <f t="shared" si="124"/>
        <v>0</v>
      </c>
      <c r="AP1105" s="60" t="b">
        <f t="shared" si="125"/>
        <v>0</v>
      </c>
      <c r="AQ1105" s="60" t="b">
        <f t="shared" si="126"/>
        <v>0</v>
      </c>
      <c r="AR1105" s="60" t="str">
        <f t="shared" si="127"/>
        <v>No</v>
      </c>
      <c r="AS1105" s="60" t="str">
        <f t="shared" si="128"/>
        <v>No</v>
      </c>
    </row>
    <row r="1106" spans="1:45" ht="15" hidden="1">
      <c r="A1106" s="103">
        <v>45244</v>
      </c>
      <c r="B1106" s="117" t="s">
        <v>4518</v>
      </c>
      <c r="C1106" s="28" t="s">
        <v>548</v>
      </c>
      <c r="D1106" s="28" t="s">
        <v>4520</v>
      </c>
      <c r="F1106" s="28" t="s">
        <v>3451</v>
      </c>
      <c r="G1106" s="28" t="s">
        <v>1077</v>
      </c>
      <c r="H1106" s="28" t="s">
        <v>725</v>
      </c>
      <c r="I1106" s="28" t="s">
        <v>517</v>
      </c>
      <c r="J1106" s="28" t="s">
        <v>517</v>
      </c>
      <c r="K1106" s="28" t="s">
        <v>518</v>
      </c>
      <c r="L1106" s="28" t="s">
        <v>2833</v>
      </c>
      <c r="M1106" s="28" t="s">
        <v>535</v>
      </c>
      <c r="N1106" s="28" t="s">
        <v>619</v>
      </c>
      <c r="O1106" s="28" t="s">
        <v>521</v>
      </c>
      <c r="P1106" s="28" t="s">
        <v>934</v>
      </c>
      <c r="S1106" s="28" t="s">
        <v>573</v>
      </c>
      <c r="T1106" s="28" t="s">
        <v>2834</v>
      </c>
      <c r="U1106" s="28" t="s">
        <v>2834</v>
      </c>
      <c r="V1106" s="28" t="s">
        <v>517</v>
      </c>
      <c r="W1106" s="28" t="s">
        <v>4521</v>
      </c>
      <c r="Z1106" s="118" t="s">
        <v>563</v>
      </c>
      <c r="AA1106" s="118"/>
      <c r="AB1106" s="73" t="s">
        <v>4506</v>
      </c>
      <c r="AD1106" s="28" t="s">
        <v>954</v>
      </c>
      <c r="AF1106" s="117" t="s">
        <v>4520</v>
      </c>
      <c r="AG1106" s="28" t="s">
        <v>563</v>
      </c>
      <c r="AK1106" s="60" t="s">
        <v>2927</v>
      </c>
      <c r="AL1106" s="117">
        <f>1/COUNTIF(Tableau6[LAT],B1106)</f>
        <v>0.5</v>
      </c>
      <c r="AM1106" s="60" t="b">
        <f t="shared" si="122"/>
        <v>0</v>
      </c>
      <c r="AN1106" s="60" t="b">
        <f t="shared" si="123"/>
        <v>0</v>
      </c>
      <c r="AO1106" s="60" t="b">
        <f t="shared" si="124"/>
        <v>0</v>
      </c>
      <c r="AP1106" s="60" t="b">
        <f t="shared" si="125"/>
        <v>0</v>
      </c>
      <c r="AQ1106" s="60" t="b">
        <f t="shared" si="126"/>
        <v>0</v>
      </c>
      <c r="AR1106" s="60" t="str">
        <f t="shared" si="127"/>
        <v>No</v>
      </c>
      <c r="AS1106" s="60" t="str">
        <f t="shared" si="128"/>
        <v>No</v>
      </c>
    </row>
    <row r="1107" spans="1:45" ht="15" hidden="1">
      <c r="A1107" s="103">
        <v>45244</v>
      </c>
      <c r="B1107" s="117" t="s">
        <v>4522</v>
      </c>
      <c r="C1107" s="28" t="s">
        <v>511</v>
      </c>
      <c r="D1107" s="28" t="s">
        <v>4523</v>
      </c>
      <c r="F1107" s="28" t="s">
        <v>4524</v>
      </c>
      <c r="G1107" s="28" t="s">
        <v>724</v>
      </c>
      <c r="H1107" s="28" t="s">
        <v>4398</v>
      </c>
      <c r="I1107" s="28" t="s">
        <v>517</v>
      </c>
      <c r="J1107" s="28" t="s">
        <v>517</v>
      </c>
      <c r="K1107" s="28" t="s">
        <v>518</v>
      </c>
      <c r="L1107" s="28" t="s">
        <v>1548</v>
      </c>
      <c r="M1107" s="28" t="s">
        <v>535</v>
      </c>
      <c r="N1107" s="28" t="s">
        <v>619</v>
      </c>
      <c r="O1107" s="28" t="s">
        <v>521</v>
      </c>
      <c r="P1107" s="28" t="s">
        <v>934</v>
      </c>
      <c r="Q1107" s="28" t="s">
        <v>559</v>
      </c>
      <c r="S1107" s="28" t="s">
        <v>573</v>
      </c>
      <c r="T1107" s="28" t="s">
        <v>1549</v>
      </c>
      <c r="U1107" s="28" t="s">
        <v>1549</v>
      </c>
      <c r="V1107" s="28" t="s">
        <v>517</v>
      </c>
      <c r="W1107" s="28" t="s">
        <v>4525</v>
      </c>
      <c r="Z1107" s="118" t="s">
        <v>563</v>
      </c>
      <c r="AA1107" s="118"/>
      <c r="AB1107" s="73" t="s">
        <v>4506</v>
      </c>
      <c r="AD1107" s="28" t="s">
        <v>954</v>
      </c>
      <c r="AF1107" s="117" t="s">
        <v>4523</v>
      </c>
      <c r="AG1107" s="28" t="s">
        <v>563</v>
      </c>
      <c r="AK1107" s="60" t="s">
        <v>2927</v>
      </c>
      <c r="AL1107" s="117">
        <f>1/COUNTIF(Tableau6[LAT],B1107)</f>
        <v>1</v>
      </c>
      <c r="AM1107" s="60" t="b">
        <f t="shared" si="122"/>
        <v>0</v>
      </c>
      <c r="AN1107" s="60" t="b">
        <f t="shared" si="123"/>
        <v>0</v>
      </c>
      <c r="AO1107" s="60" t="b">
        <f t="shared" si="124"/>
        <v>0</v>
      </c>
      <c r="AP1107" s="60" t="b">
        <f t="shared" si="125"/>
        <v>0</v>
      </c>
      <c r="AQ1107" s="60" t="b">
        <f t="shared" si="126"/>
        <v>0</v>
      </c>
      <c r="AR1107" s="60" t="str">
        <f t="shared" si="127"/>
        <v>No</v>
      </c>
      <c r="AS1107" s="60" t="str">
        <f t="shared" si="128"/>
        <v>No</v>
      </c>
    </row>
    <row r="1108" spans="1:45" ht="15" hidden="1">
      <c r="A1108" s="103">
        <v>45244</v>
      </c>
      <c r="B1108" s="117" t="s">
        <v>4526</v>
      </c>
      <c r="C1108" s="28" t="s">
        <v>511</v>
      </c>
      <c r="D1108" s="28" t="s">
        <v>4527</v>
      </c>
      <c r="F1108" s="28" t="s">
        <v>4528</v>
      </c>
      <c r="G1108" s="28" t="s">
        <v>514</v>
      </c>
      <c r="H1108" s="28" t="s">
        <v>1721</v>
      </c>
      <c r="I1108" s="28" t="s">
        <v>516</v>
      </c>
      <c r="J1108" s="28" t="s">
        <v>517</v>
      </c>
      <c r="K1108" s="28" t="s">
        <v>518</v>
      </c>
      <c r="L1108" s="28" t="s">
        <v>519</v>
      </c>
      <c r="M1108" s="28" t="s">
        <v>520</v>
      </c>
      <c r="N1108" s="28" t="s">
        <v>521</v>
      </c>
      <c r="O1108" s="28" t="s">
        <v>544</v>
      </c>
      <c r="P1108" s="28" t="s">
        <v>1107</v>
      </c>
      <c r="Q1108" s="28" t="s">
        <v>522</v>
      </c>
      <c r="S1108" s="28" t="s">
        <v>795</v>
      </c>
      <c r="T1108" s="28" t="s">
        <v>524</v>
      </c>
      <c r="U1108" s="28" t="s">
        <v>524</v>
      </c>
      <c r="V1108" s="28" t="s">
        <v>517</v>
      </c>
      <c r="W1108" s="28" t="s">
        <v>835</v>
      </c>
      <c r="Z1108" s="118" t="s">
        <v>526</v>
      </c>
      <c r="AA1108" s="118"/>
      <c r="AB1108" s="118"/>
      <c r="AD1108" s="28" t="s">
        <v>528</v>
      </c>
      <c r="AF1108" s="117" t="s">
        <v>4527</v>
      </c>
      <c r="AG1108" s="28" t="s">
        <v>563</v>
      </c>
      <c r="AK1108" s="60" t="s">
        <v>2927</v>
      </c>
      <c r="AL1108" s="117">
        <f>1/COUNTIF(Tableau6[LAT],B1108)</f>
        <v>0.5</v>
      </c>
      <c r="AM1108" s="60" t="b">
        <f t="shared" si="122"/>
        <v>0</v>
      </c>
      <c r="AN1108" s="60" t="b">
        <f t="shared" si="123"/>
        <v>0</v>
      </c>
      <c r="AO1108" s="60" t="b">
        <f t="shared" si="124"/>
        <v>0</v>
      </c>
      <c r="AP1108" s="60" t="b">
        <f t="shared" si="125"/>
        <v>0</v>
      </c>
      <c r="AQ1108" s="60" t="b">
        <f t="shared" si="126"/>
        <v>0</v>
      </c>
      <c r="AR1108" s="60" t="str">
        <f t="shared" si="127"/>
        <v>No</v>
      </c>
      <c r="AS1108" s="60" t="str">
        <f t="shared" si="128"/>
        <v>No</v>
      </c>
    </row>
    <row r="1109" spans="1:45" ht="15" hidden="1">
      <c r="A1109" s="103">
        <v>45244</v>
      </c>
      <c r="B1109" s="117" t="s">
        <v>4526</v>
      </c>
      <c r="C1109" s="28" t="s">
        <v>548</v>
      </c>
      <c r="D1109" s="28" t="s">
        <v>4529</v>
      </c>
      <c r="F1109" s="28" t="s">
        <v>4528</v>
      </c>
      <c r="G1109" s="28" t="s">
        <v>514</v>
      </c>
      <c r="H1109" s="28" t="s">
        <v>1721</v>
      </c>
      <c r="I1109" s="28" t="s">
        <v>516</v>
      </c>
      <c r="J1109" s="28" t="s">
        <v>517</v>
      </c>
      <c r="K1109" s="28" t="s">
        <v>518</v>
      </c>
      <c r="L1109" s="28" t="s">
        <v>519</v>
      </c>
      <c r="M1109" s="28" t="s">
        <v>520</v>
      </c>
      <c r="N1109" s="28" t="s">
        <v>521</v>
      </c>
      <c r="O1109" s="28" t="s">
        <v>544</v>
      </c>
      <c r="P1109" s="28" t="s">
        <v>1107</v>
      </c>
      <c r="Q1109" s="28" t="s">
        <v>522</v>
      </c>
      <c r="S1109" s="28" t="s">
        <v>795</v>
      </c>
      <c r="T1109" s="28" t="s">
        <v>524</v>
      </c>
      <c r="U1109" s="28" t="s">
        <v>524</v>
      </c>
      <c r="V1109" s="28" t="s">
        <v>517</v>
      </c>
      <c r="W1109" s="28" t="s">
        <v>4530</v>
      </c>
      <c r="Z1109" s="118" t="s">
        <v>526</v>
      </c>
      <c r="AA1109" s="118"/>
      <c r="AB1109" s="118"/>
      <c r="AD1109" s="28" t="s">
        <v>528</v>
      </c>
      <c r="AF1109" s="117" t="s">
        <v>4527</v>
      </c>
      <c r="AG1109" s="28" t="s">
        <v>563</v>
      </c>
      <c r="AK1109" s="60" t="s">
        <v>2927</v>
      </c>
      <c r="AL1109" s="117">
        <f>1/COUNTIF(Tableau6[LAT],B1109)</f>
        <v>0.5</v>
      </c>
      <c r="AM1109" s="60" t="b">
        <f t="shared" si="122"/>
        <v>0</v>
      </c>
      <c r="AN1109" s="60" t="b">
        <f t="shared" si="123"/>
        <v>0</v>
      </c>
      <c r="AO1109" s="60" t="b">
        <f t="shared" si="124"/>
        <v>0</v>
      </c>
      <c r="AP1109" s="60" t="b">
        <f t="shared" si="125"/>
        <v>0</v>
      </c>
      <c r="AQ1109" s="60" t="b">
        <f t="shared" si="126"/>
        <v>0</v>
      </c>
      <c r="AR1109" s="60" t="str">
        <f t="shared" si="127"/>
        <v>No</v>
      </c>
      <c r="AS1109" s="60" t="str">
        <f t="shared" si="128"/>
        <v>No</v>
      </c>
    </row>
    <row r="1110" spans="1:45" ht="15" hidden="1">
      <c r="A1110" s="103">
        <v>45244</v>
      </c>
      <c r="B1110" s="117" t="s">
        <v>4531</v>
      </c>
      <c r="C1110" s="28" t="s">
        <v>511</v>
      </c>
      <c r="D1110" s="28" t="s">
        <v>4532</v>
      </c>
      <c r="F1110" s="28" t="s">
        <v>2542</v>
      </c>
      <c r="G1110" s="28" t="s">
        <v>514</v>
      </c>
      <c r="H1110" s="28" t="s">
        <v>1008</v>
      </c>
      <c r="I1110" s="28" t="s">
        <v>516</v>
      </c>
      <c r="J1110" s="28" t="s">
        <v>517</v>
      </c>
      <c r="K1110" s="28" t="s">
        <v>518</v>
      </c>
      <c r="L1110" s="28" t="s">
        <v>3460</v>
      </c>
      <c r="M1110" s="28" t="s">
        <v>535</v>
      </c>
      <c r="N1110" s="28" t="s">
        <v>557</v>
      </c>
      <c r="O1110" s="28" t="s">
        <v>544</v>
      </c>
      <c r="P1110" s="28" t="s">
        <v>522</v>
      </c>
      <c r="S1110" s="28" t="s">
        <v>795</v>
      </c>
      <c r="T1110" s="28" t="s">
        <v>3461</v>
      </c>
      <c r="U1110" s="28" t="s">
        <v>3461</v>
      </c>
      <c r="V1110" s="28" t="s">
        <v>517</v>
      </c>
      <c r="W1110" s="28" t="s">
        <v>4533</v>
      </c>
      <c r="Z1110" s="118" t="s">
        <v>526</v>
      </c>
      <c r="AA1110" s="118"/>
      <c r="AB1110" s="118"/>
      <c r="AD1110" s="28" t="s">
        <v>528</v>
      </c>
      <c r="AF1110" s="117" t="s">
        <v>4532</v>
      </c>
      <c r="AG1110" s="28" t="s">
        <v>563</v>
      </c>
      <c r="AK1110" s="60" t="s">
        <v>2927</v>
      </c>
      <c r="AL1110" s="117">
        <f>1/COUNTIF(Tableau6[LAT],B1110)</f>
        <v>1</v>
      </c>
      <c r="AM1110" s="60" t="b">
        <f t="shared" si="122"/>
        <v>0</v>
      </c>
      <c r="AN1110" s="60" t="b">
        <f t="shared" si="123"/>
        <v>0</v>
      </c>
      <c r="AO1110" s="60" t="b">
        <f t="shared" si="124"/>
        <v>0</v>
      </c>
      <c r="AP1110" s="60" t="b">
        <f t="shared" si="125"/>
        <v>0</v>
      </c>
      <c r="AQ1110" s="60" t="b">
        <f t="shared" si="126"/>
        <v>0</v>
      </c>
      <c r="AR1110" s="60" t="str">
        <f t="shared" si="127"/>
        <v>No</v>
      </c>
      <c r="AS1110" s="60" t="str">
        <f t="shared" si="128"/>
        <v>No</v>
      </c>
    </row>
    <row r="1111" spans="1:45" ht="15" hidden="1">
      <c r="A1111" s="103">
        <v>45244</v>
      </c>
      <c r="B1111" s="117" t="s">
        <v>4534</v>
      </c>
      <c r="C1111" s="28" t="s">
        <v>511</v>
      </c>
      <c r="D1111" s="28" t="s">
        <v>4535</v>
      </c>
      <c r="F1111" s="28" t="s">
        <v>1895</v>
      </c>
      <c r="G1111" s="28" t="s">
        <v>724</v>
      </c>
      <c r="H1111" s="28" t="s">
        <v>1966</v>
      </c>
      <c r="I1111" s="28" t="s">
        <v>517</v>
      </c>
      <c r="J1111" s="28" t="s">
        <v>517</v>
      </c>
      <c r="K1111" s="28" t="s">
        <v>518</v>
      </c>
      <c r="L1111" s="28" t="s">
        <v>675</v>
      </c>
      <c r="M1111" s="28" t="s">
        <v>535</v>
      </c>
      <c r="N1111" s="28" t="s">
        <v>4536</v>
      </c>
      <c r="O1111" s="28" t="s">
        <v>521</v>
      </c>
      <c r="P1111" s="28" t="s">
        <v>1523</v>
      </c>
      <c r="Q1111" s="28" t="s">
        <v>522</v>
      </c>
      <c r="S1111" s="28" t="s">
        <v>573</v>
      </c>
      <c r="T1111" s="28" t="s">
        <v>676</v>
      </c>
      <c r="U1111" s="28" t="s">
        <v>676</v>
      </c>
      <c r="V1111" s="28" t="s">
        <v>517</v>
      </c>
      <c r="W1111" s="28" t="s">
        <v>4537</v>
      </c>
      <c r="Z1111" s="118" t="s">
        <v>563</v>
      </c>
      <c r="AA1111" s="118"/>
      <c r="AB1111" s="118" t="s">
        <v>4511</v>
      </c>
      <c r="AD1111" s="28" t="s">
        <v>954</v>
      </c>
      <c r="AF1111" s="117" t="s">
        <v>4535</v>
      </c>
      <c r="AG1111" s="28" t="s">
        <v>563</v>
      </c>
      <c r="AK1111" s="60" t="s">
        <v>2927</v>
      </c>
      <c r="AL1111" s="117">
        <f>1/COUNTIF(Tableau6[LAT],B1111)</f>
        <v>1</v>
      </c>
      <c r="AM1111" s="60" t="b">
        <f t="shared" si="122"/>
        <v>0</v>
      </c>
      <c r="AN1111" s="60" t="b">
        <f t="shared" si="123"/>
        <v>0</v>
      </c>
      <c r="AO1111" s="60" t="b">
        <f t="shared" si="124"/>
        <v>0</v>
      </c>
      <c r="AP1111" s="60" t="b">
        <f t="shared" si="125"/>
        <v>0</v>
      </c>
      <c r="AQ1111" s="60" t="b">
        <f t="shared" si="126"/>
        <v>0</v>
      </c>
      <c r="AR1111" s="60" t="str">
        <f t="shared" si="127"/>
        <v>No</v>
      </c>
      <c r="AS1111" s="60" t="str">
        <f t="shared" si="128"/>
        <v>No</v>
      </c>
    </row>
    <row r="1112" spans="1:45" ht="15" hidden="1">
      <c r="A1112" s="103">
        <v>45244</v>
      </c>
      <c r="B1112" s="117" t="s">
        <v>4538</v>
      </c>
      <c r="C1112" s="28" t="s">
        <v>511</v>
      </c>
      <c r="D1112" s="28" t="s">
        <v>4539</v>
      </c>
      <c r="F1112" s="28" t="s">
        <v>2613</v>
      </c>
      <c r="G1112" s="28" t="s">
        <v>514</v>
      </c>
      <c r="H1112" s="28" t="s">
        <v>658</v>
      </c>
      <c r="I1112" s="28" t="s">
        <v>517</v>
      </c>
      <c r="J1112" s="28" t="s">
        <v>517</v>
      </c>
      <c r="K1112" s="28" t="s">
        <v>518</v>
      </c>
      <c r="L1112" s="28" t="s">
        <v>1157</v>
      </c>
      <c r="M1112" s="28" t="s">
        <v>535</v>
      </c>
      <c r="N1112" s="28" t="s">
        <v>4536</v>
      </c>
      <c r="O1112" s="28" t="s">
        <v>521</v>
      </c>
      <c r="P1112" s="28" t="s">
        <v>1523</v>
      </c>
      <c r="Q1112" s="28" t="s">
        <v>522</v>
      </c>
      <c r="S1112" s="28" t="s">
        <v>573</v>
      </c>
      <c r="T1112" s="28" t="s">
        <v>1159</v>
      </c>
      <c r="U1112" s="28" t="s">
        <v>1159</v>
      </c>
      <c r="V1112" s="28" t="s">
        <v>517</v>
      </c>
      <c r="W1112" s="28" t="s">
        <v>4540</v>
      </c>
      <c r="Z1112" s="118" t="s">
        <v>563</v>
      </c>
      <c r="AA1112" s="118"/>
      <c r="AB1112" s="118" t="s">
        <v>4511</v>
      </c>
      <c r="AF1112" s="117"/>
      <c r="AK1112" s="60" t="s">
        <v>2927</v>
      </c>
      <c r="AL1112" s="117">
        <f>1/COUNTIF(Tableau6[LAT],B1112)</f>
        <v>1</v>
      </c>
      <c r="AM1112" s="60" t="b">
        <f t="shared" si="122"/>
        <v>0</v>
      </c>
      <c r="AN1112" s="60" t="b">
        <f t="shared" si="123"/>
        <v>0</v>
      </c>
      <c r="AO1112" s="60" t="b">
        <f t="shared" si="124"/>
        <v>0</v>
      </c>
      <c r="AP1112" s="60" t="b">
        <f t="shared" si="125"/>
        <v>0</v>
      </c>
      <c r="AQ1112" s="60" t="b">
        <f t="shared" si="126"/>
        <v>0</v>
      </c>
      <c r="AR1112" s="60" t="str">
        <f t="shared" si="127"/>
        <v>No</v>
      </c>
      <c r="AS1112" s="60" t="str">
        <f t="shared" si="128"/>
        <v>No</v>
      </c>
    </row>
    <row r="1113" spans="1:45" ht="15" hidden="1">
      <c r="A1113" s="103">
        <v>45244</v>
      </c>
      <c r="B1113" s="117" t="s">
        <v>4541</v>
      </c>
      <c r="C1113" s="28" t="s">
        <v>511</v>
      </c>
      <c r="D1113" s="28" t="s">
        <v>4542</v>
      </c>
      <c r="F1113" s="28" t="s">
        <v>2534</v>
      </c>
      <c r="G1113" s="28" t="s">
        <v>514</v>
      </c>
      <c r="H1113" s="28" t="s">
        <v>568</v>
      </c>
      <c r="I1113" s="28" t="s">
        <v>516</v>
      </c>
      <c r="J1113" s="28" t="s">
        <v>517</v>
      </c>
      <c r="K1113" s="28" t="s">
        <v>518</v>
      </c>
      <c r="L1113" s="28" t="s">
        <v>1502</v>
      </c>
      <c r="M1113" s="28" t="s">
        <v>535</v>
      </c>
      <c r="N1113" s="28" t="s">
        <v>557</v>
      </c>
      <c r="O1113" s="28" t="s">
        <v>934</v>
      </c>
      <c r="S1113" s="28" t="s">
        <v>2199</v>
      </c>
      <c r="T1113" s="28" t="s">
        <v>811</v>
      </c>
      <c r="U1113" s="28" t="s">
        <v>811</v>
      </c>
      <c r="V1113" s="28" t="s">
        <v>517</v>
      </c>
      <c r="W1113" s="28" t="s">
        <v>3526</v>
      </c>
      <c r="Z1113" s="118" t="s">
        <v>526</v>
      </c>
      <c r="AA1113" s="118"/>
      <c r="AB1113" s="118"/>
      <c r="AD1113" s="28" t="s">
        <v>954</v>
      </c>
      <c r="AF1113" s="117" t="s">
        <v>4542</v>
      </c>
      <c r="AG1113" s="28" t="s">
        <v>563</v>
      </c>
      <c r="AK1113" s="60" t="s">
        <v>2927</v>
      </c>
      <c r="AL1113" s="117">
        <f>1/COUNTIF(Tableau6[LAT],B1113)</f>
        <v>1</v>
      </c>
      <c r="AM1113" s="60" t="b">
        <f t="shared" si="122"/>
        <v>0</v>
      </c>
      <c r="AN1113" s="60" t="b">
        <f t="shared" si="123"/>
        <v>0</v>
      </c>
      <c r="AO1113" s="60" t="b">
        <f t="shared" si="124"/>
        <v>0</v>
      </c>
      <c r="AP1113" s="60" t="b">
        <f t="shared" si="125"/>
        <v>0</v>
      </c>
      <c r="AQ1113" s="60" t="b">
        <f t="shared" si="126"/>
        <v>0</v>
      </c>
      <c r="AR1113" s="60" t="str">
        <f t="shared" si="127"/>
        <v>No</v>
      </c>
      <c r="AS1113" s="60" t="str">
        <f t="shared" si="128"/>
        <v>No</v>
      </c>
    </row>
    <row r="1114" spans="1:45" ht="15" hidden="1">
      <c r="A1114" s="103">
        <v>45244</v>
      </c>
      <c r="B1114" s="117" t="s">
        <v>4543</v>
      </c>
      <c r="C1114" s="28" t="s">
        <v>511</v>
      </c>
      <c r="D1114" s="28" t="s">
        <v>4544</v>
      </c>
      <c r="F1114" s="28" t="s">
        <v>4545</v>
      </c>
      <c r="G1114" s="28" t="s">
        <v>1456</v>
      </c>
      <c r="H1114" s="28" t="s">
        <v>2227</v>
      </c>
      <c r="I1114" s="28" t="s">
        <v>516</v>
      </c>
      <c r="J1114" s="28" t="s">
        <v>517</v>
      </c>
      <c r="K1114" s="28" t="s">
        <v>682</v>
      </c>
      <c r="L1114" s="28" t="s">
        <v>3648</v>
      </c>
      <c r="M1114" s="28" t="s">
        <v>520</v>
      </c>
      <c r="N1114" s="28" t="s">
        <v>557</v>
      </c>
      <c r="O1114" s="28" t="s">
        <v>559</v>
      </c>
      <c r="S1114" s="28" t="s">
        <v>3949</v>
      </c>
      <c r="T1114" s="28" t="s">
        <v>1918</v>
      </c>
      <c r="U1114" s="28" t="s">
        <v>1857</v>
      </c>
      <c r="V1114" s="28" t="s">
        <v>517</v>
      </c>
      <c r="W1114" s="28" t="s">
        <v>4546</v>
      </c>
      <c r="Z1114" s="118" t="s">
        <v>563</v>
      </c>
      <c r="AA1114" s="118"/>
      <c r="AB1114" s="118" t="s">
        <v>527</v>
      </c>
      <c r="AD1114" s="28" t="s">
        <v>954</v>
      </c>
      <c r="AF1114" s="117" t="s">
        <v>4544</v>
      </c>
      <c r="AG1114" s="28" t="s">
        <v>563</v>
      </c>
      <c r="AK1114" s="60" t="s">
        <v>2927</v>
      </c>
      <c r="AL1114" s="117">
        <f>1/COUNTIF(Tableau6[LAT],B1114)</f>
        <v>0.5</v>
      </c>
      <c r="AM1114" s="60" t="b">
        <f t="shared" si="122"/>
        <v>0</v>
      </c>
      <c r="AN1114" s="60" t="b">
        <f t="shared" si="123"/>
        <v>0</v>
      </c>
      <c r="AO1114" s="60" t="b">
        <f t="shared" si="124"/>
        <v>0</v>
      </c>
      <c r="AP1114" s="60" t="b">
        <f t="shared" si="125"/>
        <v>0</v>
      </c>
      <c r="AQ1114" s="60" t="b">
        <f t="shared" si="126"/>
        <v>0</v>
      </c>
      <c r="AR1114" s="60" t="str">
        <f t="shared" si="127"/>
        <v>No</v>
      </c>
      <c r="AS1114" s="60" t="str">
        <f t="shared" si="128"/>
        <v>No</v>
      </c>
    </row>
    <row r="1115" spans="1:45" ht="15" hidden="1">
      <c r="A1115" s="103">
        <v>45244</v>
      </c>
      <c r="B1115" s="117" t="s">
        <v>4543</v>
      </c>
      <c r="D1115" s="28" t="s">
        <v>4547</v>
      </c>
      <c r="F1115" s="28" t="s">
        <v>4548</v>
      </c>
      <c r="G1115" s="28" t="s">
        <v>514</v>
      </c>
      <c r="H1115" s="28" t="s">
        <v>1463</v>
      </c>
      <c r="I1115" s="28" t="s">
        <v>516</v>
      </c>
      <c r="J1115" s="28" t="s">
        <v>517</v>
      </c>
      <c r="K1115" s="28" t="s">
        <v>682</v>
      </c>
      <c r="L1115" s="28" t="s">
        <v>3648</v>
      </c>
      <c r="M1115" s="28" t="s">
        <v>520</v>
      </c>
      <c r="N1115" s="28" t="s">
        <v>557</v>
      </c>
      <c r="O1115" s="28" t="s">
        <v>559</v>
      </c>
      <c r="S1115" s="28" t="s">
        <v>3949</v>
      </c>
      <c r="T1115" s="28" t="s">
        <v>1918</v>
      </c>
      <c r="U1115" s="28" t="s">
        <v>1857</v>
      </c>
      <c r="V1115" s="28" t="s">
        <v>517</v>
      </c>
      <c r="W1115" s="28" t="s">
        <v>4549</v>
      </c>
      <c r="Z1115" s="118" t="s">
        <v>563</v>
      </c>
      <c r="AA1115" s="118"/>
      <c r="AB1115" s="118" t="s">
        <v>527</v>
      </c>
      <c r="AD1115" s="28" t="s">
        <v>954</v>
      </c>
      <c r="AF1115" s="117" t="s">
        <v>4550</v>
      </c>
      <c r="AG1115" s="28" t="s">
        <v>563</v>
      </c>
      <c r="AK1115" s="60" t="s">
        <v>2927</v>
      </c>
      <c r="AL1115" s="117">
        <f>1/COUNTIF(Tableau6[LAT],B1115)</f>
        <v>0.5</v>
      </c>
      <c r="AM1115" s="60" t="b">
        <f t="shared" si="122"/>
        <v>0</v>
      </c>
      <c r="AN1115" s="60" t="b">
        <f t="shared" si="123"/>
        <v>0</v>
      </c>
      <c r="AO1115" s="60" t="b">
        <f t="shared" si="124"/>
        <v>0</v>
      </c>
      <c r="AP1115" s="60" t="b">
        <f t="shared" si="125"/>
        <v>0</v>
      </c>
      <c r="AQ1115" s="60" t="b">
        <f t="shared" si="126"/>
        <v>0</v>
      </c>
      <c r="AR1115" s="60" t="str">
        <f t="shared" si="127"/>
        <v>No</v>
      </c>
      <c r="AS1115" s="60" t="str">
        <f t="shared" si="128"/>
        <v>No</v>
      </c>
    </row>
    <row r="1116" spans="1:45" ht="15" hidden="1">
      <c r="A1116" s="103">
        <v>45244</v>
      </c>
      <c r="B1116" s="117" t="s">
        <v>4551</v>
      </c>
      <c r="C1116" s="28" t="s">
        <v>511</v>
      </c>
      <c r="D1116" s="28" t="s">
        <v>4552</v>
      </c>
      <c r="E1116" s="28" t="s">
        <v>4553</v>
      </c>
      <c r="F1116" s="28" t="s">
        <v>4554</v>
      </c>
      <c r="G1116" s="28" t="s">
        <v>4555</v>
      </c>
      <c r="H1116" s="28" t="s">
        <v>4556</v>
      </c>
      <c r="I1116" s="28" t="s">
        <v>516</v>
      </c>
      <c r="J1116" s="28" t="s">
        <v>517</v>
      </c>
      <c r="K1116" s="28" t="s">
        <v>682</v>
      </c>
      <c r="L1116" s="28" t="s">
        <v>3143</v>
      </c>
      <c r="M1116" s="28" t="s">
        <v>570</v>
      </c>
      <c r="N1116" s="28" t="s">
        <v>427</v>
      </c>
      <c r="O1116" s="28" t="s">
        <v>559</v>
      </c>
      <c r="S1116" s="28" t="s">
        <v>3949</v>
      </c>
      <c r="T1116" s="28" t="s">
        <v>1918</v>
      </c>
      <c r="U1116" s="28" t="s">
        <v>1918</v>
      </c>
      <c r="V1116" s="28" t="s">
        <v>517</v>
      </c>
      <c r="W1116" s="28" t="s">
        <v>4557</v>
      </c>
      <c r="X1116" s="28" t="s">
        <v>670</v>
      </c>
      <c r="Z1116" s="118" t="s">
        <v>563</v>
      </c>
      <c r="AA1116" s="118"/>
      <c r="AB1116" s="118" t="s">
        <v>527</v>
      </c>
      <c r="AD1116" s="28" t="s">
        <v>954</v>
      </c>
      <c r="AF1116" s="117" t="s">
        <v>4552</v>
      </c>
      <c r="AG1116" s="28" t="s">
        <v>563</v>
      </c>
      <c r="AK1116" s="60" t="s">
        <v>2927</v>
      </c>
      <c r="AL1116" s="117">
        <f>1/COUNTIF(Tableau6[LAT],B1116)</f>
        <v>0.16666666666666666</v>
      </c>
      <c r="AM1116" s="60" t="b">
        <f t="shared" si="122"/>
        <v>0</v>
      </c>
      <c r="AN1116" s="60" t="b">
        <f t="shared" si="123"/>
        <v>0</v>
      </c>
      <c r="AO1116" s="60" t="b">
        <f t="shared" si="124"/>
        <v>0</v>
      </c>
      <c r="AP1116" s="60" t="b">
        <f t="shared" si="125"/>
        <v>0</v>
      </c>
      <c r="AQ1116" s="60" t="b">
        <f t="shared" si="126"/>
        <v>0</v>
      </c>
      <c r="AR1116" s="60" t="str">
        <f t="shared" si="127"/>
        <v>No</v>
      </c>
      <c r="AS1116" s="60" t="str">
        <f t="shared" si="128"/>
        <v>No</v>
      </c>
    </row>
    <row r="1117" spans="1:45" ht="15" hidden="1">
      <c r="A1117" s="103">
        <v>45244</v>
      </c>
      <c r="B1117" s="117" t="s">
        <v>4551</v>
      </c>
      <c r="C1117" s="28" t="s">
        <v>548</v>
      </c>
      <c r="D1117" s="28" t="s">
        <v>4558</v>
      </c>
      <c r="E1117" s="28" t="s">
        <v>4559</v>
      </c>
      <c r="F1117" s="28" t="s">
        <v>4560</v>
      </c>
      <c r="G1117" s="28" t="s">
        <v>4561</v>
      </c>
      <c r="H1117" s="28" t="s">
        <v>4562</v>
      </c>
      <c r="I1117" s="28" t="s">
        <v>516</v>
      </c>
      <c r="J1117" s="28" t="s">
        <v>517</v>
      </c>
      <c r="K1117" s="28" t="s">
        <v>682</v>
      </c>
      <c r="L1117" s="28" t="s">
        <v>3143</v>
      </c>
      <c r="M1117" s="28" t="s">
        <v>570</v>
      </c>
      <c r="N1117" s="28" t="s">
        <v>427</v>
      </c>
      <c r="O1117" s="28" t="s">
        <v>559</v>
      </c>
      <c r="S1117" s="28" t="s">
        <v>3949</v>
      </c>
      <c r="T1117" s="28" t="s">
        <v>1918</v>
      </c>
      <c r="U1117" s="28" t="s">
        <v>1918</v>
      </c>
      <c r="V1117" s="28" t="s">
        <v>517</v>
      </c>
      <c r="W1117" s="28" t="s">
        <v>4563</v>
      </c>
      <c r="X1117" s="28" t="s">
        <v>670</v>
      </c>
      <c r="Z1117" s="118" t="s">
        <v>563</v>
      </c>
      <c r="AA1117" s="118"/>
      <c r="AB1117" s="118" t="s">
        <v>527</v>
      </c>
      <c r="AD1117" s="28" t="s">
        <v>954</v>
      </c>
      <c r="AF1117" s="117" t="s">
        <v>4558</v>
      </c>
      <c r="AG1117" s="28" t="s">
        <v>563</v>
      </c>
      <c r="AK1117" s="60" t="s">
        <v>2927</v>
      </c>
      <c r="AL1117" s="117">
        <f>1/COUNTIF(Tableau6[LAT],B1117)</f>
        <v>0.16666666666666666</v>
      </c>
      <c r="AM1117" s="60" t="b">
        <f t="shared" si="122"/>
        <v>0</v>
      </c>
      <c r="AN1117" s="60" t="b">
        <f t="shared" si="123"/>
        <v>0</v>
      </c>
      <c r="AO1117" s="60" t="b">
        <f t="shared" si="124"/>
        <v>0</v>
      </c>
      <c r="AP1117" s="60" t="b">
        <f t="shared" si="125"/>
        <v>0</v>
      </c>
      <c r="AQ1117" s="60" t="b">
        <f t="shared" si="126"/>
        <v>0</v>
      </c>
      <c r="AR1117" s="60" t="str">
        <f t="shared" si="127"/>
        <v>No</v>
      </c>
      <c r="AS1117" s="60" t="str">
        <f t="shared" si="128"/>
        <v>No</v>
      </c>
    </row>
    <row r="1118" spans="1:45" ht="15" hidden="1">
      <c r="A1118" s="103">
        <v>45244</v>
      </c>
      <c r="B1118" s="117" t="s">
        <v>4551</v>
      </c>
      <c r="C1118" s="28" t="s">
        <v>612</v>
      </c>
      <c r="D1118" s="28" t="s">
        <v>4564</v>
      </c>
      <c r="E1118" s="28" t="s">
        <v>4565</v>
      </c>
      <c r="F1118" s="28" t="s">
        <v>4566</v>
      </c>
      <c r="G1118" s="28" t="s">
        <v>4567</v>
      </c>
      <c r="H1118" s="28" t="s">
        <v>4568</v>
      </c>
      <c r="I1118" s="28" t="s">
        <v>516</v>
      </c>
      <c r="J1118" s="28" t="s">
        <v>517</v>
      </c>
      <c r="K1118" s="28" t="s">
        <v>682</v>
      </c>
      <c r="L1118" s="28" t="s">
        <v>3143</v>
      </c>
      <c r="M1118" s="28" t="s">
        <v>570</v>
      </c>
      <c r="N1118" s="28" t="s">
        <v>427</v>
      </c>
      <c r="O1118" s="28" t="s">
        <v>559</v>
      </c>
      <c r="S1118" s="28" t="s">
        <v>3949</v>
      </c>
      <c r="T1118" s="28" t="s">
        <v>1918</v>
      </c>
      <c r="U1118" s="28" t="s">
        <v>1918</v>
      </c>
      <c r="V1118" s="28" t="s">
        <v>517</v>
      </c>
      <c r="W1118" s="28" t="s">
        <v>4569</v>
      </c>
      <c r="X1118" s="28" t="s">
        <v>670</v>
      </c>
      <c r="Z1118" s="118" t="s">
        <v>563</v>
      </c>
      <c r="AA1118" s="118"/>
      <c r="AB1118" s="118" t="s">
        <v>527</v>
      </c>
      <c r="AD1118" s="28" t="s">
        <v>954</v>
      </c>
      <c r="AF1118" s="117" t="s">
        <v>4564</v>
      </c>
      <c r="AG1118" s="28" t="s">
        <v>563</v>
      </c>
      <c r="AK1118" s="60" t="s">
        <v>2927</v>
      </c>
      <c r="AL1118" s="117">
        <f>1/COUNTIF(Tableau6[LAT],B1118)</f>
        <v>0.16666666666666666</v>
      </c>
      <c r="AM1118" s="60" t="b">
        <f t="shared" si="122"/>
        <v>0</v>
      </c>
      <c r="AN1118" s="60" t="b">
        <f t="shared" si="123"/>
        <v>0</v>
      </c>
      <c r="AO1118" s="60" t="b">
        <f t="shared" si="124"/>
        <v>0</v>
      </c>
      <c r="AP1118" s="60" t="b">
        <f t="shared" si="125"/>
        <v>0</v>
      </c>
      <c r="AQ1118" s="60" t="b">
        <f t="shared" si="126"/>
        <v>0</v>
      </c>
      <c r="AR1118" s="60" t="str">
        <f t="shared" si="127"/>
        <v>No</v>
      </c>
      <c r="AS1118" s="60" t="str">
        <f t="shared" si="128"/>
        <v>No</v>
      </c>
    </row>
    <row r="1119" spans="1:45" ht="15" hidden="1">
      <c r="A1119" s="103">
        <v>45244</v>
      </c>
      <c r="B1119" s="117" t="s">
        <v>4551</v>
      </c>
      <c r="C1119" s="28" t="s">
        <v>691</v>
      </c>
      <c r="D1119" s="28" t="s">
        <v>4570</v>
      </c>
      <c r="E1119" s="28" t="s">
        <v>4571</v>
      </c>
      <c r="F1119" s="28" t="s">
        <v>4572</v>
      </c>
      <c r="G1119" s="28" t="s">
        <v>1910</v>
      </c>
      <c r="H1119" s="28" t="s">
        <v>4573</v>
      </c>
      <c r="I1119" s="28" t="s">
        <v>516</v>
      </c>
      <c r="J1119" s="28" t="s">
        <v>517</v>
      </c>
      <c r="K1119" s="28" t="s">
        <v>682</v>
      </c>
      <c r="L1119" s="28" t="s">
        <v>3143</v>
      </c>
      <c r="M1119" s="28" t="s">
        <v>570</v>
      </c>
      <c r="N1119" s="28" t="s">
        <v>427</v>
      </c>
      <c r="O1119" s="28" t="s">
        <v>559</v>
      </c>
      <c r="S1119" s="28" t="s">
        <v>3949</v>
      </c>
      <c r="T1119" s="28" t="s">
        <v>1918</v>
      </c>
      <c r="U1119" s="28" t="s">
        <v>1918</v>
      </c>
      <c r="V1119" s="28" t="s">
        <v>517</v>
      </c>
      <c r="W1119" s="28" t="s">
        <v>4574</v>
      </c>
      <c r="X1119" s="28" t="s">
        <v>670</v>
      </c>
      <c r="Z1119" s="118" t="s">
        <v>563</v>
      </c>
      <c r="AA1119" s="118"/>
      <c r="AB1119" s="118" t="s">
        <v>527</v>
      </c>
      <c r="AD1119" s="28" t="s">
        <v>954</v>
      </c>
      <c r="AF1119" s="117" t="s">
        <v>4570</v>
      </c>
      <c r="AG1119" s="28" t="s">
        <v>563</v>
      </c>
      <c r="AK1119" s="60" t="s">
        <v>2927</v>
      </c>
      <c r="AL1119" s="117">
        <f>1/COUNTIF(Tableau6[LAT],B1119)</f>
        <v>0.16666666666666666</v>
      </c>
      <c r="AM1119" s="60" t="b">
        <f t="shared" si="122"/>
        <v>0</v>
      </c>
      <c r="AN1119" s="60" t="b">
        <f t="shared" si="123"/>
        <v>0</v>
      </c>
      <c r="AO1119" s="60" t="b">
        <f t="shared" si="124"/>
        <v>0</v>
      </c>
      <c r="AP1119" s="60" t="b">
        <f t="shared" si="125"/>
        <v>0</v>
      </c>
      <c r="AQ1119" s="60" t="b">
        <f t="shared" si="126"/>
        <v>0</v>
      </c>
      <c r="AR1119" s="60" t="str">
        <f t="shared" si="127"/>
        <v>No</v>
      </c>
      <c r="AS1119" s="60" t="str">
        <f t="shared" si="128"/>
        <v>No</v>
      </c>
    </row>
    <row r="1120" spans="1:45" ht="15" hidden="1">
      <c r="A1120" s="103">
        <v>45244</v>
      </c>
      <c r="B1120" s="117" t="s">
        <v>4551</v>
      </c>
      <c r="C1120" s="28" t="s">
        <v>859</v>
      </c>
      <c r="D1120" s="28" t="s">
        <v>4575</v>
      </c>
      <c r="E1120" s="28" t="s">
        <v>4576</v>
      </c>
      <c r="F1120" s="28" t="s">
        <v>4577</v>
      </c>
      <c r="G1120" s="28" t="s">
        <v>4567</v>
      </c>
      <c r="H1120" s="28" t="s">
        <v>4568</v>
      </c>
      <c r="I1120" s="28" t="s">
        <v>516</v>
      </c>
      <c r="J1120" s="28" t="s">
        <v>517</v>
      </c>
      <c r="K1120" s="28" t="s">
        <v>682</v>
      </c>
      <c r="L1120" s="28" t="s">
        <v>3143</v>
      </c>
      <c r="M1120" s="28" t="s">
        <v>570</v>
      </c>
      <c r="N1120" s="28" t="s">
        <v>427</v>
      </c>
      <c r="O1120" s="28" t="s">
        <v>559</v>
      </c>
      <c r="S1120" s="28" t="s">
        <v>3949</v>
      </c>
      <c r="T1120" s="28" t="s">
        <v>1918</v>
      </c>
      <c r="U1120" s="28" t="s">
        <v>1918</v>
      </c>
      <c r="V1120" s="28" t="s">
        <v>517</v>
      </c>
      <c r="W1120" s="28" t="s">
        <v>4578</v>
      </c>
      <c r="X1120" s="28" t="s">
        <v>670</v>
      </c>
      <c r="Z1120" s="118" t="s">
        <v>563</v>
      </c>
      <c r="AA1120" s="118"/>
      <c r="AB1120" s="118" t="s">
        <v>527</v>
      </c>
      <c r="AF1120" s="117"/>
      <c r="AK1120" s="60" t="s">
        <v>2927</v>
      </c>
      <c r="AL1120" s="117">
        <f>1/COUNTIF(Tableau6[LAT],B1120)</f>
        <v>0.16666666666666666</v>
      </c>
      <c r="AM1120" s="60" t="b">
        <f t="shared" si="122"/>
        <v>0</v>
      </c>
      <c r="AN1120" s="60" t="b">
        <f t="shared" si="123"/>
        <v>0</v>
      </c>
      <c r="AO1120" s="60" t="b">
        <f t="shared" si="124"/>
        <v>0</v>
      </c>
      <c r="AP1120" s="60" t="b">
        <f t="shared" si="125"/>
        <v>0</v>
      </c>
      <c r="AQ1120" s="60" t="b">
        <f t="shared" si="126"/>
        <v>0</v>
      </c>
      <c r="AR1120" s="60" t="str">
        <f t="shared" si="127"/>
        <v>No</v>
      </c>
      <c r="AS1120" s="60" t="str">
        <f t="shared" si="128"/>
        <v>No</v>
      </c>
    </row>
    <row r="1121" spans="1:45" ht="15" hidden="1">
      <c r="A1121" s="103">
        <v>45244</v>
      </c>
      <c r="B1121" s="117" t="s">
        <v>4551</v>
      </c>
      <c r="C1121" s="28" t="s">
        <v>861</v>
      </c>
      <c r="D1121" s="28" t="s">
        <v>4579</v>
      </c>
      <c r="E1121" s="28" t="s">
        <v>4580</v>
      </c>
      <c r="F1121" s="28" t="s">
        <v>4566</v>
      </c>
      <c r="G1121" s="28" t="s">
        <v>4567</v>
      </c>
      <c r="H1121" s="28" t="s">
        <v>4568</v>
      </c>
      <c r="I1121" s="28" t="s">
        <v>516</v>
      </c>
      <c r="J1121" s="28" t="s">
        <v>517</v>
      </c>
      <c r="K1121" s="28" t="s">
        <v>682</v>
      </c>
      <c r="L1121" s="28" t="s">
        <v>3143</v>
      </c>
      <c r="M1121" s="28" t="s">
        <v>570</v>
      </c>
      <c r="N1121" s="28" t="s">
        <v>427</v>
      </c>
      <c r="O1121" s="28" t="s">
        <v>559</v>
      </c>
      <c r="S1121" s="28" t="s">
        <v>3949</v>
      </c>
      <c r="T1121" s="28" t="s">
        <v>1918</v>
      </c>
      <c r="U1121" s="28" t="s">
        <v>1918</v>
      </c>
      <c r="V1121" s="28" t="s">
        <v>517</v>
      </c>
      <c r="W1121" s="28" t="s">
        <v>4581</v>
      </c>
      <c r="X1121" s="28" t="s">
        <v>670</v>
      </c>
      <c r="Z1121" s="118" t="s">
        <v>563</v>
      </c>
      <c r="AA1121" s="118"/>
      <c r="AB1121" s="118" t="s">
        <v>527</v>
      </c>
      <c r="AF1121" s="117"/>
      <c r="AK1121" s="60" t="s">
        <v>2927</v>
      </c>
      <c r="AL1121" s="117">
        <f>1/COUNTIF(Tableau6[LAT],B1121)</f>
        <v>0.16666666666666666</v>
      </c>
      <c r="AM1121" s="60" t="b">
        <f t="shared" si="122"/>
        <v>0</v>
      </c>
      <c r="AN1121" s="60" t="b">
        <f t="shared" si="123"/>
        <v>0</v>
      </c>
      <c r="AO1121" s="60" t="b">
        <f t="shared" si="124"/>
        <v>0</v>
      </c>
      <c r="AP1121" s="60" t="b">
        <f t="shared" si="125"/>
        <v>0</v>
      </c>
      <c r="AQ1121" s="60" t="b">
        <f t="shared" si="126"/>
        <v>0</v>
      </c>
      <c r="AR1121" s="60" t="str">
        <f t="shared" si="127"/>
        <v>No</v>
      </c>
      <c r="AS1121" s="60" t="str">
        <f t="shared" si="128"/>
        <v>No</v>
      </c>
    </row>
    <row r="1122" spans="1:45" ht="15" hidden="1">
      <c r="A1122" s="103">
        <v>45244</v>
      </c>
      <c r="B1122" s="117" t="s">
        <v>4582</v>
      </c>
      <c r="C1122" s="28" t="s">
        <v>511</v>
      </c>
      <c r="D1122" s="28" t="s">
        <v>4583</v>
      </c>
      <c r="E1122" s="28" t="s">
        <v>4584</v>
      </c>
      <c r="F1122" s="28" t="s">
        <v>4585</v>
      </c>
      <c r="G1122" s="28" t="s">
        <v>4586</v>
      </c>
      <c r="H1122" s="28" t="s">
        <v>4587</v>
      </c>
      <c r="I1122" s="28" t="s">
        <v>516</v>
      </c>
      <c r="J1122" s="28" t="s">
        <v>517</v>
      </c>
      <c r="K1122" s="28" t="s">
        <v>518</v>
      </c>
      <c r="L1122" s="28" t="s">
        <v>1856</v>
      </c>
      <c r="M1122" s="28" t="s">
        <v>520</v>
      </c>
      <c r="N1122" s="28" t="s">
        <v>557</v>
      </c>
      <c r="O1122" s="28" t="s">
        <v>559</v>
      </c>
      <c r="S1122" s="28" t="s">
        <v>3949</v>
      </c>
      <c r="T1122" s="28" t="s">
        <v>1918</v>
      </c>
      <c r="U1122" s="28" t="s">
        <v>1857</v>
      </c>
      <c r="V1122" s="28" t="s">
        <v>517</v>
      </c>
      <c r="W1122" s="28" t="s">
        <v>4588</v>
      </c>
      <c r="X1122" s="28" t="s">
        <v>670</v>
      </c>
      <c r="Z1122" s="118" t="s">
        <v>563</v>
      </c>
      <c r="AA1122" s="118"/>
      <c r="AB1122" s="118" t="s">
        <v>527</v>
      </c>
      <c r="AD1122" s="28" t="s">
        <v>528</v>
      </c>
      <c r="AF1122" s="117" t="s">
        <v>4589</v>
      </c>
      <c r="AG1122" s="28" t="s">
        <v>563</v>
      </c>
      <c r="AK1122" s="60" t="s">
        <v>2927</v>
      </c>
      <c r="AL1122" s="117">
        <f>1/COUNTIF(Tableau6[LAT],B1122)</f>
        <v>0.2</v>
      </c>
      <c r="AM1122" s="60" t="b">
        <f t="shared" si="122"/>
        <v>0</v>
      </c>
      <c r="AN1122" s="60" t="b">
        <f t="shared" si="123"/>
        <v>0</v>
      </c>
      <c r="AO1122" s="60" t="b">
        <f t="shared" si="124"/>
        <v>0</v>
      </c>
      <c r="AP1122" s="60" t="b">
        <f t="shared" si="125"/>
        <v>0</v>
      </c>
      <c r="AQ1122" s="60" t="b">
        <f t="shared" si="126"/>
        <v>0</v>
      </c>
      <c r="AR1122" s="60" t="str">
        <f t="shared" si="127"/>
        <v>No</v>
      </c>
      <c r="AS1122" s="60" t="str">
        <f t="shared" si="128"/>
        <v>No</v>
      </c>
    </row>
    <row r="1123" spans="1:45" ht="15" hidden="1">
      <c r="A1123" s="103">
        <v>45244</v>
      </c>
      <c r="B1123" s="117" t="s">
        <v>4582</v>
      </c>
      <c r="C1123" s="28" t="s">
        <v>548</v>
      </c>
      <c r="D1123" s="28" t="s">
        <v>4589</v>
      </c>
      <c r="E1123" s="28" t="s">
        <v>4590</v>
      </c>
      <c r="F1123" s="28" t="s">
        <v>4572</v>
      </c>
      <c r="G1123" s="28" t="s">
        <v>4591</v>
      </c>
      <c r="H1123" s="28" t="s">
        <v>4592</v>
      </c>
      <c r="I1123" s="28" t="s">
        <v>516</v>
      </c>
      <c r="J1123" s="28" t="s">
        <v>517</v>
      </c>
      <c r="K1123" s="28" t="s">
        <v>518</v>
      </c>
      <c r="L1123" s="28" t="s">
        <v>1856</v>
      </c>
      <c r="M1123" s="28" t="s">
        <v>520</v>
      </c>
      <c r="N1123" s="28" t="s">
        <v>557</v>
      </c>
      <c r="O1123" s="28" t="s">
        <v>559</v>
      </c>
      <c r="S1123" s="28" t="s">
        <v>3949</v>
      </c>
      <c r="T1123" s="28" t="s">
        <v>1918</v>
      </c>
      <c r="U1123" s="28" t="s">
        <v>1857</v>
      </c>
      <c r="V1123" s="28" t="s">
        <v>517</v>
      </c>
      <c r="W1123" s="28" t="s">
        <v>4593</v>
      </c>
      <c r="X1123" s="28" t="s">
        <v>670</v>
      </c>
      <c r="Z1123" s="118" t="s">
        <v>563</v>
      </c>
      <c r="AA1123" s="118"/>
      <c r="AB1123" s="118" t="s">
        <v>527</v>
      </c>
      <c r="AD1123" s="28" t="s">
        <v>528</v>
      </c>
      <c r="AF1123" s="117" t="s">
        <v>4594</v>
      </c>
      <c r="AG1123" s="28" t="s">
        <v>563</v>
      </c>
      <c r="AK1123" s="60" t="s">
        <v>2927</v>
      </c>
      <c r="AL1123" s="117">
        <f>1/COUNTIF(Tableau6[LAT],B1123)</f>
        <v>0.2</v>
      </c>
      <c r="AM1123" s="60" t="b">
        <f t="shared" si="122"/>
        <v>0</v>
      </c>
      <c r="AN1123" s="60" t="b">
        <f t="shared" si="123"/>
        <v>0</v>
      </c>
      <c r="AO1123" s="60" t="b">
        <f t="shared" si="124"/>
        <v>0</v>
      </c>
      <c r="AP1123" s="60" t="b">
        <f t="shared" si="125"/>
        <v>0</v>
      </c>
      <c r="AQ1123" s="60" t="b">
        <f t="shared" si="126"/>
        <v>0</v>
      </c>
      <c r="AR1123" s="60" t="str">
        <f t="shared" si="127"/>
        <v>No</v>
      </c>
      <c r="AS1123" s="60" t="str">
        <f t="shared" si="128"/>
        <v>No</v>
      </c>
    </row>
    <row r="1124" spans="1:45" ht="15" hidden="1">
      <c r="A1124" s="103">
        <v>45244</v>
      </c>
      <c r="B1124" s="117" t="s">
        <v>4582</v>
      </c>
      <c r="C1124" s="28" t="s">
        <v>859</v>
      </c>
      <c r="D1124" s="28" t="s">
        <v>4595</v>
      </c>
      <c r="E1124" s="28" t="s">
        <v>4596</v>
      </c>
      <c r="F1124" s="28" t="s">
        <v>4597</v>
      </c>
      <c r="G1124" s="28" t="s">
        <v>4598</v>
      </c>
      <c r="H1124" s="28" t="s">
        <v>4599</v>
      </c>
      <c r="I1124" s="28" t="s">
        <v>516</v>
      </c>
      <c r="J1124" s="28" t="s">
        <v>517</v>
      </c>
      <c r="K1124" s="28" t="s">
        <v>518</v>
      </c>
      <c r="L1124" s="28" t="s">
        <v>1856</v>
      </c>
      <c r="M1124" s="28" t="s">
        <v>520</v>
      </c>
      <c r="N1124" s="28" t="s">
        <v>557</v>
      </c>
      <c r="O1124" s="28" t="s">
        <v>559</v>
      </c>
      <c r="S1124" s="28" t="s">
        <v>3949</v>
      </c>
      <c r="T1124" s="28" t="s">
        <v>1918</v>
      </c>
      <c r="U1124" s="28" t="s">
        <v>1857</v>
      </c>
      <c r="V1124" s="28" t="s">
        <v>517</v>
      </c>
      <c r="W1124" s="28" t="s">
        <v>4600</v>
      </c>
      <c r="X1124" s="28" t="s">
        <v>670</v>
      </c>
      <c r="Z1124" s="118" t="s">
        <v>563</v>
      </c>
      <c r="AA1124" s="118"/>
      <c r="AB1124" s="118" t="s">
        <v>527</v>
      </c>
      <c r="AD1124" s="28" t="s">
        <v>528</v>
      </c>
      <c r="AF1124" s="117" t="s">
        <v>4601</v>
      </c>
      <c r="AG1124" s="28" t="s">
        <v>563</v>
      </c>
      <c r="AK1124" s="60" t="s">
        <v>2927</v>
      </c>
      <c r="AL1124" s="117">
        <f>1/COUNTIF(Tableau6[LAT],B1124)</f>
        <v>0.2</v>
      </c>
      <c r="AM1124" s="60" t="b">
        <f t="shared" si="122"/>
        <v>0</v>
      </c>
      <c r="AN1124" s="60" t="b">
        <f t="shared" si="123"/>
        <v>0</v>
      </c>
      <c r="AO1124" s="60" t="b">
        <f t="shared" si="124"/>
        <v>0</v>
      </c>
      <c r="AP1124" s="60" t="b">
        <f t="shared" si="125"/>
        <v>0</v>
      </c>
      <c r="AQ1124" s="60" t="b">
        <f t="shared" si="126"/>
        <v>0</v>
      </c>
      <c r="AR1124" s="60" t="str">
        <f t="shared" si="127"/>
        <v>No</v>
      </c>
      <c r="AS1124" s="60" t="str">
        <f t="shared" si="128"/>
        <v>No</v>
      </c>
    </row>
    <row r="1125" spans="1:45" ht="15" hidden="1">
      <c r="A1125" s="103">
        <v>45244</v>
      </c>
      <c r="B1125" s="117" t="s">
        <v>4582</v>
      </c>
      <c r="C1125" s="28" t="s">
        <v>861</v>
      </c>
      <c r="D1125" s="28" t="s">
        <v>4602</v>
      </c>
      <c r="E1125" s="28" t="s">
        <v>4603</v>
      </c>
      <c r="F1125" s="28" t="s">
        <v>4604</v>
      </c>
      <c r="G1125" s="28" t="s">
        <v>4567</v>
      </c>
      <c r="H1125" s="28" t="s">
        <v>4605</v>
      </c>
      <c r="I1125" s="28" t="s">
        <v>516</v>
      </c>
      <c r="J1125" s="28" t="s">
        <v>517</v>
      </c>
      <c r="K1125" s="28" t="s">
        <v>518</v>
      </c>
      <c r="L1125" s="28" t="s">
        <v>1856</v>
      </c>
      <c r="M1125" s="28" t="s">
        <v>520</v>
      </c>
      <c r="N1125" s="28" t="s">
        <v>557</v>
      </c>
      <c r="O1125" s="28" t="s">
        <v>559</v>
      </c>
      <c r="S1125" s="28" t="s">
        <v>3949</v>
      </c>
      <c r="T1125" s="28" t="s">
        <v>1918</v>
      </c>
      <c r="U1125" s="28" t="s">
        <v>1857</v>
      </c>
      <c r="V1125" s="28" t="s">
        <v>517</v>
      </c>
      <c r="W1125" s="28" t="s">
        <v>4606</v>
      </c>
      <c r="X1125" s="28" t="s">
        <v>670</v>
      </c>
      <c r="Z1125" s="118" t="s">
        <v>563</v>
      </c>
      <c r="AA1125" s="118"/>
      <c r="AB1125" s="118" t="s">
        <v>527</v>
      </c>
      <c r="AD1125" s="28" t="s">
        <v>528</v>
      </c>
      <c r="AF1125" s="117" t="s">
        <v>4595</v>
      </c>
      <c r="AG1125" s="28" t="s">
        <v>563</v>
      </c>
      <c r="AK1125" s="60" t="s">
        <v>2927</v>
      </c>
      <c r="AL1125" s="117">
        <f>1/COUNTIF(Tableau6[LAT],B1125)</f>
        <v>0.2</v>
      </c>
      <c r="AM1125" s="60" t="b">
        <f t="shared" si="122"/>
        <v>0</v>
      </c>
      <c r="AN1125" s="60" t="b">
        <f t="shared" si="123"/>
        <v>0</v>
      </c>
      <c r="AO1125" s="60" t="b">
        <f t="shared" si="124"/>
        <v>0</v>
      </c>
      <c r="AP1125" s="60" t="b">
        <f t="shared" si="125"/>
        <v>0</v>
      </c>
      <c r="AQ1125" s="60" t="b">
        <f t="shared" si="126"/>
        <v>0</v>
      </c>
      <c r="AR1125" s="60" t="str">
        <f t="shared" si="127"/>
        <v>No</v>
      </c>
      <c r="AS1125" s="60" t="str">
        <f t="shared" si="128"/>
        <v>No</v>
      </c>
    </row>
    <row r="1126" spans="1:45" ht="15" hidden="1">
      <c r="A1126" s="103">
        <v>45244</v>
      </c>
      <c r="B1126" s="117" t="s">
        <v>4582</v>
      </c>
      <c r="D1126" s="28" t="s">
        <v>4607</v>
      </c>
      <c r="E1126" s="28" t="s">
        <v>4608</v>
      </c>
      <c r="F1126" s="28" t="s">
        <v>4604</v>
      </c>
      <c r="G1126" s="28" t="s">
        <v>4567</v>
      </c>
      <c r="H1126" s="28" t="s">
        <v>4605</v>
      </c>
      <c r="I1126" s="28" t="s">
        <v>516</v>
      </c>
      <c r="J1126" s="28" t="s">
        <v>517</v>
      </c>
      <c r="K1126" s="28" t="s">
        <v>518</v>
      </c>
      <c r="L1126" s="28" t="s">
        <v>1856</v>
      </c>
      <c r="M1126" s="28" t="s">
        <v>520</v>
      </c>
      <c r="N1126" s="28" t="s">
        <v>557</v>
      </c>
      <c r="O1126" s="28" t="s">
        <v>559</v>
      </c>
      <c r="S1126" s="28" t="s">
        <v>3949</v>
      </c>
      <c r="T1126" s="28" t="s">
        <v>1918</v>
      </c>
      <c r="U1126" s="28" t="s">
        <v>1857</v>
      </c>
      <c r="V1126" s="28" t="s">
        <v>517</v>
      </c>
      <c r="W1126" s="28" t="s">
        <v>4609</v>
      </c>
      <c r="X1126" s="28" t="s">
        <v>670</v>
      </c>
      <c r="Z1126" s="118" t="s">
        <v>563</v>
      </c>
      <c r="AA1126" s="118"/>
      <c r="AB1126" s="118" t="s">
        <v>527</v>
      </c>
      <c r="AD1126" s="28" t="s">
        <v>528</v>
      </c>
      <c r="AF1126" s="117" t="s">
        <v>4583</v>
      </c>
      <c r="AG1126" s="28" t="s">
        <v>563</v>
      </c>
      <c r="AK1126" s="60" t="s">
        <v>2927</v>
      </c>
      <c r="AL1126" s="117">
        <f>1/COUNTIF(Tableau6[LAT],B1126)</f>
        <v>0.2</v>
      </c>
      <c r="AM1126" s="60" t="b">
        <f t="shared" si="122"/>
        <v>0</v>
      </c>
      <c r="AN1126" s="60" t="b">
        <f t="shared" si="123"/>
        <v>0</v>
      </c>
      <c r="AO1126" s="60" t="b">
        <f t="shared" si="124"/>
        <v>0</v>
      </c>
      <c r="AP1126" s="60" t="b">
        <f t="shared" si="125"/>
        <v>0</v>
      </c>
      <c r="AQ1126" s="60" t="b">
        <f t="shared" si="126"/>
        <v>0</v>
      </c>
      <c r="AR1126" s="60" t="str">
        <f t="shared" si="127"/>
        <v>No</v>
      </c>
      <c r="AS1126" s="60" t="str">
        <f t="shared" si="128"/>
        <v>No</v>
      </c>
    </row>
    <row r="1127" spans="1:45" ht="15" hidden="1">
      <c r="A1127" s="103">
        <v>45244</v>
      </c>
      <c r="B1127" s="117" t="s">
        <v>4610</v>
      </c>
      <c r="C1127" s="28" t="s">
        <v>511</v>
      </c>
      <c r="D1127" s="28" t="s">
        <v>4611</v>
      </c>
      <c r="F1127" s="28" t="s">
        <v>703</v>
      </c>
      <c r="G1127" s="28" t="s">
        <v>4612</v>
      </c>
      <c r="H1127" s="28" t="s">
        <v>1394</v>
      </c>
      <c r="I1127" s="28" t="s">
        <v>516</v>
      </c>
      <c r="J1127" s="28" t="s">
        <v>517</v>
      </c>
      <c r="K1127" s="28" t="s">
        <v>518</v>
      </c>
      <c r="L1127" s="28" t="s">
        <v>2147</v>
      </c>
      <c r="M1127" s="28" t="s">
        <v>520</v>
      </c>
      <c r="N1127" s="28" t="s">
        <v>1414</v>
      </c>
      <c r="O1127" s="28" t="s">
        <v>3902</v>
      </c>
      <c r="P1127" s="28" t="s">
        <v>559</v>
      </c>
      <c r="S1127" s="28" t="s">
        <v>740</v>
      </c>
      <c r="T1127" s="28" t="s">
        <v>1918</v>
      </c>
      <c r="U1127" s="28" t="s">
        <v>733</v>
      </c>
      <c r="V1127" s="28" t="s">
        <v>517</v>
      </c>
      <c r="W1127" s="28" t="s">
        <v>4613</v>
      </c>
      <c r="Z1127" s="118" t="s">
        <v>563</v>
      </c>
      <c r="AA1127" s="118"/>
      <c r="AB1127" s="118" t="s">
        <v>3904</v>
      </c>
      <c r="AD1127" s="28" t="s">
        <v>528</v>
      </c>
      <c r="AF1127" s="117" t="s">
        <v>4611</v>
      </c>
      <c r="AG1127" s="28" t="s">
        <v>529</v>
      </c>
      <c r="AK1127" s="60" t="s">
        <v>2927</v>
      </c>
      <c r="AL1127" s="117">
        <f>1/COUNTIF(Tableau6[LAT],B1127)</f>
        <v>1</v>
      </c>
      <c r="AM1127" s="60" t="str">
        <f t="shared" si="122"/>
        <v>Yes</v>
      </c>
      <c r="AN1127" s="60" t="str">
        <f t="shared" si="123"/>
        <v>Yes</v>
      </c>
      <c r="AO1127" s="60" t="b">
        <f t="shared" si="124"/>
        <v>0</v>
      </c>
      <c r="AP1127" s="60" t="b">
        <f t="shared" si="125"/>
        <v>0</v>
      </c>
      <c r="AQ1127" s="60" t="b">
        <f t="shared" si="126"/>
        <v>0</v>
      </c>
      <c r="AR1127" s="60" t="str">
        <f t="shared" si="127"/>
        <v>Yes</v>
      </c>
      <c r="AS1127" s="60" t="str">
        <f t="shared" si="128"/>
        <v>No</v>
      </c>
    </row>
    <row r="1128" spans="1:45" ht="15" hidden="1">
      <c r="A1128" s="103">
        <v>45244</v>
      </c>
      <c r="B1128" s="117" t="s">
        <v>4614</v>
      </c>
      <c r="C1128" s="28" t="s">
        <v>511</v>
      </c>
      <c r="D1128" s="28" t="s">
        <v>4615</v>
      </c>
      <c r="F1128" s="28" t="s">
        <v>4616</v>
      </c>
      <c r="G1128" s="28" t="s">
        <v>514</v>
      </c>
      <c r="H1128" s="28" t="s">
        <v>2985</v>
      </c>
      <c r="I1128" s="28" t="s">
        <v>516</v>
      </c>
      <c r="J1128" s="28" t="s">
        <v>517</v>
      </c>
      <c r="K1128" s="28" t="s">
        <v>518</v>
      </c>
      <c r="L1128" s="28" t="s">
        <v>1199</v>
      </c>
      <c r="M1128" s="28" t="s">
        <v>605</v>
      </c>
      <c r="N1128" s="28" t="s">
        <v>557</v>
      </c>
      <c r="O1128" s="28" t="s">
        <v>522</v>
      </c>
      <c r="S1128" s="28" t="s">
        <v>1581</v>
      </c>
      <c r="T1128" s="28" t="s">
        <v>651</v>
      </c>
      <c r="U1128" s="28" t="s">
        <v>651</v>
      </c>
      <c r="V1128" s="28" t="s">
        <v>517</v>
      </c>
      <c r="W1128" s="28" t="s">
        <v>4617</v>
      </c>
      <c r="Z1128" s="118" t="s">
        <v>526</v>
      </c>
      <c r="AA1128" s="118"/>
      <c r="AB1128" s="118"/>
      <c r="AD1128" s="28" t="s">
        <v>528</v>
      </c>
      <c r="AF1128" s="117" t="s">
        <v>4615</v>
      </c>
      <c r="AG1128" s="28" t="s">
        <v>529</v>
      </c>
      <c r="AK1128" s="60" t="s">
        <v>2927</v>
      </c>
      <c r="AL1128" s="117">
        <f>1/COUNTIF(Tableau6[LAT],B1128)</f>
        <v>1</v>
      </c>
      <c r="AM1128" s="60" t="b">
        <f t="shared" si="122"/>
        <v>0</v>
      </c>
      <c r="AN1128" s="60" t="b">
        <f t="shared" si="123"/>
        <v>0</v>
      </c>
      <c r="AO1128" s="60" t="b">
        <f t="shared" si="124"/>
        <v>0</v>
      </c>
      <c r="AP1128" s="60" t="b">
        <f t="shared" si="125"/>
        <v>0</v>
      </c>
      <c r="AQ1128" s="60" t="b">
        <f t="shared" si="126"/>
        <v>0</v>
      </c>
      <c r="AR1128" s="60" t="str">
        <f t="shared" si="127"/>
        <v>No</v>
      </c>
      <c r="AS1128" s="60" t="str">
        <f t="shared" si="128"/>
        <v>No</v>
      </c>
    </row>
    <row r="1129" spans="1:45" ht="15" hidden="1">
      <c r="A1129" s="103">
        <v>45244</v>
      </c>
      <c r="B1129" s="117" t="s">
        <v>4618</v>
      </c>
      <c r="C1129" s="28" t="s">
        <v>511</v>
      </c>
      <c r="D1129" s="28" t="s">
        <v>4619</v>
      </c>
      <c r="F1129" s="28" t="s">
        <v>2745</v>
      </c>
      <c r="G1129" s="28" t="s">
        <v>514</v>
      </c>
      <c r="H1129" s="28" t="s">
        <v>4452</v>
      </c>
      <c r="I1129" s="28" t="s">
        <v>516</v>
      </c>
      <c r="J1129" s="28" t="s">
        <v>517</v>
      </c>
      <c r="K1129" s="28" t="s">
        <v>518</v>
      </c>
      <c r="L1129" s="28" t="s">
        <v>1269</v>
      </c>
      <c r="M1129" s="28" t="s">
        <v>535</v>
      </c>
      <c r="N1129" s="28" t="s">
        <v>544</v>
      </c>
      <c r="O1129" s="28" t="s">
        <v>522</v>
      </c>
      <c r="S1129" s="28" t="s">
        <v>699</v>
      </c>
      <c r="T1129" s="28" t="s">
        <v>896</v>
      </c>
      <c r="U1129" s="28" t="s">
        <v>1041</v>
      </c>
      <c r="V1129" s="28" t="s">
        <v>517</v>
      </c>
      <c r="W1129" s="28" t="s">
        <v>1271</v>
      </c>
      <c r="Z1129" s="118" t="s">
        <v>563</v>
      </c>
      <c r="AA1129" s="118"/>
      <c r="AB1129" s="118" t="s">
        <v>527</v>
      </c>
      <c r="AD1129" s="28" t="s">
        <v>954</v>
      </c>
      <c r="AF1129" s="117" t="s">
        <v>4619</v>
      </c>
      <c r="AG1129" s="28" t="s">
        <v>563</v>
      </c>
      <c r="AK1129" s="60" t="s">
        <v>2927</v>
      </c>
      <c r="AL1129" s="117">
        <f>1/COUNTIF(Tableau6[LAT],B1129)</f>
        <v>1</v>
      </c>
      <c r="AM1129" s="60" t="b">
        <f t="shared" si="122"/>
        <v>0</v>
      </c>
      <c r="AN1129" s="60" t="b">
        <f t="shared" si="123"/>
        <v>0</v>
      </c>
      <c r="AO1129" s="60" t="b">
        <f t="shared" si="124"/>
        <v>0</v>
      </c>
      <c r="AP1129" s="60" t="b">
        <f t="shared" si="125"/>
        <v>0</v>
      </c>
      <c r="AQ1129" s="60" t="b">
        <f t="shared" si="126"/>
        <v>0</v>
      </c>
      <c r="AR1129" s="60" t="str">
        <f t="shared" si="127"/>
        <v>No</v>
      </c>
      <c r="AS1129" s="60" t="str">
        <f t="shared" si="128"/>
        <v>No</v>
      </c>
    </row>
    <row r="1130" spans="1:45" ht="15" hidden="1">
      <c r="A1130" s="103">
        <v>45244</v>
      </c>
      <c r="B1130" s="117" t="s">
        <v>4620</v>
      </c>
      <c r="C1130" s="28" t="s">
        <v>511</v>
      </c>
      <c r="D1130" s="28" t="s">
        <v>4621</v>
      </c>
      <c r="F1130" s="28" t="s">
        <v>4622</v>
      </c>
      <c r="G1130" s="28" t="s">
        <v>514</v>
      </c>
      <c r="H1130" s="28" t="s">
        <v>1123</v>
      </c>
      <c r="I1130" s="28" t="s">
        <v>516</v>
      </c>
      <c r="J1130" s="28" t="s">
        <v>517</v>
      </c>
      <c r="K1130" s="28" t="s">
        <v>518</v>
      </c>
      <c r="L1130" s="28" t="s">
        <v>1199</v>
      </c>
      <c r="M1130" s="28" t="s">
        <v>605</v>
      </c>
      <c r="N1130" s="28" t="s">
        <v>557</v>
      </c>
      <c r="O1130" s="28" t="s">
        <v>522</v>
      </c>
      <c r="S1130" s="28" t="s">
        <v>718</v>
      </c>
      <c r="T1130" s="28" t="s">
        <v>651</v>
      </c>
      <c r="U1130" s="28" t="s">
        <v>651</v>
      </c>
      <c r="V1130" s="28" t="s">
        <v>517</v>
      </c>
      <c r="W1130" s="28" t="s">
        <v>4623</v>
      </c>
      <c r="Z1130" s="118" t="s">
        <v>526</v>
      </c>
      <c r="AA1130" s="118"/>
      <c r="AB1130" s="118"/>
      <c r="AD1130" s="28" t="s">
        <v>954</v>
      </c>
      <c r="AF1130" s="117" t="s">
        <v>4621</v>
      </c>
      <c r="AG1130" s="28" t="s">
        <v>563</v>
      </c>
      <c r="AK1130" s="60" t="s">
        <v>2927</v>
      </c>
      <c r="AL1130" s="117">
        <f>1/COUNTIF(Tableau6[LAT],B1130)</f>
        <v>1</v>
      </c>
      <c r="AM1130" s="60" t="b">
        <f t="shared" si="122"/>
        <v>0</v>
      </c>
      <c r="AN1130" s="60" t="b">
        <f t="shared" si="123"/>
        <v>0</v>
      </c>
      <c r="AO1130" s="60" t="b">
        <f t="shared" si="124"/>
        <v>0</v>
      </c>
      <c r="AP1130" s="60" t="b">
        <f t="shared" si="125"/>
        <v>0</v>
      </c>
      <c r="AQ1130" s="60" t="b">
        <f t="shared" si="126"/>
        <v>0</v>
      </c>
      <c r="AR1130" s="60" t="str">
        <f t="shared" si="127"/>
        <v>No</v>
      </c>
      <c r="AS1130" s="60" t="str">
        <f t="shared" si="128"/>
        <v>No</v>
      </c>
    </row>
    <row r="1131" spans="1:45" ht="15" hidden="1">
      <c r="A1131" s="103">
        <v>45244</v>
      </c>
      <c r="B1131" s="117" t="s">
        <v>4624</v>
      </c>
      <c r="C1131" s="28" t="s">
        <v>511</v>
      </c>
      <c r="D1131" s="28" t="s">
        <v>4625</v>
      </c>
      <c r="F1131" s="28" t="s">
        <v>4626</v>
      </c>
      <c r="G1131" s="28" t="s">
        <v>514</v>
      </c>
      <c r="H1131" s="28" t="s">
        <v>1340</v>
      </c>
      <c r="I1131" s="28" t="s">
        <v>516</v>
      </c>
      <c r="J1131" s="28" t="s">
        <v>517</v>
      </c>
      <c r="K1131" s="28" t="s">
        <v>518</v>
      </c>
      <c r="L1131" s="28" t="s">
        <v>1032</v>
      </c>
      <c r="M1131" s="28" t="s">
        <v>520</v>
      </c>
      <c r="N1131" s="28" t="s">
        <v>619</v>
      </c>
      <c r="O1131" s="28" t="s">
        <v>557</v>
      </c>
      <c r="S1131" s="28" t="s">
        <v>1014</v>
      </c>
      <c r="T1131" s="28" t="s">
        <v>545</v>
      </c>
      <c r="U1131" s="28" t="s">
        <v>545</v>
      </c>
      <c r="V1131" s="28" t="s">
        <v>517</v>
      </c>
      <c r="W1131" s="28" t="s">
        <v>4627</v>
      </c>
      <c r="Z1131" s="118" t="s">
        <v>563</v>
      </c>
      <c r="AA1131" s="118"/>
      <c r="AB1131" s="118" t="s">
        <v>527</v>
      </c>
      <c r="AD1131" s="28" t="s">
        <v>954</v>
      </c>
      <c r="AF1131" s="117" t="s">
        <v>4625</v>
      </c>
      <c r="AG1131" s="28" t="s">
        <v>563</v>
      </c>
      <c r="AK1131" s="60" t="s">
        <v>2927</v>
      </c>
      <c r="AL1131" s="117">
        <f>1/COUNTIF(Tableau6[LAT],B1131)</f>
        <v>0.5</v>
      </c>
      <c r="AM1131" s="60" t="b">
        <f t="shared" si="122"/>
        <v>0</v>
      </c>
      <c r="AN1131" s="60" t="b">
        <f t="shared" si="123"/>
        <v>0</v>
      </c>
      <c r="AO1131" s="60" t="b">
        <f t="shared" si="124"/>
        <v>0</v>
      </c>
      <c r="AP1131" s="60" t="b">
        <f t="shared" si="125"/>
        <v>0</v>
      </c>
      <c r="AQ1131" s="60" t="b">
        <f t="shared" si="126"/>
        <v>0</v>
      </c>
      <c r="AR1131" s="60" t="str">
        <f t="shared" si="127"/>
        <v>No</v>
      </c>
      <c r="AS1131" s="60" t="str">
        <f t="shared" si="128"/>
        <v>No</v>
      </c>
    </row>
    <row r="1132" spans="1:45" ht="15" hidden="1">
      <c r="A1132" s="103">
        <v>45244</v>
      </c>
      <c r="B1132" s="117" t="s">
        <v>4624</v>
      </c>
      <c r="C1132" s="28" t="s">
        <v>548</v>
      </c>
      <c r="D1132" s="28" t="s">
        <v>4628</v>
      </c>
      <c r="F1132" s="28" t="s">
        <v>4626</v>
      </c>
      <c r="G1132" s="28" t="s">
        <v>514</v>
      </c>
      <c r="H1132" s="28" t="s">
        <v>2175</v>
      </c>
      <c r="I1132" s="28" t="s">
        <v>516</v>
      </c>
      <c r="J1132" s="28" t="s">
        <v>517</v>
      </c>
      <c r="K1132" s="28" t="s">
        <v>518</v>
      </c>
      <c r="L1132" s="28" t="s">
        <v>1032</v>
      </c>
      <c r="M1132" s="28" t="s">
        <v>520</v>
      </c>
      <c r="N1132" s="28" t="s">
        <v>619</v>
      </c>
      <c r="O1132" s="28" t="s">
        <v>557</v>
      </c>
      <c r="S1132" s="28" t="s">
        <v>1014</v>
      </c>
      <c r="T1132" s="28" t="s">
        <v>545</v>
      </c>
      <c r="U1132" s="28" t="s">
        <v>545</v>
      </c>
      <c r="V1132" s="28" t="s">
        <v>517</v>
      </c>
      <c r="W1132" s="28" t="s">
        <v>4629</v>
      </c>
      <c r="Z1132" s="118" t="s">
        <v>563</v>
      </c>
      <c r="AA1132" s="118"/>
      <c r="AB1132" s="118" t="s">
        <v>527</v>
      </c>
      <c r="AD1132" s="28" t="s">
        <v>954</v>
      </c>
      <c r="AF1132" s="117" t="s">
        <v>4625</v>
      </c>
      <c r="AG1132" s="28" t="s">
        <v>563</v>
      </c>
      <c r="AK1132" s="60" t="s">
        <v>2927</v>
      </c>
      <c r="AL1132" s="117">
        <f>1/COUNTIF(Tableau6[LAT],B1132)</f>
        <v>0.5</v>
      </c>
      <c r="AM1132" s="60" t="b">
        <f t="shared" si="122"/>
        <v>0</v>
      </c>
      <c r="AN1132" s="60" t="b">
        <f t="shared" si="123"/>
        <v>0</v>
      </c>
      <c r="AO1132" s="60" t="b">
        <f t="shared" si="124"/>
        <v>0</v>
      </c>
      <c r="AP1132" s="60" t="b">
        <f t="shared" si="125"/>
        <v>0</v>
      </c>
      <c r="AQ1132" s="60" t="b">
        <f t="shared" si="126"/>
        <v>0</v>
      </c>
      <c r="AR1132" s="60" t="str">
        <f t="shared" si="127"/>
        <v>No</v>
      </c>
      <c r="AS1132" s="60" t="str">
        <f t="shared" si="128"/>
        <v>No</v>
      </c>
    </row>
    <row r="1133" spans="1:45" ht="15" hidden="1">
      <c r="A1133" s="103">
        <v>45244</v>
      </c>
      <c r="B1133" s="117" t="s">
        <v>4630</v>
      </c>
      <c r="C1133" s="28" t="s">
        <v>511</v>
      </c>
      <c r="D1133" s="28" t="s">
        <v>4631</v>
      </c>
      <c r="F1133" s="28" t="s">
        <v>4632</v>
      </c>
      <c r="G1133" s="28" t="s">
        <v>514</v>
      </c>
      <c r="H1133" s="28" t="s">
        <v>3819</v>
      </c>
      <c r="I1133" s="28" t="s">
        <v>516</v>
      </c>
      <c r="J1133" s="28" t="s">
        <v>517</v>
      </c>
      <c r="K1133" s="28" t="s">
        <v>518</v>
      </c>
      <c r="L1133" s="28" t="s">
        <v>1491</v>
      </c>
      <c r="M1133" s="28" t="s">
        <v>520</v>
      </c>
      <c r="N1133" s="28" t="s">
        <v>1492</v>
      </c>
      <c r="S1133" s="28" t="s">
        <v>752</v>
      </c>
      <c r="T1133" s="28" t="s">
        <v>1494</v>
      </c>
      <c r="U1133" s="28" t="s">
        <v>1494</v>
      </c>
      <c r="V1133" s="28" t="s">
        <v>517</v>
      </c>
      <c r="W1133" s="28" t="s">
        <v>4633</v>
      </c>
      <c r="Z1133" s="118" t="s">
        <v>563</v>
      </c>
      <c r="AA1133" s="118"/>
      <c r="AB1133" s="118" t="s">
        <v>527</v>
      </c>
      <c r="AD1133" s="28" t="s">
        <v>528</v>
      </c>
      <c r="AF1133" s="117" t="s">
        <v>4631</v>
      </c>
      <c r="AG1133" s="28" t="s">
        <v>563</v>
      </c>
      <c r="AK1133" s="60" t="s">
        <v>2927</v>
      </c>
      <c r="AL1133" s="117">
        <f>1/COUNTIF(Tableau6[LAT],B1133)</f>
        <v>0.5</v>
      </c>
      <c r="AM1133" s="60" t="b">
        <f t="shared" si="122"/>
        <v>0</v>
      </c>
      <c r="AN1133" s="60" t="b">
        <f t="shared" si="123"/>
        <v>0</v>
      </c>
      <c r="AO1133" s="60" t="b">
        <f t="shared" si="124"/>
        <v>0</v>
      </c>
      <c r="AP1133" s="60" t="b">
        <f t="shared" si="125"/>
        <v>0</v>
      </c>
      <c r="AQ1133" s="60" t="b">
        <f t="shared" si="126"/>
        <v>0</v>
      </c>
      <c r="AR1133" s="60" t="str">
        <f t="shared" si="127"/>
        <v>No</v>
      </c>
      <c r="AS1133" s="60" t="str">
        <f t="shared" si="128"/>
        <v>No</v>
      </c>
    </row>
    <row r="1134" spans="1:45" ht="15" hidden="1">
      <c r="A1134" s="103">
        <v>45244</v>
      </c>
      <c r="B1134" s="117" t="s">
        <v>4630</v>
      </c>
      <c r="C1134" s="28" t="s">
        <v>548</v>
      </c>
      <c r="D1134" s="28" t="s">
        <v>4634</v>
      </c>
      <c r="E1134" s="28" t="s">
        <v>4082</v>
      </c>
      <c r="F1134" s="28" t="s">
        <v>4635</v>
      </c>
      <c r="G1134" s="28" t="s">
        <v>958</v>
      </c>
      <c r="H1134" s="28" t="s">
        <v>2524</v>
      </c>
      <c r="I1134" s="28" t="s">
        <v>516</v>
      </c>
      <c r="J1134" s="28" t="s">
        <v>517</v>
      </c>
      <c r="K1134" s="28" t="s">
        <v>518</v>
      </c>
      <c r="L1134" s="28" t="s">
        <v>1491</v>
      </c>
      <c r="M1134" s="28" t="s">
        <v>520</v>
      </c>
      <c r="N1134" s="28" t="s">
        <v>1492</v>
      </c>
      <c r="S1134" s="28" t="s">
        <v>752</v>
      </c>
      <c r="T1134" s="28" t="s">
        <v>1494</v>
      </c>
      <c r="U1134" s="28" t="s">
        <v>1494</v>
      </c>
      <c r="V1134" s="28" t="s">
        <v>517</v>
      </c>
      <c r="W1134" s="28" t="s">
        <v>4085</v>
      </c>
      <c r="X1134" s="28" t="s">
        <v>1418</v>
      </c>
      <c r="Z1134" s="118" t="s">
        <v>563</v>
      </c>
      <c r="AA1134" s="118"/>
      <c r="AB1134" s="118" t="s">
        <v>527</v>
      </c>
      <c r="AD1134" s="28" t="s">
        <v>528</v>
      </c>
      <c r="AF1134" s="117" t="s">
        <v>4634</v>
      </c>
      <c r="AG1134" s="28" t="s">
        <v>563</v>
      </c>
      <c r="AK1134" s="60" t="s">
        <v>2927</v>
      </c>
      <c r="AL1134" s="117">
        <f>1/COUNTIF(Tableau6[LAT],B1134)</f>
        <v>0.5</v>
      </c>
      <c r="AM1134" s="60" t="b">
        <f t="shared" si="122"/>
        <v>0</v>
      </c>
      <c r="AN1134" s="60" t="b">
        <f t="shared" si="123"/>
        <v>0</v>
      </c>
      <c r="AO1134" s="60" t="b">
        <f t="shared" si="124"/>
        <v>0</v>
      </c>
      <c r="AP1134" s="60" t="b">
        <f t="shared" si="125"/>
        <v>0</v>
      </c>
      <c r="AQ1134" s="60" t="b">
        <f t="shared" si="126"/>
        <v>0</v>
      </c>
      <c r="AR1134" s="60" t="str">
        <f t="shared" si="127"/>
        <v>No</v>
      </c>
      <c r="AS1134" s="60" t="str">
        <f t="shared" si="128"/>
        <v>No</v>
      </c>
    </row>
    <row r="1135" spans="1:45" ht="15" hidden="1">
      <c r="A1135" s="103">
        <v>45244</v>
      </c>
      <c r="B1135" s="117" t="s">
        <v>4636</v>
      </c>
      <c r="C1135" s="28" t="s">
        <v>511</v>
      </c>
      <c r="D1135" s="28" t="s">
        <v>4637</v>
      </c>
      <c r="F1135" s="28" t="s">
        <v>4638</v>
      </c>
      <c r="G1135" s="28" t="s">
        <v>1163</v>
      </c>
      <c r="H1135" s="28" t="s">
        <v>1580</v>
      </c>
      <c r="I1135" s="28" t="s">
        <v>516</v>
      </c>
      <c r="J1135" s="28" t="s">
        <v>517</v>
      </c>
      <c r="K1135" s="28" t="s">
        <v>518</v>
      </c>
      <c r="L1135" s="28" t="s">
        <v>2662</v>
      </c>
      <c r="M1135" s="28" t="s">
        <v>535</v>
      </c>
      <c r="N1135" s="28" t="s">
        <v>619</v>
      </c>
      <c r="O1135" s="28" t="s">
        <v>521</v>
      </c>
      <c r="P1135" s="28" t="s">
        <v>522</v>
      </c>
      <c r="S1135" s="28" t="s">
        <v>560</v>
      </c>
      <c r="T1135" s="28" t="s">
        <v>2663</v>
      </c>
      <c r="U1135" s="28" t="s">
        <v>2663</v>
      </c>
      <c r="V1135" s="28" t="s">
        <v>517</v>
      </c>
      <c r="W1135" s="28" t="s">
        <v>4015</v>
      </c>
      <c r="Z1135" s="118" t="s">
        <v>563</v>
      </c>
      <c r="AA1135" s="118"/>
      <c r="AB1135" s="118" t="s">
        <v>527</v>
      </c>
      <c r="AD1135" s="28" t="s">
        <v>528</v>
      </c>
      <c r="AF1135" s="117" t="s">
        <v>4637</v>
      </c>
      <c r="AG1135" s="28" t="s">
        <v>563</v>
      </c>
      <c r="AK1135" s="60" t="s">
        <v>2927</v>
      </c>
      <c r="AL1135" s="117">
        <f>1/COUNTIF(Tableau6[LAT],B1135)</f>
        <v>0.5</v>
      </c>
      <c r="AM1135" s="60" t="b">
        <f t="shared" si="122"/>
        <v>0</v>
      </c>
      <c r="AN1135" s="60" t="b">
        <f t="shared" si="123"/>
        <v>0</v>
      </c>
      <c r="AO1135" s="60" t="b">
        <f t="shared" si="124"/>
        <v>0</v>
      </c>
      <c r="AP1135" s="60" t="b">
        <f t="shared" si="125"/>
        <v>0</v>
      </c>
      <c r="AQ1135" s="60" t="b">
        <f t="shared" si="126"/>
        <v>0</v>
      </c>
      <c r="AR1135" s="60" t="str">
        <f t="shared" si="127"/>
        <v>No</v>
      </c>
      <c r="AS1135" s="60" t="str">
        <f t="shared" si="128"/>
        <v>No</v>
      </c>
    </row>
    <row r="1136" spans="1:45" ht="15" hidden="1">
      <c r="A1136" s="103">
        <v>45244</v>
      </c>
      <c r="B1136" s="117" t="s">
        <v>4636</v>
      </c>
      <c r="C1136" s="28" t="s">
        <v>548</v>
      </c>
      <c r="D1136" s="28" t="s">
        <v>4639</v>
      </c>
      <c r="F1136" s="28" t="s">
        <v>4640</v>
      </c>
      <c r="G1136" s="28" t="s">
        <v>4641</v>
      </c>
      <c r="H1136" s="28" t="s">
        <v>952</v>
      </c>
      <c r="I1136" s="28" t="s">
        <v>516</v>
      </c>
      <c r="J1136" s="28" t="s">
        <v>517</v>
      </c>
      <c r="K1136" s="28" t="s">
        <v>518</v>
      </c>
      <c r="L1136" s="28" t="s">
        <v>2662</v>
      </c>
      <c r="M1136" s="28" t="s">
        <v>535</v>
      </c>
      <c r="N1136" s="28" t="s">
        <v>521</v>
      </c>
      <c r="O1136" s="28" t="s">
        <v>522</v>
      </c>
      <c r="S1136" s="28" t="s">
        <v>560</v>
      </c>
      <c r="T1136" s="28" t="s">
        <v>2663</v>
      </c>
      <c r="U1136" s="28" t="s">
        <v>2663</v>
      </c>
      <c r="V1136" s="28" t="s">
        <v>517</v>
      </c>
      <c r="W1136" s="28" t="s">
        <v>4015</v>
      </c>
      <c r="Z1136" s="118" t="s">
        <v>563</v>
      </c>
      <c r="AA1136" s="118"/>
      <c r="AB1136" s="118" t="s">
        <v>527</v>
      </c>
      <c r="AD1136" s="28" t="s">
        <v>528</v>
      </c>
      <c r="AF1136" s="117" t="s">
        <v>4639</v>
      </c>
      <c r="AG1136" s="28" t="s">
        <v>563</v>
      </c>
      <c r="AK1136" s="60" t="s">
        <v>2927</v>
      </c>
      <c r="AL1136" s="117">
        <f>1/COUNTIF(Tableau6[LAT],B1136)</f>
        <v>0.5</v>
      </c>
      <c r="AM1136" s="60" t="b">
        <f t="shared" si="122"/>
        <v>0</v>
      </c>
      <c r="AN1136" s="60" t="b">
        <f t="shared" si="123"/>
        <v>0</v>
      </c>
      <c r="AO1136" s="60" t="b">
        <f t="shared" si="124"/>
        <v>0</v>
      </c>
      <c r="AP1136" s="60" t="b">
        <f t="shared" si="125"/>
        <v>0</v>
      </c>
      <c r="AQ1136" s="60" t="b">
        <f t="shared" si="126"/>
        <v>0</v>
      </c>
      <c r="AR1136" s="60" t="str">
        <f t="shared" si="127"/>
        <v>No</v>
      </c>
      <c r="AS1136" s="60" t="str">
        <f t="shared" si="128"/>
        <v>No</v>
      </c>
    </row>
    <row r="1137" spans="1:45" ht="15" hidden="1">
      <c r="A1137" s="103">
        <v>45244</v>
      </c>
      <c r="B1137" s="117" t="s">
        <v>4642</v>
      </c>
      <c r="C1137" s="28" t="s">
        <v>511</v>
      </c>
      <c r="D1137" s="28" t="s">
        <v>4643</v>
      </c>
      <c r="F1137" s="28" t="s">
        <v>4644</v>
      </c>
      <c r="G1137" s="28" t="s">
        <v>514</v>
      </c>
      <c r="H1137" s="28" t="s">
        <v>2168</v>
      </c>
      <c r="I1137" s="28" t="s">
        <v>516</v>
      </c>
      <c r="J1137" s="28" t="s">
        <v>517</v>
      </c>
      <c r="K1137" s="28" t="s">
        <v>682</v>
      </c>
      <c r="L1137" s="28" t="s">
        <v>1626</v>
      </c>
      <c r="M1137" s="28" t="s">
        <v>605</v>
      </c>
      <c r="N1137" s="28" t="s">
        <v>557</v>
      </c>
      <c r="O1137" s="28" t="s">
        <v>559</v>
      </c>
      <c r="S1137" s="28" t="s">
        <v>2943</v>
      </c>
      <c r="T1137" s="28" t="s">
        <v>545</v>
      </c>
      <c r="U1137" s="28" t="s">
        <v>545</v>
      </c>
      <c r="V1137" s="28" t="s">
        <v>517</v>
      </c>
      <c r="W1137" s="28" t="s">
        <v>4645</v>
      </c>
      <c r="Z1137" s="118" t="s">
        <v>563</v>
      </c>
      <c r="AA1137" s="118"/>
      <c r="AB1137" s="118" t="s">
        <v>527</v>
      </c>
      <c r="AD1137" s="28" t="s">
        <v>528</v>
      </c>
      <c r="AF1137" s="117" t="s">
        <v>4643</v>
      </c>
      <c r="AG1137" s="28" t="s">
        <v>563</v>
      </c>
      <c r="AK1137" s="60" t="s">
        <v>2927</v>
      </c>
      <c r="AL1137" s="117">
        <f>1/COUNTIF(Tableau6[LAT],B1137)</f>
        <v>0.33333333333333331</v>
      </c>
      <c r="AM1137" s="60" t="b">
        <f t="shared" si="122"/>
        <v>0</v>
      </c>
      <c r="AN1137" s="60" t="b">
        <f t="shared" si="123"/>
        <v>0</v>
      </c>
      <c r="AO1137" s="60" t="b">
        <f t="shared" si="124"/>
        <v>0</v>
      </c>
      <c r="AP1137" s="60" t="b">
        <f t="shared" si="125"/>
        <v>0</v>
      </c>
      <c r="AQ1137" s="60" t="b">
        <f t="shared" si="126"/>
        <v>0</v>
      </c>
      <c r="AR1137" s="60" t="str">
        <f t="shared" si="127"/>
        <v>No</v>
      </c>
      <c r="AS1137" s="60" t="str">
        <f t="shared" si="128"/>
        <v>No</v>
      </c>
    </row>
    <row r="1138" spans="1:45" ht="15" hidden="1">
      <c r="A1138" s="103">
        <v>45244</v>
      </c>
      <c r="B1138" s="117" t="s">
        <v>4642</v>
      </c>
      <c r="C1138" s="28" t="s">
        <v>548</v>
      </c>
      <c r="D1138" s="28" t="s">
        <v>4646</v>
      </c>
      <c r="F1138" s="28" t="s">
        <v>4647</v>
      </c>
      <c r="G1138" s="28" t="s">
        <v>958</v>
      </c>
      <c r="H1138" s="28" t="s">
        <v>750</v>
      </c>
      <c r="I1138" s="28" t="s">
        <v>516</v>
      </c>
      <c r="J1138" s="28" t="s">
        <v>517</v>
      </c>
      <c r="K1138" s="28" t="s">
        <v>682</v>
      </c>
      <c r="L1138" s="28" t="s">
        <v>1626</v>
      </c>
      <c r="M1138" s="28" t="s">
        <v>605</v>
      </c>
      <c r="N1138" s="28" t="s">
        <v>557</v>
      </c>
      <c r="O1138" s="28" t="s">
        <v>559</v>
      </c>
      <c r="S1138" s="28" t="s">
        <v>2943</v>
      </c>
      <c r="T1138" s="28" t="s">
        <v>545</v>
      </c>
      <c r="U1138" s="28" t="s">
        <v>545</v>
      </c>
      <c r="V1138" s="28" t="s">
        <v>517</v>
      </c>
      <c r="W1138" s="28" t="s">
        <v>4648</v>
      </c>
      <c r="Z1138" s="118" t="s">
        <v>563</v>
      </c>
      <c r="AA1138" s="118"/>
      <c r="AB1138" s="118" t="s">
        <v>527</v>
      </c>
      <c r="AD1138" s="28" t="s">
        <v>528</v>
      </c>
      <c r="AF1138" s="117" t="s">
        <v>4646</v>
      </c>
      <c r="AG1138" s="28" t="s">
        <v>563</v>
      </c>
      <c r="AK1138" s="60" t="s">
        <v>2927</v>
      </c>
      <c r="AL1138" s="117">
        <f>1/COUNTIF(Tableau6[LAT],B1138)</f>
        <v>0.33333333333333331</v>
      </c>
      <c r="AM1138" s="60" t="b">
        <f t="shared" si="122"/>
        <v>0</v>
      </c>
      <c r="AN1138" s="60" t="b">
        <f t="shared" si="123"/>
        <v>0</v>
      </c>
      <c r="AO1138" s="60" t="b">
        <f t="shared" si="124"/>
        <v>0</v>
      </c>
      <c r="AP1138" s="60" t="b">
        <f t="shared" si="125"/>
        <v>0</v>
      </c>
      <c r="AQ1138" s="60" t="b">
        <f t="shared" si="126"/>
        <v>0</v>
      </c>
      <c r="AR1138" s="60" t="str">
        <f t="shared" si="127"/>
        <v>No</v>
      </c>
      <c r="AS1138" s="60" t="str">
        <f t="shared" si="128"/>
        <v>No</v>
      </c>
    </row>
    <row r="1139" spans="1:45" ht="15" hidden="1">
      <c r="A1139" s="103">
        <v>45244</v>
      </c>
      <c r="B1139" s="117" t="s">
        <v>4642</v>
      </c>
      <c r="C1139" s="28" t="s">
        <v>612</v>
      </c>
      <c r="D1139" s="28" t="s">
        <v>4649</v>
      </c>
      <c r="F1139" s="28" t="s">
        <v>4650</v>
      </c>
      <c r="G1139" s="28" t="s">
        <v>514</v>
      </c>
      <c r="H1139" s="28" t="s">
        <v>2168</v>
      </c>
      <c r="I1139" s="28" t="s">
        <v>516</v>
      </c>
      <c r="J1139" s="28" t="s">
        <v>517</v>
      </c>
      <c r="K1139" s="28" t="s">
        <v>682</v>
      </c>
      <c r="L1139" s="28" t="s">
        <v>1626</v>
      </c>
      <c r="M1139" s="28" t="s">
        <v>605</v>
      </c>
      <c r="N1139" s="28" t="s">
        <v>557</v>
      </c>
      <c r="O1139" s="28" t="s">
        <v>559</v>
      </c>
      <c r="S1139" s="28" t="s">
        <v>2943</v>
      </c>
      <c r="T1139" s="28" t="s">
        <v>545</v>
      </c>
      <c r="U1139" s="28" t="s">
        <v>545</v>
      </c>
      <c r="V1139" s="28" t="s">
        <v>517</v>
      </c>
      <c r="W1139" s="28" t="s">
        <v>4651</v>
      </c>
      <c r="Z1139" s="118" t="s">
        <v>563</v>
      </c>
      <c r="AA1139" s="118"/>
      <c r="AB1139" s="118" t="s">
        <v>527</v>
      </c>
      <c r="AD1139" s="28" t="s">
        <v>528</v>
      </c>
      <c r="AF1139" s="117" t="s">
        <v>4649</v>
      </c>
      <c r="AG1139" s="28" t="s">
        <v>563</v>
      </c>
      <c r="AK1139" s="60" t="s">
        <v>2927</v>
      </c>
      <c r="AL1139" s="117">
        <f>1/COUNTIF(Tableau6[LAT],B1139)</f>
        <v>0.33333333333333331</v>
      </c>
      <c r="AM1139" s="60" t="b">
        <f t="shared" si="122"/>
        <v>0</v>
      </c>
      <c r="AN1139" s="60" t="b">
        <f t="shared" si="123"/>
        <v>0</v>
      </c>
      <c r="AO1139" s="60" t="b">
        <f t="shared" si="124"/>
        <v>0</v>
      </c>
      <c r="AP1139" s="60" t="b">
        <f t="shared" si="125"/>
        <v>0</v>
      </c>
      <c r="AQ1139" s="60" t="b">
        <f t="shared" si="126"/>
        <v>0</v>
      </c>
      <c r="AR1139" s="60" t="str">
        <f t="shared" si="127"/>
        <v>No</v>
      </c>
      <c r="AS1139" s="60" t="str">
        <f t="shared" si="128"/>
        <v>No</v>
      </c>
    </row>
    <row r="1140" spans="1:45" ht="15" hidden="1">
      <c r="A1140" s="103">
        <v>45244</v>
      </c>
      <c r="B1140" s="117" t="s">
        <v>4652</v>
      </c>
      <c r="C1140" s="28" t="s">
        <v>511</v>
      </c>
      <c r="D1140" s="28" t="s">
        <v>4653</v>
      </c>
      <c r="F1140" s="28" t="s">
        <v>4654</v>
      </c>
      <c r="G1140" s="28" t="s">
        <v>514</v>
      </c>
      <c r="H1140" s="28" t="s">
        <v>1457</v>
      </c>
      <c r="I1140" s="28" t="s">
        <v>516</v>
      </c>
      <c r="J1140" s="28" t="s">
        <v>517</v>
      </c>
      <c r="K1140" s="28" t="s">
        <v>518</v>
      </c>
      <c r="L1140" s="28" t="s">
        <v>731</v>
      </c>
      <c r="M1140" s="28" t="s">
        <v>535</v>
      </c>
      <c r="N1140" s="28" t="s">
        <v>557</v>
      </c>
      <c r="O1140" s="28" t="s">
        <v>544</v>
      </c>
      <c r="P1140" s="28" t="s">
        <v>522</v>
      </c>
      <c r="S1140" s="28" t="s">
        <v>606</v>
      </c>
      <c r="T1140" s="28" t="s">
        <v>4655</v>
      </c>
      <c r="U1140" s="28" t="s">
        <v>733</v>
      </c>
      <c r="V1140" s="28" t="s">
        <v>517</v>
      </c>
      <c r="W1140" s="28" t="s">
        <v>4656</v>
      </c>
      <c r="Z1140" s="118" t="s">
        <v>563</v>
      </c>
      <c r="AA1140" s="118"/>
      <c r="AB1140" s="118" t="s">
        <v>527</v>
      </c>
      <c r="AD1140" s="28" t="s">
        <v>528</v>
      </c>
      <c r="AF1140" s="117" t="s">
        <v>4653</v>
      </c>
      <c r="AG1140" s="28" t="s">
        <v>563</v>
      </c>
      <c r="AK1140" s="60" t="s">
        <v>2927</v>
      </c>
      <c r="AL1140" s="117">
        <f>1/COUNTIF(Tableau6[LAT],B1140)</f>
        <v>1</v>
      </c>
      <c r="AM1140" s="60" t="b">
        <f t="shared" ref="AM1140:AM1203" si="129">IF(N1140="ALM","Yes",IF(N1140="ALI","Yes",IF(N1140="CAO","Yes",IF(N1140="ICE","Yes",IF(N1140="MAG","Yes",IF(N1140="MAG","Yes",IF(N1140="RBI","Yes",IF(N1140="RBM","Yes",IF(N1140="RCL","Yes",IF(N1140="RCM","Yes",IF(N1140="RCX","Yes",IF(N1140="RDS","Yes",IF(N1140="REQ","Yes",IF(N1140="REX","Yes",IF(N1140="RFG","Yes",IF(N1140="RFL","Yes",IF(N1140="RFS","Yes",IF(N1140="RFW","Yes",IF(N1140="RGX","Yes",IF(N1140="RIS",IF(N1140="RLI","Yes",IF(N1140="RLM","Yes",IF(N1140="RMD","Yes",IF(N1140="RNG","Yes",IF(N1140="ROP","Yes",IF(N1140="ROX","Yes",IF(N1140="RPB","Yes",IF(N1140="RPG","Yes",IF(N1140="RRE","Yes",IF(N1140="RRW","Yes",IF(N1140="RRY","Yes",IF(N1140="RSB","Yes",IF(N1140="RSC","Yes",IF(N1140="RXB","Yes",IF(N1140="RXC","Yes",IF(N1140="RXD","Yes",IF(N1140="RXE","Yes",IF(N1140="RXG","Yes",IF(N1140="RXS","Yes",)))))))))))))))))))))))))))))))))))))))</f>
        <v>0</v>
      </c>
      <c r="AN1140" s="60" t="b">
        <f t="shared" ref="AN1140:AN1203" si="130">IF(O1140="ALM","Yes",IF(O1140="ALI","Yes",IF(O1140="CAO","Yes",IF(O1140="ICE","Yes",IF(O1140="MAG","Yes",IF(O1140="MAG","Yes",IF(O1140="RBI","Yes",IF(O1140="RBM","Yes",IF(O1140="RCL","Yes",IF(O1140="RCM","Yes",IF(O1140="RCX","Yes",IF(O1140="RDS","Yes",IF(O1140="REQ","Yes",IF(O1140="REX","Yes",IF(O1140="RFG","Yes",IF(O1140="RFL","Yes",IF(O1140="RFS","Yes",IF(O1140="RFW","Yes",IF(O1140="RGX","Yes",IF(O1140="RIS",IF(O1140="RLI","Yes",IF(O1140="RLM","Yes",IF(O1140="RMD","Yes",IF(O1140="RNG","Yes",IF(O1140="ROP","Yes",IF(O1140="ROX","Yes",IF(O1140="RPB","Yes",IF(O1140="RPG","Yes",IF(O1140="RRE","Yes",IF(O1140="RRW","Yes",IF(O1140="RRY","Yes",IF(O1140="RSB","Yes",IF(O1140="RSC","Yes",IF(O1140="RXB","Yes",IF(O1140="RXC","Yes",IF(O1140="RXD","Yes",IF(O1140="RXE","Yes",IF(O1140="RXG","Yes",IF(O1140="RXS","Yes",)))))))))))))))))))))))))))))))))))))))</f>
        <v>0</v>
      </c>
      <c r="AO1140" s="60" t="b">
        <f t="shared" ref="AO1140:AO1203" si="131">IF(P1140="ALM","Yes",IF(P1140="ALI","Yes",IF(P1140="CAO","Yes",IF(P1140="ICE","Yes",IF(P1140="MAG","Yes",IF(P1140="MAG","Yes",IF(P1140="RBI","Yes",IF(P1140="RBM","Yes",IF(P1140="RCL","Yes",IF(P1140="RCM","Yes",IF(P1140="RCX","Yes",IF(P1140="RDS","Yes",IF(P1140="REQ","Yes",IF(P1140="REX","Yes",IF(P1140="RFG","Yes",IF(P1140="RFL","Yes",IF(P1140="RFS","Yes",IF(P1140="RFW","Yes",IF(P1140="RGX","Yes",IF(P1140="RIS",IF(P1140="RLI","Yes",IF(P1140="RLM","Yes",IF(P1140="RMD","Yes",IF(P1140="RNG","Yes",IF(P1140="ROP","Yes",IF(P1140="ROX","Yes",IF(P1140="RPB","Yes",IF(P1140="RPG","Yes",IF(P1140="RRE","Yes",IF(P1140="RRW","Yes",IF(P1140="RRY","Yes",IF(P1140="RSB","Yes",IF(P1140="RSC","Yes",IF(P1140="RXB","Yes",IF(P1140="RXC","Yes",IF(P1140="RXD","Yes",IF(P1140="RXE","Yes",IF(P1140="RXG","Yes",IF(P1140="RXS","Yes",)))))))))))))))))))))))))))))))))))))))</f>
        <v>0</v>
      </c>
      <c r="AP1140" s="60" t="b">
        <f t="shared" ref="AP1140:AP1203" si="132">IF(Q1140="ALM","Yes",IF(Q1140="ALI","Yes",IF(Q1140="CAO","Yes",IF(Q1140="ICE","Yes",IF(Q1140="MAG","Yes",IF(Q1140="MAG","Yes",IF(Q1140="RBI","Yes",IF(Q1140="RBM","Yes",IF(Q1140="RCL","Yes",IF(Q1140="RCM","Yes",IF(Q1140="RCX","Yes",IF(Q1140="RDS","Yes",IF(Q1140="REQ","Yes",IF(Q1140="REX","Yes",IF(Q1140="RFG","Yes",IF(Q1140="RFL","Yes",IF(Q1140="RFS","Yes",IF(Q1140="RFW","Yes",IF(Q1140="RGX","Yes",IF(Q1140="RIS",IF(Q1140="RLI","Yes",IF(Q1140="RLM","Yes",IF(Q1140="RMD","Yes",IF(Q1140="RNG","Yes",IF(Q1140="ROP","Yes",IF(Q1140="ROX","Yes",IF(Q1140="RPB","Yes",IF(Q1140="RPG","Yes",IF(Q1140="RRE","Yes",IF(Q1140="RRW","Yes",IF(Q1140="RRY","Yes",IF(Q1140="RSB","Yes",IF(Q1140="RSC","Yes",IF(Q1140="RXB","Yes",IF(Q1140="RXC","Yes",IF(Q1140="RXD","Yes",IF(Q1140="RXE","Yes",IF(Q1140="RXG","Yes",IF(Q1140="RXS","Yes",)))))))))))))))))))))))))))))))))))))))</f>
        <v>0</v>
      </c>
      <c r="AQ1140" s="60" t="b">
        <f t="shared" ref="AQ1140:AQ1203" si="133">IF(R1140="ALM","Yes",IF(R1140="ALI","Yes",IF(R1140="CAO","Yes",IF(R1140="ICE","Yes",IF(R1140="MAG","Yes",IF(R1140="MAG","Yes",IF(R1140="RBI","Yes",IF(R1140="RBM","Yes",IF(R1140="RCL","Yes",IF(R1140="RCM","Yes",IF(R1140="RCX","Yes",IF(R1140="RDS","Yes",IF(R1140="REQ","Yes",IF(R1140="REX","Yes",IF(R1140="RFG","Yes",IF(R1140="RFL","Yes",IF(R1140="RFS","Yes",IF(R1140="RFW","Yes",IF(R1140="RGX","Yes",IF(R1140="RIS",IF(R1140="RLI","Yes",IF(R1140="RLM","Yes",IF(R1140="RMD","Yes",IF(R1140="RNG","Yes",IF(R1140="ROP","Yes",IF(R1140="ROX","Yes",IF(R1140="RPB","Yes",IF(R1140="RPG","Yes",IF(R1140="RRE","Yes",IF(R1140="RRW","Yes",IF(R1140="RRY","Yes",IF(R1140="RSB","Yes",IF(R1140="RSC","Yes",IF(R1140="RXB","Yes",IF(R1140="RXC","Yes",IF(R1140="RXD","Yes",IF(R1140="RXE","Yes",IF(R1140="RXG","Yes",IF(R1140="RXS","Yes",)))))))))))))))))))))))))))))))))))))))</f>
        <v>0</v>
      </c>
      <c r="AR1140" s="60" t="str">
        <f t="shared" ref="AR1140:AR1203" si="134">IF(AM1140="Yes","Yes",IF(AN1140="Yes","Yes",IF(AO1140="yes","Yes",IF(AP1140="Yes","Yes","No"))))</f>
        <v>No</v>
      </c>
      <c r="AS1140" s="60" t="str">
        <f t="shared" ref="AS1140:AS1203" si="135">IF(S1140="QFA","Yes",IF(S1140="LCJ","Yes",IF(S1140="CAJ","Yes",IF(S1140="WRO","Yes",IF(S1140="BEY","Yes",IF(S1140="TUN","Yes",IF(S1140="LFW","Yes",IF(S1140="DLA","Yes",IF(S1140="NSI","Yes",IF(S1140="OUA","Yes",IF(S1140="IAH","Yes",IF(S1140="LYS","Yes",IF(S1140="DSS","Yes",IF(S1140="BKO","Yes",IF(S1140="BZV","Yes",IF(S1140="COO","Yes",IF(S1140="EZE","Yes",IF(S1140="CKY","Yes",IF(S1140="PTP","Yes",IF(S1140="ORD","Yes",IF(S1140="CFE","Yes",IF(S1140="NKC","Yes",IF(S1140="FDF","Yes",IF(S1140="SDQ","Yes",IF(S1140="PNR","Yes",IF(S1140="ICAY","Yes",IF(S1140="DTW","Yes",IF(S1140="TNR","Yes",IF(S1140="RUN","Yes",IF(S1140="NIM","Yes","No"))))))))))))))))))))))))))))))</f>
        <v>No</v>
      </c>
    </row>
    <row r="1141" spans="1:45" ht="15" hidden="1">
      <c r="A1141" s="103">
        <v>45244</v>
      </c>
      <c r="B1141" s="117" t="s">
        <v>4657</v>
      </c>
      <c r="C1141" s="28" t="s">
        <v>511</v>
      </c>
      <c r="D1141" s="28" t="s">
        <v>4658</v>
      </c>
      <c r="E1141" s="28" t="s">
        <v>4659</v>
      </c>
      <c r="F1141" s="28" t="s">
        <v>4660</v>
      </c>
      <c r="G1141" s="28" t="s">
        <v>979</v>
      </c>
      <c r="H1141" s="28" t="s">
        <v>2163</v>
      </c>
      <c r="I1141" s="28" t="s">
        <v>516</v>
      </c>
      <c r="J1141" s="28" t="s">
        <v>517</v>
      </c>
      <c r="K1141" s="28" t="s">
        <v>518</v>
      </c>
      <c r="L1141" s="28" t="s">
        <v>801</v>
      </c>
      <c r="M1141" s="28" t="s">
        <v>570</v>
      </c>
      <c r="N1141" s="28" t="s">
        <v>619</v>
      </c>
      <c r="S1141" s="28" t="s">
        <v>733</v>
      </c>
      <c r="T1141" s="28" t="s">
        <v>803</v>
      </c>
      <c r="U1141" s="28" t="s">
        <v>803</v>
      </c>
      <c r="V1141" s="28" t="s">
        <v>517</v>
      </c>
      <c r="W1141" s="28" t="s">
        <v>4661</v>
      </c>
      <c r="X1141" s="28" t="s">
        <v>670</v>
      </c>
      <c r="Z1141" s="118" t="s">
        <v>563</v>
      </c>
      <c r="AA1141" s="118"/>
      <c r="AB1141" s="118" t="s">
        <v>4662</v>
      </c>
      <c r="AD1141" s="28" t="s">
        <v>528</v>
      </c>
      <c r="AF1141" s="117" t="s">
        <v>4658</v>
      </c>
      <c r="AG1141" s="28" t="s">
        <v>563</v>
      </c>
      <c r="AK1141" s="60" t="s">
        <v>2927</v>
      </c>
      <c r="AL1141" s="117">
        <f>1/COUNTIF(Tableau6[LAT],B1141)</f>
        <v>0.5</v>
      </c>
      <c r="AM1141" s="60" t="b">
        <f t="shared" si="129"/>
        <v>0</v>
      </c>
      <c r="AN1141" s="60" t="b">
        <f t="shared" si="130"/>
        <v>0</v>
      </c>
      <c r="AO1141" s="60" t="b">
        <f t="shared" si="131"/>
        <v>0</v>
      </c>
      <c r="AP1141" s="60" t="b">
        <f t="shared" si="132"/>
        <v>0</v>
      </c>
      <c r="AQ1141" s="60" t="b">
        <f t="shared" si="133"/>
        <v>0</v>
      </c>
      <c r="AR1141" s="60" t="str">
        <f t="shared" si="134"/>
        <v>No</v>
      </c>
      <c r="AS1141" s="60" t="str">
        <f t="shared" si="135"/>
        <v>Yes</v>
      </c>
    </row>
    <row r="1142" spans="1:45" ht="15" hidden="1">
      <c r="A1142" s="103">
        <v>45244</v>
      </c>
      <c r="B1142" s="117" t="s">
        <v>4657</v>
      </c>
      <c r="C1142" s="28" t="s">
        <v>548</v>
      </c>
      <c r="D1142" s="28" t="s">
        <v>4663</v>
      </c>
      <c r="E1142" s="28" t="s">
        <v>4659</v>
      </c>
      <c r="F1142" s="28" t="s">
        <v>4664</v>
      </c>
      <c r="G1142" s="28" t="s">
        <v>4089</v>
      </c>
      <c r="H1142" s="28" t="s">
        <v>3150</v>
      </c>
      <c r="I1142" s="28" t="s">
        <v>516</v>
      </c>
      <c r="J1142" s="28" t="s">
        <v>517</v>
      </c>
      <c r="K1142" s="28" t="s">
        <v>518</v>
      </c>
      <c r="L1142" s="28" t="s">
        <v>801</v>
      </c>
      <c r="M1142" s="28" t="s">
        <v>570</v>
      </c>
      <c r="N1142" s="28" t="s">
        <v>557</v>
      </c>
      <c r="S1142" s="28" t="s">
        <v>733</v>
      </c>
      <c r="T1142" s="28" t="s">
        <v>803</v>
      </c>
      <c r="U1142" s="28" t="s">
        <v>803</v>
      </c>
      <c r="V1142" s="28" t="s">
        <v>517</v>
      </c>
      <c r="W1142" s="28" t="s">
        <v>4661</v>
      </c>
      <c r="X1142" s="28" t="s">
        <v>670</v>
      </c>
      <c r="Z1142" s="118" t="s">
        <v>563</v>
      </c>
      <c r="AA1142" s="118"/>
      <c r="AB1142" s="118" t="s">
        <v>4662</v>
      </c>
      <c r="AD1142" s="28" t="s">
        <v>528</v>
      </c>
      <c r="AF1142" s="117" t="s">
        <v>4663</v>
      </c>
      <c r="AG1142" s="28" t="s">
        <v>563</v>
      </c>
      <c r="AK1142" s="60" t="s">
        <v>2927</v>
      </c>
      <c r="AL1142" s="117">
        <f>1/COUNTIF(Tableau6[LAT],B1142)</f>
        <v>0.5</v>
      </c>
      <c r="AM1142" s="60" t="b">
        <f t="shared" si="129"/>
        <v>0</v>
      </c>
      <c r="AN1142" s="60" t="b">
        <f t="shared" si="130"/>
        <v>0</v>
      </c>
      <c r="AO1142" s="60" t="b">
        <f t="shared" si="131"/>
        <v>0</v>
      </c>
      <c r="AP1142" s="60" t="b">
        <f t="shared" si="132"/>
        <v>0</v>
      </c>
      <c r="AQ1142" s="60" t="b">
        <f t="shared" si="133"/>
        <v>0</v>
      </c>
      <c r="AR1142" s="60" t="str">
        <f t="shared" si="134"/>
        <v>No</v>
      </c>
      <c r="AS1142" s="60" t="str">
        <f t="shared" si="135"/>
        <v>Yes</v>
      </c>
    </row>
    <row r="1143" spans="1:45" ht="15" hidden="1">
      <c r="A1143" s="103">
        <v>45244</v>
      </c>
      <c r="B1143" s="117" t="s">
        <v>4665</v>
      </c>
      <c r="C1143" s="28" t="s">
        <v>511</v>
      </c>
      <c r="D1143" s="28" t="s">
        <v>4666</v>
      </c>
      <c r="F1143" s="28" t="s">
        <v>4667</v>
      </c>
      <c r="G1143" s="28" t="s">
        <v>514</v>
      </c>
      <c r="H1143" s="28" t="s">
        <v>1321</v>
      </c>
      <c r="I1143" s="28" t="s">
        <v>516</v>
      </c>
      <c r="J1143" s="28" t="s">
        <v>517</v>
      </c>
      <c r="K1143" s="28" t="s">
        <v>518</v>
      </c>
      <c r="L1143" s="28" t="s">
        <v>2147</v>
      </c>
      <c r="M1143" s="28" t="s">
        <v>520</v>
      </c>
      <c r="N1143" s="28" t="s">
        <v>557</v>
      </c>
      <c r="O1143" s="28" t="s">
        <v>544</v>
      </c>
      <c r="P1143" s="28" t="s">
        <v>522</v>
      </c>
      <c r="S1143" s="28" t="s">
        <v>1712</v>
      </c>
      <c r="T1143" s="28" t="s">
        <v>733</v>
      </c>
      <c r="U1143" s="28" t="s">
        <v>733</v>
      </c>
      <c r="V1143" s="28" t="s">
        <v>517</v>
      </c>
      <c r="W1143" s="28" t="s">
        <v>4668</v>
      </c>
      <c r="Z1143" s="118" t="s">
        <v>526</v>
      </c>
      <c r="AA1143" s="118"/>
      <c r="AB1143" s="118"/>
      <c r="AD1143" s="28" t="s">
        <v>954</v>
      </c>
      <c r="AF1143" s="117" t="s">
        <v>4666</v>
      </c>
      <c r="AG1143" s="28" t="s">
        <v>563</v>
      </c>
      <c r="AK1143" s="60" t="s">
        <v>2927</v>
      </c>
      <c r="AL1143" s="117">
        <f>1/COUNTIF(Tableau6[LAT],B1143)</f>
        <v>0.25</v>
      </c>
      <c r="AM1143" s="60" t="b">
        <f t="shared" si="129"/>
        <v>0</v>
      </c>
      <c r="AN1143" s="60" t="b">
        <f t="shared" si="130"/>
        <v>0</v>
      </c>
      <c r="AO1143" s="60" t="b">
        <f t="shared" si="131"/>
        <v>0</v>
      </c>
      <c r="AP1143" s="60" t="b">
        <f t="shared" si="132"/>
        <v>0</v>
      </c>
      <c r="AQ1143" s="60" t="b">
        <f t="shared" si="133"/>
        <v>0</v>
      </c>
      <c r="AR1143" s="60" t="str">
        <f t="shared" si="134"/>
        <v>No</v>
      </c>
      <c r="AS1143" s="60" t="str">
        <f t="shared" si="135"/>
        <v>No</v>
      </c>
    </row>
    <row r="1144" spans="1:45" ht="15" hidden="1">
      <c r="A1144" s="103">
        <v>45244</v>
      </c>
      <c r="B1144" s="117" t="s">
        <v>4665</v>
      </c>
      <c r="C1144" s="28" t="s">
        <v>612</v>
      </c>
      <c r="D1144" s="28" t="s">
        <v>4669</v>
      </c>
      <c r="F1144" s="28" t="s">
        <v>4670</v>
      </c>
      <c r="G1144" s="28" t="s">
        <v>514</v>
      </c>
      <c r="H1144" s="28" t="s">
        <v>1321</v>
      </c>
      <c r="I1144" s="28" t="s">
        <v>516</v>
      </c>
      <c r="J1144" s="28" t="s">
        <v>517</v>
      </c>
      <c r="K1144" s="28" t="s">
        <v>518</v>
      </c>
      <c r="L1144" s="28" t="s">
        <v>2147</v>
      </c>
      <c r="M1144" s="28" t="s">
        <v>520</v>
      </c>
      <c r="N1144" s="28" t="s">
        <v>557</v>
      </c>
      <c r="O1144" s="28" t="s">
        <v>544</v>
      </c>
      <c r="P1144" s="28" t="s">
        <v>522</v>
      </c>
      <c r="S1144" s="28" t="s">
        <v>1712</v>
      </c>
      <c r="T1144" s="28" t="s">
        <v>733</v>
      </c>
      <c r="U1144" s="28" t="s">
        <v>733</v>
      </c>
      <c r="V1144" s="28" t="s">
        <v>517</v>
      </c>
      <c r="W1144" s="28" t="s">
        <v>4671</v>
      </c>
      <c r="Z1144" s="118" t="s">
        <v>526</v>
      </c>
      <c r="AA1144" s="118"/>
      <c r="AB1144" s="118"/>
      <c r="AD1144" s="28" t="s">
        <v>954</v>
      </c>
      <c r="AF1144" s="117" t="s">
        <v>4672</v>
      </c>
      <c r="AG1144" s="28" t="s">
        <v>563</v>
      </c>
      <c r="AK1144" s="60" t="s">
        <v>2927</v>
      </c>
      <c r="AL1144" s="117">
        <f>1/COUNTIF(Tableau6[LAT],B1144)</f>
        <v>0.25</v>
      </c>
      <c r="AM1144" s="60" t="b">
        <f t="shared" si="129"/>
        <v>0</v>
      </c>
      <c r="AN1144" s="60" t="b">
        <f t="shared" si="130"/>
        <v>0</v>
      </c>
      <c r="AO1144" s="60" t="b">
        <f t="shared" si="131"/>
        <v>0</v>
      </c>
      <c r="AP1144" s="60" t="b">
        <f t="shared" si="132"/>
        <v>0</v>
      </c>
      <c r="AQ1144" s="60" t="b">
        <f t="shared" si="133"/>
        <v>0</v>
      </c>
      <c r="AR1144" s="60" t="str">
        <f t="shared" si="134"/>
        <v>No</v>
      </c>
      <c r="AS1144" s="60" t="str">
        <f t="shared" si="135"/>
        <v>No</v>
      </c>
    </row>
    <row r="1145" spans="1:45" ht="15" hidden="1">
      <c r="A1145" s="103">
        <v>45244</v>
      </c>
      <c r="B1145" s="117" t="s">
        <v>4665</v>
      </c>
      <c r="C1145" s="28" t="s">
        <v>691</v>
      </c>
      <c r="D1145" s="28" t="s">
        <v>4673</v>
      </c>
      <c r="F1145" s="28" t="s">
        <v>4670</v>
      </c>
      <c r="G1145" s="28" t="s">
        <v>514</v>
      </c>
      <c r="H1145" s="28" t="s">
        <v>1321</v>
      </c>
      <c r="I1145" s="28" t="s">
        <v>516</v>
      </c>
      <c r="J1145" s="28" t="s">
        <v>517</v>
      </c>
      <c r="K1145" s="28" t="s">
        <v>518</v>
      </c>
      <c r="L1145" s="28" t="s">
        <v>2147</v>
      </c>
      <c r="M1145" s="28" t="s">
        <v>520</v>
      </c>
      <c r="N1145" s="28" t="s">
        <v>557</v>
      </c>
      <c r="O1145" s="28" t="s">
        <v>544</v>
      </c>
      <c r="P1145" s="28" t="s">
        <v>522</v>
      </c>
      <c r="S1145" s="28" t="s">
        <v>1712</v>
      </c>
      <c r="T1145" s="28" t="s">
        <v>733</v>
      </c>
      <c r="U1145" s="28" t="s">
        <v>733</v>
      </c>
      <c r="V1145" s="28" t="s">
        <v>517</v>
      </c>
      <c r="W1145" s="28" t="s">
        <v>4674</v>
      </c>
      <c r="Z1145" s="118" t="s">
        <v>526</v>
      </c>
      <c r="AA1145" s="118"/>
      <c r="AB1145" s="118"/>
      <c r="AD1145" s="28" t="s">
        <v>954</v>
      </c>
      <c r="AF1145" s="117" t="s">
        <v>4669</v>
      </c>
      <c r="AG1145" s="28" t="s">
        <v>563</v>
      </c>
      <c r="AK1145" s="60" t="s">
        <v>2927</v>
      </c>
      <c r="AL1145" s="117">
        <f>1/COUNTIF(Tableau6[LAT],B1145)</f>
        <v>0.25</v>
      </c>
      <c r="AM1145" s="60" t="b">
        <f t="shared" si="129"/>
        <v>0</v>
      </c>
      <c r="AN1145" s="60" t="b">
        <f t="shared" si="130"/>
        <v>0</v>
      </c>
      <c r="AO1145" s="60" t="b">
        <f t="shared" si="131"/>
        <v>0</v>
      </c>
      <c r="AP1145" s="60" t="b">
        <f t="shared" si="132"/>
        <v>0</v>
      </c>
      <c r="AQ1145" s="60" t="b">
        <f t="shared" si="133"/>
        <v>0</v>
      </c>
      <c r="AR1145" s="60" t="str">
        <f t="shared" si="134"/>
        <v>No</v>
      </c>
      <c r="AS1145" s="60" t="str">
        <f t="shared" si="135"/>
        <v>No</v>
      </c>
    </row>
    <row r="1146" spans="1:45" ht="15" hidden="1">
      <c r="A1146" s="103">
        <v>45244</v>
      </c>
      <c r="B1146" s="117" t="s">
        <v>4665</v>
      </c>
      <c r="C1146" s="28" t="s">
        <v>859</v>
      </c>
      <c r="D1146" s="28" t="s">
        <v>4675</v>
      </c>
      <c r="F1146" s="28" t="s">
        <v>4670</v>
      </c>
      <c r="G1146" s="28" t="s">
        <v>514</v>
      </c>
      <c r="H1146" s="28" t="s">
        <v>1321</v>
      </c>
      <c r="I1146" s="28" t="s">
        <v>516</v>
      </c>
      <c r="J1146" s="28" t="s">
        <v>517</v>
      </c>
      <c r="K1146" s="28" t="s">
        <v>518</v>
      </c>
      <c r="L1146" s="28" t="s">
        <v>2147</v>
      </c>
      <c r="M1146" s="28" t="s">
        <v>520</v>
      </c>
      <c r="N1146" s="28" t="s">
        <v>557</v>
      </c>
      <c r="O1146" s="28" t="s">
        <v>544</v>
      </c>
      <c r="P1146" s="28" t="s">
        <v>522</v>
      </c>
      <c r="S1146" s="28" t="s">
        <v>1712</v>
      </c>
      <c r="T1146" s="28" t="s">
        <v>733</v>
      </c>
      <c r="U1146" s="28" t="s">
        <v>733</v>
      </c>
      <c r="V1146" s="28" t="s">
        <v>517</v>
      </c>
      <c r="W1146" s="28" t="s">
        <v>4676</v>
      </c>
      <c r="Z1146" s="118" t="s">
        <v>526</v>
      </c>
      <c r="AA1146" s="118"/>
      <c r="AB1146" s="118"/>
      <c r="AD1146" s="28" t="s">
        <v>954</v>
      </c>
      <c r="AF1146" s="117" t="s">
        <v>4673</v>
      </c>
      <c r="AG1146" s="28" t="s">
        <v>563</v>
      </c>
      <c r="AK1146" s="60" t="s">
        <v>2927</v>
      </c>
      <c r="AL1146" s="117">
        <f>1/COUNTIF(Tableau6[LAT],B1146)</f>
        <v>0.25</v>
      </c>
      <c r="AM1146" s="60" t="b">
        <f t="shared" si="129"/>
        <v>0</v>
      </c>
      <c r="AN1146" s="60" t="b">
        <f t="shared" si="130"/>
        <v>0</v>
      </c>
      <c r="AO1146" s="60" t="b">
        <f t="shared" si="131"/>
        <v>0</v>
      </c>
      <c r="AP1146" s="60" t="b">
        <f t="shared" si="132"/>
        <v>0</v>
      </c>
      <c r="AQ1146" s="60" t="b">
        <f t="shared" si="133"/>
        <v>0</v>
      </c>
      <c r="AR1146" s="60" t="str">
        <f t="shared" si="134"/>
        <v>No</v>
      </c>
      <c r="AS1146" s="60" t="str">
        <f t="shared" si="135"/>
        <v>No</v>
      </c>
    </row>
    <row r="1147" spans="1:45" ht="15" hidden="1">
      <c r="A1147" s="103">
        <v>45244</v>
      </c>
      <c r="B1147" s="117" t="s">
        <v>4677</v>
      </c>
      <c r="C1147" s="28" t="s">
        <v>511</v>
      </c>
      <c r="D1147" s="28" t="s">
        <v>4678</v>
      </c>
      <c r="F1147" s="28" t="s">
        <v>1031</v>
      </c>
      <c r="G1147" s="28" t="s">
        <v>1077</v>
      </c>
      <c r="H1147" s="28" t="s">
        <v>1360</v>
      </c>
      <c r="I1147" s="28" t="s">
        <v>516</v>
      </c>
      <c r="J1147" s="28" t="s">
        <v>517</v>
      </c>
      <c r="K1147" s="28" t="s">
        <v>518</v>
      </c>
      <c r="L1147" s="28" t="s">
        <v>4679</v>
      </c>
      <c r="M1147" s="28" t="s">
        <v>535</v>
      </c>
      <c r="N1147" s="28" t="s">
        <v>557</v>
      </c>
      <c r="O1147" s="28" t="s">
        <v>522</v>
      </c>
      <c r="S1147" s="28" t="s">
        <v>1712</v>
      </c>
      <c r="T1147" s="28" t="s">
        <v>3282</v>
      </c>
      <c r="U1147" s="28" t="s">
        <v>3282</v>
      </c>
      <c r="V1147" s="28" t="s">
        <v>517</v>
      </c>
      <c r="W1147" s="28" t="s">
        <v>4680</v>
      </c>
      <c r="Z1147" s="118" t="s">
        <v>563</v>
      </c>
      <c r="AA1147" s="118"/>
      <c r="AB1147" s="118" t="s">
        <v>527</v>
      </c>
      <c r="AD1147" s="28" t="s">
        <v>954</v>
      </c>
      <c r="AF1147" s="117" t="s">
        <v>4678</v>
      </c>
      <c r="AG1147" s="28" t="s">
        <v>563</v>
      </c>
      <c r="AK1147" s="60" t="s">
        <v>2927</v>
      </c>
      <c r="AL1147" s="117">
        <f>1/COUNTIF(Tableau6[LAT],B1147)</f>
        <v>1</v>
      </c>
      <c r="AM1147" s="60" t="b">
        <f t="shared" si="129"/>
        <v>0</v>
      </c>
      <c r="AN1147" s="60" t="b">
        <f t="shared" si="130"/>
        <v>0</v>
      </c>
      <c r="AO1147" s="60" t="b">
        <f t="shared" si="131"/>
        <v>0</v>
      </c>
      <c r="AP1147" s="60" t="b">
        <f t="shared" si="132"/>
        <v>0</v>
      </c>
      <c r="AQ1147" s="60" t="b">
        <f t="shared" si="133"/>
        <v>0</v>
      </c>
      <c r="AR1147" s="60" t="str">
        <f t="shared" si="134"/>
        <v>No</v>
      </c>
      <c r="AS1147" s="60" t="str">
        <f t="shared" si="135"/>
        <v>No</v>
      </c>
    </row>
    <row r="1148" spans="1:45" ht="15" hidden="1">
      <c r="A1148" s="103">
        <v>45244</v>
      </c>
      <c r="B1148" s="117" t="s">
        <v>4681</v>
      </c>
      <c r="C1148" s="28" t="s">
        <v>511</v>
      </c>
      <c r="D1148" s="28" t="s">
        <v>4682</v>
      </c>
      <c r="F1148" s="28" t="s">
        <v>2471</v>
      </c>
      <c r="G1148" s="28" t="s">
        <v>724</v>
      </c>
      <c r="H1148" s="28" t="s">
        <v>3516</v>
      </c>
      <c r="I1148" s="28" t="s">
        <v>516</v>
      </c>
      <c r="J1148" s="28" t="s">
        <v>517</v>
      </c>
      <c r="K1148" s="28" t="s">
        <v>518</v>
      </c>
      <c r="L1148" s="28" t="s">
        <v>588</v>
      </c>
      <c r="M1148" s="28" t="s">
        <v>605</v>
      </c>
      <c r="N1148" s="28" t="s">
        <v>557</v>
      </c>
      <c r="O1148" s="28" t="s">
        <v>522</v>
      </c>
      <c r="S1148" s="28" t="s">
        <v>1712</v>
      </c>
      <c r="T1148" s="28" t="s">
        <v>590</v>
      </c>
      <c r="U1148" s="28" t="s">
        <v>590</v>
      </c>
      <c r="V1148" s="28" t="s">
        <v>517</v>
      </c>
      <c r="W1148" s="28" t="s">
        <v>4683</v>
      </c>
      <c r="Z1148" s="118" t="s">
        <v>526</v>
      </c>
      <c r="AA1148" s="118"/>
      <c r="AB1148" s="118"/>
      <c r="AD1148" s="28" t="s">
        <v>954</v>
      </c>
      <c r="AF1148" s="117" t="s">
        <v>4682</v>
      </c>
      <c r="AG1148" s="28" t="s">
        <v>563</v>
      </c>
      <c r="AK1148" s="60" t="s">
        <v>2927</v>
      </c>
      <c r="AL1148" s="117">
        <f>1/COUNTIF(Tableau6[LAT],B1148)</f>
        <v>0.5</v>
      </c>
      <c r="AM1148" s="60" t="b">
        <f t="shared" si="129"/>
        <v>0</v>
      </c>
      <c r="AN1148" s="60" t="b">
        <f t="shared" si="130"/>
        <v>0</v>
      </c>
      <c r="AO1148" s="60" t="b">
        <f t="shared" si="131"/>
        <v>0</v>
      </c>
      <c r="AP1148" s="60" t="b">
        <f t="shared" si="132"/>
        <v>0</v>
      </c>
      <c r="AQ1148" s="60" t="b">
        <f t="shared" si="133"/>
        <v>0</v>
      </c>
      <c r="AR1148" s="60" t="str">
        <f t="shared" si="134"/>
        <v>No</v>
      </c>
      <c r="AS1148" s="60" t="str">
        <f t="shared" si="135"/>
        <v>No</v>
      </c>
    </row>
    <row r="1149" spans="1:45" ht="15" hidden="1">
      <c r="A1149" s="103">
        <v>45244</v>
      </c>
      <c r="B1149" s="117" t="s">
        <v>4681</v>
      </c>
      <c r="C1149" s="28" t="s">
        <v>548</v>
      </c>
      <c r="D1149" s="28" t="s">
        <v>4684</v>
      </c>
      <c r="F1149" s="28" t="s">
        <v>4685</v>
      </c>
      <c r="G1149" s="28" t="s">
        <v>648</v>
      </c>
      <c r="H1149" s="28" t="s">
        <v>1365</v>
      </c>
      <c r="I1149" s="28" t="s">
        <v>516</v>
      </c>
      <c r="J1149" s="28" t="s">
        <v>517</v>
      </c>
      <c r="K1149" s="28" t="s">
        <v>518</v>
      </c>
      <c r="L1149" s="28" t="s">
        <v>588</v>
      </c>
      <c r="M1149" s="28" t="s">
        <v>605</v>
      </c>
      <c r="N1149" s="28" t="s">
        <v>557</v>
      </c>
      <c r="O1149" s="28" t="s">
        <v>522</v>
      </c>
      <c r="S1149" s="28" t="s">
        <v>1712</v>
      </c>
      <c r="T1149" s="28" t="s">
        <v>590</v>
      </c>
      <c r="U1149" s="28" t="s">
        <v>590</v>
      </c>
      <c r="V1149" s="28" t="s">
        <v>517</v>
      </c>
      <c r="W1149" s="28" t="s">
        <v>4686</v>
      </c>
      <c r="Z1149" s="118" t="s">
        <v>526</v>
      </c>
      <c r="AA1149" s="118"/>
      <c r="AB1149" s="118"/>
      <c r="AD1149" s="28" t="s">
        <v>954</v>
      </c>
      <c r="AF1149" s="117" t="s">
        <v>4682</v>
      </c>
      <c r="AG1149" s="28" t="s">
        <v>563</v>
      </c>
      <c r="AK1149" s="60" t="s">
        <v>2927</v>
      </c>
      <c r="AL1149" s="117">
        <f>1/COUNTIF(Tableau6[LAT],B1149)</f>
        <v>0.5</v>
      </c>
      <c r="AM1149" s="60" t="b">
        <f t="shared" si="129"/>
        <v>0</v>
      </c>
      <c r="AN1149" s="60" t="b">
        <f t="shared" si="130"/>
        <v>0</v>
      </c>
      <c r="AO1149" s="60" t="b">
        <f t="shared" si="131"/>
        <v>0</v>
      </c>
      <c r="AP1149" s="60" t="b">
        <f t="shared" si="132"/>
        <v>0</v>
      </c>
      <c r="AQ1149" s="60" t="b">
        <f t="shared" si="133"/>
        <v>0</v>
      </c>
      <c r="AR1149" s="60" t="str">
        <f t="shared" si="134"/>
        <v>No</v>
      </c>
      <c r="AS1149" s="60" t="str">
        <f t="shared" si="135"/>
        <v>No</v>
      </c>
    </row>
    <row r="1150" spans="1:45" ht="15" hidden="1">
      <c r="A1150" s="103">
        <v>45244</v>
      </c>
      <c r="B1150" s="117" t="s">
        <v>4687</v>
      </c>
      <c r="C1150" s="28" t="s">
        <v>511</v>
      </c>
      <c r="D1150" s="28" t="s">
        <v>4688</v>
      </c>
      <c r="F1150" s="28" t="s">
        <v>4689</v>
      </c>
      <c r="G1150" s="28" t="s">
        <v>2061</v>
      </c>
      <c r="H1150" s="28" t="s">
        <v>1701</v>
      </c>
      <c r="I1150" s="28" t="s">
        <v>516</v>
      </c>
      <c r="J1150" s="28" t="s">
        <v>517</v>
      </c>
      <c r="K1150" s="28" t="s">
        <v>518</v>
      </c>
      <c r="L1150" s="28" t="s">
        <v>3297</v>
      </c>
      <c r="M1150" s="28" t="s">
        <v>520</v>
      </c>
      <c r="N1150" s="28" t="s">
        <v>557</v>
      </c>
      <c r="O1150" s="28" t="s">
        <v>522</v>
      </c>
      <c r="S1150" s="28" t="s">
        <v>1712</v>
      </c>
      <c r="T1150" s="28" t="s">
        <v>1918</v>
      </c>
      <c r="U1150" s="28" t="s">
        <v>1918</v>
      </c>
      <c r="V1150" s="28" t="s">
        <v>517</v>
      </c>
      <c r="W1150" s="28" t="s">
        <v>4690</v>
      </c>
      <c r="Z1150" s="118" t="s">
        <v>563</v>
      </c>
      <c r="AA1150" s="118"/>
      <c r="AB1150" s="118" t="s">
        <v>527</v>
      </c>
      <c r="AD1150" s="28" t="s">
        <v>954</v>
      </c>
      <c r="AF1150" s="117" t="s">
        <v>4688</v>
      </c>
      <c r="AG1150" s="28" t="s">
        <v>563</v>
      </c>
      <c r="AK1150" s="60" t="s">
        <v>2927</v>
      </c>
      <c r="AL1150" s="117">
        <f>1/COUNTIF(Tableau6[LAT],B1150)</f>
        <v>1</v>
      </c>
      <c r="AM1150" s="60" t="b">
        <f t="shared" si="129"/>
        <v>0</v>
      </c>
      <c r="AN1150" s="60" t="b">
        <f t="shared" si="130"/>
        <v>0</v>
      </c>
      <c r="AO1150" s="60" t="b">
        <f t="shared" si="131"/>
        <v>0</v>
      </c>
      <c r="AP1150" s="60" t="b">
        <f t="shared" si="132"/>
        <v>0</v>
      </c>
      <c r="AQ1150" s="60" t="b">
        <f t="shared" si="133"/>
        <v>0</v>
      </c>
      <c r="AR1150" s="60" t="str">
        <f t="shared" si="134"/>
        <v>No</v>
      </c>
      <c r="AS1150" s="60" t="str">
        <f t="shared" si="135"/>
        <v>No</v>
      </c>
    </row>
    <row r="1151" spans="1:45" ht="15" hidden="1">
      <c r="A1151" s="103">
        <v>45244</v>
      </c>
      <c r="B1151" s="117" t="s">
        <v>4691</v>
      </c>
      <c r="C1151" s="28" t="s">
        <v>511</v>
      </c>
      <c r="D1151" s="28" t="s">
        <v>4692</v>
      </c>
      <c r="F1151" s="28" t="s">
        <v>1306</v>
      </c>
      <c r="G1151" s="28" t="s">
        <v>514</v>
      </c>
      <c r="H1151" s="28" t="s">
        <v>1565</v>
      </c>
      <c r="I1151" s="28" t="s">
        <v>516</v>
      </c>
      <c r="J1151" s="28" t="s">
        <v>517</v>
      </c>
      <c r="K1151" s="28" t="s">
        <v>518</v>
      </c>
      <c r="L1151" s="28" t="s">
        <v>604</v>
      </c>
      <c r="M1151" s="28" t="s">
        <v>605</v>
      </c>
      <c r="N1151" s="28" t="s">
        <v>1140</v>
      </c>
      <c r="O1151" s="28" t="s">
        <v>522</v>
      </c>
      <c r="S1151" s="28" t="s">
        <v>3756</v>
      </c>
      <c r="T1151" s="28" t="s">
        <v>607</v>
      </c>
      <c r="U1151" s="28" t="s">
        <v>607</v>
      </c>
      <c r="V1151" s="28" t="s">
        <v>517</v>
      </c>
      <c r="W1151" s="28" t="s">
        <v>4693</v>
      </c>
      <c r="Z1151" s="118" t="s">
        <v>526</v>
      </c>
      <c r="AA1151" s="118"/>
      <c r="AB1151" s="118"/>
      <c r="AD1151" s="28" t="s">
        <v>954</v>
      </c>
      <c r="AF1151" s="117" t="s">
        <v>4692</v>
      </c>
      <c r="AG1151" s="28" t="s">
        <v>563</v>
      </c>
      <c r="AK1151" s="60" t="s">
        <v>2927</v>
      </c>
      <c r="AL1151" s="117">
        <f>1/COUNTIF(Tableau6[LAT],B1151)</f>
        <v>0.5</v>
      </c>
      <c r="AM1151" s="60" t="b">
        <f t="shared" si="129"/>
        <v>0</v>
      </c>
      <c r="AN1151" s="60" t="b">
        <f t="shared" si="130"/>
        <v>0</v>
      </c>
      <c r="AO1151" s="60" t="b">
        <f t="shared" si="131"/>
        <v>0</v>
      </c>
      <c r="AP1151" s="60" t="b">
        <f t="shared" si="132"/>
        <v>0</v>
      </c>
      <c r="AQ1151" s="60" t="b">
        <f t="shared" si="133"/>
        <v>0</v>
      </c>
      <c r="AR1151" s="60" t="str">
        <f t="shared" si="134"/>
        <v>No</v>
      </c>
      <c r="AS1151" s="60" t="str">
        <f t="shared" si="135"/>
        <v>No</v>
      </c>
    </row>
    <row r="1152" spans="1:45" ht="15" hidden="1">
      <c r="A1152" s="103">
        <v>45244</v>
      </c>
      <c r="B1152" s="117" t="s">
        <v>4691</v>
      </c>
      <c r="C1152" s="28" t="s">
        <v>612</v>
      </c>
      <c r="D1152" s="28" t="s">
        <v>4694</v>
      </c>
      <c r="F1152" s="28" t="s">
        <v>1306</v>
      </c>
      <c r="G1152" s="28" t="s">
        <v>514</v>
      </c>
      <c r="H1152" s="28" t="s">
        <v>3145</v>
      </c>
      <c r="I1152" s="28" t="s">
        <v>516</v>
      </c>
      <c r="J1152" s="28" t="s">
        <v>517</v>
      </c>
      <c r="K1152" s="28" t="s">
        <v>518</v>
      </c>
      <c r="L1152" s="28" t="s">
        <v>604</v>
      </c>
      <c r="M1152" s="28" t="s">
        <v>605</v>
      </c>
      <c r="N1152" s="28" t="s">
        <v>1140</v>
      </c>
      <c r="O1152" s="28" t="s">
        <v>522</v>
      </c>
      <c r="S1152" s="28" t="s">
        <v>3756</v>
      </c>
      <c r="T1152" s="28" t="s">
        <v>607</v>
      </c>
      <c r="U1152" s="28" t="s">
        <v>607</v>
      </c>
      <c r="V1152" s="28" t="s">
        <v>517</v>
      </c>
      <c r="W1152" s="28" t="s">
        <v>4695</v>
      </c>
      <c r="Z1152" s="118" t="s">
        <v>526</v>
      </c>
      <c r="AA1152" s="118"/>
      <c r="AB1152" s="118"/>
      <c r="AD1152" s="28" t="s">
        <v>954</v>
      </c>
      <c r="AF1152" s="117" t="s">
        <v>4692</v>
      </c>
      <c r="AG1152" s="28" t="s">
        <v>563</v>
      </c>
      <c r="AK1152" s="60" t="s">
        <v>2927</v>
      </c>
      <c r="AL1152" s="117">
        <f>1/COUNTIF(Tableau6[LAT],B1152)</f>
        <v>0.5</v>
      </c>
      <c r="AM1152" s="60" t="b">
        <f t="shared" si="129"/>
        <v>0</v>
      </c>
      <c r="AN1152" s="60" t="b">
        <f t="shared" si="130"/>
        <v>0</v>
      </c>
      <c r="AO1152" s="60" t="b">
        <f t="shared" si="131"/>
        <v>0</v>
      </c>
      <c r="AP1152" s="60" t="b">
        <f t="shared" si="132"/>
        <v>0</v>
      </c>
      <c r="AQ1152" s="60" t="b">
        <f t="shared" si="133"/>
        <v>0</v>
      </c>
      <c r="AR1152" s="60" t="str">
        <f t="shared" si="134"/>
        <v>No</v>
      </c>
      <c r="AS1152" s="60" t="str">
        <f t="shared" si="135"/>
        <v>No</v>
      </c>
    </row>
    <row r="1153" spans="1:45" ht="15" hidden="1">
      <c r="A1153" s="103">
        <v>45244</v>
      </c>
      <c r="B1153" s="117" t="s">
        <v>4696</v>
      </c>
      <c r="C1153" s="28" t="s">
        <v>511</v>
      </c>
      <c r="D1153" s="28" t="s">
        <v>4697</v>
      </c>
      <c r="F1153" s="28" t="s">
        <v>4698</v>
      </c>
      <c r="G1153" s="28" t="s">
        <v>3875</v>
      </c>
      <c r="H1153" s="28" t="s">
        <v>1849</v>
      </c>
      <c r="I1153" s="28" t="s">
        <v>516</v>
      </c>
      <c r="J1153" s="28" t="s">
        <v>517</v>
      </c>
      <c r="K1153" s="28" t="s">
        <v>682</v>
      </c>
      <c r="L1153" s="28" t="s">
        <v>4699</v>
      </c>
      <c r="M1153" s="28" t="s">
        <v>520</v>
      </c>
      <c r="S1153" s="28" t="s">
        <v>1934</v>
      </c>
      <c r="T1153" s="28" t="s">
        <v>4700</v>
      </c>
      <c r="U1153" s="28" t="s">
        <v>4700</v>
      </c>
      <c r="V1153" s="28" t="s">
        <v>517</v>
      </c>
      <c r="W1153" s="28" t="s">
        <v>4701</v>
      </c>
      <c r="Z1153" s="118" t="s">
        <v>563</v>
      </c>
      <c r="AA1153" s="118"/>
      <c r="AB1153" s="118" t="s">
        <v>527</v>
      </c>
      <c r="AD1153" s="28" t="s">
        <v>954</v>
      </c>
      <c r="AF1153" s="117" t="s">
        <v>4697</v>
      </c>
      <c r="AG1153" s="28" t="s">
        <v>563</v>
      </c>
      <c r="AK1153" s="60" t="s">
        <v>2927</v>
      </c>
      <c r="AL1153" s="117">
        <f>1/COUNTIF(Tableau6[LAT],B1153)</f>
        <v>0.25</v>
      </c>
      <c r="AM1153" s="60" t="b">
        <f t="shared" si="129"/>
        <v>0</v>
      </c>
      <c r="AN1153" s="60" t="b">
        <f t="shared" si="130"/>
        <v>0</v>
      </c>
      <c r="AO1153" s="60" t="b">
        <f t="shared" si="131"/>
        <v>0</v>
      </c>
      <c r="AP1153" s="60" t="b">
        <f t="shared" si="132"/>
        <v>0</v>
      </c>
      <c r="AQ1153" s="60" t="b">
        <f t="shared" si="133"/>
        <v>0</v>
      </c>
      <c r="AR1153" s="60" t="str">
        <f t="shared" si="134"/>
        <v>No</v>
      </c>
      <c r="AS1153" s="60" t="str">
        <f t="shared" si="135"/>
        <v>No</v>
      </c>
    </row>
    <row r="1154" spans="1:45" ht="15" hidden="1">
      <c r="A1154" s="103">
        <v>45244</v>
      </c>
      <c r="B1154" s="117" t="s">
        <v>4696</v>
      </c>
      <c r="C1154" s="28" t="s">
        <v>548</v>
      </c>
      <c r="D1154" s="28" t="s">
        <v>4702</v>
      </c>
      <c r="F1154" s="28" t="s">
        <v>4703</v>
      </c>
      <c r="G1154" s="28" t="s">
        <v>2579</v>
      </c>
      <c r="H1154" s="28" t="s">
        <v>542</v>
      </c>
      <c r="I1154" s="28" t="s">
        <v>516</v>
      </c>
      <c r="J1154" s="28" t="s">
        <v>517</v>
      </c>
      <c r="K1154" s="28" t="s">
        <v>682</v>
      </c>
      <c r="L1154" s="28" t="s">
        <v>4699</v>
      </c>
      <c r="M1154" s="28" t="s">
        <v>520</v>
      </c>
      <c r="S1154" s="28" t="s">
        <v>1934</v>
      </c>
      <c r="T1154" s="28" t="s">
        <v>4700</v>
      </c>
      <c r="U1154" s="28" t="s">
        <v>4700</v>
      </c>
      <c r="V1154" s="28" t="s">
        <v>517</v>
      </c>
      <c r="W1154" s="28" t="s">
        <v>4704</v>
      </c>
      <c r="Z1154" s="118" t="s">
        <v>563</v>
      </c>
      <c r="AA1154" s="118"/>
      <c r="AB1154" s="118" t="s">
        <v>527</v>
      </c>
      <c r="AD1154" s="28" t="s">
        <v>954</v>
      </c>
      <c r="AF1154" s="117" t="s">
        <v>4702</v>
      </c>
      <c r="AG1154" s="28" t="s">
        <v>563</v>
      </c>
      <c r="AK1154" s="60" t="s">
        <v>2927</v>
      </c>
      <c r="AL1154" s="117">
        <f>1/COUNTIF(Tableau6[LAT],B1154)</f>
        <v>0.25</v>
      </c>
      <c r="AM1154" s="60" t="b">
        <f t="shared" si="129"/>
        <v>0</v>
      </c>
      <c r="AN1154" s="60" t="b">
        <f t="shared" si="130"/>
        <v>0</v>
      </c>
      <c r="AO1154" s="60" t="b">
        <f t="shared" si="131"/>
        <v>0</v>
      </c>
      <c r="AP1154" s="60" t="b">
        <f t="shared" si="132"/>
        <v>0</v>
      </c>
      <c r="AQ1154" s="60" t="b">
        <f t="shared" si="133"/>
        <v>0</v>
      </c>
      <c r="AR1154" s="60" t="str">
        <f t="shared" si="134"/>
        <v>No</v>
      </c>
      <c r="AS1154" s="60" t="str">
        <f t="shared" si="135"/>
        <v>No</v>
      </c>
    </row>
    <row r="1155" spans="1:45" ht="15" hidden="1">
      <c r="A1155" s="103">
        <v>45244</v>
      </c>
      <c r="B1155" s="117" t="s">
        <v>4696</v>
      </c>
      <c r="C1155" s="28" t="s">
        <v>612</v>
      </c>
      <c r="D1155" s="28" t="s">
        <v>4705</v>
      </c>
      <c r="F1155" s="28" t="s">
        <v>4698</v>
      </c>
      <c r="G1155" s="28" t="s">
        <v>3875</v>
      </c>
      <c r="H1155" s="28" t="s">
        <v>1849</v>
      </c>
      <c r="I1155" s="28" t="s">
        <v>516</v>
      </c>
      <c r="J1155" s="28" t="s">
        <v>517</v>
      </c>
      <c r="K1155" s="28" t="s">
        <v>682</v>
      </c>
      <c r="L1155" s="28" t="s">
        <v>4699</v>
      </c>
      <c r="M1155" s="28" t="s">
        <v>520</v>
      </c>
      <c r="S1155" s="28" t="s">
        <v>1934</v>
      </c>
      <c r="T1155" s="28" t="s">
        <v>4700</v>
      </c>
      <c r="U1155" s="28" t="s">
        <v>4700</v>
      </c>
      <c r="V1155" s="28" t="s">
        <v>517</v>
      </c>
      <c r="W1155" s="28" t="s">
        <v>4706</v>
      </c>
      <c r="Z1155" s="118" t="s">
        <v>563</v>
      </c>
      <c r="AA1155" s="118"/>
      <c r="AB1155" s="118" t="s">
        <v>527</v>
      </c>
      <c r="AD1155" s="28" t="s">
        <v>954</v>
      </c>
      <c r="AF1155" s="117" t="s">
        <v>4705</v>
      </c>
      <c r="AG1155" s="28" t="s">
        <v>563</v>
      </c>
      <c r="AK1155" s="60" t="s">
        <v>2927</v>
      </c>
      <c r="AL1155" s="117">
        <f>1/COUNTIF(Tableau6[LAT],B1155)</f>
        <v>0.25</v>
      </c>
      <c r="AM1155" s="60" t="b">
        <f t="shared" si="129"/>
        <v>0</v>
      </c>
      <c r="AN1155" s="60" t="b">
        <f t="shared" si="130"/>
        <v>0</v>
      </c>
      <c r="AO1155" s="60" t="b">
        <f t="shared" si="131"/>
        <v>0</v>
      </c>
      <c r="AP1155" s="60" t="b">
        <f t="shared" si="132"/>
        <v>0</v>
      </c>
      <c r="AQ1155" s="60" t="b">
        <f t="shared" si="133"/>
        <v>0</v>
      </c>
      <c r="AR1155" s="60" t="str">
        <f t="shared" si="134"/>
        <v>No</v>
      </c>
      <c r="AS1155" s="60" t="str">
        <f t="shared" si="135"/>
        <v>No</v>
      </c>
    </row>
    <row r="1156" spans="1:45" ht="15" hidden="1">
      <c r="A1156" s="103">
        <v>45244</v>
      </c>
      <c r="B1156" s="117" t="s">
        <v>4696</v>
      </c>
      <c r="C1156" s="28" t="s">
        <v>691</v>
      </c>
      <c r="D1156" s="28" t="s">
        <v>4707</v>
      </c>
      <c r="F1156" s="28" t="s">
        <v>4708</v>
      </c>
      <c r="G1156" s="28" t="s">
        <v>4089</v>
      </c>
      <c r="H1156" s="28" t="s">
        <v>2950</v>
      </c>
      <c r="I1156" s="28" t="s">
        <v>516</v>
      </c>
      <c r="J1156" s="28" t="s">
        <v>517</v>
      </c>
      <c r="K1156" s="28" t="s">
        <v>682</v>
      </c>
      <c r="L1156" s="28" t="s">
        <v>4699</v>
      </c>
      <c r="M1156" s="28" t="s">
        <v>520</v>
      </c>
      <c r="S1156" s="28" t="s">
        <v>1934</v>
      </c>
      <c r="T1156" s="28" t="s">
        <v>4700</v>
      </c>
      <c r="U1156" s="28" t="s">
        <v>4700</v>
      </c>
      <c r="V1156" s="28" t="s">
        <v>517</v>
      </c>
      <c r="W1156" s="28" t="s">
        <v>4709</v>
      </c>
      <c r="Z1156" s="118" t="s">
        <v>563</v>
      </c>
      <c r="AA1156" s="118"/>
      <c r="AB1156" s="118" t="s">
        <v>527</v>
      </c>
      <c r="AD1156" s="28" t="s">
        <v>954</v>
      </c>
      <c r="AF1156" s="117" t="s">
        <v>4707</v>
      </c>
      <c r="AG1156" s="28" t="s">
        <v>563</v>
      </c>
      <c r="AK1156" s="60" t="s">
        <v>2927</v>
      </c>
      <c r="AL1156" s="117">
        <f>1/COUNTIF(Tableau6[LAT],B1156)</f>
        <v>0.25</v>
      </c>
      <c r="AM1156" s="60" t="b">
        <f t="shared" si="129"/>
        <v>0</v>
      </c>
      <c r="AN1156" s="60" t="b">
        <f t="shared" si="130"/>
        <v>0</v>
      </c>
      <c r="AO1156" s="60" t="b">
        <f t="shared" si="131"/>
        <v>0</v>
      </c>
      <c r="AP1156" s="60" t="b">
        <f t="shared" si="132"/>
        <v>0</v>
      </c>
      <c r="AQ1156" s="60" t="b">
        <f t="shared" si="133"/>
        <v>0</v>
      </c>
      <c r="AR1156" s="60" t="str">
        <f t="shared" si="134"/>
        <v>No</v>
      </c>
      <c r="AS1156" s="60" t="str">
        <f t="shared" si="135"/>
        <v>No</v>
      </c>
    </row>
    <row r="1157" spans="1:45" ht="15" hidden="1">
      <c r="A1157" s="103">
        <v>45244</v>
      </c>
      <c r="B1157" s="117" t="s">
        <v>4710</v>
      </c>
      <c r="C1157" s="28" t="s">
        <v>511</v>
      </c>
      <c r="D1157" s="28" t="s">
        <v>4711</v>
      </c>
      <c r="F1157" s="28" t="s">
        <v>4712</v>
      </c>
      <c r="G1157" s="28" t="s">
        <v>514</v>
      </c>
      <c r="H1157" s="28" t="s">
        <v>3320</v>
      </c>
      <c r="I1157" s="28" t="s">
        <v>516</v>
      </c>
      <c r="J1157" s="28" t="s">
        <v>517</v>
      </c>
      <c r="K1157" s="28" t="s">
        <v>518</v>
      </c>
      <c r="L1157" s="28" t="s">
        <v>2925</v>
      </c>
      <c r="M1157" s="28" t="s">
        <v>535</v>
      </c>
      <c r="S1157" s="28" t="s">
        <v>2477</v>
      </c>
      <c r="T1157" s="28" t="s">
        <v>1042</v>
      </c>
      <c r="U1157" s="28" t="s">
        <v>1042</v>
      </c>
      <c r="V1157" s="28" t="s">
        <v>517</v>
      </c>
      <c r="W1157" s="28" t="s">
        <v>4713</v>
      </c>
      <c r="Z1157" s="118" t="s">
        <v>563</v>
      </c>
      <c r="AA1157" s="118"/>
      <c r="AB1157" s="118" t="s">
        <v>527</v>
      </c>
      <c r="AD1157" s="28" t="s">
        <v>954</v>
      </c>
      <c r="AF1157" s="117" t="s">
        <v>4711</v>
      </c>
      <c r="AG1157" s="28" t="s">
        <v>563</v>
      </c>
      <c r="AK1157" s="60" t="s">
        <v>2927</v>
      </c>
      <c r="AL1157" s="117">
        <f>1/COUNTIF(Tableau6[LAT],B1157)</f>
        <v>1</v>
      </c>
      <c r="AM1157" s="60" t="b">
        <f t="shared" si="129"/>
        <v>0</v>
      </c>
      <c r="AN1157" s="60" t="b">
        <f t="shared" si="130"/>
        <v>0</v>
      </c>
      <c r="AO1157" s="60" t="b">
        <f t="shared" si="131"/>
        <v>0</v>
      </c>
      <c r="AP1157" s="60" t="b">
        <f t="shared" si="132"/>
        <v>0</v>
      </c>
      <c r="AQ1157" s="60" t="b">
        <f t="shared" si="133"/>
        <v>0</v>
      </c>
      <c r="AR1157" s="60" t="str">
        <f t="shared" si="134"/>
        <v>No</v>
      </c>
      <c r="AS1157" s="60" t="str">
        <f t="shared" si="135"/>
        <v>No</v>
      </c>
    </row>
    <row r="1158" spans="1:45" ht="15" hidden="1">
      <c r="A1158" s="103">
        <v>45244</v>
      </c>
      <c r="B1158" s="117" t="s">
        <v>4714</v>
      </c>
      <c r="C1158" s="28" t="s">
        <v>511</v>
      </c>
      <c r="D1158" s="28" t="s">
        <v>4715</v>
      </c>
      <c r="E1158" s="28" t="s">
        <v>4716</v>
      </c>
      <c r="F1158" s="28" t="s">
        <v>3908</v>
      </c>
      <c r="G1158" s="28" t="s">
        <v>1077</v>
      </c>
      <c r="H1158" s="28" t="s">
        <v>4587</v>
      </c>
      <c r="I1158" s="28" t="s">
        <v>516</v>
      </c>
      <c r="J1158" s="28" t="s">
        <v>517</v>
      </c>
      <c r="K1158" s="28" t="s">
        <v>518</v>
      </c>
      <c r="L1158" s="28" t="s">
        <v>916</v>
      </c>
      <c r="M1158" s="28" t="s">
        <v>535</v>
      </c>
      <c r="N1158" s="28" t="s">
        <v>1637</v>
      </c>
      <c r="O1158" s="28" t="s">
        <v>1383</v>
      </c>
      <c r="P1158" s="28" t="s">
        <v>521</v>
      </c>
      <c r="Q1158" s="28" t="s">
        <v>544</v>
      </c>
      <c r="R1158" s="28" t="s">
        <v>427</v>
      </c>
      <c r="S1158" s="28" t="s">
        <v>2199</v>
      </c>
      <c r="T1158" s="28" t="s">
        <v>917</v>
      </c>
      <c r="U1158" s="28" t="s">
        <v>917</v>
      </c>
      <c r="V1158" s="28" t="s">
        <v>517</v>
      </c>
      <c r="W1158" s="28" t="s">
        <v>4717</v>
      </c>
      <c r="X1158" s="28" t="s">
        <v>670</v>
      </c>
      <c r="Z1158" s="118" t="s">
        <v>563</v>
      </c>
      <c r="AA1158" s="118"/>
      <c r="AB1158" s="118" t="s">
        <v>527</v>
      </c>
      <c r="AD1158" s="28" t="s">
        <v>528</v>
      </c>
      <c r="AF1158" s="117" t="s">
        <v>4715</v>
      </c>
      <c r="AG1158" s="28" t="s">
        <v>563</v>
      </c>
      <c r="AK1158" s="60" t="s">
        <v>2927</v>
      </c>
      <c r="AL1158" s="117">
        <f>1/COUNTIF(Tableau6[LAT],B1158)</f>
        <v>1</v>
      </c>
      <c r="AM1158" s="60" t="b">
        <f t="shared" si="129"/>
        <v>0</v>
      </c>
      <c r="AN1158" s="60" t="b">
        <f t="shared" si="130"/>
        <v>0</v>
      </c>
      <c r="AO1158" s="60" t="b">
        <f t="shared" si="131"/>
        <v>0</v>
      </c>
      <c r="AP1158" s="60" t="b">
        <f t="shared" si="132"/>
        <v>0</v>
      </c>
      <c r="AQ1158" s="60" t="b">
        <f t="shared" si="133"/>
        <v>0</v>
      </c>
      <c r="AR1158" s="60" t="str">
        <f t="shared" si="134"/>
        <v>No</v>
      </c>
      <c r="AS1158" s="60" t="str">
        <f t="shared" si="135"/>
        <v>No</v>
      </c>
    </row>
    <row r="1159" spans="1:45" ht="15" hidden="1">
      <c r="A1159" s="103">
        <v>45244</v>
      </c>
      <c r="B1159" s="117" t="s">
        <v>4718</v>
      </c>
      <c r="C1159" s="28" t="s">
        <v>511</v>
      </c>
      <c r="D1159" s="28" t="s">
        <v>4719</v>
      </c>
      <c r="E1159" s="28" t="s">
        <v>4720</v>
      </c>
      <c r="F1159" s="28" t="s">
        <v>4721</v>
      </c>
      <c r="G1159" s="28" t="s">
        <v>514</v>
      </c>
      <c r="H1159" s="28" t="s">
        <v>4722</v>
      </c>
      <c r="I1159" s="28" t="s">
        <v>516</v>
      </c>
      <c r="J1159" s="28" t="s">
        <v>516</v>
      </c>
      <c r="K1159" s="28" t="s">
        <v>518</v>
      </c>
      <c r="L1159" s="28" t="s">
        <v>697</v>
      </c>
      <c r="M1159" s="28" t="s">
        <v>535</v>
      </c>
      <c r="N1159" s="28" t="s">
        <v>4723</v>
      </c>
      <c r="O1159" s="28" t="s">
        <v>1383</v>
      </c>
      <c r="P1159" s="28" t="s">
        <v>557</v>
      </c>
      <c r="Q1159" s="28" t="s">
        <v>544</v>
      </c>
      <c r="R1159" s="28" t="s">
        <v>558</v>
      </c>
      <c r="S1159" s="28" t="s">
        <v>2199</v>
      </c>
      <c r="T1159" s="28" t="s">
        <v>699</v>
      </c>
      <c r="U1159" s="28" t="s">
        <v>699</v>
      </c>
      <c r="V1159" s="28" t="s">
        <v>517</v>
      </c>
      <c r="W1159" s="28" t="s">
        <v>4724</v>
      </c>
      <c r="X1159" s="28" t="s">
        <v>1071</v>
      </c>
      <c r="Z1159" s="118" t="s">
        <v>526</v>
      </c>
      <c r="AA1159" s="118"/>
      <c r="AB1159" s="118"/>
      <c r="AD1159" s="118" t="s">
        <v>954</v>
      </c>
      <c r="AE1159" s="118"/>
      <c r="AF1159" s="138" t="s">
        <v>4720</v>
      </c>
      <c r="AG1159" s="28" t="s">
        <v>563</v>
      </c>
      <c r="AK1159" s="60" t="s">
        <v>2927</v>
      </c>
      <c r="AL1159" s="117">
        <f>1/COUNTIF(Tableau6[LAT],B1159)</f>
        <v>1</v>
      </c>
      <c r="AM1159" s="60" t="b">
        <f t="shared" si="129"/>
        <v>0</v>
      </c>
      <c r="AN1159" s="60" t="b">
        <f t="shared" si="130"/>
        <v>0</v>
      </c>
      <c r="AO1159" s="60" t="b">
        <f t="shared" si="131"/>
        <v>0</v>
      </c>
      <c r="AP1159" s="60" t="b">
        <f t="shared" si="132"/>
        <v>0</v>
      </c>
      <c r="AQ1159" s="60" t="b">
        <f t="shared" si="133"/>
        <v>0</v>
      </c>
      <c r="AR1159" s="60" t="str">
        <f t="shared" si="134"/>
        <v>No</v>
      </c>
      <c r="AS1159" s="60" t="str">
        <f t="shared" si="135"/>
        <v>No</v>
      </c>
    </row>
    <row r="1160" spans="1:45" ht="15" hidden="1">
      <c r="A1160" s="103">
        <v>45244</v>
      </c>
      <c r="B1160" s="117" t="s">
        <v>4725</v>
      </c>
      <c r="C1160" s="28" t="s">
        <v>511</v>
      </c>
      <c r="D1160" s="28" t="s">
        <v>4726</v>
      </c>
      <c r="F1160" s="28" t="s">
        <v>4727</v>
      </c>
      <c r="G1160" s="28" t="s">
        <v>514</v>
      </c>
      <c r="H1160" s="28" t="s">
        <v>1873</v>
      </c>
      <c r="I1160" s="28" t="s">
        <v>516</v>
      </c>
      <c r="J1160" s="28" t="s">
        <v>517</v>
      </c>
      <c r="K1160" s="28" t="s">
        <v>518</v>
      </c>
      <c r="L1160" s="28" t="s">
        <v>1157</v>
      </c>
      <c r="M1160" s="28" t="s">
        <v>535</v>
      </c>
      <c r="N1160" s="28" t="s">
        <v>1637</v>
      </c>
      <c r="O1160" s="28" t="s">
        <v>1383</v>
      </c>
      <c r="P1160" s="28" t="s">
        <v>521</v>
      </c>
      <c r="S1160" s="28" t="s">
        <v>2199</v>
      </c>
      <c r="T1160" s="28" t="s">
        <v>1159</v>
      </c>
      <c r="U1160" s="28" t="s">
        <v>1159</v>
      </c>
      <c r="V1160" s="28" t="s">
        <v>517</v>
      </c>
      <c r="W1160" s="28" t="s">
        <v>4728</v>
      </c>
      <c r="Z1160" s="118" t="s">
        <v>526</v>
      </c>
      <c r="AA1160" s="118"/>
      <c r="AB1160" s="118"/>
      <c r="AD1160" s="28" t="s">
        <v>528</v>
      </c>
      <c r="AF1160" s="117" t="s">
        <v>4726</v>
      </c>
      <c r="AG1160" s="28" t="s">
        <v>529</v>
      </c>
      <c r="AK1160" s="60" t="s">
        <v>2927</v>
      </c>
      <c r="AL1160" s="117">
        <f>1/COUNTIF(Tableau6[LAT],B1160)</f>
        <v>0.25</v>
      </c>
      <c r="AM1160" s="60" t="b">
        <f t="shared" si="129"/>
        <v>0</v>
      </c>
      <c r="AN1160" s="60" t="b">
        <f t="shared" si="130"/>
        <v>0</v>
      </c>
      <c r="AO1160" s="60" t="b">
        <f t="shared" si="131"/>
        <v>0</v>
      </c>
      <c r="AP1160" s="60" t="b">
        <f t="shared" si="132"/>
        <v>0</v>
      </c>
      <c r="AQ1160" s="60" t="b">
        <f t="shared" si="133"/>
        <v>0</v>
      </c>
      <c r="AR1160" s="60" t="str">
        <f t="shared" si="134"/>
        <v>No</v>
      </c>
      <c r="AS1160" s="60" t="str">
        <f t="shared" si="135"/>
        <v>No</v>
      </c>
    </row>
    <row r="1161" spans="1:45" ht="15" hidden="1">
      <c r="A1161" s="103">
        <v>45244</v>
      </c>
      <c r="B1161" s="117" t="s">
        <v>4725</v>
      </c>
      <c r="C1161" s="28" t="s">
        <v>548</v>
      </c>
      <c r="D1161" s="28" t="s">
        <v>4729</v>
      </c>
      <c r="F1161" s="28" t="s">
        <v>3455</v>
      </c>
      <c r="G1161" s="28" t="s">
        <v>514</v>
      </c>
      <c r="H1161" s="28" t="s">
        <v>1873</v>
      </c>
      <c r="I1161" s="28" t="s">
        <v>516</v>
      </c>
      <c r="J1161" s="28" t="s">
        <v>517</v>
      </c>
      <c r="K1161" s="28" t="s">
        <v>518</v>
      </c>
      <c r="L1161" s="28" t="s">
        <v>1157</v>
      </c>
      <c r="M1161" s="28" t="s">
        <v>535</v>
      </c>
      <c r="N1161" s="28" t="s">
        <v>1637</v>
      </c>
      <c r="O1161" s="28" t="s">
        <v>1383</v>
      </c>
      <c r="P1161" s="28" t="s">
        <v>521</v>
      </c>
      <c r="S1161" s="28" t="s">
        <v>2199</v>
      </c>
      <c r="T1161" s="28" t="s">
        <v>1159</v>
      </c>
      <c r="U1161" s="28" t="s">
        <v>1159</v>
      </c>
      <c r="V1161" s="28" t="s">
        <v>517</v>
      </c>
      <c r="W1161" s="28" t="s">
        <v>4730</v>
      </c>
      <c r="Z1161" s="118" t="s">
        <v>526</v>
      </c>
      <c r="AA1161" s="118"/>
      <c r="AB1161" s="118"/>
      <c r="AD1161" s="28" t="s">
        <v>528</v>
      </c>
      <c r="AF1161" s="117" t="s">
        <v>4729</v>
      </c>
      <c r="AG1161" s="28" t="s">
        <v>529</v>
      </c>
      <c r="AK1161" s="60" t="s">
        <v>2927</v>
      </c>
      <c r="AL1161" s="117">
        <f>1/COUNTIF(Tableau6[LAT],B1161)</f>
        <v>0.25</v>
      </c>
      <c r="AM1161" s="60" t="b">
        <f t="shared" si="129"/>
        <v>0</v>
      </c>
      <c r="AN1161" s="60" t="b">
        <f t="shared" si="130"/>
        <v>0</v>
      </c>
      <c r="AO1161" s="60" t="b">
        <f t="shared" si="131"/>
        <v>0</v>
      </c>
      <c r="AP1161" s="60" t="b">
        <f t="shared" si="132"/>
        <v>0</v>
      </c>
      <c r="AQ1161" s="60" t="b">
        <f t="shared" si="133"/>
        <v>0</v>
      </c>
      <c r="AR1161" s="60" t="str">
        <f t="shared" si="134"/>
        <v>No</v>
      </c>
      <c r="AS1161" s="60" t="str">
        <f t="shared" si="135"/>
        <v>No</v>
      </c>
    </row>
    <row r="1162" spans="1:45" ht="15" hidden="1">
      <c r="A1162" s="103">
        <v>45244</v>
      </c>
      <c r="B1162" s="117" t="s">
        <v>4725</v>
      </c>
      <c r="C1162" s="28" t="s">
        <v>612</v>
      </c>
      <c r="D1162" s="28" t="s">
        <v>4731</v>
      </c>
      <c r="F1162" s="28" t="s">
        <v>3455</v>
      </c>
      <c r="G1162" s="28" t="s">
        <v>514</v>
      </c>
      <c r="H1162" s="28" t="s">
        <v>1873</v>
      </c>
      <c r="I1162" s="28" t="s">
        <v>516</v>
      </c>
      <c r="J1162" s="28" t="s">
        <v>517</v>
      </c>
      <c r="K1162" s="28" t="s">
        <v>518</v>
      </c>
      <c r="L1162" s="28" t="s">
        <v>1157</v>
      </c>
      <c r="M1162" s="28" t="s">
        <v>535</v>
      </c>
      <c r="N1162" s="28" t="s">
        <v>1637</v>
      </c>
      <c r="O1162" s="28" t="s">
        <v>1383</v>
      </c>
      <c r="P1162" s="28" t="s">
        <v>521</v>
      </c>
      <c r="S1162" s="28" t="s">
        <v>2199</v>
      </c>
      <c r="T1162" s="28" t="s">
        <v>1159</v>
      </c>
      <c r="U1162" s="28" t="s">
        <v>1159</v>
      </c>
      <c r="V1162" s="28" t="s">
        <v>517</v>
      </c>
      <c r="W1162" s="28" t="s">
        <v>4732</v>
      </c>
      <c r="Z1162" s="118" t="s">
        <v>526</v>
      </c>
      <c r="AA1162" s="118"/>
      <c r="AB1162" s="118"/>
      <c r="AD1162" s="28" t="s">
        <v>528</v>
      </c>
      <c r="AF1162" s="117" t="s">
        <v>4731</v>
      </c>
      <c r="AG1162" s="28" t="s">
        <v>529</v>
      </c>
      <c r="AK1162" s="60" t="s">
        <v>2927</v>
      </c>
      <c r="AL1162" s="117">
        <f>1/COUNTIF(Tableau6[LAT],B1162)</f>
        <v>0.25</v>
      </c>
      <c r="AM1162" s="60" t="b">
        <f t="shared" si="129"/>
        <v>0</v>
      </c>
      <c r="AN1162" s="60" t="b">
        <f t="shared" si="130"/>
        <v>0</v>
      </c>
      <c r="AO1162" s="60" t="b">
        <f t="shared" si="131"/>
        <v>0</v>
      </c>
      <c r="AP1162" s="60" t="b">
        <f t="shared" si="132"/>
        <v>0</v>
      </c>
      <c r="AQ1162" s="60" t="b">
        <f t="shared" si="133"/>
        <v>0</v>
      </c>
      <c r="AR1162" s="60" t="str">
        <f t="shared" si="134"/>
        <v>No</v>
      </c>
      <c r="AS1162" s="60" t="str">
        <f t="shared" si="135"/>
        <v>No</v>
      </c>
    </row>
    <row r="1163" spans="1:45" ht="15" hidden="1">
      <c r="A1163" s="103">
        <v>45244</v>
      </c>
      <c r="B1163" s="117" t="s">
        <v>4725</v>
      </c>
      <c r="C1163" s="28" t="s">
        <v>691</v>
      </c>
      <c r="D1163" s="28" t="s">
        <v>4733</v>
      </c>
      <c r="F1163" s="28" t="s">
        <v>3455</v>
      </c>
      <c r="G1163" s="28" t="s">
        <v>514</v>
      </c>
      <c r="H1163" s="28" t="s">
        <v>1873</v>
      </c>
      <c r="I1163" s="28" t="s">
        <v>516</v>
      </c>
      <c r="J1163" s="28" t="s">
        <v>517</v>
      </c>
      <c r="K1163" s="28" t="s">
        <v>518</v>
      </c>
      <c r="L1163" s="28" t="s">
        <v>1157</v>
      </c>
      <c r="M1163" s="28" t="s">
        <v>535</v>
      </c>
      <c r="N1163" s="28" t="s">
        <v>1637</v>
      </c>
      <c r="O1163" s="28" t="s">
        <v>1383</v>
      </c>
      <c r="P1163" s="28" t="s">
        <v>521</v>
      </c>
      <c r="S1163" s="28" t="s">
        <v>2199</v>
      </c>
      <c r="T1163" s="28" t="s">
        <v>1159</v>
      </c>
      <c r="U1163" s="28" t="s">
        <v>1159</v>
      </c>
      <c r="V1163" s="28" t="s">
        <v>517</v>
      </c>
      <c r="W1163" s="28" t="s">
        <v>4734</v>
      </c>
      <c r="Z1163" s="118" t="s">
        <v>526</v>
      </c>
      <c r="AA1163" s="118"/>
      <c r="AB1163" s="118"/>
      <c r="AD1163" s="28" t="s">
        <v>528</v>
      </c>
      <c r="AF1163" s="117" t="s">
        <v>4733</v>
      </c>
      <c r="AG1163" s="28" t="s">
        <v>529</v>
      </c>
      <c r="AK1163" s="60" t="s">
        <v>2927</v>
      </c>
      <c r="AL1163" s="117">
        <f>1/COUNTIF(Tableau6[LAT],B1163)</f>
        <v>0.25</v>
      </c>
      <c r="AM1163" s="60" t="b">
        <f t="shared" si="129"/>
        <v>0</v>
      </c>
      <c r="AN1163" s="60" t="b">
        <f t="shared" si="130"/>
        <v>0</v>
      </c>
      <c r="AO1163" s="60" t="b">
        <f t="shared" si="131"/>
        <v>0</v>
      </c>
      <c r="AP1163" s="60" t="b">
        <f t="shared" si="132"/>
        <v>0</v>
      </c>
      <c r="AQ1163" s="60" t="b">
        <f t="shared" si="133"/>
        <v>0</v>
      </c>
      <c r="AR1163" s="60" t="str">
        <f t="shared" si="134"/>
        <v>No</v>
      </c>
      <c r="AS1163" s="60" t="str">
        <f t="shared" si="135"/>
        <v>No</v>
      </c>
    </row>
    <row r="1164" spans="1:45" ht="15" hidden="1">
      <c r="A1164" s="103">
        <v>45244</v>
      </c>
      <c r="B1164" s="117" t="s">
        <v>4735</v>
      </c>
      <c r="C1164" s="28" t="s">
        <v>511</v>
      </c>
      <c r="D1164" s="28" t="s">
        <v>4736</v>
      </c>
      <c r="F1164" s="28" t="s">
        <v>4737</v>
      </c>
      <c r="G1164" s="28" t="s">
        <v>514</v>
      </c>
      <c r="H1164" s="28" t="s">
        <v>4738</v>
      </c>
      <c r="I1164" s="28" t="s">
        <v>516</v>
      </c>
      <c r="J1164" s="28" t="s">
        <v>517</v>
      </c>
      <c r="K1164" s="28" t="s">
        <v>518</v>
      </c>
      <c r="L1164" s="28" t="s">
        <v>1157</v>
      </c>
      <c r="M1164" s="28" t="s">
        <v>535</v>
      </c>
      <c r="N1164" s="28" t="s">
        <v>1637</v>
      </c>
      <c r="O1164" s="28" t="s">
        <v>1383</v>
      </c>
      <c r="P1164" s="28" t="s">
        <v>521</v>
      </c>
      <c r="S1164" s="28" t="s">
        <v>2199</v>
      </c>
      <c r="T1164" s="28" t="s">
        <v>1159</v>
      </c>
      <c r="U1164" s="28" t="s">
        <v>1159</v>
      </c>
      <c r="V1164" s="28" t="s">
        <v>517</v>
      </c>
      <c r="W1164" s="28" t="s">
        <v>4739</v>
      </c>
      <c r="Z1164" s="118" t="s">
        <v>526</v>
      </c>
      <c r="AA1164" s="118"/>
      <c r="AB1164" s="118"/>
      <c r="AD1164" s="28" t="s">
        <v>528</v>
      </c>
      <c r="AF1164" s="117" t="s">
        <v>4736</v>
      </c>
      <c r="AG1164" s="28" t="s">
        <v>529</v>
      </c>
      <c r="AK1164" s="60" t="s">
        <v>2927</v>
      </c>
      <c r="AL1164" s="117">
        <f>1/COUNTIF(Tableau6[LAT],B1164)</f>
        <v>0.5</v>
      </c>
      <c r="AM1164" s="60" t="b">
        <f t="shared" si="129"/>
        <v>0</v>
      </c>
      <c r="AN1164" s="60" t="b">
        <f t="shared" si="130"/>
        <v>0</v>
      </c>
      <c r="AO1164" s="60" t="b">
        <f t="shared" si="131"/>
        <v>0</v>
      </c>
      <c r="AP1164" s="60" t="b">
        <f t="shared" si="132"/>
        <v>0</v>
      </c>
      <c r="AQ1164" s="60" t="b">
        <f t="shared" si="133"/>
        <v>0</v>
      </c>
      <c r="AR1164" s="60" t="str">
        <f t="shared" si="134"/>
        <v>No</v>
      </c>
      <c r="AS1164" s="60" t="str">
        <f t="shared" si="135"/>
        <v>No</v>
      </c>
    </row>
    <row r="1165" spans="1:45" ht="15" hidden="1">
      <c r="A1165" s="103">
        <v>45244</v>
      </c>
      <c r="B1165" s="117" t="s">
        <v>4735</v>
      </c>
      <c r="C1165" s="28" t="s">
        <v>548</v>
      </c>
      <c r="D1165" s="28" t="s">
        <v>4740</v>
      </c>
      <c r="F1165" s="28" t="s">
        <v>4741</v>
      </c>
      <c r="G1165" s="28" t="s">
        <v>514</v>
      </c>
      <c r="H1165" s="28" t="s">
        <v>4738</v>
      </c>
      <c r="I1165" s="28" t="s">
        <v>516</v>
      </c>
      <c r="J1165" s="28" t="s">
        <v>517</v>
      </c>
      <c r="K1165" s="28" t="s">
        <v>518</v>
      </c>
      <c r="L1165" s="28" t="s">
        <v>1157</v>
      </c>
      <c r="M1165" s="28" t="s">
        <v>535</v>
      </c>
      <c r="N1165" s="28" t="s">
        <v>1637</v>
      </c>
      <c r="O1165" s="28" t="s">
        <v>1383</v>
      </c>
      <c r="P1165" s="28" t="s">
        <v>521</v>
      </c>
      <c r="S1165" s="28" t="s">
        <v>2199</v>
      </c>
      <c r="T1165" s="28" t="s">
        <v>1159</v>
      </c>
      <c r="U1165" s="28" t="s">
        <v>1159</v>
      </c>
      <c r="V1165" s="28" t="s">
        <v>517</v>
      </c>
      <c r="W1165" s="28" t="s">
        <v>4742</v>
      </c>
      <c r="Z1165" s="118" t="s">
        <v>526</v>
      </c>
      <c r="AA1165" s="118"/>
      <c r="AB1165" s="118"/>
      <c r="AD1165" s="28" t="s">
        <v>528</v>
      </c>
      <c r="AF1165" s="117" t="s">
        <v>4740</v>
      </c>
      <c r="AG1165" s="28" t="s">
        <v>529</v>
      </c>
      <c r="AK1165" s="60" t="s">
        <v>2927</v>
      </c>
      <c r="AL1165" s="117">
        <f>1/COUNTIF(Tableau6[LAT],B1165)</f>
        <v>0.5</v>
      </c>
      <c r="AM1165" s="60" t="b">
        <f t="shared" si="129"/>
        <v>0</v>
      </c>
      <c r="AN1165" s="60" t="b">
        <f t="shared" si="130"/>
        <v>0</v>
      </c>
      <c r="AO1165" s="60" t="b">
        <f t="shared" si="131"/>
        <v>0</v>
      </c>
      <c r="AP1165" s="60" t="b">
        <f t="shared" si="132"/>
        <v>0</v>
      </c>
      <c r="AQ1165" s="60" t="b">
        <f t="shared" si="133"/>
        <v>0</v>
      </c>
      <c r="AR1165" s="60" t="str">
        <f t="shared" si="134"/>
        <v>No</v>
      </c>
      <c r="AS1165" s="60" t="str">
        <f t="shared" si="135"/>
        <v>No</v>
      </c>
    </row>
    <row r="1166" spans="1:45" ht="15" hidden="1">
      <c r="A1166" s="103">
        <v>45244</v>
      </c>
      <c r="B1166" s="117" t="s">
        <v>4743</v>
      </c>
      <c r="C1166" s="28" t="s">
        <v>511</v>
      </c>
      <c r="D1166" s="28" t="s">
        <v>4744</v>
      </c>
      <c r="F1166" s="28" t="s">
        <v>1516</v>
      </c>
      <c r="G1166" s="28" t="s">
        <v>514</v>
      </c>
      <c r="H1166" s="28" t="s">
        <v>2679</v>
      </c>
      <c r="I1166" s="28" t="s">
        <v>516</v>
      </c>
      <c r="J1166" s="28" t="s">
        <v>517</v>
      </c>
      <c r="K1166" s="28" t="s">
        <v>518</v>
      </c>
      <c r="L1166" s="28" t="s">
        <v>726</v>
      </c>
      <c r="M1166" s="28" t="s">
        <v>535</v>
      </c>
      <c r="N1166" s="28" t="s">
        <v>544</v>
      </c>
      <c r="S1166" s="28" t="s">
        <v>795</v>
      </c>
      <c r="T1166" s="28" t="s">
        <v>589</v>
      </c>
      <c r="U1166" s="28" t="s">
        <v>589</v>
      </c>
      <c r="V1166" s="28" t="s">
        <v>517</v>
      </c>
      <c r="W1166" s="28" t="s">
        <v>4745</v>
      </c>
      <c r="Z1166" s="118" t="s">
        <v>563</v>
      </c>
      <c r="AA1166" s="118"/>
      <c r="AB1166" s="118" t="s">
        <v>4746</v>
      </c>
      <c r="AD1166" s="28" t="s">
        <v>954</v>
      </c>
      <c r="AF1166" s="117" t="s">
        <v>4744</v>
      </c>
      <c r="AG1166" s="28" t="s">
        <v>563</v>
      </c>
      <c r="AK1166" s="60" t="s">
        <v>2927</v>
      </c>
      <c r="AL1166" s="117">
        <f>1/COUNTIF(Tableau6[LAT],B1166)</f>
        <v>1</v>
      </c>
      <c r="AM1166" s="60" t="b">
        <f t="shared" si="129"/>
        <v>0</v>
      </c>
      <c r="AN1166" s="60" t="b">
        <f t="shared" si="130"/>
        <v>0</v>
      </c>
      <c r="AO1166" s="60" t="b">
        <f t="shared" si="131"/>
        <v>0</v>
      </c>
      <c r="AP1166" s="60" t="b">
        <f t="shared" si="132"/>
        <v>0</v>
      </c>
      <c r="AQ1166" s="60" t="b">
        <f t="shared" si="133"/>
        <v>0</v>
      </c>
      <c r="AR1166" s="60" t="str">
        <f t="shared" si="134"/>
        <v>No</v>
      </c>
      <c r="AS1166" s="60" t="str">
        <f t="shared" si="135"/>
        <v>No</v>
      </c>
    </row>
    <row r="1167" spans="1:45" ht="15" hidden="1">
      <c r="A1167" s="103">
        <v>45244</v>
      </c>
      <c r="B1167" s="117" t="s">
        <v>4747</v>
      </c>
      <c r="C1167" s="28" t="s">
        <v>511</v>
      </c>
      <c r="D1167" s="28" t="s">
        <v>4748</v>
      </c>
      <c r="E1167" s="28" t="s">
        <v>4749</v>
      </c>
      <c r="F1167" s="28" t="s">
        <v>4750</v>
      </c>
      <c r="G1167" s="28" t="s">
        <v>657</v>
      </c>
      <c r="H1167" s="28" t="s">
        <v>4751</v>
      </c>
      <c r="I1167" s="28" t="s">
        <v>516</v>
      </c>
      <c r="J1167" s="28" t="s">
        <v>517</v>
      </c>
      <c r="K1167" s="28" t="s">
        <v>518</v>
      </c>
      <c r="L1167" s="28" t="s">
        <v>1040</v>
      </c>
      <c r="M1167" s="28" t="s">
        <v>535</v>
      </c>
      <c r="N1167" s="28" t="s">
        <v>521</v>
      </c>
      <c r="S1167" s="28" t="s">
        <v>2477</v>
      </c>
      <c r="T1167" s="28" t="s">
        <v>1042</v>
      </c>
      <c r="U1167" s="28" t="s">
        <v>1042</v>
      </c>
      <c r="V1167" s="28" t="s">
        <v>517</v>
      </c>
      <c r="W1167" s="28" t="s">
        <v>4752</v>
      </c>
      <c r="X1167" s="28" t="s">
        <v>670</v>
      </c>
      <c r="Z1167" s="118" t="s">
        <v>563</v>
      </c>
      <c r="AA1167" s="118"/>
      <c r="AB1167" s="118" t="s">
        <v>527</v>
      </c>
      <c r="AD1167" s="28" t="s">
        <v>954</v>
      </c>
      <c r="AF1167" s="117" t="s">
        <v>4748</v>
      </c>
      <c r="AG1167" s="28" t="s">
        <v>563</v>
      </c>
      <c r="AK1167" s="60" t="s">
        <v>2927</v>
      </c>
      <c r="AL1167" s="117">
        <f>1/COUNTIF(Tableau6[LAT],B1167)</f>
        <v>0.33333333333333331</v>
      </c>
      <c r="AM1167" s="60" t="b">
        <f t="shared" si="129"/>
        <v>0</v>
      </c>
      <c r="AN1167" s="60" t="b">
        <f t="shared" si="130"/>
        <v>0</v>
      </c>
      <c r="AO1167" s="60" t="b">
        <f t="shared" si="131"/>
        <v>0</v>
      </c>
      <c r="AP1167" s="60" t="b">
        <f t="shared" si="132"/>
        <v>0</v>
      </c>
      <c r="AQ1167" s="60" t="b">
        <f t="shared" si="133"/>
        <v>0</v>
      </c>
      <c r="AR1167" s="60" t="str">
        <f t="shared" si="134"/>
        <v>No</v>
      </c>
      <c r="AS1167" s="60" t="str">
        <f t="shared" si="135"/>
        <v>No</v>
      </c>
    </row>
    <row r="1168" spans="1:45" ht="15" hidden="1">
      <c r="A1168" s="103">
        <v>45244</v>
      </c>
      <c r="B1168" s="117" t="s">
        <v>4747</v>
      </c>
      <c r="C1168" s="28" t="s">
        <v>548</v>
      </c>
      <c r="D1168" s="28" t="s">
        <v>4753</v>
      </c>
      <c r="F1168" s="28" t="s">
        <v>4754</v>
      </c>
      <c r="G1168" s="28" t="s">
        <v>514</v>
      </c>
      <c r="H1168" s="28" t="s">
        <v>2826</v>
      </c>
      <c r="I1168" s="28" t="s">
        <v>516</v>
      </c>
      <c r="J1168" s="28" t="s">
        <v>517</v>
      </c>
      <c r="K1168" s="28" t="s">
        <v>518</v>
      </c>
      <c r="L1168" s="28" t="s">
        <v>1040</v>
      </c>
      <c r="M1168" s="28" t="s">
        <v>535</v>
      </c>
      <c r="N1168" s="28" t="s">
        <v>521</v>
      </c>
      <c r="S1168" s="28" t="s">
        <v>2477</v>
      </c>
      <c r="T1168" s="28" t="s">
        <v>1042</v>
      </c>
      <c r="U1168" s="28" t="s">
        <v>1042</v>
      </c>
      <c r="V1168" s="28" t="s">
        <v>517</v>
      </c>
      <c r="W1168" s="28" t="s">
        <v>4755</v>
      </c>
      <c r="Z1168" s="118" t="s">
        <v>563</v>
      </c>
      <c r="AA1168" s="118"/>
      <c r="AB1168" s="118" t="s">
        <v>527</v>
      </c>
      <c r="AD1168" s="28" t="s">
        <v>954</v>
      </c>
      <c r="AF1168" s="117" t="s">
        <v>4753</v>
      </c>
      <c r="AG1168" s="28" t="s">
        <v>563</v>
      </c>
      <c r="AK1168" s="60" t="s">
        <v>2927</v>
      </c>
      <c r="AL1168" s="117">
        <f>1/COUNTIF(Tableau6[LAT],B1168)</f>
        <v>0.33333333333333331</v>
      </c>
      <c r="AM1168" s="60" t="b">
        <f t="shared" si="129"/>
        <v>0</v>
      </c>
      <c r="AN1168" s="60" t="b">
        <f t="shared" si="130"/>
        <v>0</v>
      </c>
      <c r="AO1168" s="60" t="b">
        <f t="shared" si="131"/>
        <v>0</v>
      </c>
      <c r="AP1168" s="60" t="b">
        <f t="shared" si="132"/>
        <v>0</v>
      </c>
      <c r="AQ1168" s="60" t="b">
        <f t="shared" si="133"/>
        <v>0</v>
      </c>
      <c r="AR1168" s="60" t="str">
        <f t="shared" si="134"/>
        <v>No</v>
      </c>
      <c r="AS1168" s="60" t="str">
        <f t="shared" si="135"/>
        <v>No</v>
      </c>
    </row>
    <row r="1169" spans="1:45" ht="15" hidden="1">
      <c r="A1169" s="103">
        <v>45244</v>
      </c>
      <c r="B1169" s="117" t="s">
        <v>4747</v>
      </c>
      <c r="C1169" s="28" t="s">
        <v>612</v>
      </c>
      <c r="D1169" s="28" t="s">
        <v>4756</v>
      </c>
      <c r="F1169" s="28" t="s">
        <v>4754</v>
      </c>
      <c r="G1169" s="28" t="s">
        <v>514</v>
      </c>
      <c r="H1169" s="28" t="s">
        <v>2826</v>
      </c>
      <c r="I1169" s="28" t="s">
        <v>516</v>
      </c>
      <c r="J1169" s="28" t="s">
        <v>517</v>
      </c>
      <c r="K1169" s="28" t="s">
        <v>518</v>
      </c>
      <c r="L1169" s="28" t="s">
        <v>1040</v>
      </c>
      <c r="M1169" s="28" t="s">
        <v>535</v>
      </c>
      <c r="N1169" s="28" t="s">
        <v>521</v>
      </c>
      <c r="S1169" s="28" t="s">
        <v>2477</v>
      </c>
      <c r="T1169" s="28" t="s">
        <v>1042</v>
      </c>
      <c r="U1169" s="28" t="s">
        <v>1042</v>
      </c>
      <c r="V1169" s="28" t="s">
        <v>517</v>
      </c>
      <c r="W1169" s="28" t="s">
        <v>4757</v>
      </c>
      <c r="Z1169" s="118" t="s">
        <v>563</v>
      </c>
      <c r="AA1169" s="118"/>
      <c r="AB1169" s="118" t="s">
        <v>527</v>
      </c>
      <c r="AD1169" s="28" t="s">
        <v>954</v>
      </c>
      <c r="AF1169" s="117" t="s">
        <v>4756</v>
      </c>
      <c r="AG1169" s="28" t="s">
        <v>563</v>
      </c>
      <c r="AK1169" s="60" t="s">
        <v>2927</v>
      </c>
      <c r="AL1169" s="117">
        <f>1/COUNTIF(Tableau6[LAT],B1169)</f>
        <v>0.33333333333333331</v>
      </c>
      <c r="AM1169" s="60" t="b">
        <f t="shared" si="129"/>
        <v>0</v>
      </c>
      <c r="AN1169" s="60" t="b">
        <f t="shared" si="130"/>
        <v>0</v>
      </c>
      <c r="AO1169" s="60" t="b">
        <f t="shared" si="131"/>
        <v>0</v>
      </c>
      <c r="AP1169" s="60" t="b">
        <f t="shared" si="132"/>
        <v>0</v>
      </c>
      <c r="AQ1169" s="60" t="b">
        <f t="shared" si="133"/>
        <v>0</v>
      </c>
      <c r="AR1169" s="60" t="str">
        <f t="shared" si="134"/>
        <v>No</v>
      </c>
      <c r="AS1169" s="60" t="str">
        <f t="shared" si="135"/>
        <v>No</v>
      </c>
    </row>
    <row r="1170" spans="1:45" ht="15" hidden="1">
      <c r="A1170" s="103">
        <v>45244</v>
      </c>
      <c r="B1170" s="117" t="s">
        <v>4758</v>
      </c>
      <c r="C1170" s="28" t="s">
        <v>511</v>
      </c>
      <c r="D1170" s="28" t="s">
        <v>4759</v>
      </c>
      <c r="F1170" s="28" t="s">
        <v>1600</v>
      </c>
      <c r="G1170" s="28" t="s">
        <v>514</v>
      </c>
      <c r="H1170" s="28" t="s">
        <v>2679</v>
      </c>
      <c r="I1170" s="28" t="s">
        <v>516</v>
      </c>
      <c r="J1170" s="28" t="s">
        <v>517</v>
      </c>
      <c r="K1170" s="28" t="s">
        <v>518</v>
      </c>
      <c r="L1170" s="28" t="s">
        <v>801</v>
      </c>
      <c r="M1170" s="28" t="s">
        <v>520</v>
      </c>
      <c r="N1170" s="28" t="s">
        <v>521</v>
      </c>
      <c r="O1170" s="28" t="s">
        <v>522</v>
      </c>
      <c r="S1170" s="28" t="s">
        <v>2477</v>
      </c>
      <c r="T1170" s="28" t="s">
        <v>803</v>
      </c>
      <c r="U1170" s="28" t="s">
        <v>803</v>
      </c>
      <c r="V1170" s="28" t="s">
        <v>517</v>
      </c>
      <c r="W1170" s="28" t="s">
        <v>4760</v>
      </c>
      <c r="Z1170" s="118" t="s">
        <v>526</v>
      </c>
      <c r="AA1170" s="118"/>
      <c r="AB1170" s="118"/>
      <c r="AD1170" s="28" t="s">
        <v>954</v>
      </c>
      <c r="AF1170" s="117" t="s">
        <v>4759</v>
      </c>
      <c r="AG1170" s="28" t="s">
        <v>563</v>
      </c>
      <c r="AK1170" s="60" t="s">
        <v>2927</v>
      </c>
      <c r="AL1170" s="117">
        <f>1/COUNTIF(Tableau6[LAT],B1170)</f>
        <v>1</v>
      </c>
      <c r="AM1170" s="60" t="b">
        <f t="shared" si="129"/>
        <v>0</v>
      </c>
      <c r="AN1170" s="60" t="b">
        <f t="shared" si="130"/>
        <v>0</v>
      </c>
      <c r="AO1170" s="60" t="b">
        <f t="shared" si="131"/>
        <v>0</v>
      </c>
      <c r="AP1170" s="60" t="b">
        <f t="shared" si="132"/>
        <v>0</v>
      </c>
      <c r="AQ1170" s="60" t="b">
        <f t="shared" si="133"/>
        <v>0</v>
      </c>
      <c r="AR1170" s="60" t="str">
        <f t="shared" si="134"/>
        <v>No</v>
      </c>
      <c r="AS1170" s="60" t="str">
        <f t="shared" si="135"/>
        <v>No</v>
      </c>
    </row>
    <row r="1171" spans="1:45" ht="15" hidden="1">
      <c r="A1171" s="103">
        <v>45244</v>
      </c>
      <c r="B1171" s="117" t="s">
        <v>4761</v>
      </c>
      <c r="C1171" s="28" t="s">
        <v>511</v>
      </c>
      <c r="D1171" s="28" t="s">
        <v>4762</v>
      </c>
      <c r="E1171" s="28" t="s">
        <v>4763</v>
      </c>
      <c r="F1171" s="28" t="s">
        <v>4764</v>
      </c>
      <c r="G1171" s="28" t="s">
        <v>657</v>
      </c>
      <c r="H1171" s="28" t="s">
        <v>4765</v>
      </c>
      <c r="I1171" s="28" t="s">
        <v>516</v>
      </c>
      <c r="J1171" s="28" t="s">
        <v>517</v>
      </c>
      <c r="K1171" s="28" t="s">
        <v>518</v>
      </c>
      <c r="L1171" s="28" t="s">
        <v>2147</v>
      </c>
      <c r="M1171" s="28" t="s">
        <v>520</v>
      </c>
      <c r="N1171" s="28" t="s">
        <v>1382</v>
      </c>
      <c r="O1171" s="28" t="s">
        <v>1383</v>
      </c>
      <c r="P1171" s="28" t="s">
        <v>557</v>
      </c>
      <c r="Q1171" s="28" t="s">
        <v>544</v>
      </c>
      <c r="R1171" s="28" t="s">
        <v>522</v>
      </c>
      <c r="S1171" s="28" t="s">
        <v>1712</v>
      </c>
      <c r="T1171" s="28" t="s">
        <v>733</v>
      </c>
      <c r="U1171" s="28" t="s">
        <v>733</v>
      </c>
      <c r="V1171" s="28" t="s">
        <v>517</v>
      </c>
      <c r="W1171" s="28" t="s">
        <v>4766</v>
      </c>
      <c r="X1171" s="28" t="s">
        <v>670</v>
      </c>
      <c r="Z1171" s="118" t="s">
        <v>563</v>
      </c>
      <c r="AA1171" s="118"/>
      <c r="AB1171" s="118" t="s">
        <v>527</v>
      </c>
      <c r="AD1171" s="28" t="s">
        <v>528</v>
      </c>
      <c r="AF1171" s="117" t="s">
        <v>4762</v>
      </c>
      <c r="AG1171" s="28" t="s">
        <v>563</v>
      </c>
      <c r="AK1171" s="60" t="s">
        <v>2927</v>
      </c>
      <c r="AL1171" s="117">
        <f>1/COUNTIF(Tableau6[LAT],B1171)</f>
        <v>1</v>
      </c>
      <c r="AM1171" s="60" t="b">
        <f t="shared" si="129"/>
        <v>0</v>
      </c>
      <c r="AN1171" s="60" t="b">
        <f t="shared" si="130"/>
        <v>0</v>
      </c>
      <c r="AO1171" s="60" t="b">
        <f t="shared" si="131"/>
        <v>0</v>
      </c>
      <c r="AP1171" s="60" t="b">
        <f t="shared" si="132"/>
        <v>0</v>
      </c>
      <c r="AQ1171" s="60" t="b">
        <f t="shared" si="133"/>
        <v>0</v>
      </c>
      <c r="AR1171" s="60" t="str">
        <f t="shared" si="134"/>
        <v>No</v>
      </c>
      <c r="AS1171" s="60" t="str">
        <f t="shared" si="135"/>
        <v>No</v>
      </c>
    </row>
    <row r="1172" spans="1:45" ht="15" hidden="1">
      <c r="A1172" s="103">
        <v>45244</v>
      </c>
      <c r="B1172" s="117" t="s">
        <v>4767</v>
      </c>
      <c r="C1172" s="28" t="s">
        <v>511</v>
      </c>
      <c r="D1172" s="28" t="s">
        <v>4768</v>
      </c>
      <c r="F1172" s="28" t="s">
        <v>4769</v>
      </c>
      <c r="G1172" s="28" t="s">
        <v>514</v>
      </c>
      <c r="H1172" s="28" t="s">
        <v>725</v>
      </c>
      <c r="I1172" s="28" t="s">
        <v>516</v>
      </c>
      <c r="J1172" s="28" t="s">
        <v>517</v>
      </c>
      <c r="K1172" s="28" t="s">
        <v>518</v>
      </c>
      <c r="L1172" s="28" t="s">
        <v>1502</v>
      </c>
      <c r="M1172" s="28" t="s">
        <v>535</v>
      </c>
      <c r="N1172" s="28" t="s">
        <v>557</v>
      </c>
      <c r="O1172" s="28" t="s">
        <v>522</v>
      </c>
      <c r="S1172" s="28" t="s">
        <v>2778</v>
      </c>
      <c r="T1172" s="28" t="s">
        <v>811</v>
      </c>
      <c r="U1172" s="28" t="s">
        <v>811</v>
      </c>
      <c r="V1172" s="28" t="s">
        <v>517</v>
      </c>
      <c r="W1172" s="28" t="s">
        <v>4770</v>
      </c>
      <c r="Z1172" s="118" t="s">
        <v>526</v>
      </c>
      <c r="AA1172" s="118"/>
      <c r="AB1172" s="118"/>
      <c r="AD1172" s="28" t="s">
        <v>954</v>
      </c>
      <c r="AF1172" s="117" t="s">
        <v>4768</v>
      </c>
      <c r="AG1172" s="28" t="s">
        <v>563</v>
      </c>
      <c r="AK1172" s="60" t="s">
        <v>2927</v>
      </c>
      <c r="AL1172" s="117">
        <f>1/COUNTIF(Tableau6[LAT],B1172)</f>
        <v>1</v>
      </c>
      <c r="AM1172" s="60" t="b">
        <f t="shared" si="129"/>
        <v>0</v>
      </c>
      <c r="AN1172" s="60" t="b">
        <f t="shared" si="130"/>
        <v>0</v>
      </c>
      <c r="AO1172" s="60" t="b">
        <f t="shared" si="131"/>
        <v>0</v>
      </c>
      <c r="AP1172" s="60" t="b">
        <f t="shared" si="132"/>
        <v>0</v>
      </c>
      <c r="AQ1172" s="60" t="b">
        <f t="shared" si="133"/>
        <v>0</v>
      </c>
      <c r="AR1172" s="60" t="str">
        <f t="shared" si="134"/>
        <v>No</v>
      </c>
      <c r="AS1172" s="60" t="str">
        <f t="shared" si="135"/>
        <v>No</v>
      </c>
    </row>
    <row r="1173" spans="1:45" ht="15" hidden="1">
      <c r="A1173" s="103">
        <v>45244</v>
      </c>
      <c r="B1173" s="117" t="s">
        <v>4771</v>
      </c>
      <c r="C1173" s="28" t="s">
        <v>511</v>
      </c>
      <c r="D1173" s="28" t="s">
        <v>4772</v>
      </c>
      <c r="F1173" s="28" t="s">
        <v>1002</v>
      </c>
      <c r="G1173" s="28" t="s">
        <v>514</v>
      </c>
      <c r="H1173" s="28" t="s">
        <v>2062</v>
      </c>
      <c r="I1173" s="28" t="s">
        <v>516</v>
      </c>
      <c r="J1173" s="28" t="s">
        <v>517</v>
      </c>
      <c r="K1173" s="28" t="s">
        <v>518</v>
      </c>
      <c r="L1173" s="28" t="s">
        <v>4043</v>
      </c>
      <c r="M1173" s="28" t="s">
        <v>535</v>
      </c>
      <c r="N1173" s="28" t="s">
        <v>557</v>
      </c>
      <c r="O1173" s="28" t="s">
        <v>544</v>
      </c>
      <c r="P1173" s="28" t="s">
        <v>522</v>
      </c>
      <c r="S1173" s="28" t="s">
        <v>2778</v>
      </c>
      <c r="T1173" s="28" t="s">
        <v>2078</v>
      </c>
      <c r="U1173" s="28" t="s">
        <v>2406</v>
      </c>
      <c r="V1173" s="28" t="s">
        <v>517</v>
      </c>
      <c r="W1173" s="28" t="s">
        <v>4044</v>
      </c>
      <c r="Z1173" s="118" t="s">
        <v>526</v>
      </c>
      <c r="AA1173" s="118"/>
      <c r="AB1173" s="118"/>
      <c r="AD1173" s="28" t="s">
        <v>954</v>
      </c>
      <c r="AF1173" s="117" t="s">
        <v>4772</v>
      </c>
      <c r="AG1173" s="28" t="s">
        <v>563</v>
      </c>
      <c r="AK1173" s="60" t="s">
        <v>2927</v>
      </c>
      <c r="AL1173" s="117">
        <f>1/COUNTIF(Tableau6[LAT],B1173)</f>
        <v>1</v>
      </c>
      <c r="AM1173" s="60" t="b">
        <f t="shared" si="129"/>
        <v>0</v>
      </c>
      <c r="AN1173" s="60" t="b">
        <f t="shared" si="130"/>
        <v>0</v>
      </c>
      <c r="AO1173" s="60" t="b">
        <f t="shared" si="131"/>
        <v>0</v>
      </c>
      <c r="AP1173" s="60" t="b">
        <f t="shared" si="132"/>
        <v>0</v>
      </c>
      <c r="AQ1173" s="60" t="b">
        <f t="shared" si="133"/>
        <v>0</v>
      </c>
      <c r="AR1173" s="60" t="str">
        <f t="shared" si="134"/>
        <v>No</v>
      </c>
      <c r="AS1173" s="60" t="str">
        <f t="shared" si="135"/>
        <v>No</v>
      </c>
    </row>
    <row r="1174" spans="1:45" ht="15" hidden="1">
      <c r="A1174" s="103">
        <v>45244</v>
      </c>
      <c r="B1174" s="117" t="s">
        <v>4773</v>
      </c>
      <c r="C1174" s="28" t="s">
        <v>511</v>
      </c>
      <c r="D1174" s="28" t="s">
        <v>4774</v>
      </c>
      <c r="F1174" s="28" t="s">
        <v>3246</v>
      </c>
      <c r="G1174" s="28" t="s">
        <v>514</v>
      </c>
      <c r="H1174" s="28" t="s">
        <v>2401</v>
      </c>
      <c r="I1174" s="28" t="s">
        <v>516</v>
      </c>
      <c r="J1174" s="28" t="s">
        <v>517</v>
      </c>
      <c r="K1174" s="28" t="s">
        <v>518</v>
      </c>
      <c r="L1174" s="28" t="s">
        <v>2884</v>
      </c>
      <c r="M1174" s="28" t="s">
        <v>535</v>
      </c>
      <c r="S1174" s="28" t="s">
        <v>2477</v>
      </c>
      <c r="T1174" s="28" t="s">
        <v>2885</v>
      </c>
      <c r="U1174" s="28" t="s">
        <v>2885</v>
      </c>
      <c r="V1174" s="28" t="s">
        <v>517</v>
      </c>
      <c r="W1174" s="28" t="s">
        <v>4775</v>
      </c>
      <c r="Z1174" s="118" t="s">
        <v>563</v>
      </c>
      <c r="AA1174" s="118"/>
      <c r="AB1174" s="118" t="s">
        <v>4776</v>
      </c>
      <c r="AD1174" s="28" t="s">
        <v>954</v>
      </c>
      <c r="AF1174" s="117" t="s">
        <v>4774</v>
      </c>
      <c r="AG1174" s="28" t="s">
        <v>563</v>
      </c>
      <c r="AK1174" s="60" t="s">
        <v>2927</v>
      </c>
      <c r="AL1174" s="117">
        <f>1/COUNTIF(Tableau6[LAT],B1174)</f>
        <v>1</v>
      </c>
      <c r="AM1174" s="60" t="b">
        <f t="shared" si="129"/>
        <v>0</v>
      </c>
      <c r="AN1174" s="60" t="b">
        <f t="shared" si="130"/>
        <v>0</v>
      </c>
      <c r="AO1174" s="60" t="b">
        <f t="shared" si="131"/>
        <v>0</v>
      </c>
      <c r="AP1174" s="60" t="b">
        <f t="shared" si="132"/>
        <v>0</v>
      </c>
      <c r="AQ1174" s="60" t="b">
        <f t="shared" si="133"/>
        <v>0</v>
      </c>
      <c r="AR1174" s="60" t="str">
        <f t="shared" si="134"/>
        <v>No</v>
      </c>
      <c r="AS1174" s="60" t="str">
        <f t="shared" si="135"/>
        <v>No</v>
      </c>
    </row>
    <row r="1175" spans="1:45" ht="15" hidden="1">
      <c r="A1175" s="103">
        <v>45244</v>
      </c>
      <c r="B1175" s="117" t="s">
        <v>4777</v>
      </c>
      <c r="C1175" s="28" t="s">
        <v>511</v>
      </c>
      <c r="D1175" s="28" t="s">
        <v>4778</v>
      </c>
      <c r="F1175" s="28" t="s">
        <v>2400</v>
      </c>
      <c r="G1175" s="28" t="s">
        <v>665</v>
      </c>
      <c r="H1175" s="28" t="s">
        <v>2062</v>
      </c>
      <c r="I1175" s="28" t="s">
        <v>516</v>
      </c>
      <c r="J1175" s="28" t="s">
        <v>517</v>
      </c>
      <c r="K1175" s="28" t="s">
        <v>518</v>
      </c>
      <c r="L1175" s="28" t="s">
        <v>596</v>
      </c>
      <c r="M1175" s="28" t="s">
        <v>535</v>
      </c>
      <c r="N1175" s="28" t="s">
        <v>557</v>
      </c>
      <c r="O1175" s="28" t="s">
        <v>522</v>
      </c>
      <c r="S1175" s="28" t="s">
        <v>2778</v>
      </c>
      <c r="T1175" s="28" t="s">
        <v>4779</v>
      </c>
      <c r="U1175" s="28" t="s">
        <v>597</v>
      </c>
      <c r="V1175" s="28" t="s">
        <v>517</v>
      </c>
      <c r="W1175" s="28" t="s">
        <v>4780</v>
      </c>
      <c r="Z1175" s="118" t="s">
        <v>526</v>
      </c>
      <c r="AA1175" s="118"/>
      <c r="AB1175" s="118"/>
      <c r="AF1175" s="117"/>
      <c r="AK1175" s="60" t="s">
        <v>2927</v>
      </c>
      <c r="AL1175" s="117">
        <f>1/COUNTIF(Tableau6[LAT],B1175)</f>
        <v>1</v>
      </c>
      <c r="AM1175" s="60" t="b">
        <f t="shared" si="129"/>
        <v>0</v>
      </c>
      <c r="AN1175" s="60" t="b">
        <f t="shared" si="130"/>
        <v>0</v>
      </c>
      <c r="AO1175" s="60" t="b">
        <f t="shared" si="131"/>
        <v>0</v>
      </c>
      <c r="AP1175" s="60" t="b">
        <f t="shared" si="132"/>
        <v>0</v>
      </c>
      <c r="AQ1175" s="60" t="b">
        <f t="shared" si="133"/>
        <v>0</v>
      </c>
      <c r="AR1175" s="60" t="str">
        <f t="shared" si="134"/>
        <v>No</v>
      </c>
      <c r="AS1175" s="60" t="str">
        <f t="shared" si="135"/>
        <v>No</v>
      </c>
    </row>
    <row r="1176" spans="1:45" ht="15" hidden="1">
      <c r="A1176" s="103">
        <v>45244</v>
      </c>
      <c r="B1176" s="117" t="s">
        <v>4781</v>
      </c>
      <c r="C1176" s="28" t="s">
        <v>511</v>
      </c>
      <c r="D1176" s="28" t="s">
        <v>4782</v>
      </c>
      <c r="F1176" s="28" t="s">
        <v>2800</v>
      </c>
      <c r="G1176" s="28" t="s">
        <v>514</v>
      </c>
      <c r="H1176" s="28" t="s">
        <v>2227</v>
      </c>
      <c r="I1176" s="28" t="s">
        <v>516</v>
      </c>
      <c r="J1176" s="28" t="s">
        <v>517</v>
      </c>
      <c r="K1176" s="28" t="s">
        <v>518</v>
      </c>
      <c r="L1176" s="28" t="s">
        <v>4505</v>
      </c>
      <c r="M1176" s="28" t="s">
        <v>535</v>
      </c>
      <c r="N1176" s="28" t="s">
        <v>521</v>
      </c>
      <c r="O1176" s="28" t="s">
        <v>544</v>
      </c>
      <c r="P1176" s="28" t="s">
        <v>522</v>
      </c>
      <c r="S1176" s="28" t="s">
        <v>2778</v>
      </c>
      <c r="T1176" s="28" t="s">
        <v>1934</v>
      </c>
      <c r="U1176" s="28" t="s">
        <v>1934</v>
      </c>
      <c r="V1176" s="28" t="s">
        <v>517</v>
      </c>
      <c r="W1176" s="28" t="s">
        <v>4783</v>
      </c>
      <c r="Z1176" s="118" t="s">
        <v>563</v>
      </c>
      <c r="AA1176" s="118"/>
      <c r="AB1176" s="118" t="s">
        <v>527</v>
      </c>
      <c r="AD1176" s="28" t="s">
        <v>954</v>
      </c>
      <c r="AF1176" s="117" t="s">
        <v>4782</v>
      </c>
      <c r="AG1176" s="28" t="s">
        <v>563</v>
      </c>
      <c r="AK1176" s="60" t="s">
        <v>2927</v>
      </c>
      <c r="AL1176" s="117">
        <f>1/COUNTIF(Tableau6[LAT],B1176)</f>
        <v>0.5</v>
      </c>
      <c r="AM1176" s="60" t="b">
        <f t="shared" si="129"/>
        <v>0</v>
      </c>
      <c r="AN1176" s="60" t="b">
        <f t="shared" si="130"/>
        <v>0</v>
      </c>
      <c r="AO1176" s="60" t="b">
        <f t="shared" si="131"/>
        <v>0</v>
      </c>
      <c r="AP1176" s="60" t="b">
        <f t="shared" si="132"/>
        <v>0</v>
      </c>
      <c r="AQ1176" s="60" t="b">
        <f t="shared" si="133"/>
        <v>0</v>
      </c>
      <c r="AR1176" s="60" t="str">
        <f t="shared" si="134"/>
        <v>No</v>
      </c>
      <c r="AS1176" s="60" t="str">
        <f t="shared" si="135"/>
        <v>No</v>
      </c>
    </row>
    <row r="1177" spans="1:45" ht="15" hidden="1">
      <c r="A1177" s="103">
        <v>45244</v>
      </c>
      <c r="B1177" s="117" t="s">
        <v>4781</v>
      </c>
      <c r="C1177" s="28" t="s">
        <v>548</v>
      </c>
      <c r="D1177" s="28" t="s">
        <v>4784</v>
      </c>
      <c r="F1177" s="28" t="s">
        <v>2800</v>
      </c>
      <c r="G1177" s="28" t="s">
        <v>514</v>
      </c>
      <c r="H1177" s="28" t="s">
        <v>1340</v>
      </c>
      <c r="I1177" s="28" t="s">
        <v>516</v>
      </c>
      <c r="J1177" s="28" t="s">
        <v>517</v>
      </c>
      <c r="K1177" s="28" t="s">
        <v>518</v>
      </c>
      <c r="L1177" s="28" t="s">
        <v>4505</v>
      </c>
      <c r="M1177" s="28" t="s">
        <v>535</v>
      </c>
      <c r="N1177" s="28" t="s">
        <v>521</v>
      </c>
      <c r="O1177" s="28" t="s">
        <v>544</v>
      </c>
      <c r="P1177" s="28" t="s">
        <v>522</v>
      </c>
      <c r="S1177" s="28" t="s">
        <v>2778</v>
      </c>
      <c r="T1177" s="28" t="s">
        <v>1934</v>
      </c>
      <c r="U1177" s="28" t="s">
        <v>1934</v>
      </c>
      <c r="V1177" s="28" t="s">
        <v>517</v>
      </c>
      <c r="W1177" s="28" t="s">
        <v>4785</v>
      </c>
      <c r="Z1177" s="118" t="s">
        <v>563</v>
      </c>
      <c r="AA1177" s="118"/>
      <c r="AB1177" s="118" t="s">
        <v>527</v>
      </c>
      <c r="AD1177" s="28" t="s">
        <v>954</v>
      </c>
      <c r="AF1177" s="117" t="s">
        <v>4782</v>
      </c>
      <c r="AG1177" s="28" t="s">
        <v>563</v>
      </c>
      <c r="AK1177" s="60" t="s">
        <v>2927</v>
      </c>
      <c r="AL1177" s="117">
        <f>1/COUNTIF(Tableau6[LAT],B1177)</f>
        <v>0.5</v>
      </c>
      <c r="AM1177" s="60" t="b">
        <f t="shared" si="129"/>
        <v>0</v>
      </c>
      <c r="AN1177" s="60" t="b">
        <f t="shared" si="130"/>
        <v>0</v>
      </c>
      <c r="AO1177" s="60" t="b">
        <f t="shared" si="131"/>
        <v>0</v>
      </c>
      <c r="AP1177" s="60" t="b">
        <f t="shared" si="132"/>
        <v>0</v>
      </c>
      <c r="AQ1177" s="60" t="b">
        <f t="shared" si="133"/>
        <v>0</v>
      </c>
      <c r="AR1177" s="60" t="str">
        <f t="shared" si="134"/>
        <v>No</v>
      </c>
      <c r="AS1177" s="60" t="str">
        <f t="shared" si="135"/>
        <v>No</v>
      </c>
    </row>
    <row r="1178" spans="1:45" ht="15" hidden="1">
      <c r="A1178" s="103">
        <v>45244</v>
      </c>
      <c r="B1178" s="117" t="s">
        <v>4786</v>
      </c>
      <c r="C1178" s="28" t="s">
        <v>511</v>
      </c>
      <c r="D1178" s="28" t="s">
        <v>4787</v>
      </c>
      <c r="F1178" s="28" t="s">
        <v>2542</v>
      </c>
      <c r="G1178" s="28" t="s">
        <v>514</v>
      </c>
      <c r="H1178" s="28" t="s">
        <v>2863</v>
      </c>
      <c r="I1178" s="28" t="s">
        <v>516</v>
      </c>
      <c r="J1178" s="28" t="s">
        <v>517</v>
      </c>
      <c r="K1178" s="28" t="s">
        <v>518</v>
      </c>
      <c r="L1178" s="28" t="s">
        <v>1769</v>
      </c>
      <c r="M1178" s="28" t="s">
        <v>605</v>
      </c>
      <c r="N1178" s="28" t="s">
        <v>557</v>
      </c>
      <c r="O1178" s="28" t="s">
        <v>544</v>
      </c>
      <c r="P1178" s="28" t="s">
        <v>1107</v>
      </c>
      <c r="Q1178" s="28" t="s">
        <v>522</v>
      </c>
      <c r="S1178" s="28" t="s">
        <v>2778</v>
      </c>
      <c r="T1178" s="28" t="s">
        <v>733</v>
      </c>
      <c r="U1178" s="28" t="s">
        <v>733</v>
      </c>
      <c r="V1178" s="28" t="s">
        <v>517</v>
      </c>
      <c r="W1178" s="28" t="s">
        <v>922</v>
      </c>
      <c r="Z1178" s="118" t="s">
        <v>526</v>
      </c>
      <c r="AA1178" s="118"/>
      <c r="AB1178" s="118"/>
      <c r="AF1178" s="117"/>
      <c r="AK1178" s="60" t="s">
        <v>2927</v>
      </c>
      <c r="AL1178" s="117">
        <f>1/COUNTIF(Tableau6[LAT],B1178)</f>
        <v>1</v>
      </c>
      <c r="AM1178" s="60" t="b">
        <f t="shared" si="129"/>
        <v>0</v>
      </c>
      <c r="AN1178" s="60" t="b">
        <f t="shared" si="130"/>
        <v>0</v>
      </c>
      <c r="AO1178" s="60" t="b">
        <f t="shared" si="131"/>
        <v>0</v>
      </c>
      <c r="AP1178" s="60" t="b">
        <f t="shared" si="132"/>
        <v>0</v>
      </c>
      <c r="AQ1178" s="60" t="b">
        <f t="shared" si="133"/>
        <v>0</v>
      </c>
      <c r="AR1178" s="60" t="str">
        <f t="shared" si="134"/>
        <v>No</v>
      </c>
      <c r="AS1178" s="60" t="str">
        <f t="shared" si="135"/>
        <v>No</v>
      </c>
    </row>
    <row r="1179" spans="1:45" ht="15" hidden="1">
      <c r="A1179" s="103">
        <v>45244</v>
      </c>
      <c r="B1179" s="117" t="s">
        <v>4788</v>
      </c>
      <c r="C1179" s="28" t="s">
        <v>511</v>
      </c>
      <c r="D1179" s="28" t="s">
        <v>4789</v>
      </c>
      <c r="F1179" s="28" t="s">
        <v>4790</v>
      </c>
      <c r="G1179" s="28" t="s">
        <v>514</v>
      </c>
      <c r="H1179" s="28" t="s">
        <v>674</v>
      </c>
      <c r="I1179" s="28" t="s">
        <v>516</v>
      </c>
      <c r="J1179" s="28" t="s">
        <v>517</v>
      </c>
      <c r="K1179" s="28" t="s">
        <v>518</v>
      </c>
      <c r="L1179" s="28" t="s">
        <v>1097</v>
      </c>
      <c r="M1179" s="28" t="s">
        <v>520</v>
      </c>
      <c r="N1179" s="28" t="s">
        <v>1140</v>
      </c>
      <c r="O1179" s="28" t="s">
        <v>557</v>
      </c>
      <c r="P1179" s="28" t="s">
        <v>544</v>
      </c>
      <c r="Q1179" s="28" t="s">
        <v>522</v>
      </c>
      <c r="S1179" s="28" t="s">
        <v>2778</v>
      </c>
      <c r="T1179" s="28" t="s">
        <v>1098</v>
      </c>
      <c r="U1179" s="28" t="s">
        <v>1098</v>
      </c>
      <c r="V1179" s="28" t="s">
        <v>517</v>
      </c>
      <c r="W1179" s="28" t="s">
        <v>4791</v>
      </c>
      <c r="Z1179" s="118" t="s">
        <v>563</v>
      </c>
      <c r="AA1179" s="118"/>
      <c r="AB1179" s="118" t="s">
        <v>527</v>
      </c>
      <c r="AD1179" s="28" t="s">
        <v>528</v>
      </c>
      <c r="AF1179" s="117" t="s">
        <v>4789</v>
      </c>
      <c r="AG1179" s="28" t="s">
        <v>563</v>
      </c>
      <c r="AK1179" s="60" t="s">
        <v>2927</v>
      </c>
      <c r="AL1179" s="117">
        <f>1/COUNTIF(Tableau6[LAT],B1179)</f>
        <v>0.5</v>
      </c>
      <c r="AM1179" s="60" t="b">
        <f t="shared" si="129"/>
        <v>0</v>
      </c>
      <c r="AN1179" s="60" t="b">
        <f t="shared" si="130"/>
        <v>0</v>
      </c>
      <c r="AO1179" s="60" t="b">
        <f t="shared" si="131"/>
        <v>0</v>
      </c>
      <c r="AP1179" s="60" t="b">
        <f t="shared" si="132"/>
        <v>0</v>
      </c>
      <c r="AQ1179" s="60" t="b">
        <f t="shared" si="133"/>
        <v>0</v>
      </c>
      <c r="AR1179" s="60" t="str">
        <f t="shared" si="134"/>
        <v>No</v>
      </c>
      <c r="AS1179" s="60" t="str">
        <f t="shared" si="135"/>
        <v>No</v>
      </c>
    </row>
    <row r="1180" spans="1:45" ht="15" hidden="1">
      <c r="A1180" s="103">
        <v>45244</v>
      </c>
      <c r="B1180" s="117" t="s">
        <v>4788</v>
      </c>
      <c r="C1180" s="28" t="s">
        <v>548</v>
      </c>
      <c r="D1180" s="28" t="s">
        <v>4792</v>
      </c>
      <c r="F1180" s="28" t="s">
        <v>4790</v>
      </c>
      <c r="G1180" s="28" t="s">
        <v>514</v>
      </c>
      <c r="H1180" s="28" t="s">
        <v>1619</v>
      </c>
      <c r="I1180" s="28" t="s">
        <v>516</v>
      </c>
      <c r="J1180" s="28" t="s">
        <v>517</v>
      </c>
      <c r="K1180" s="28" t="s">
        <v>518</v>
      </c>
      <c r="L1180" s="28" t="s">
        <v>1097</v>
      </c>
      <c r="M1180" s="28" t="s">
        <v>520</v>
      </c>
      <c r="N1180" s="28" t="s">
        <v>1140</v>
      </c>
      <c r="O1180" s="28" t="s">
        <v>557</v>
      </c>
      <c r="P1180" s="28" t="s">
        <v>544</v>
      </c>
      <c r="Q1180" s="28" t="s">
        <v>522</v>
      </c>
      <c r="S1180" s="28" t="s">
        <v>2778</v>
      </c>
      <c r="T1180" s="28" t="s">
        <v>1098</v>
      </c>
      <c r="U1180" s="28" t="s">
        <v>1098</v>
      </c>
      <c r="V1180" s="28" t="s">
        <v>517</v>
      </c>
      <c r="W1180" s="28" t="s">
        <v>4793</v>
      </c>
      <c r="Z1180" s="118" t="s">
        <v>563</v>
      </c>
      <c r="AA1180" s="118"/>
      <c r="AB1180" s="118" t="s">
        <v>527</v>
      </c>
      <c r="AD1180" s="28" t="s">
        <v>528</v>
      </c>
      <c r="AF1180" s="117" t="s">
        <v>4789</v>
      </c>
      <c r="AG1180" s="28" t="s">
        <v>563</v>
      </c>
      <c r="AK1180" s="60" t="s">
        <v>2927</v>
      </c>
      <c r="AL1180" s="117">
        <f>1/COUNTIF(Tableau6[LAT],B1180)</f>
        <v>0.5</v>
      </c>
      <c r="AM1180" s="60" t="b">
        <f t="shared" si="129"/>
        <v>0</v>
      </c>
      <c r="AN1180" s="60" t="b">
        <f t="shared" si="130"/>
        <v>0</v>
      </c>
      <c r="AO1180" s="60" t="b">
        <f t="shared" si="131"/>
        <v>0</v>
      </c>
      <c r="AP1180" s="60" t="b">
        <f t="shared" si="132"/>
        <v>0</v>
      </c>
      <c r="AQ1180" s="60" t="b">
        <f t="shared" si="133"/>
        <v>0</v>
      </c>
      <c r="AR1180" s="60" t="str">
        <f t="shared" si="134"/>
        <v>No</v>
      </c>
      <c r="AS1180" s="60" t="str">
        <f t="shared" si="135"/>
        <v>No</v>
      </c>
    </row>
    <row r="1181" spans="1:45" ht="15" hidden="1">
      <c r="A1181" s="103">
        <v>45244</v>
      </c>
      <c r="B1181" s="117" t="s">
        <v>4794</v>
      </c>
      <c r="C1181" s="28" t="s">
        <v>511</v>
      </c>
      <c r="D1181" s="28" t="s">
        <v>4795</v>
      </c>
      <c r="F1181" s="28" t="s">
        <v>2708</v>
      </c>
      <c r="G1181" s="28" t="s">
        <v>724</v>
      </c>
      <c r="H1181" s="28" t="s">
        <v>1610</v>
      </c>
      <c r="I1181" s="28" t="s">
        <v>516</v>
      </c>
      <c r="J1181" s="28" t="s">
        <v>517</v>
      </c>
      <c r="K1181" s="28" t="s">
        <v>682</v>
      </c>
      <c r="L1181" s="28" t="s">
        <v>4796</v>
      </c>
      <c r="M1181" s="28" t="s">
        <v>535</v>
      </c>
      <c r="N1181" s="28" t="s">
        <v>557</v>
      </c>
      <c r="O1181" s="28" t="s">
        <v>522</v>
      </c>
      <c r="S1181" s="28" t="s">
        <v>2778</v>
      </c>
      <c r="T1181" s="28" t="s">
        <v>733</v>
      </c>
      <c r="U1181" s="28" t="s">
        <v>1150</v>
      </c>
      <c r="V1181" s="28" t="s">
        <v>517</v>
      </c>
      <c r="W1181" s="28" t="s">
        <v>4797</v>
      </c>
      <c r="Z1181" s="118" t="s">
        <v>526</v>
      </c>
      <c r="AA1181" s="118"/>
      <c r="AB1181" s="118"/>
      <c r="AD1181" s="28" t="s">
        <v>954</v>
      </c>
      <c r="AF1181" s="117" t="s">
        <v>4795</v>
      </c>
      <c r="AG1181" s="28" t="s">
        <v>563</v>
      </c>
      <c r="AK1181" s="60" t="s">
        <v>2927</v>
      </c>
      <c r="AL1181" s="117">
        <f>1/COUNTIF(Tableau6[LAT],B1181)</f>
        <v>1</v>
      </c>
      <c r="AM1181" s="60" t="b">
        <f t="shared" si="129"/>
        <v>0</v>
      </c>
      <c r="AN1181" s="60" t="b">
        <f t="shared" si="130"/>
        <v>0</v>
      </c>
      <c r="AO1181" s="60" t="b">
        <f t="shared" si="131"/>
        <v>0</v>
      </c>
      <c r="AP1181" s="60" t="b">
        <f t="shared" si="132"/>
        <v>0</v>
      </c>
      <c r="AQ1181" s="60" t="b">
        <f t="shared" si="133"/>
        <v>0</v>
      </c>
      <c r="AR1181" s="60" t="str">
        <f t="shared" si="134"/>
        <v>No</v>
      </c>
      <c r="AS1181" s="60" t="str">
        <f t="shared" si="135"/>
        <v>No</v>
      </c>
    </row>
    <row r="1182" spans="1:45" ht="15" hidden="1">
      <c r="A1182" s="103">
        <v>45244</v>
      </c>
      <c r="B1182" s="117" t="s">
        <v>4798</v>
      </c>
      <c r="C1182" s="28" t="s">
        <v>511</v>
      </c>
      <c r="D1182" s="28" t="s">
        <v>4799</v>
      </c>
      <c r="F1182" s="28" t="s">
        <v>4800</v>
      </c>
      <c r="G1182" s="28" t="s">
        <v>514</v>
      </c>
      <c r="H1182" s="28" t="s">
        <v>603</v>
      </c>
      <c r="I1182" s="28" t="s">
        <v>516</v>
      </c>
      <c r="J1182" s="28" t="s">
        <v>517</v>
      </c>
      <c r="K1182" s="28" t="s">
        <v>518</v>
      </c>
      <c r="L1182" s="28" t="s">
        <v>849</v>
      </c>
      <c r="M1182" s="28" t="s">
        <v>605</v>
      </c>
      <c r="N1182" s="28" t="s">
        <v>557</v>
      </c>
      <c r="O1182" s="28" t="s">
        <v>544</v>
      </c>
      <c r="P1182" s="28" t="s">
        <v>522</v>
      </c>
      <c r="S1182" s="28" t="s">
        <v>2778</v>
      </c>
      <c r="T1182" s="28" t="s">
        <v>753</v>
      </c>
      <c r="U1182" s="28" t="s">
        <v>850</v>
      </c>
      <c r="V1182" s="28" t="s">
        <v>517</v>
      </c>
      <c r="W1182" s="28" t="s">
        <v>4801</v>
      </c>
      <c r="Z1182" s="118" t="s">
        <v>563</v>
      </c>
      <c r="AA1182" s="118"/>
      <c r="AB1182" s="118" t="s">
        <v>527</v>
      </c>
      <c r="AD1182" s="28" t="s">
        <v>528</v>
      </c>
      <c r="AF1182" s="117" t="s">
        <v>4799</v>
      </c>
      <c r="AG1182" s="28" t="s">
        <v>563</v>
      </c>
      <c r="AK1182" s="60" t="s">
        <v>2927</v>
      </c>
      <c r="AL1182" s="117">
        <f>1/COUNTIF(Tableau6[LAT],B1182)</f>
        <v>1</v>
      </c>
      <c r="AM1182" s="60" t="b">
        <f t="shared" si="129"/>
        <v>0</v>
      </c>
      <c r="AN1182" s="60" t="b">
        <f t="shared" si="130"/>
        <v>0</v>
      </c>
      <c r="AO1182" s="60" t="b">
        <f t="shared" si="131"/>
        <v>0</v>
      </c>
      <c r="AP1182" s="60" t="b">
        <f t="shared" si="132"/>
        <v>0</v>
      </c>
      <c r="AQ1182" s="60" t="b">
        <f t="shared" si="133"/>
        <v>0</v>
      </c>
      <c r="AR1182" s="60" t="str">
        <f t="shared" si="134"/>
        <v>No</v>
      </c>
      <c r="AS1182" s="60" t="str">
        <f t="shared" si="135"/>
        <v>No</v>
      </c>
    </row>
    <row r="1183" spans="1:45" ht="15" hidden="1">
      <c r="A1183" s="103">
        <v>45244</v>
      </c>
      <c r="B1183" s="117" t="s">
        <v>4802</v>
      </c>
      <c r="C1183" s="28" t="s">
        <v>511</v>
      </c>
      <c r="D1183" s="28" t="s">
        <v>4803</v>
      </c>
      <c r="F1183" s="28" t="s">
        <v>696</v>
      </c>
      <c r="G1183" s="28" t="s">
        <v>514</v>
      </c>
      <c r="H1183" s="28" t="s">
        <v>1051</v>
      </c>
      <c r="I1183" s="28" t="s">
        <v>516</v>
      </c>
      <c r="J1183" s="28" t="s">
        <v>517</v>
      </c>
      <c r="K1183" s="28" t="s">
        <v>518</v>
      </c>
      <c r="L1183" s="28" t="s">
        <v>849</v>
      </c>
      <c r="M1183" s="28" t="s">
        <v>605</v>
      </c>
      <c r="S1183" s="28" t="s">
        <v>2477</v>
      </c>
      <c r="T1183" s="28" t="s">
        <v>850</v>
      </c>
      <c r="U1183" s="28" t="s">
        <v>850</v>
      </c>
      <c r="V1183" s="28" t="s">
        <v>517</v>
      </c>
      <c r="W1183" s="28" t="s">
        <v>4804</v>
      </c>
      <c r="Z1183" s="118" t="s">
        <v>563</v>
      </c>
      <c r="AA1183" s="118"/>
      <c r="AB1183" s="118" t="s">
        <v>527</v>
      </c>
      <c r="AD1183" s="28" t="s">
        <v>954</v>
      </c>
      <c r="AF1183" s="117" t="s">
        <v>4803</v>
      </c>
      <c r="AG1183" s="28" t="s">
        <v>563</v>
      </c>
      <c r="AK1183" s="60" t="s">
        <v>2927</v>
      </c>
      <c r="AL1183" s="117">
        <f>1/COUNTIF(Tableau6[LAT],B1183)</f>
        <v>0.5</v>
      </c>
      <c r="AM1183" s="60" t="b">
        <f t="shared" si="129"/>
        <v>0</v>
      </c>
      <c r="AN1183" s="60" t="b">
        <f t="shared" si="130"/>
        <v>0</v>
      </c>
      <c r="AO1183" s="60" t="b">
        <f t="shared" si="131"/>
        <v>0</v>
      </c>
      <c r="AP1183" s="60" t="b">
        <f t="shared" si="132"/>
        <v>0</v>
      </c>
      <c r="AQ1183" s="60" t="b">
        <f t="shared" si="133"/>
        <v>0</v>
      </c>
      <c r="AR1183" s="60" t="str">
        <f t="shared" si="134"/>
        <v>No</v>
      </c>
      <c r="AS1183" s="60" t="str">
        <f t="shared" si="135"/>
        <v>No</v>
      </c>
    </row>
    <row r="1184" spans="1:45" ht="15" hidden="1">
      <c r="A1184" s="103">
        <v>45244</v>
      </c>
      <c r="B1184" s="117" t="s">
        <v>4802</v>
      </c>
      <c r="C1184" s="28" t="s">
        <v>548</v>
      </c>
      <c r="D1184" s="28" t="s">
        <v>4805</v>
      </c>
      <c r="F1184" s="28" t="s">
        <v>3451</v>
      </c>
      <c r="G1184" s="28" t="s">
        <v>514</v>
      </c>
      <c r="H1184" s="28" t="s">
        <v>1457</v>
      </c>
      <c r="I1184" s="28" t="s">
        <v>516</v>
      </c>
      <c r="J1184" s="28" t="s">
        <v>517</v>
      </c>
      <c r="K1184" s="28" t="s">
        <v>518</v>
      </c>
      <c r="L1184" s="28" t="s">
        <v>849</v>
      </c>
      <c r="M1184" s="28" t="s">
        <v>605</v>
      </c>
      <c r="S1184" s="28" t="s">
        <v>2477</v>
      </c>
      <c r="T1184" s="28" t="s">
        <v>850</v>
      </c>
      <c r="U1184" s="28" t="s">
        <v>850</v>
      </c>
      <c r="V1184" s="28" t="s">
        <v>517</v>
      </c>
      <c r="W1184" s="28" t="s">
        <v>2079</v>
      </c>
      <c r="Z1184" s="118" t="s">
        <v>563</v>
      </c>
      <c r="AA1184" s="118"/>
      <c r="AB1184" s="118" t="s">
        <v>527</v>
      </c>
      <c r="AD1184" s="28" t="s">
        <v>954</v>
      </c>
      <c r="AF1184" s="117" t="s">
        <v>4805</v>
      </c>
      <c r="AG1184" s="28" t="s">
        <v>563</v>
      </c>
      <c r="AK1184" s="60" t="s">
        <v>2927</v>
      </c>
      <c r="AL1184" s="117">
        <f>1/COUNTIF(Tableau6[LAT],B1184)</f>
        <v>0.5</v>
      </c>
      <c r="AM1184" s="60" t="b">
        <f t="shared" si="129"/>
        <v>0</v>
      </c>
      <c r="AN1184" s="60" t="b">
        <f t="shared" si="130"/>
        <v>0</v>
      </c>
      <c r="AO1184" s="60" t="b">
        <f t="shared" si="131"/>
        <v>0</v>
      </c>
      <c r="AP1184" s="60" t="b">
        <f t="shared" si="132"/>
        <v>0</v>
      </c>
      <c r="AQ1184" s="60" t="b">
        <f t="shared" si="133"/>
        <v>0</v>
      </c>
      <c r="AR1184" s="60" t="str">
        <f t="shared" si="134"/>
        <v>No</v>
      </c>
      <c r="AS1184" s="60" t="str">
        <f t="shared" si="135"/>
        <v>No</v>
      </c>
    </row>
    <row r="1185" spans="1:45" ht="15" hidden="1">
      <c r="A1185" s="103">
        <v>45244</v>
      </c>
      <c r="B1185" s="117" t="s">
        <v>4806</v>
      </c>
      <c r="C1185" s="28" t="s">
        <v>511</v>
      </c>
      <c r="D1185" s="28" t="s">
        <v>4807</v>
      </c>
      <c r="E1185" s="28" t="s">
        <v>4808</v>
      </c>
      <c r="F1185" s="28" t="s">
        <v>4809</v>
      </c>
      <c r="G1185" s="28" t="s">
        <v>1077</v>
      </c>
      <c r="H1185" s="28" t="s">
        <v>4810</v>
      </c>
      <c r="I1185" s="28" t="s">
        <v>516</v>
      </c>
      <c r="J1185" s="28" t="s">
        <v>517</v>
      </c>
      <c r="K1185" s="28" t="s">
        <v>518</v>
      </c>
      <c r="L1185" s="28" t="s">
        <v>604</v>
      </c>
      <c r="M1185" s="28" t="s">
        <v>535</v>
      </c>
      <c r="N1185" s="28" t="s">
        <v>557</v>
      </c>
      <c r="O1185" s="28" t="s">
        <v>559</v>
      </c>
      <c r="S1185" s="28" t="s">
        <v>740</v>
      </c>
      <c r="T1185" s="28" t="s">
        <v>607</v>
      </c>
      <c r="U1185" s="28" t="s">
        <v>607</v>
      </c>
      <c r="V1185" s="28" t="s">
        <v>517</v>
      </c>
      <c r="W1185" s="28" t="s">
        <v>4811</v>
      </c>
      <c r="X1185" s="28" t="s">
        <v>670</v>
      </c>
      <c r="Z1185" s="118" t="s">
        <v>563</v>
      </c>
      <c r="AA1185" s="118"/>
      <c r="AB1185" s="118" t="s">
        <v>527</v>
      </c>
      <c r="AD1185" s="28" t="s">
        <v>954</v>
      </c>
      <c r="AF1185" s="117" t="s">
        <v>4807</v>
      </c>
      <c r="AG1185" s="28" t="s">
        <v>563</v>
      </c>
      <c r="AK1185" s="60" t="s">
        <v>2927</v>
      </c>
      <c r="AL1185" s="117">
        <f>1/COUNTIF(Tableau6[LAT],B1185)</f>
        <v>1</v>
      </c>
      <c r="AM1185" s="60" t="b">
        <f t="shared" si="129"/>
        <v>0</v>
      </c>
      <c r="AN1185" s="60" t="b">
        <f t="shared" si="130"/>
        <v>0</v>
      </c>
      <c r="AO1185" s="60" t="b">
        <f t="shared" si="131"/>
        <v>0</v>
      </c>
      <c r="AP1185" s="60" t="b">
        <f t="shared" si="132"/>
        <v>0</v>
      </c>
      <c r="AQ1185" s="60" t="b">
        <f t="shared" si="133"/>
        <v>0</v>
      </c>
      <c r="AR1185" s="60" t="str">
        <f t="shared" si="134"/>
        <v>No</v>
      </c>
      <c r="AS1185" s="60" t="str">
        <f t="shared" si="135"/>
        <v>No</v>
      </c>
    </row>
    <row r="1186" spans="1:45" ht="15" hidden="1">
      <c r="A1186" s="103">
        <v>45244</v>
      </c>
      <c r="B1186" s="117" t="s">
        <v>4812</v>
      </c>
      <c r="C1186" s="28" t="s">
        <v>511</v>
      </c>
      <c r="D1186" s="28" t="s">
        <v>4813</v>
      </c>
      <c r="F1186" s="28" t="s">
        <v>696</v>
      </c>
      <c r="G1186" s="28" t="s">
        <v>657</v>
      </c>
      <c r="H1186" s="28" t="s">
        <v>1198</v>
      </c>
      <c r="I1186" s="28" t="s">
        <v>516</v>
      </c>
      <c r="J1186" s="28" t="s">
        <v>517</v>
      </c>
      <c r="K1186" s="28" t="s">
        <v>518</v>
      </c>
      <c r="L1186" s="28" t="s">
        <v>1040</v>
      </c>
      <c r="M1186" s="28" t="s">
        <v>535</v>
      </c>
      <c r="N1186" s="28" t="s">
        <v>559</v>
      </c>
      <c r="S1186" s="28" t="s">
        <v>2477</v>
      </c>
      <c r="T1186" s="28" t="s">
        <v>1042</v>
      </c>
      <c r="U1186" s="28" t="s">
        <v>1042</v>
      </c>
      <c r="V1186" s="28" t="s">
        <v>517</v>
      </c>
      <c r="W1186" s="28" t="s">
        <v>4814</v>
      </c>
      <c r="Z1186" s="118" t="s">
        <v>563</v>
      </c>
      <c r="AA1186" s="118"/>
      <c r="AB1186" s="118" t="s">
        <v>527</v>
      </c>
      <c r="AD1186" s="28" t="s">
        <v>954</v>
      </c>
      <c r="AF1186" s="117" t="s">
        <v>4813</v>
      </c>
      <c r="AG1186" s="28" t="s">
        <v>563</v>
      </c>
      <c r="AK1186" s="60" t="s">
        <v>2927</v>
      </c>
      <c r="AL1186" s="117">
        <f>1/COUNTIF(Tableau6[LAT],B1186)</f>
        <v>0.5</v>
      </c>
      <c r="AM1186" s="60" t="b">
        <f t="shared" si="129"/>
        <v>0</v>
      </c>
      <c r="AN1186" s="60" t="b">
        <f t="shared" si="130"/>
        <v>0</v>
      </c>
      <c r="AO1186" s="60" t="b">
        <f t="shared" si="131"/>
        <v>0</v>
      </c>
      <c r="AP1186" s="60" t="b">
        <f t="shared" si="132"/>
        <v>0</v>
      </c>
      <c r="AQ1186" s="60" t="b">
        <f t="shared" si="133"/>
        <v>0</v>
      </c>
      <c r="AR1186" s="60" t="str">
        <f t="shared" si="134"/>
        <v>No</v>
      </c>
      <c r="AS1186" s="60" t="str">
        <f t="shared" si="135"/>
        <v>No</v>
      </c>
    </row>
    <row r="1187" spans="1:45" ht="15" hidden="1">
      <c r="A1187" s="103">
        <v>45244</v>
      </c>
      <c r="B1187" s="117" t="s">
        <v>4812</v>
      </c>
      <c r="C1187" s="28" t="s">
        <v>548</v>
      </c>
      <c r="D1187" s="28" t="s">
        <v>4815</v>
      </c>
      <c r="F1187" s="28" t="s">
        <v>4816</v>
      </c>
      <c r="G1187" s="28" t="s">
        <v>657</v>
      </c>
      <c r="H1187" s="28" t="s">
        <v>1051</v>
      </c>
      <c r="I1187" s="28" t="s">
        <v>516</v>
      </c>
      <c r="J1187" s="28" t="s">
        <v>517</v>
      </c>
      <c r="K1187" s="28" t="s">
        <v>518</v>
      </c>
      <c r="L1187" s="28" t="s">
        <v>1040</v>
      </c>
      <c r="M1187" s="28" t="s">
        <v>535</v>
      </c>
      <c r="N1187" s="28" t="s">
        <v>559</v>
      </c>
      <c r="S1187" s="28" t="s">
        <v>2477</v>
      </c>
      <c r="T1187" s="28" t="s">
        <v>1042</v>
      </c>
      <c r="U1187" s="28" t="s">
        <v>1042</v>
      </c>
      <c r="V1187" s="28" t="s">
        <v>517</v>
      </c>
      <c r="W1187" s="28" t="s">
        <v>4817</v>
      </c>
      <c r="Z1187" s="118" t="s">
        <v>563</v>
      </c>
      <c r="AA1187" s="118"/>
      <c r="AB1187" s="118" t="s">
        <v>527</v>
      </c>
      <c r="AF1187" s="117"/>
      <c r="AK1187" s="60" t="s">
        <v>2927</v>
      </c>
      <c r="AL1187" s="117">
        <f>1/COUNTIF(Tableau6[LAT],B1187)</f>
        <v>0.5</v>
      </c>
      <c r="AM1187" s="60" t="b">
        <f t="shared" si="129"/>
        <v>0</v>
      </c>
      <c r="AN1187" s="60" t="b">
        <f t="shared" si="130"/>
        <v>0</v>
      </c>
      <c r="AO1187" s="60" t="b">
        <f t="shared" si="131"/>
        <v>0</v>
      </c>
      <c r="AP1187" s="60" t="b">
        <f t="shared" si="132"/>
        <v>0</v>
      </c>
      <c r="AQ1187" s="60" t="b">
        <f t="shared" si="133"/>
        <v>0</v>
      </c>
      <c r="AR1187" s="60" t="str">
        <f t="shared" si="134"/>
        <v>No</v>
      </c>
      <c r="AS1187" s="60" t="str">
        <f t="shared" si="135"/>
        <v>No</v>
      </c>
    </row>
    <row r="1188" spans="1:45" ht="15" hidden="1">
      <c r="A1188" s="103">
        <v>45244</v>
      </c>
      <c r="B1188" s="117" t="s">
        <v>4818</v>
      </c>
      <c r="C1188" s="28" t="s">
        <v>511</v>
      </c>
      <c r="D1188" s="28" t="s">
        <v>4819</v>
      </c>
      <c r="F1188" s="28" t="s">
        <v>3030</v>
      </c>
      <c r="G1188" s="28" t="s">
        <v>514</v>
      </c>
      <c r="H1188" s="28" t="s">
        <v>1413</v>
      </c>
      <c r="I1188" s="28" t="s">
        <v>516</v>
      </c>
      <c r="J1188" s="28" t="s">
        <v>517</v>
      </c>
      <c r="K1188" s="28" t="s">
        <v>518</v>
      </c>
      <c r="L1188" s="28" t="s">
        <v>1157</v>
      </c>
      <c r="M1188" s="28" t="s">
        <v>520</v>
      </c>
      <c r="S1188" s="28" t="s">
        <v>2477</v>
      </c>
      <c r="T1188" s="28" t="s">
        <v>1159</v>
      </c>
      <c r="U1188" s="28" t="s">
        <v>1159</v>
      </c>
      <c r="V1188" s="28" t="s">
        <v>517</v>
      </c>
      <c r="W1188" s="28" t="s">
        <v>3013</v>
      </c>
      <c r="Z1188" s="118" t="s">
        <v>563</v>
      </c>
      <c r="AA1188" s="118"/>
      <c r="AB1188" s="73" t="s">
        <v>4506</v>
      </c>
      <c r="AD1188" s="28" t="s">
        <v>528</v>
      </c>
      <c r="AF1188" s="117" t="s">
        <v>4819</v>
      </c>
      <c r="AG1188" s="28" t="s">
        <v>563</v>
      </c>
      <c r="AK1188" s="60" t="s">
        <v>2927</v>
      </c>
      <c r="AL1188" s="117">
        <f>1/COUNTIF(Tableau6[LAT],B1188)</f>
        <v>1</v>
      </c>
      <c r="AM1188" s="60" t="b">
        <f t="shared" si="129"/>
        <v>0</v>
      </c>
      <c r="AN1188" s="60" t="b">
        <f t="shared" si="130"/>
        <v>0</v>
      </c>
      <c r="AO1188" s="60" t="b">
        <f t="shared" si="131"/>
        <v>0</v>
      </c>
      <c r="AP1188" s="60" t="b">
        <f t="shared" si="132"/>
        <v>0</v>
      </c>
      <c r="AQ1188" s="60" t="b">
        <f t="shared" si="133"/>
        <v>0</v>
      </c>
      <c r="AR1188" s="60" t="str">
        <f t="shared" si="134"/>
        <v>No</v>
      </c>
      <c r="AS1188" s="60" t="str">
        <f t="shared" si="135"/>
        <v>No</v>
      </c>
    </row>
    <row r="1189" spans="1:45" ht="15" hidden="1">
      <c r="A1189" s="103">
        <v>45244</v>
      </c>
      <c r="B1189" s="117" t="s">
        <v>4820</v>
      </c>
      <c r="C1189" s="28" t="s">
        <v>511</v>
      </c>
      <c r="D1189" s="28" t="s">
        <v>4821</v>
      </c>
      <c r="F1189" s="28" t="s">
        <v>4822</v>
      </c>
      <c r="G1189" s="28" t="s">
        <v>657</v>
      </c>
      <c r="H1189" s="28" t="s">
        <v>4823</v>
      </c>
      <c r="I1189" s="28" t="s">
        <v>516</v>
      </c>
      <c r="J1189" s="28" t="s">
        <v>517</v>
      </c>
      <c r="K1189" s="28" t="s">
        <v>518</v>
      </c>
      <c r="L1189" s="28" t="s">
        <v>697</v>
      </c>
      <c r="M1189" s="28" t="s">
        <v>520</v>
      </c>
      <c r="N1189" s="28" t="s">
        <v>1140</v>
      </c>
      <c r="S1189" s="28" t="s">
        <v>2477</v>
      </c>
      <c r="T1189" s="28" t="s">
        <v>699</v>
      </c>
      <c r="U1189" s="28" t="s">
        <v>699</v>
      </c>
      <c r="V1189" s="28" t="s">
        <v>517</v>
      </c>
      <c r="W1189" s="28" t="s">
        <v>1058</v>
      </c>
      <c r="Z1189" s="118" t="s">
        <v>563</v>
      </c>
      <c r="AA1189" s="118"/>
      <c r="AB1189" s="118" t="s">
        <v>4776</v>
      </c>
      <c r="AD1189" s="28" t="s">
        <v>954</v>
      </c>
      <c r="AF1189" s="117" t="s">
        <v>4821</v>
      </c>
      <c r="AG1189" s="28" t="s">
        <v>563</v>
      </c>
      <c r="AK1189" s="60" t="s">
        <v>2927</v>
      </c>
      <c r="AL1189" s="117">
        <f>1/COUNTIF(Tableau6[LAT],B1189)</f>
        <v>1</v>
      </c>
      <c r="AM1189" s="60" t="b">
        <f t="shared" si="129"/>
        <v>0</v>
      </c>
      <c r="AN1189" s="60" t="b">
        <f t="shared" si="130"/>
        <v>0</v>
      </c>
      <c r="AO1189" s="60" t="b">
        <f t="shared" si="131"/>
        <v>0</v>
      </c>
      <c r="AP1189" s="60" t="b">
        <f t="shared" si="132"/>
        <v>0</v>
      </c>
      <c r="AQ1189" s="60" t="b">
        <f t="shared" si="133"/>
        <v>0</v>
      </c>
      <c r="AR1189" s="60" t="str">
        <f t="shared" si="134"/>
        <v>No</v>
      </c>
      <c r="AS1189" s="60" t="str">
        <f t="shared" si="135"/>
        <v>No</v>
      </c>
    </row>
    <row r="1190" spans="1:45" ht="15" hidden="1">
      <c r="A1190" s="103">
        <v>45244</v>
      </c>
      <c r="B1190" s="117" t="s">
        <v>4824</v>
      </c>
      <c r="C1190" s="28" t="s">
        <v>511</v>
      </c>
      <c r="D1190" s="28" t="s">
        <v>4825</v>
      </c>
      <c r="F1190" s="28" t="s">
        <v>4826</v>
      </c>
      <c r="G1190" s="28" t="s">
        <v>1077</v>
      </c>
      <c r="H1190" s="28" t="s">
        <v>1134</v>
      </c>
      <c r="I1190" s="28" t="s">
        <v>516</v>
      </c>
      <c r="J1190" s="28" t="s">
        <v>517</v>
      </c>
      <c r="K1190" s="28" t="s">
        <v>518</v>
      </c>
      <c r="L1190" s="28" t="s">
        <v>974</v>
      </c>
      <c r="M1190" s="28" t="s">
        <v>605</v>
      </c>
      <c r="S1190" s="28" t="s">
        <v>589</v>
      </c>
      <c r="T1190" s="28" t="s">
        <v>897</v>
      </c>
      <c r="U1190" s="28" t="s">
        <v>897</v>
      </c>
      <c r="V1190" s="28" t="s">
        <v>517</v>
      </c>
      <c r="W1190" s="28" t="s">
        <v>4827</v>
      </c>
      <c r="Z1190" s="118" t="s">
        <v>563</v>
      </c>
      <c r="AA1190" s="118"/>
      <c r="AB1190" s="73" t="s">
        <v>4506</v>
      </c>
      <c r="AD1190" s="28" t="s">
        <v>528</v>
      </c>
      <c r="AF1190" s="117" t="s">
        <v>4825</v>
      </c>
      <c r="AG1190" s="28" t="s">
        <v>563</v>
      </c>
      <c r="AK1190" s="60" t="s">
        <v>2927</v>
      </c>
      <c r="AL1190" s="117">
        <f>1/COUNTIF(Tableau6[LAT],B1190)</f>
        <v>0.33333333333333331</v>
      </c>
      <c r="AM1190" s="60" t="b">
        <f t="shared" si="129"/>
        <v>0</v>
      </c>
      <c r="AN1190" s="60" t="b">
        <f t="shared" si="130"/>
        <v>0</v>
      </c>
      <c r="AO1190" s="60" t="b">
        <f t="shared" si="131"/>
        <v>0</v>
      </c>
      <c r="AP1190" s="60" t="b">
        <f t="shared" si="132"/>
        <v>0</v>
      </c>
      <c r="AQ1190" s="60" t="b">
        <f t="shared" si="133"/>
        <v>0</v>
      </c>
      <c r="AR1190" s="60" t="str">
        <f t="shared" si="134"/>
        <v>No</v>
      </c>
      <c r="AS1190" s="60" t="str">
        <f t="shared" si="135"/>
        <v>No</v>
      </c>
    </row>
    <row r="1191" spans="1:45" ht="15" hidden="1">
      <c r="A1191" s="103">
        <v>45244</v>
      </c>
      <c r="B1191" s="117" t="s">
        <v>4824</v>
      </c>
      <c r="C1191" s="28" t="s">
        <v>548</v>
      </c>
      <c r="D1191" s="28" t="s">
        <v>4828</v>
      </c>
      <c r="F1191" s="28" t="s">
        <v>4829</v>
      </c>
      <c r="G1191" s="28" t="s">
        <v>1635</v>
      </c>
      <c r="H1191" s="28" t="s">
        <v>1008</v>
      </c>
      <c r="I1191" s="28" t="s">
        <v>516</v>
      </c>
      <c r="J1191" s="28" t="s">
        <v>517</v>
      </c>
      <c r="K1191" s="28" t="s">
        <v>518</v>
      </c>
      <c r="L1191" s="28" t="s">
        <v>974</v>
      </c>
      <c r="M1191" s="28" t="s">
        <v>605</v>
      </c>
      <c r="S1191" s="28" t="s">
        <v>589</v>
      </c>
      <c r="T1191" s="28" t="s">
        <v>897</v>
      </c>
      <c r="U1191" s="28" t="s">
        <v>897</v>
      </c>
      <c r="V1191" s="28" t="s">
        <v>517</v>
      </c>
      <c r="W1191" s="28" t="s">
        <v>4830</v>
      </c>
      <c r="Z1191" s="118" t="s">
        <v>563</v>
      </c>
      <c r="AA1191" s="118"/>
      <c r="AB1191" s="73" t="s">
        <v>4506</v>
      </c>
      <c r="AD1191" s="28" t="s">
        <v>528</v>
      </c>
      <c r="AF1191" s="117" t="s">
        <v>4828</v>
      </c>
      <c r="AG1191" s="28" t="s">
        <v>563</v>
      </c>
      <c r="AK1191" s="60" t="s">
        <v>2927</v>
      </c>
      <c r="AL1191" s="117">
        <f>1/COUNTIF(Tableau6[LAT],B1191)</f>
        <v>0.33333333333333331</v>
      </c>
      <c r="AM1191" s="60" t="b">
        <f t="shared" si="129"/>
        <v>0</v>
      </c>
      <c r="AN1191" s="60" t="b">
        <f t="shared" si="130"/>
        <v>0</v>
      </c>
      <c r="AO1191" s="60" t="b">
        <f t="shared" si="131"/>
        <v>0</v>
      </c>
      <c r="AP1191" s="60" t="b">
        <f t="shared" si="132"/>
        <v>0</v>
      </c>
      <c r="AQ1191" s="60" t="b">
        <f t="shared" si="133"/>
        <v>0</v>
      </c>
      <c r="AR1191" s="60" t="str">
        <f t="shared" si="134"/>
        <v>No</v>
      </c>
      <c r="AS1191" s="60" t="str">
        <f t="shared" si="135"/>
        <v>No</v>
      </c>
    </row>
    <row r="1192" spans="1:45" ht="15" hidden="1">
      <c r="A1192" s="103">
        <v>45244</v>
      </c>
      <c r="B1192" s="117" t="s">
        <v>4824</v>
      </c>
      <c r="C1192" s="28" t="s">
        <v>612</v>
      </c>
      <c r="D1192" s="28" t="s">
        <v>4831</v>
      </c>
      <c r="F1192" s="28" t="s">
        <v>4832</v>
      </c>
      <c r="G1192" s="28" t="s">
        <v>657</v>
      </c>
      <c r="H1192" s="28" t="s">
        <v>3593</v>
      </c>
      <c r="I1192" s="28" t="s">
        <v>516</v>
      </c>
      <c r="J1192" s="28" t="s">
        <v>517</v>
      </c>
      <c r="K1192" s="28" t="s">
        <v>518</v>
      </c>
      <c r="L1192" s="28" t="s">
        <v>974</v>
      </c>
      <c r="M1192" s="28" t="s">
        <v>605</v>
      </c>
      <c r="S1192" s="28" t="s">
        <v>589</v>
      </c>
      <c r="T1192" s="28" t="s">
        <v>897</v>
      </c>
      <c r="U1192" s="28" t="s">
        <v>897</v>
      </c>
      <c r="V1192" s="28" t="s">
        <v>517</v>
      </c>
      <c r="W1192" s="28" t="s">
        <v>4833</v>
      </c>
      <c r="Z1192" s="118" t="s">
        <v>563</v>
      </c>
      <c r="AA1192" s="118"/>
      <c r="AB1192" s="73" t="s">
        <v>4506</v>
      </c>
      <c r="AD1192" s="28" t="s">
        <v>528</v>
      </c>
      <c r="AF1192" s="117" t="s">
        <v>4831</v>
      </c>
      <c r="AG1192" s="28" t="s">
        <v>563</v>
      </c>
      <c r="AK1192" s="60" t="s">
        <v>2927</v>
      </c>
      <c r="AL1192" s="117">
        <f>1/COUNTIF(Tableau6[LAT],B1192)</f>
        <v>0.33333333333333331</v>
      </c>
      <c r="AM1192" s="60" t="b">
        <f t="shared" si="129"/>
        <v>0</v>
      </c>
      <c r="AN1192" s="60" t="b">
        <f t="shared" si="130"/>
        <v>0</v>
      </c>
      <c r="AO1192" s="60" t="b">
        <f t="shared" si="131"/>
        <v>0</v>
      </c>
      <c r="AP1192" s="60" t="b">
        <f t="shared" si="132"/>
        <v>0</v>
      </c>
      <c r="AQ1192" s="60" t="b">
        <f t="shared" si="133"/>
        <v>0</v>
      </c>
      <c r="AR1192" s="60" t="str">
        <f t="shared" si="134"/>
        <v>No</v>
      </c>
      <c r="AS1192" s="60" t="str">
        <f t="shared" si="135"/>
        <v>No</v>
      </c>
    </row>
    <row r="1193" spans="1:45" ht="15" hidden="1">
      <c r="A1193" s="103">
        <v>45244</v>
      </c>
      <c r="B1193" s="117" t="s">
        <v>4834</v>
      </c>
      <c r="C1193" s="28" t="s">
        <v>511</v>
      </c>
      <c r="D1193" s="28" t="s">
        <v>4835</v>
      </c>
      <c r="F1193" s="28" t="s">
        <v>673</v>
      </c>
      <c r="G1193" s="28" t="s">
        <v>514</v>
      </c>
      <c r="H1193" s="28" t="s">
        <v>4452</v>
      </c>
      <c r="I1193" s="28" t="s">
        <v>516</v>
      </c>
      <c r="J1193" s="28" t="s">
        <v>517</v>
      </c>
      <c r="K1193" s="28" t="s">
        <v>518</v>
      </c>
      <c r="L1193" s="28" t="s">
        <v>1032</v>
      </c>
      <c r="M1193" s="28" t="s">
        <v>535</v>
      </c>
      <c r="N1193" s="28" t="s">
        <v>544</v>
      </c>
      <c r="S1193" s="28" t="s">
        <v>589</v>
      </c>
      <c r="T1193" s="28" t="s">
        <v>545</v>
      </c>
      <c r="U1193" s="28" t="s">
        <v>545</v>
      </c>
      <c r="V1193" s="28" t="s">
        <v>517</v>
      </c>
      <c r="W1193" s="28" t="s">
        <v>4656</v>
      </c>
      <c r="Z1193" s="118" t="s">
        <v>563</v>
      </c>
      <c r="AA1193" s="118"/>
      <c r="AB1193" s="118" t="s">
        <v>527</v>
      </c>
      <c r="AD1193" s="28" t="s">
        <v>954</v>
      </c>
      <c r="AF1193" s="117" t="s">
        <v>4835</v>
      </c>
      <c r="AG1193" s="28" t="s">
        <v>563</v>
      </c>
      <c r="AK1193" s="60" t="s">
        <v>2927</v>
      </c>
      <c r="AL1193" s="117">
        <f>1/COUNTIF(Tableau6[LAT],B1193)</f>
        <v>1</v>
      </c>
      <c r="AM1193" s="60" t="b">
        <f t="shared" si="129"/>
        <v>0</v>
      </c>
      <c r="AN1193" s="60" t="b">
        <f t="shared" si="130"/>
        <v>0</v>
      </c>
      <c r="AO1193" s="60" t="b">
        <f t="shared" si="131"/>
        <v>0</v>
      </c>
      <c r="AP1193" s="60" t="b">
        <f t="shared" si="132"/>
        <v>0</v>
      </c>
      <c r="AQ1193" s="60" t="b">
        <f t="shared" si="133"/>
        <v>0</v>
      </c>
      <c r="AR1193" s="60" t="str">
        <f t="shared" si="134"/>
        <v>No</v>
      </c>
      <c r="AS1193" s="60" t="str">
        <f t="shared" si="135"/>
        <v>No</v>
      </c>
    </row>
    <row r="1194" spans="1:45" ht="15" hidden="1">
      <c r="A1194" s="103">
        <v>45244</v>
      </c>
      <c r="B1194" s="117" t="s">
        <v>4836</v>
      </c>
      <c r="C1194" s="28" t="s">
        <v>511</v>
      </c>
      <c r="D1194" s="28" t="s">
        <v>4837</v>
      </c>
      <c r="E1194" s="28" t="s">
        <v>4838</v>
      </c>
      <c r="F1194" s="28" t="s">
        <v>4839</v>
      </c>
      <c r="G1194" s="28" t="s">
        <v>4840</v>
      </c>
      <c r="H1194" s="28" t="s">
        <v>4841</v>
      </c>
      <c r="I1194" s="28" t="s">
        <v>516</v>
      </c>
      <c r="J1194" s="28" t="s">
        <v>517</v>
      </c>
      <c r="K1194" s="28" t="s">
        <v>518</v>
      </c>
      <c r="L1194" s="28" t="s">
        <v>2100</v>
      </c>
      <c r="M1194" s="28" t="s">
        <v>605</v>
      </c>
      <c r="N1194" s="28" t="s">
        <v>557</v>
      </c>
      <c r="O1194" s="28" t="s">
        <v>522</v>
      </c>
      <c r="S1194" s="28" t="s">
        <v>1712</v>
      </c>
      <c r="T1194" s="28" t="s">
        <v>1918</v>
      </c>
      <c r="U1194" s="28" t="s">
        <v>1918</v>
      </c>
      <c r="V1194" s="28" t="s">
        <v>517</v>
      </c>
      <c r="W1194" s="28" t="s">
        <v>4842</v>
      </c>
      <c r="X1194" s="28" t="s">
        <v>1071</v>
      </c>
      <c r="Z1194" s="118" t="s">
        <v>563</v>
      </c>
      <c r="AA1194" s="118"/>
      <c r="AB1194" s="118" t="s">
        <v>527</v>
      </c>
      <c r="AD1194" s="28" t="s">
        <v>954</v>
      </c>
      <c r="AF1194" s="117" t="s">
        <v>4837</v>
      </c>
      <c r="AG1194" s="28" t="s">
        <v>563</v>
      </c>
      <c r="AK1194" s="60" t="s">
        <v>2927</v>
      </c>
      <c r="AL1194" s="117">
        <f>1/COUNTIF(Tableau6[LAT],B1194)</f>
        <v>0.125</v>
      </c>
      <c r="AM1194" s="60" t="b">
        <f t="shared" si="129"/>
        <v>0</v>
      </c>
      <c r="AN1194" s="60" t="b">
        <f t="shared" si="130"/>
        <v>0</v>
      </c>
      <c r="AO1194" s="60" t="b">
        <f t="shared" si="131"/>
        <v>0</v>
      </c>
      <c r="AP1194" s="60" t="b">
        <f t="shared" si="132"/>
        <v>0</v>
      </c>
      <c r="AQ1194" s="60" t="b">
        <f t="shared" si="133"/>
        <v>0</v>
      </c>
      <c r="AR1194" s="60" t="str">
        <f t="shared" si="134"/>
        <v>No</v>
      </c>
      <c r="AS1194" s="60" t="str">
        <f t="shared" si="135"/>
        <v>No</v>
      </c>
    </row>
    <row r="1195" spans="1:45" ht="15" hidden="1">
      <c r="A1195" s="103">
        <v>45244</v>
      </c>
      <c r="B1195" s="117" t="s">
        <v>4836</v>
      </c>
      <c r="C1195" s="28" t="s">
        <v>548</v>
      </c>
      <c r="D1195" s="28" t="s">
        <v>4843</v>
      </c>
      <c r="F1195" s="28" t="s">
        <v>4844</v>
      </c>
      <c r="G1195" s="28" t="s">
        <v>1635</v>
      </c>
      <c r="H1195" s="28" t="s">
        <v>1615</v>
      </c>
      <c r="I1195" s="28" t="s">
        <v>516</v>
      </c>
      <c r="J1195" s="28" t="s">
        <v>517</v>
      </c>
      <c r="K1195" s="28" t="s">
        <v>518</v>
      </c>
      <c r="L1195" s="28" t="s">
        <v>2100</v>
      </c>
      <c r="M1195" s="28" t="s">
        <v>605</v>
      </c>
      <c r="N1195" s="28" t="s">
        <v>557</v>
      </c>
      <c r="O1195" s="28" t="s">
        <v>522</v>
      </c>
      <c r="S1195" s="28" t="s">
        <v>1712</v>
      </c>
      <c r="T1195" s="28" t="s">
        <v>1918</v>
      </c>
      <c r="U1195" s="28" t="s">
        <v>1918</v>
      </c>
      <c r="V1195" s="28" t="s">
        <v>517</v>
      </c>
      <c r="W1195" s="28" t="s">
        <v>4845</v>
      </c>
      <c r="Z1195" s="118" t="s">
        <v>563</v>
      </c>
      <c r="AA1195" s="118"/>
      <c r="AB1195" s="118" t="s">
        <v>527</v>
      </c>
      <c r="AD1195" s="28" t="s">
        <v>954</v>
      </c>
      <c r="AF1195" s="117" t="s">
        <v>4843</v>
      </c>
      <c r="AG1195" s="28" t="s">
        <v>563</v>
      </c>
      <c r="AK1195" s="60" t="s">
        <v>2927</v>
      </c>
      <c r="AL1195" s="117">
        <f>1/COUNTIF(Tableau6[LAT],B1195)</f>
        <v>0.125</v>
      </c>
      <c r="AM1195" s="60" t="b">
        <f t="shared" si="129"/>
        <v>0</v>
      </c>
      <c r="AN1195" s="60" t="b">
        <f t="shared" si="130"/>
        <v>0</v>
      </c>
      <c r="AO1195" s="60" t="b">
        <f t="shared" si="131"/>
        <v>0</v>
      </c>
      <c r="AP1195" s="60" t="b">
        <f t="shared" si="132"/>
        <v>0</v>
      </c>
      <c r="AQ1195" s="60" t="b">
        <f t="shared" si="133"/>
        <v>0</v>
      </c>
      <c r="AR1195" s="60" t="str">
        <f t="shared" si="134"/>
        <v>No</v>
      </c>
      <c r="AS1195" s="60" t="str">
        <f t="shared" si="135"/>
        <v>No</v>
      </c>
    </row>
    <row r="1196" spans="1:45" ht="15" hidden="1">
      <c r="A1196" s="103">
        <v>45244</v>
      </c>
      <c r="B1196" s="117" t="s">
        <v>4836</v>
      </c>
      <c r="C1196" s="28" t="s">
        <v>612</v>
      </c>
      <c r="D1196" s="28" t="s">
        <v>4846</v>
      </c>
      <c r="F1196" s="28" t="s">
        <v>4847</v>
      </c>
      <c r="G1196" s="28" t="s">
        <v>979</v>
      </c>
      <c r="H1196" s="28" t="s">
        <v>4848</v>
      </c>
      <c r="I1196" s="28" t="s">
        <v>516</v>
      </c>
      <c r="J1196" s="28" t="s">
        <v>517</v>
      </c>
      <c r="K1196" s="28" t="s">
        <v>518</v>
      </c>
      <c r="L1196" s="28" t="s">
        <v>2100</v>
      </c>
      <c r="M1196" s="28" t="s">
        <v>605</v>
      </c>
      <c r="N1196" s="28" t="s">
        <v>557</v>
      </c>
      <c r="O1196" s="28" t="s">
        <v>522</v>
      </c>
      <c r="S1196" s="28" t="s">
        <v>1712</v>
      </c>
      <c r="T1196" s="28" t="s">
        <v>1918</v>
      </c>
      <c r="U1196" s="28" t="s">
        <v>1918</v>
      </c>
      <c r="V1196" s="28" t="s">
        <v>517</v>
      </c>
      <c r="W1196" s="28" t="s">
        <v>4849</v>
      </c>
      <c r="Z1196" s="118" t="s">
        <v>563</v>
      </c>
      <c r="AA1196" s="118"/>
      <c r="AB1196" s="118" t="s">
        <v>527</v>
      </c>
      <c r="AD1196" s="28" t="s">
        <v>954</v>
      </c>
      <c r="AF1196" s="117" t="s">
        <v>4846</v>
      </c>
      <c r="AG1196" s="28" t="s">
        <v>563</v>
      </c>
      <c r="AK1196" s="60" t="s">
        <v>2927</v>
      </c>
      <c r="AL1196" s="117">
        <f>1/COUNTIF(Tableau6[LAT],B1196)</f>
        <v>0.125</v>
      </c>
      <c r="AM1196" s="60" t="b">
        <f t="shared" si="129"/>
        <v>0</v>
      </c>
      <c r="AN1196" s="60" t="b">
        <f t="shared" si="130"/>
        <v>0</v>
      </c>
      <c r="AO1196" s="60" t="b">
        <f t="shared" si="131"/>
        <v>0</v>
      </c>
      <c r="AP1196" s="60" t="b">
        <f t="shared" si="132"/>
        <v>0</v>
      </c>
      <c r="AQ1196" s="60" t="b">
        <f t="shared" si="133"/>
        <v>0</v>
      </c>
      <c r="AR1196" s="60" t="str">
        <f t="shared" si="134"/>
        <v>No</v>
      </c>
      <c r="AS1196" s="60" t="str">
        <f t="shared" si="135"/>
        <v>No</v>
      </c>
    </row>
    <row r="1197" spans="1:45" ht="15" hidden="1">
      <c r="A1197" s="103">
        <v>45244</v>
      </c>
      <c r="B1197" s="117" t="s">
        <v>4836</v>
      </c>
      <c r="C1197" s="28" t="s">
        <v>691</v>
      </c>
      <c r="D1197" s="28" t="s">
        <v>4850</v>
      </c>
      <c r="F1197" s="28" t="s">
        <v>4851</v>
      </c>
      <c r="G1197" s="28" t="s">
        <v>1635</v>
      </c>
      <c r="H1197" s="28" t="s">
        <v>1615</v>
      </c>
      <c r="I1197" s="28" t="s">
        <v>516</v>
      </c>
      <c r="J1197" s="28" t="s">
        <v>517</v>
      </c>
      <c r="K1197" s="28" t="s">
        <v>518</v>
      </c>
      <c r="L1197" s="28" t="s">
        <v>2100</v>
      </c>
      <c r="M1197" s="28" t="s">
        <v>605</v>
      </c>
      <c r="N1197" s="28" t="s">
        <v>557</v>
      </c>
      <c r="O1197" s="28" t="s">
        <v>522</v>
      </c>
      <c r="S1197" s="28" t="s">
        <v>1712</v>
      </c>
      <c r="T1197" s="28" t="s">
        <v>1918</v>
      </c>
      <c r="U1197" s="28" t="s">
        <v>1918</v>
      </c>
      <c r="V1197" s="28" t="s">
        <v>517</v>
      </c>
      <c r="W1197" s="28" t="s">
        <v>4852</v>
      </c>
      <c r="Z1197" s="118" t="s">
        <v>563</v>
      </c>
      <c r="AA1197" s="118"/>
      <c r="AB1197" s="118" t="s">
        <v>527</v>
      </c>
      <c r="AD1197" s="28" t="s">
        <v>954</v>
      </c>
      <c r="AF1197" s="117" t="s">
        <v>4850</v>
      </c>
      <c r="AG1197" s="28" t="s">
        <v>563</v>
      </c>
      <c r="AK1197" s="60" t="s">
        <v>2927</v>
      </c>
      <c r="AL1197" s="117">
        <f>1/COUNTIF(Tableau6[LAT],B1197)</f>
        <v>0.125</v>
      </c>
      <c r="AM1197" s="60" t="b">
        <f t="shared" si="129"/>
        <v>0</v>
      </c>
      <c r="AN1197" s="60" t="b">
        <f t="shared" si="130"/>
        <v>0</v>
      </c>
      <c r="AO1197" s="60" t="b">
        <f t="shared" si="131"/>
        <v>0</v>
      </c>
      <c r="AP1197" s="60" t="b">
        <f t="shared" si="132"/>
        <v>0</v>
      </c>
      <c r="AQ1197" s="60" t="b">
        <f t="shared" si="133"/>
        <v>0</v>
      </c>
      <c r="AR1197" s="60" t="str">
        <f t="shared" si="134"/>
        <v>No</v>
      </c>
      <c r="AS1197" s="60" t="str">
        <f t="shared" si="135"/>
        <v>No</v>
      </c>
    </row>
    <row r="1198" spans="1:45" ht="15" hidden="1">
      <c r="A1198" s="103">
        <v>45244</v>
      </c>
      <c r="B1198" s="117" t="s">
        <v>4836</v>
      </c>
      <c r="C1198" s="28" t="s">
        <v>859</v>
      </c>
      <c r="D1198" s="28" t="s">
        <v>4853</v>
      </c>
      <c r="F1198" s="28" t="s">
        <v>4854</v>
      </c>
      <c r="G1198" s="28" t="s">
        <v>514</v>
      </c>
      <c r="H1198" s="28" t="s">
        <v>1554</v>
      </c>
      <c r="I1198" s="28" t="s">
        <v>516</v>
      </c>
      <c r="J1198" s="28" t="s">
        <v>517</v>
      </c>
      <c r="K1198" s="28" t="s">
        <v>518</v>
      </c>
      <c r="L1198" s="28" t="s">
        <v>2100</v>
      </c>
      <c r="M1198" s="28" t="s">
        <v>605</v>
      </c>
      <c r="N1198" s="28" t="s">
        <v>557</v>
      </c>
      <c r="O1198" s="28" t="s">
        <v>522</v>
      </c>
      <c r="S1198" s="28" t="s">
        <v>1712</v>
      </c>
      <c r="T1198" s="28" t="s">
        <v>1918</v>
      </c>
      <c r="U1198" s="28" t="s">
        <v>1918</v>
      </c>
      <c r="V1198" s="28" t="s">
        <v>517</v>
      </c>
      <c r="W1198" s="28" t="s">
        <v>4855</v>
      </c>
      <c r="Z1198" s="118" t="s">
        <v>563</v>
      </c>
      <c r="AA1198" s="118"/>
      <c r="AB1198" s="118" t="s">
        <v>527</v>
      </c>
      <c r="AD1198" s="28" t="s">
        <v>954</v>
      </c>
      <c r="AF1198" s="117" t="s">
        <v>4853</v>
      </c>
      <c r="AG1198" s="28" t="s">
        <v>563</v>
      </c>
      <c r="AK1198" s="60" t="s">
        <v>2927</v>
      </c>
      <c r="AL1198" s="117">
        <f>1/COUNTIF(Tableau6[LAT],B1198)</f>
        <v>0.125</v>
      </c>
      <c r="AM1198" s="60" t="b">
        <f t="shared" si="129"/>
        <v>0</v>
      </c>
      <c r="AN1198" s="60" t="b">
        <f t="shared" si="130"/>
        <v>0</v>
      </c>
      <c r="AO1198" s="60" t="b">
        <f t="shared" si="131"/>
        <v>0</v>
      </c>
      <c r="AP1198" s="60" t="b">
        <f t="shared" si="132"/>
        <v>0</v>
      </c>
      <c r="AQ1198" s="60" t="b">
        <f t="shared" si="133"/>
        <v>0</v>
      </c>
      <c r="AR1198" s="60" t="str">
        <f t="shared" si="134"/>
        <v>No</v>
      </c>
      <c r="AS1198" s="60" t="str">
        <f t="shared" si="135"/>
        <v>No</v>
      </c>
    </row>
    <row r="1199" spans="1:45" ht="15" hidden="1">
      <c r="A1199" s="103">
        <v>45244</v>
      </c>
      <c r="B1199" s="117" t="s">
        <v>4836</v>
      </c>
      <c r="C1199" s="28" t="s">
        <v>861</v>
      </c>
      <c r="D1199" s="28" t="s">
        <v>4856</v>
      </c>
      <c r="F1199" s="28" t="s">
        <v>4854</v>
      </c>
      <c r="G1199" s="28" t="s">
        <v>514</v>
      </c>
      <c r="H1199" s="28" t="s">
        <v>1554</v>
      </c>
      <c r="I1199" s="28" t="s">
        <v>516</v>
      </c>
      <c r="J1199" s="28" t="s">
        <v>517</v>
      </c>
      <c r="K1199" s="28" t="s">
        <v>518</v>
      </c>
      <c r="L1199" s="28" t="s">
        <v>2100</v>
      </c>
      <c r="M1199" s="28" t="s">
        <v>605</v>
      </c>
      <c r="N1199" s="28" t="s">
        <v>557</v>
      </c>
      <c r="O1199" s="28" t="s">
        <v>522</v>
      </c>
      <c r="S1199" s="28" t="s">
        <v>1712</v>
      </c>
      <c r="T1199" s="28" t="s">
        <v>1918</v>
      </c>
      <c r="U1199" s="28" t="s">
        <v>1918</v>
      </c>
      <c r="V1199" s="28" t="s">
        <v>517</v>
      </c>
      <c r="W1199" s="28" t="s">
        <v>4857</v>
      </c>
      <c r="Z1199" s="118" t="s">
        <v>563</v>
      </c>
      <c r="AA1199" s="118"/>
      <c r="AB1199" s="118" t="s">
        <v>527</v>
      </c>
      <c r="AD1199" s="28" t="s">
        <v>954</v>
      </c>
      <c r="AF1199" s="117" t="s">
        <v>4856</v>
      </c>
      <c r="AG1199" s="28" t="s">
        <v>563</v>
      </c>
      <c r="AK1199" s="60" t="s">
        <v>2927</v>
      </c>
      <c r="AL1199" s="117">
        <f>1/COUNTIF(Tableau6[LAT],B1199)</f>
        <v>0.125</v>
      </c>
      <c r="AM1199" s="60" t="b">
        <f t="shared" si="129"/>
        <v>0</v>
      </c>
      <c r="AN1199" s="60" t="b">
        <f t="shared" si="130"/>
        <v>0</v>
      </c>
      <c r="AO1199" s="60" t="b">
        <f t="shared" si="131"/>
        <v>0</v>
      </c>
      <c r="AP1199" s="60" t="b">
        <f t="shared" si="132"/>
        <v>0</v>
      </c>
      <c r="AQ1199" s="60" t="b">
        <f t="shared" si="133"/>
        <v>0</v>
      </c>
      <c r="AR1199" s="60" t="str">
        <f t="shared" si="134"/>
        <v>No</v>
      </c>
      <c r="AS1199" s="60" t="str">
        <f t="shared" si="135"/>
        <v>No</v>
      </c>
    </row>
    <row r="1200" spans="1:45" ht="15" hidden="1">
      <c r="A1200" s="103">
        <v>45244</v>
      </c>
      <c r="B1200" s="117" t="s">
        <v>4836</v>
      </c>
      <c r="D1200" s="28" t="s">
        <v>4858</v>
      </c>
      <c r="F1200" s="28" t="s">
        <v>4844</v>
      </c>
      <c r="G1200" s="28" t="s">
        <v>1635</v>
      </c>
      <c r="H1200" s="28" t="s">
        <v>1615</v>
      </c>
      <c r="I1200" s="28" t="s">
        <v>516</v>
      </c>
      <c r="J1200" s="28" t="s">
        <v>517</v>
      </c>
      <c r="K1200" s="28" t="s">
        <v>518</v>
      </c>
      <c r="L1200" s="28" t="s">
        <v>2100</v>
      </c>
      <c r="M1200" s="28" t="s">
        <v>605</v>
      </c>
      <c r="N1200" s="28" t="s">
        <v>557</v>
      </c>
      <c r="O1200" s="28" t="s">
        <v>522</v>
      </c>
      <c r="S1200" s="28" t="s">
        <v>1712</v>
      </c>
      <c r="T1200" s="28" t="s">
        <v>1918</v>
      </c>
      <c r="U1200" s="28" t="s">
        <v>1918</v>
      </c>
      <c r="V1200" s="28" t="s">
        <v>517</v>
      </c>
      <c r="W1200" s="28" t="s">
        <v>4859</v>
      </c>
      <c r="Z1200" s="118" t="s">
        <v>563</v>
      </c>
      <c r="AA1200" s="118"/>
      <c r="AB1200" s="118" t="s">
        <v>527</v>
      </c>
      <c r="AD1200" s="28" t="s">
        <v>954</v>
      </c>
      <c r="AF1200" s="117" t="s">
        <v>4858</v>
      </c>
      <c r="AG1200" s="28" t="s">
        <v>563</v>
      </c>
      <c r="AK1200" s="60" t="s">
        <v>2927</v>
      </c>
      <c r="AL1200" s="117">
        <f>1/COUNTIF(Tableau6[LAT],B1200)</f>
        <v>0.125</v>
      </c>
      <c r="AM1200" s="60" t="b">
        <f t="shared" si="129"/>
        <v>0</v>
      </c>
      <c r="AN1200" s="60" t="b">
        <f t="shared" si="130"/>
        <v>0</v>
      </c>
      <c r="AO1200" s="60" t="b">
        <f t="shared" si="131"/>
        <v>0</v>
      </c>
      <c r="AP1200" s="60" t="b">
        <f t="shared" si="132"/>
        <v>0</v>
      </c>
      <c r="AQ1200" s="60" t="b">
        <f t="shared" si="133"/>
        <v>0</v>
      </c>
      <c r="AR1200" s="60" t="str">
        <f t="shared" si="134"/>
        <v>No</v>
      </c>
      <c r="AS1200" s="60" t="str">
        <f t="shared" si="135"/>
        <v>No</v>
      </c>
    </row>
    <row r="1201" spans="1:45" ht="15" hidden="1">
      <c r="A1201" s="103">
        <v>45244</v>
      </c>
      <c r="B1201" s="117" t="s">
        <v>4836</v>
      </c>
      <c r="C1201" s="28" t="s">
        <v>864</v>
      </c>
      <c r="D1201" s="28" t="s">
        <v>4860</v>
      </c>
      <c r="F1201" s="28" t="s">
        <v>4844</v>
      </c>
      <c r="G1201" s="28" t="s">
        <v>1635</v>
      </c>
      <c r="H1201" s="28" t="s">
        <v>1615</v>
      </c>
      <c r="I1201" s="28" t="s">
        <v>516</v>
      </c>
      <c r="J1201" s="28" t="s">
        <v>517</v>
      </c>
      <c r="K1201" s="28" t="s">
        <v>518</v>
      </c>
      <c r="L1201" s="28" t="s">
        <v>2100</v>
      </c>
      <c r="M1201" s="28" t="s">
        <v>605</v>
      </c>
      <c r="N1201" s="28" t="s">
        <v>557</v>
      </c>
      <c r="O1201" s="28" t="s">
        <v>522</v>
      </c>
      <c r="S1201" s="28" t="s">
        <v>1712</v>
      </c>
      <c r="T1201" s="28" t="s">
        <v>1918</v>
      </c>
      <c r="U1201" s="28" t="s">
        <v>1918</v>
      </c>
      <c r="V1201" s="28" t="s">
        <v>517</v>
      </c>
      <c r="W1201" s="28" t="s">
        <v>4861</v>
      </c>
      <c r="Z1201" s="118" t="s">
        <v>563</v>
      </c>
      <c r="AA1201" s="118"/>
      <c r="AB1201" s="118" t="s">
        <v>527</v>
      </c>
      <c r="AD1201" s="28" t="s">
        <v>954</v>
      </c>
      <c r="AF1201" s="117" t="s">
        <v>4860</v>
      </c>
      <c r="AG1201" s="28" t="s">
        <v>563</v>
      </c>
      <c r="AK1201" s="60" t="s">
        <v>2927</v>
      </c>
      <c r="AL1201" s="117">
        <f>1/COUNTIF(Tableau6[LAT],B1201)</f>
        <v>0.125</v>
      </c>
      <c r="AM1201" s="60" t="b">
        <f t="shared" si="129"/>
        <v>0</v>
      </c>
      <c r="AN1201" s="60" t="b">
        <f t="shared" si="130"/>
        <v>0</v>
      </c>
      <c r="AO1201" s="60" t="b">
        <f t="shared" si="131"/>
        <v>0</v>
      </c>
      <c r="AP1201" s="60" t="b">
        <f t="shared" si="132"/>
        <v>0</v>
      </c>
      <c r="AQ1201" s="60" t="b">
        <f t="shared" si="133"/>
        <v>0</v>
      </c>
      <c r="AR1201" s="60" t="str">
        <f t="shared" si="134"/>
        <v>No</v>
      </c>
      <c r="AS1201" s="60" t="str">
        <f t="shared" si="135"/>
        <v>No</v>
      </c>
    </row>
    <row r="1202" spans="1:45" ht="15" hidden="1">
      <c r="A1202" s="103">
        <v>45244</v>
      </c>
      <c r="B1202" s="117" t="s">
        <v>4862</v>
      </c>
      <c r="C1202" s="28" t="s">
        <v>511</v>
      </c>
      <c r="D1202" s="28" t="s">
        <v>4863</v>
      </c>
      <c r="F1202" s="28" t="s">
        <v>4864</v>
      </c>
      <c r="G1202" s="28" t="s">
        <v>514</v>
      </c>
      <c r="H1202" s="28" t="s">
        <v>658</v>
      </c>
      <c r="I1202" s="28" t="s">
        <v>517</v>
      </c>
      <c r="J1202" s="28" t="s">
        <v>517</v>
      </c>
      <c r="K1202" s="28" t="s">
        <v>518</v>
      </c>
      <c r="L1202" s="28" t="s">
        <v>4865</v>
      </c>
      <c r="M1202" s="28" t="s">
        <v>520</v>
      </c>
      <c r="N1202" s="28" t="s">
        <v>2359</v>
      </c>
      <c r="O1202" s="28" t="s">
        <v>522</v>
      </c>
      <c r="S1202" s="28" t="s">
        <v>573</v>
      </c>
      <c r="T1202" s="28" t="s">
        <v>4866</v>
      </c>
      <c r="U1202" s="28" t="s">
        <v>4866</v>
      </c>
      <c r="V1202" s="28" t="s">
        <v>517</v>
      </c>
      <c r="W1202" s="28" t="s">
        <v>4867</v>
      </c>
      <c r="Z1202" s="118" t="s">
        <v>563</v>
      </c>
      <c r="AA1202" s="118"/>
      <c r="AB1202" s="118" t="s">
        <v>4868</v>
      </c>
      <c r="AD1202" s="28" t="s">
        <v>954</v>
      </c>
      <c r="AF1202" s="117" t="s">
        <v>4863</v>
      </c>
      <c r="AG1202" s="28" t="s">
        <v>563</v>
      </c>
      <c r="AK1202" s="60" t="s">
        <v>2927</v>
      </c>
      <c r="AL1202" s="117">
        <f>1/COUNTIF(Tableau6[LAT],B1202)</f>
        <v>0.5</v>
      </c>
      <c r="AM1202" s="60" t="b">
        <f t="shared" si="129"/>
        <v>0</v>
      </c>
      <c r="AN1202" s="60" t="b">
        <f t="shared" si="130"/>
        <v>0</v>
      </c>
      <c r="AO1202" s="60" t="b">
        <f t="shared" si="131"/>
        <v>0</v>
      </c>
      <c r="AP1202" s="60" t="b">
        <f t="shared" si="132"/>
        <v>0</v>
      </c>
      <c r="AQ1202" s="60" t="b">
        <f t="shared" si="133"/>
        <v>0</v>
      </c>
      <c r="AR1202" s="60" t="str">
        <f t="shared" si="134"/>
        <v>No</v>
      </c>
      <c r="AS1202" s="60" t="str">
        <f t="shared" si="135"/>
        <v>No</v>
      </c>
    </row>
    <row r="1203" spans="1:45" ht="15" hidden="1">
      <c r="A1203" s="103">
        <v>45244</v>
      </c>
      <c r="B1203" s="117" t="s">
        <v>4862</v>
      </c>
      <c r="C1203" s="28" t="s">
        <v>548</v>
      </c>
      <c r="D1203" s="28" t="s">
        <v>4869</v>
      </c>
      <c r="F1203" s="28" t="s">
        <v>4864</v>
      </c>
      <c r="G1203" s="28" t="s">
        <v>514</v>
      </c>
      <c r="H1203" s="28" t="s">
        <v>658</v>
      </c>
      <c r="I1203" s="28" t="s">
        <v>517</v>
      </c>
      <c r="J1203" s="28" t="s">
        <v>517</v>
      </c>
      <c r="K1203" s="28" t="s">
        <v>518</v>
      </c>
      <c r="L1203" s="28" t="s">
        <v>4865</v>
      </c>
      <c r="M1203" s="28" t="s">
        <v>520</v>
      </c>
      <c r="N1203" s="28" t="s">
        <v>2359</v>
      </c>
      <c r="O1203" s="28" t="s">
        <v>522</v>
      </c>
      <c r="S1203" s="28" t="s">
        <v>573</v>
      </c>
      <c r="T1203" s="28" t="s">
        <v>4866</v>
      </c>
      <c r="U1203" s="28" t="s">
        <v>4866</v>
      </c>
      <c r="V1203" s="28" t="s">
        <v>517</v>
      </c>
      <c r="W1203" s="28" t="s">
        <v>4870</v>
      </c>
      <c r="Z1203" s="118" t="s">
        <v>563</v>
      </c>
      <c r="AA1203" s="118"/>
      <c r="AB1203" s="118" t="s">
        <v>4868</v>
      </c>
      <c r="AD1203" s="28" t="s">
        <v>954</v>
      </c>
      <c r="AF1203" s="117" t="s">
        <v>4869</v>
      </c>
      <c r="AG1203" s="28" t="s">
        <v>563</v>
      </c>
      <c r="AK1203" s="60" t="s">
        <v>2927</v>
      </c>
      <c r="AL1203" s="117">
        <f>1/COUNTIF(Tableau6[LAT],B1203)</f>
        <v>0.5</v>
      </c>
      <c r="AM1203" s="60" t="b">
        <f t="shared" si="129"/>
        <v>0</v>
      </c>
      <c r="AN1203" s="60" t="b">
        <f t="shared" si="130"/>
        <v>0</v>
      </c>
      <c r="AO1203" s="60" t="b">
        <f t="shared" si="131"/>
        <v>0</v>
      </c>
      <c r="AP1203" s="60" t="b">
        <f t="shared" si="132"/>
        <v>0</v>
      </c>
      <c r="AQ1203" s="60" t="b">
        <f t="shared" si="133"/>
        <v>0</v>
      </c>
      <c r="AR1203" s="60" t="str">
        <f t="shared" si="134"/>
        <v>No</v>
      </c>
      <c r="AS1203" s="60" t="str">
        <f t="shared" si="135"/>
        <v>No</v>
      </c>
    </row>
    <row r="1204" spans="1:45" ht="15" hidden="1">
      <c r="A1204" s="103">
        <v>45244</v>
      </c>
      <c r="B1204" s="117" t="s">
        <v>4871</v>
      </c>
      <c r="C1204" s="28" t="s">
        <v>511</v>
      </c>
      <c r="D1204" s="28" t="s">
        <v>4872</v>
      </c>
      <c r="E1204" s="28" t="s">
        <v>4873</v>
      </c>
      <c r="F1204" s="28" t="s">
        <v>4874</v>
      </c>
      <c r="G1204" s="28" t="s">
        <v>665</v>
      </c>
      <c r="H1204" s="28" t="s">
        <v>4875</v>
      </c>
      <c r="I1204" s="28" t="s">
        <v>516</v>
      </c>
      <c r="J1204" s="28" t="s">
        <v>517</v>
      </c>
      <c r="K1204" s="28" t="s">
        <v>518</v>
      </c>
      <c r="L1204" s="28" t="s">
        <v>675</v>
      </c>
      <c r="M1204" s="28" t="s">
        <v>605</v>
      </c>
      <c r="N1204" s="28" t="s">
        <v>521</v>
      </c>
      <c r="O1204" s="28" t="s">
        <v>544</v>
      </c>
      <c r="P1204" s="28" t="s">
        <v>559</v>
      </c>
      <c r="S1204" s="28" t="s">
        <v>1918</v>
      </c>
      <c r="T1204" s="28" t="s">
        <v>676</v>
      </c>
      <c r="U1204" s="28" t="s">
        <v>676</v>
      </c>
      <c r="V1204" s="28" t="s">
        <v>517</v>
      </c>
      <c r="W1204" s="28" t="s">
        <v>4876</v>
      </c>
      <c r="X1204" s="28" t="s">
        <v>670</v>
      </c>
      <c r="Z1204" s="118" t="s">
        <v>563</v>
      </c>
      <c r="AA1204" s="118"/>
      <c r="AB1204" s="118" t="s">
        <v>527</v>
      </c>
      <c r="AD1204" s="28" t="s">
        <v>954</v>
      </c>
      <c r="AF1204" s="117" t="s">
        <v>4863</v>
      </c>
      <c r="AG1204" s="28" t="s">
        <v>563</v>
      </c>
      <c r="AK1204" s="60" t="s">
        <v>2927</v>
      </c>
      <c r="AL1204" s="117">
        <f>1/COUNTIF(Tableau6[LAT],B1204)</f>
        <v>1</v>
      </c>
      <c r="AM1204" s="60" t="b">
        <f t="shared" ref="AM1204:AM1267" si="136">IF(N1204="ALM","Yes",IF(N1204="ALI","Yes",IF(N1204="CAO","Yes",IF(N1204="ICE","Yes",IF(N1204="MAG","Yes",IF(N1204="MAG","Yes",IF(N1204="RBI","Yes",IF(N1204="RBM","Yes",IF(N1204="RCL","Yes",IF(N1204="RCM","Yes",IF(N1204="RCX","Yes",IF(N1204="RDS","Yes",IF(N1204="REQ","Yes",IF(N1204="REX","Yes",IF(N1204="RFG","Yes",IF(N1204="RFL","Yes",IF(N1204="RFS","Yes",IF(N1204="RFW","Yes",IF(N1204="RGX","Yes",IF(N1204="RIS",IF(N1204="RLI","Yes",IF(N1204="RLM","Yes",IF(N1204="RMD","Yes",IF(N1204="RNG","Yes",IF(N1204="ROP","Yes",IF(N1204="ROX","Yes",IF(N1204="RPB","Yes",IF(N1204="RPG","Yes",IF(N1204="RRE","Yes",IF(N1204="RRW","Yes",IF(N1204="RRY","Yes",IF(N1204="RSB","Yes",IF(N1204="RSC","Yes",IF(N1204="RXB","Yes",IF(N1204="RXC","Yes",IF(N1204="RXD","Yes",IF(N1204="RXE","Yes",IF(N1204="RXG","Yes",IF(N1204="RXS","Yes",)))))))))))))))))))))))))))))))))))))))</f>
        <v>0</v>
      </c>
      <c r="AN1204" s="60" t="b">
        <f t="shared" ref="AN1204:AN1267" si="137">IF(O1204="ALM","Yes",IF(O1204="ALI","Yes",IF(O1204="CAO","Yes",IF(O1204="ICE","Yes",IF(O1204="MAG","Yes",IF(O1204="MAG","Yes",IF(O1204="RBI","Yes",IF(O1204="RBM","Yes",IF(O1204="RCL","Yes",IF(O1204="RCM","Yes",IF(O1204="RCX","Yes",IF(O1204="RDS","Yes",IF(O1204="REQ","Yes",IF(O1204="REX","Yes",IF(O1204="RFG","Yes",IF(O1204="RFL","Yes",IF(O1204="RFS","Yes",IF(O1204="RFW","Yes",IF(O1204="RGX","Yes",IF(O1204="RIS",IF(O1204="RLI","Yes",IF(O1204="RLM","Yes",IF(O1204="RMD","Yes",IF(O1204="RNG","Yes",IF(O1204="ROP","Yes",IF(O1204="ROX","Yes",IF(O1204="RPB","Yes",IF(O1204="RPG","Yes",IF(O1204="RRE","Yes",IF(O1204="RRW","Yes",IF(O1204="RRY","Yes",IF(O1204="RSB","Yes",IF(O1204="RSC","Yes",IF(O1204="RXB","Yes",IF(O1204="RXC","Yes",IF(O1204="RXD","Yes",IF(O1204="RXE","Yes",IF(O1204="RXG","Yes",IF(O1204="RXS","Yes",)))))))))))))))))))))))))))))))))))))))</f>
        <v>0</v>
      </c>
      <c r="AO1204" s="60" t="b">
        <f t="shared" ref="AO1204:AO1267" si="138">IF(P1204="ALM","Yes",IF(P1204="ALI","Yes",IF(P1204="CAO","Yes",IF(P1204="ICE","Yes",IF(P1204="MAG","Yes",IF(P1204="MAG","Yes",IF(P1204="RBI","Yes",IF(P1204="RBM","Yes",IF(P1204="RCL","Yes",IF(P1204="RCM","Yes",IF(P1204="RCX","Yes",IF(P1204="RDS","Yes",IF(P1204="REQ","Yes",IF(P1204="REX","Yes",IF(P1204="RFG","Yes",IF(P1204="RFL","Yes",IF(P1204="RFS","Yes",IF(P1204="RFW","Yes",IF(P1204="RGX","Yes",IF(P1204="RIS",IF(P1204="RLI","Yes",IF(P1204="RLM","Yes",IF(P1204="RMD","Yes",IF(P1204="RNG","Yes",IF(P1204="ROP","Yes",IF(P1204="ROX","Yes",IF(P1204="RPB","Yes",IF(P1204="RPG","Yes",IF(P1204="RRE","Yes",IF(P1204="RRW","Yes",IF(P1204="RRY","Yes",IF(P1204="RSB","Yes",IF(P1204="RSC","Yes",IF(P1204="RXB","Yes",IF(P1204="RXC","Yes",IF(P1204="RXD","Yes",IF(P1204="RXE","Yes",IF(P1204="RXG","Yes",IF(P1204="RXS","Yes",)))))))))))))))))))))))))))))))))))))))</f>
        <v>0</v>
      </c>
      <c r="AP1204" s="60" t="b">
        <f t="shared" ref="AP1204:AP1267" si="139">IF(Q1204="ALM","Yes",IF(Q1204="ALI","Yes",IF(Q1204="CAO","Yes",IF(Q1204="ICE","Yes",IF(Q1204="MAG","Yes",IF(Q1204="MAG","Yes",IF(Q1204="RBI","Yes",IF(Q1204="RBM","Yes",IF(Q1204="RCL","Yes",IF(Q1204="RCM","Yes",IF(Q1204="RCX","Yes",IF(Q1204="RDS","Yes",IF(Q1204="REQ","Yes",IF(Q1204="REX","Yes",IF(Q1204="RFG","Yes",IF(Q1204="RFL","Yes",IF(Q1204="RFS","Yes",IF(Q1204="RFW","Yes",IF(Q1204="RGX","Yes",IF(Q1204="RIS",IF(Q1204="RLI","Yes",IF(Q1204="RLM","Yes",IF(Q1204="RMD","Yes",IF(Q1204="RNG","Yes",IF(Q1204="ROP","Yes",IF(Q1204="ROX","Yes",IF(Q1204="RPB","Yes",IF(Q1204="RPG","Yes",IF(Q1204="RRE","Yes",IF(Q1204="RRW","Yes",IF(Q1204="RRY","Yes",IF(Q1204="RSB","Yes",IF(Q1204="RSC","Yes",IF(Q1204="RXB","Yes",IF(Q1204="RXC","Yes",IF(Q1204="RXD","Yes",IF(Q1204="RXE","Yes",IF(Q1204="RXG","Yes",IF(Q1204="RXS","Yes",)))))))))))))))))))))))))))))))))))))))</f>
        <v>0</v>
      </c>
      <c r="AQ1204" s="60" t="b">
        <f t="shared" ref="AQ1204:AQ1267" si="140">IF(R1204="ALM","Yes",IF(R1204="ALI","Yes",IF(R1204="CAO","Yes",IF(R1204="ICE","Yes",IF(R1204="MAG","Yes",IF(R1204="MAG","Yes",IF(R1204="RBI","Yes",IF(R1204="RBM","Yes",IF(R1204="RCL","Yes",IF(R1204="RCM","Yes",IF(R1204="RCX","Yes",IF(R1204="RDS","Yes",IF(R1204="REQ","Yes",IF(R1204="REX","Yes",IF(R1204="RFG","Yes",IF(R1204="RFL","Yes",IF(R1204="RFS","Yes",IF(R1204="RFW","Yes",IF(R1204="RGX","Yes",IF(R1204="RIS",IF(R1204="RLI","Yes",IF(R1204="RLM","Yes",IF(R1204="RMD","Yes",IF(R1204="RNG","Yes",IF(R1204="ROP","Yes",IF(R1204="ROX","Yes",IF(R1204="RPB","Yes",IF(R1204="RPG","Yes",IF(R1204="RRE","Yes",IF(R1204="RRW","Yes",IF(R1204="RRY","Yes",IF(R1204="RSB","Yes",IF(R1204="RSC","Yes",IF(R1204="RXB","Yes",IF(R1204="RXC","Yes",IF(R1204="RXD","Yes",IF(R1204="RXE","Yes",IF(R1204="RXG","Yes",IF(R1204="RXS","Yes",)))))))))))))))))))))))))))))))))))))))</f>
        <v>0</v>
      </c>
      <c r="AR1204" s="60" t="str">
        <f t="shared" ref="AR1204:AR1267" si="141">IF(AM1204="Yes","Yes",IF(AN1204="Yes","Yes",IF(AO1204="yes","Yes",IF(AP1204="Yes","Yes","No"))))</f>
        <v>No</v>
      </c>
      <c r="AS1204" s="60" t="str">
        <f t="shared" ref="AS1204:AS1267" si="142">IF(S1204="QFA","Yes",IF(S1204="LCJ","Yes",IF(S1204="CAJ","Yes",IF(S1204="WRO","Yes",IF(S1204="BEY","Yes",IF(S1204="TUN","Yes",IF(S1204="LFW","Yes",IF(S1204="DLA","Yes",IF(S1204="NSI","Yes",IF(S1204="OUA","Yes",IF(S1204="IAH","Yes",IF(S1204="LYS","Yes",IF(S1204="DSS","Yes",IF(S1204="BKO","Yes",IF(S1204="BZV","Yes",IF(S1204="COO","Yes",IF(S1204="EZE","Yes",IF(S1204="CKY","Yes",IF(S1204="PTP","Yes",IF(S1204="ORD","Yes",IF(S1204="CFE","Yes",IF(S1204="NKC","Yes",IF(S1204="FDF","Yes",IF(S1204="SDQ","Yes",IF(S1204="PNR","Yes",IF(S1204="ICAY","Yes",IF(S1204="DTW","Yes",IF(S1204="TNR","Yes",IF(S1204="RUN","Yes",IF(S1204="NIM","Yes","No"))))))))))))))))))))))))))))))</f>
        <v>No</v>
      </c>
    </row>
    <row r="1205" spans="1:45" ht="15" hidden="1">
      <c r="A1205" s="103">
        <v>45244</v>
      </c>
      <c r="B1205" s="117" t="s">
        <v>4877</v>
      </c>
      <c r="C1205" s="28" t="s">
        <v>612</v>
      </c>
      <c r="D1205" s="28" t="s">
        <v>4878</v>
      </c>
      <c r="F1205" s="28" t="s">
        <v>4879</v>
      </c>
      <c r="G1205" s="28" t="s">
        <v>958</v>
      </c>
      <c r="H1205" s="28" t="s">
        <v>1164</v>
      </c>
      <c r="I1205" s="28" t="s">
        <v>516</v>
      </c>
      <c r="J1205" s="28" t="s">
        <v>517</v>
      </c>
      <c r="K1205" s="28" t="s">
        <v>518</v>
      </c>
      <c r="L1205" s="28" t="s">
        <v>1787</v>
      </c>
      <c r="M1205" s="28" t="s">
        <v>535</v>
      </c>
      <c r="N1205" s="28" t="s">
        <v>1307</v>
      </c>
      <c r="O1205" s="28" t="s">
        <v>619</v>
      </c>
      <c r="P1205" s="28" t="s">
        <v>572</v>
      </c>
      <c r="Q1205" s="28" t="s">
        <v>544</v>
      </c>
      <c r="S1205" s="28" t="s">
        <v>3331</v>
      </c>
      <c r="T1205" s="28" t="s">
        <v>581</v>
      </c>
      <c r="U1205" s="28" t="s">
        <v>581</v>
      </c>
      <c r="V1205" s="28" t="s">
        <v>517</v>
      </c>
      <c r="W1205" s="28" t="s">
        <v>1788</v>
      </c>
      <c r="Z1205" s="118" t="s">
        <v>526</v>
      </c>
      <c r="AA1205" s="118"/>
      <c r="AB1205" s="118"/>
      <c r="AD1205" s="28" t="s">
        <v>954</v>
      </c>
      <c r="AF1205" s="117" t="s">
        <v>4880</v>
      </c>
      <c r="AG1205" s="28" t="s">
        <v>563</v>
      </c>
      <c r="AK1205" s="60" t="s">
        <v>2927</v>
      </c>
      <c r="AL1205" s="117">
        <f>1/COUNTIF(Tableau6[LAT],B1205)</f>
        <v>1</v>
      </c>
      <c r="AM1205" s="60" t="b">
        <f t="shared" si="136"/>
        <v>0</v>
      </c>
      <c r="AN1205" s="60" t="b">
        <f t="shared" si="137"/>
        <v>0</v>
      </c>
      <c r="AO1205" s="60" t="b">
        <f t="shared" si="138"/>
        <v>0</v>
      </c>
      <c r="AP1205" s="60" t="b">
        <f t="shared" si="139"/>
        <v>0</v>
      </c>
      <c r="AQ1205" s="60" t="b">
        <f t="shared" si="140"/>
        <v>0</v>
      </c>
      <c r="AR1205" s="60" t="str">
        <f t="shared" si="141"/>
        <v>No</v>
      </c>
      <c r="AS1205" s="60" t="str">
        <f t="shared" si="142"/>
        <v>No</v>
      </c>
    </row>
    <row r="1206" spans="1:45" ht="15" hidden="1">
      <c r="A1206" s="103">
        <v>45244</v>
      </c>
      <c r="B1206" s="117" t="s">
        <v>4881</v>
      </c>
      <c r="C1206" s="28" t="s">
        <v>511</v>
      </c>
      <c r="D1206" s="28" t="s">
        <v>4882</v>
      </c>
      <c r="E1206" s="28" t="s">
        <v>4883</v>
      </c>
      <c r="F1206" s="28" t="s">
        <v>4884</v>
      </c>
      <c r="G1206" s="28" t="s">
        <v>979</v>
      </c>
      <c r="H1206" s="28" t="s">
        <v>4885</v>
      </c>
      <c r="I1206" s="28" t="s">
        <v>516</v>
      </c>
      <c r="J1206" s="28" t="s">
        <v>517</v>
      </c>
      <c r="K1206" s="28" t="s">
        <v>518</v>
      </c>
      <c r="L1206" s="28" t="s">
        <v>4077</v>
      </c>
      <c r="M1206" s="28" t="s">
        <v>605</v>
      </c>
      <c r="N1206" s="28" t="s">
        <v>1637</v>
      </c>
      <c r="O1206" s="28" t="s">
        <v>1383</v>
      </c>
      <c r="P1206" s="28" t="s">
        <v>557</v>
      </c>
      <c r="Q1206" s="28" t="s">
        <v>544</v>
      </c>
      <c r="R1206" s="28" t="s">
        <v>1572</v>
      </c>
      <c r="S1206" s="28" t="s">
        <v>2199</v>
      </c>
      <c r="T1206" s="28" t="s">
        <v>1918</v>
      </c>
      <c r="U1206" s="28" t="s">
        <v>1918</v>
      </c>
      <c r="V1206" s="28" t="s">
        <v>517</v>
      </c>
      <c r="W1206" s="28" t="s">
        <v>4886</v>
      </c>
      <c r="X1206" s="28" t="s">
        <v>670</v>
      </c>
      <c r="Z1206" s="118" t="s">
        <v>526</v>
      </c>
      <c r="AA1206" s="118"/>
      <c r="AB1206" s="118"/>
      <c r="AD1206" s="28" t="s">
        <v>954</v>
      </c>
      <c r="AF1206" s="117" t="s">
        <v>4882</v>
      </c>
      <c r="AG1206" s="28" t="s">
        <v>563</v>
      </c>
      <c r="AK1206" s="60" t="s">
        <v>2927</v>
      </c>
      <c r="AL1206" s="117">
        <f>1/COUNTIF(Tableau6[LAT],B1206)</f>
        <v>0.5</v>
      </c>
      <c r="AM1206" s="60" t="b">
        <f t="shared" si="136"/>
        <v>0</v>
      </c>
      <c r="AN1206" s="60" t="b">
        <f t="shared" si="137"/>
        <v>0</v>
      </c>
      <c r="AO1206" s="60" t="b">
        <f t="shared" si="138"/>
        <v>0</v>
      </c>
      <c r="AP1206" s="60" t="b">
        <f t="shared" si="139"/>
        <v>0</v>
      </c>
      <c r="AQ1206" s="60" t="b">
        <f t="shared" si="140"/>
        <v>0</v>
      </c>
      <c r="AR1206" s="60" t="str">
        <f t="shared" si="141"/>
        <v>No</v>
      </c>
      <c r="AS1206" s="60" t="str">
        <f t="shared" si="142"/>
        <v>No</v>
      </c>
    </row>
    <row r="1207" spans="1:45" ht="15" hidden="1">
      <c r="A1207" s="103">
        <v>45244</v>
      </c>
      <c r="B1207" s="117" t="s">
        <v>4881</v>
      </c>
      <c r="C1207" s="28" t="s">
        <v>548</v>
      </c>
      <c r="D1207" s="28" t="s">
        <v>4887</v>
      </c>
      <c r="E1207" s="28" t="s">
        <v>4888</v>
      </c>
      <c r="F1207" s="28" t="s">
        <v>4889</v>
      </c>
      <c r="G1207" s="28" t="s">
        <v>648</v>
      </c>
      <c r="H1207" s="28" t="s">
        <v>4890</v>
      </c>
      <c r="I1207" s="28" t="s">
        <v>516</v>
      </c>
      <c r="J1207" s="28" t="s">
        <v>517</v>
      </c>
      <c r="K1207" s="28" t="s">
        <v>518</v>
      </c>
      <c r="L1207" s="28" t="s">
        <v>4077</v>
      </c>
      <c r="M1207" s="28" t="s">
        <v>605</v>
      </c>
      <c r="N1207" s="28" t="s">
        <v>1637</v>
      </c>
      <c r="O1207" s="28" t="s">
        <v>1383</v>
      </c>
      <c r="P1207" s="28" t="s">
        <v>557</v>
      </c>
      <c r="Q1207" s="28" t="s">
        <v>544</v>
      </c>
      <c r="R1207" s="28" t="s">
        <v>1572</v>
      </c>
      <c r="S1207" s="28" t="s">
        <v>2199</v>
      </c>
      <c r="T1207" s="28" t="s">
        <v>1918</v>
      </c>
      <c r="U1207" s="28" t="s">
        <v>1918</v>
      </c>
      <c r="V1207" s="28" t="s">
        <v>517</v>
      </c>
      <c r="W1207" s="28" t="s">
        <v>4891</v>
      </c>
      <c r="X1207" s="28" t="s">
        <v>670</v>
      </c>
      <c r="Z1207" s="118" t="s">
        <v>526</v>
      </c>
      <c r="AA1207" s="118"/>
      <c r="AB1207" s="118"/>
      <c r="AF1207" s="117"/>
      <c r="AK1207" s="60" t="s">
        <v>2927</v>
      </c>
      <c r="AL1207" s="117">
        <f>1/COUNTIF(Tableau6[LAT],B1207)</f>
        <v>0.5</v>
      </c>
      <c r="AM1207" s="60" t="b">
        <f t="shared" si="136"/>
        <v>0</v>
      </c>
      <c r="AN1207" s="60" t="b">
        <f t="shared" si="137"/>
        <v>0</v>
      </c>
      <c r="AO1207" s="60" t="b">
        <f t="shared" si="138"/>
        <v>0</v>
      </c>
      <c r="AP1207" s="60" t="b">
        <f t="shared" si="139"/>
        <v>0</v>
      </c>
      <c r="AQ1207" s="60" t="b">
        <f t="shared" si="140"/>
        <v>0</v>
      </c>
      <c r="AR1207" s="60" t="str">
        <f t="shared" si="141"/>
        <v>No</v>
      </c>
      <c r="AS1207" s="60" t="str">
        <f t="shared" si="142"/>
        <v>No</v>
      </c>
    </row>
    <row r="1208" spans="1:45" ht="15" hidden="1">
      <c r="A1208" s="103">
        <v>45244</v>
      </c>
      <c r="B1208" s="117" t="s">
        <v>4892</v>
      </c>
      <c r="C1208" s="28" t="s">
        <v>511</v>
      </c>
      <c r="D1208" s="28" t="s">
        <v>4893</v>
      </c>
      <c r="F1208" s="28" t="s">
        <v>932</v>
      </c>
      <c r="G1208" s="28" t="s">
        <v>514</v>
      </c>
      <c r="H1208" s="28" t="s">
        <v>2614</v>
      </c>
      <c r="I1208" s="28" t="s">
        <v>516</v>
      </c>
      <c r="J1208" s="28" t="s">
        <v>517</v>
      </c>
      <c r="K1208" s="28" t="s">
        <v>518</v>
      </c>
      <c r="L1208" s="28" t="s">
        <v>2599</v>
      </c>
      <c r="M1208" s="28" t="s">
        <v>520</v>
      </c>
      <c r="N1208" s="28" t="s">
        <v>4006</v>
      </c>
      <c r="O1208" s="28" t="s">
        <v>1124</v>
      </c>
      <c r="P1208" s="28" t="s">
        <v>521</v>
      </c>
      <c r="Q1208" s="28" t="s">
        <v>934</v>
      </c>
      <c r="R1208" s="28" t="s">
        <v>522</v>
      </c>
      <c r="S1208" s="28" t="s">
        <v>523</v>
      </c>
      <c r="T1208" s="28" t="s">
        <v>2600</v>
      </c>
      <c r="U1208" s="28" t="s">
        <v>2600</v>
      </c>
      <c r="V1208" s="28" t="s">
        <v>517</v>
      </c>
      <c r="W1208" s="28" t="s">
        <v>4894</v>
      </c>
      <c r="Z1208" s="118" t="s">
        <v>563</v>
      </c>
      <c r="AA1208" s="118"/>
      <c r="AB1208" s="118" t="s">
        <v>4895</v>
      </c>
      <c r="AD1208" s="28" t="s">
        <v>528</v>
      </c>
      <c r="AF1208" s="117" t="s">
        <v>4893</v>
      </c>
      <c r="AG1208" s="28" t="s">
        <v>529</v>
      </c>
      <c r="AK1208" s="60" t="s">
        <v>2927</v>
      </c>
      <c r="AL1208" s="117">
        <f>1/COUNTIF(Tableau6[LAT],B1208)</f>
        <v>1</v>
      </c>
      <c r="AM1208" s="60" t="str">
        <f t="shared" si="136"/>
        <v>Yes</v>
      </c>
      <c r="AN1208" s="60" t="b">
        <f t="shared" si="137"/>
        <v>0</v>
      </c>
      <c r="AO1208" s="60" t="b">
        <f t="shared" si="138"/>
        <v>0</v>
      </c>
      <c r="AP1208" s="60" t="b">
        <f t="shared" si="139"/>
        <v>0</v>
      </c>
      <c r="AQ1208" s="60" t="b">
        <f t="shared" si="140"/>
        <v>0</v>
      </c>
      <c r="AR1208" s="60" t="str">
        <f t="shared" si="141"/>
        <v>Yes</v>
      </c>
      <c r="AS1208" s="60" t="str">
        <f t="shared" si="142"/>
        <v>No</v>
      </c>
    </row>
    <row r="1209" spans="1:45" ht="15" hidden="1">
      <c r="A1209" s="103">
        <v>45244</v>
      </c>
      <c r="B1209" s="117" t="s">
        <v>4896</v>
      </c>
      <c r="C1209" s="28" t="s">
        <v>511</v>
      </c>
      <c r="D1209" s="28" t="s">
        <v>4897</v>
      </c>
      <c r="F1209" s="28" t="s">
        <v>2963</v>
      </c>
      <c r="G1209" s="28" t="s">
        <v>514</v>
      </c>
      <c r="H1209" s="28" t="s">
        <v>2072</v>
      </c>
      <c r="I1209" s="28" t="s">
        <v>516</v>
      </c>
      <c r="J1209" s="28" t="s">
        <v>517</v>
      </c>
      <c r="K1209" s="28" t="s">
        <v>518</v>
      </c>
      <c r="L1209" s="28" t="s">
        <v>1787</v>
      </c>
      <c r="M1209" s="28" t="s">
        <v>535</v>
      </c>
      <c r="N1209" s="28" t="s">
        <v>1415</v>
      </c>
      <c r="O1209" s="28" t="s">
        <v>557</v>
      </c>
      <c r="P1209" s="28" t="s">
        <v>522</v>
      </c>
      <c r="S1209" s="28" t="s">
        <v>2364</v>
      </c>
      <c r="T1209" s="28" t="s">
        <v>581</v>
      </c>
      <c r="U1209" s="28" t="s">
        <v>581</v>
      </c>
      <c r="V1209" s="28" t="s">
        <v>517</v>
      </c>
      <c r="W1209" s="28" t="s">
        <v>4197</v>
      </c>
      <c r="Z1209" s="118" t="s">
        <v>526</v>
      </c>
      <c r="AA1209" s="118"/>
      <c r="AB1209" s="118" t="s">
        <v>4898</v>
      </c>
      <c r="AD1209" s="28" t="s">
        <v>528</v>
      </c>
      <c r="AF1209" s="117" t="s">
        <v>4897</v>
      </c>
      <c r="AG1209" s="28" t="s">
        <v>529</v>
      </c>
      <c r="AK1209" s="60" t="s">
        <v>2927</v>
      </c>
      <c r="AL1209" s="117">
        <f>1/COUNTIF(Tableau6[LAT],B1209)</f>
        <v>1</v>
      </c>
      <c r="AM1209" s="60" t="str">
        <f t="shared" si="136"/>
        <v>Yes</v>
      </c>
      <c r="AN1209" s="60" t="b">
        <f t="shared" si="137"/>
        <v>0</v>
      </c>
      <c r="AO1209" s="60" t="b">
        <f t="shared" si="138"/>
        <v>0</v>
      </c>
      <c r="AP1209" s="60" t="b">
        <f t="shared" si="139"/>
        <v>0</v>
      </c>
      <c r="AQ1209" s="60" t="b">
        <f t="shared" si="140"/>
        <v>0</v>
      </c>
      <c r="AR1209" s="60" t="str">
        <f t="shared" si="141"/>
        <v>Yes</v>
      </c>
      <c r="AS1209" s="60" t="str">
        <f t="shared" si="142"/>
        <v>Yes</v>
      </c>
    </row>
    <row r="1210" spans="1:45" ht="15" hidden="1">
      <c r="A1210" s="103">
        <v>45244</v>
      </c>
      <c r="B1210" s="117" t="s">
        <v>4899</v>
      </c>
      <c r="C1210" s="28" t="s">
        <v>511</v>
      </c>
      <c r="D1210" s="28" t="s">
        <v>4900</v>
      </c>
      <c r="F1210" s="28" t="s">
        <v>1516</v>
      </c>
      <c r="G1210" s="28" t="s">
        <v>514</v>
      </c>
      <c r="H1210" s="28" t="s">
        <v>921</v>
      </c>
      <c r="I1210" s="28" t="s">
        <v>516</v>
      </c>
      <c r="J1210" s="28" t="s">
        <v>517</v>
      </c>
      <c r="K1210" s="28" t="s">
        <v>682</v>
      </c>
      <c r="L1210" s="28" t="s">
        <v>3648</v>
      </c>
      <c r="M1210" s="28" t="s">
        <v>535</v>
      </c>
      <c r="N1210" s="28" t="s">
        <v>557</v>
      </c>
      <c r="O1210" s="28" t="s">
        <v>544</v>
      </c>
      <c r="S1210" s="28" t="s">
        <v>3282</v>
      </c>
      <c r="T1210" s="28" t="s">
        <v>1857</v>
      </c>
      <c r="U1210" s="28" t="s">
        <v>1857</v>
      </c>
      <c r="V1210" s="28" t="s">
        <v>517</v>
      </c>
      <c r="W1210" s="28" t="s">
        <v>4901</v>
      </c>
      <c r="Z1210" s="118" t="s">
        <v>563</v>
      </c>
      <c r="AA1210" s="118"/>
      <c r="AB1210" s="118" t="s">
        <v>527</v>
      </c>
      <c r="AD1210" s="28" t="s">
        <v>528</v>
      </c>
      <c r="AF1210" s="117" t="s">
        <v>4900</v>
      </c>
      <c r="AG1210" s="28" t="s">
        <v>563</v>
      </c>
      <c r="AK1210" s="60" t="s">
        <v>2927</v>
      </c>
      <c r="AL1210" s="117">
        <f>1/COUNTIF(Tableau6[LAT],B1210)</f>
        <v>0.5</v>
      </c>
      <c r="AM1210" s="60" t="b">
        <f t="shared" si="136"/>
        <v>0</v>
      </c>
      <c r="AN1210" s="60" t="b">
        <f t="shared" si="137"/>
        <v>0</v>
      </c>
      <c r="AO1210" s="60" t="b">
        <f t="shared" si="138"/>
        <v>0</v>
      </c>
      <c r="AP1210" s="60" t="b">
        <f t="shared" si="139"/>
        <v>0</v>
      </c>
      <c r="AQ1210" s="60" t="b">
        <f t="shared" si="140"/>
        <v>0</v>
      </c>
      <c r="AR1210" s="60" t="str">
        <f t="shared" si="141"/>
        <v>No</v>
      </c>
      <c r="AS1210" s="60" t="str">
        <f t="shared" si="142"/>
        <v>No</v>
      </c>
    </row>
    <row r="1211" spans="1:45" ht="15" hidden="1">
      <c r="A1211" s="103">
        <v>45244</v>
      </c>
      <c r="B1211" s="117" t="s">
        <v>4899</v>
      </c>
      <c r="C1211" s="28" t="s">
        <v>548</v>
      </c>
      <c r="D1211" s="28" t="s">
        <v>4902</v>
      </c>
      <c r="F1211" s="28" t="s">
        <v>1516</v>
      </c>
      <c r="G1211" s="28" t="s">
        <v>514</v>
      </c>
      <c r="H1211" s="28" t="s">
        <v>921</v>
      </c>
      <c r="I1211" s="28" t="s">
        <v>516</v>
      </c>
      <c r="J1211" s="28" t="s">
        <v>517</v>
      </c>
      <c r="K1211" s="28" t="s">
        <v>682</v>
      </c>
      <c r="L1211" s="28" t="s">
        <v>3648</v>
      </c>
      <c r="M1211" s="28" t="s">
        <v>535</v>
      </c>
      <c r="N1211" s="28" t="s">
        <v>557</v>
      </c>
      <c r="O1211" s="28" t="s">
        <v>544</v>
      </c>
      <c r="S1211" s="28" t="s">
        <v>3282</v>
      </c>
      <c r="T1211" s="28" t="s">
        <v>1857</v>
      </c>
      <c r="U1211" s="28" t="s">
        <v>1857</v>
      </c>
      <c r="V1211" s="28" t="s">
        <v>517</v>
      </c>
      <c r="W1211" s="28" t="s">
        <v>4903</v>
      </c>
      <c r="Z1211" s="118" t="s">
        <v>563</v>
      </c>
      <c r="AA1211" s="118"/>
      <c r="AB1211" s="118" t="s">
        <v>527</v>
      </c>
      <c r="AD1211" s="28" t="s">
        <v>528</v>
      </c>
      <c r="AF1211" s="117" t="s">
        <v>4900</v>
      </c>
      <c r="AG1211" s="28" t="s">
        <v>563</v>
      </c>
      <c r="AK1211" s="60" t="s">
        <v>2927</v>
      </c>
      <c r="AL1211" s="117">
        <f>1/COUNTIF(Tableau6[LAT],B1211)</f>
        <v>0.5</v>
      </c>
      <c r="AM1211" s="60" t="b">
        <f t="shared" si="136"/>
        <v>0</v>
      </c>
      <c r="AN1211" s="60" t="b">
        <f t="shared" si="137"/>
        <v>0</v>
      </c>
      <c r="AO1211" s="60" t="b">
        <f t="shared" si="138"/>
        <v>0</v>
      </c>
      <c r="AP1211" s="60" t="b">
        <f t="shared" si="139"/>
        <v>0</v>
      </c>
      <c r="AQ1211" s="60" t="b">
        <f t="shared" si="140"/>
        <v>0</v>
      </c>
      <c r="AR1211" s="60" t="str">
        <f t="shared" si="141"/>
        <v>No</v>
      </c>
      <c r="AS1211" s="60" t="str">
        <f t="shared" si="142"/>
        <v>No</v>
      </c>
    </row>
    <row r="1212" spans="1:45" ht="15" hidden="1">
      <c r="A1212" s="103">
        <v>45244</v>
      </c>
      <c r="B1212" s="117" t="s">
        <v>4904</v>
      </c>
      <c r="C1212" s="28" t="s">
        <v>511</v>
      </c>
      <c r="D1212" s="28" t="s">
        <v>4905</v>
      </c>
      <c r="F1212" s="28" t="s">
        <v>4906</v>
      </c>
      <c r="G1212" s="28" t="s">
        <v>514</v>
      </c>
      <c r="H1212" s="28" t="s">
        <v>1693</v>
      </c>
      <c r="I1212" s="28" t="s">
        <v>516</v>
      </c>
      <c r="J1212" s="28" t="s">
        <v>517</v>
      </c>
      <c r="K1212" s="28" t="s">
        <v>518</v>
      </c>
      <c r="L1212" s="28" t="s">
        <v>2272</v>
      </c>
      <c r="M1212" s="28" t="s">
        <v>535</v>
      </c>
      <c r="N1212" s="28" t="s">
        <v>557</v>
      </c>
      <c r="O1212" s="28" t="s">
        <v>934</v>
      </c>
      <c r="P1212" s="28" t="s">
        <v>522</v>
      </c>
      <c r="S1212" s="28" t="s">
        <v>523</v>
      </c>
      <c r="T1212" s="28" t="s">
        <v>733</v>
      </c>
      <c r="U1212" s="28" t="s">
        <v>733</v>
      </c>
      <c r="V1212" s="28" t="s">
        <v>517</v>
      </c>
      <c r="W1212" s="28" t="s">
        <v>4907</v>
      </c>
      <c r="Z1212" s="118" t="s">
        <v>563</v>
      </c>
      <c r="AA1212" s="118"/>
      <c r="AB1212" s="73" t="s">
        <v>4506</v>
      </c>
      <c r="AD1212" s="28" t="s">
        <v>528</v>
      </c>
      <c r="AF1212" s="117" t="s">
        <v>4905</v>
      </c>
      <c r="AG1212" s="28" t="s">
        <v>563</v>
      </c>
      <c r="AK1212" s="60" t="s">
        <v>2927</v>
      </c>
      <c r="AL1212" s="117">
        <f>1/COUNTIF(Tableau6[LAT],B1212)</f>
        <v>1</v>
      </c>
      <c r="AM1212" s="60" t="b">
        <f t="shared" si="136"/>
        <v>0</v>
      </c>
      <c r="AN1212" s="60" t="b">
        <f t="shared" si="137"/>
        <v>0</v>
      </c>
      <c r="AO1212" s="60" t="b">
        <f t="shared" si="138"/>
        <v>0</v>
      </c>
      <c r="AP1212" s="60" t="b">
        <f t="shared" si="139"/>
        <v>0</v>
      </c>
      <c r="AQ1212" s="60" t="b">
        <f t="shared" si="140"/>
        <v>0</v>
      </c>
      <c r="AR1212" s="60" t="str">
        <f t="shared" si="141"/>
        <v>No</v>
      </c>
      <c r="AS1212" s="60" t="str">
        <f t="shared" si="142"/>
        <v>No</v>
      </c>
    </row>
    <row r="1213" spans="1:45" ht="15" hidden="1">
      <c r="A1213" s="103">
        <v>45244</v>
      </c>
      <c r="B1213" s="117" t="s">
        <v>4908</v>
      </c>
      <c r="C1213" s="28" t="s">
        <v>511</v>
      </c>
      <c r="D1213" s="28" t="s">
        <v>4909</v>
      </c>
      <c r="F1213" s="28" t="s">
        <v>4910</v>
      </c>
      <c r="G1213" s="28" t="s">
        <v>4911</v>
      </c>
      <c r="H1213" s="28" t="s">
        <v>1482</v>
      </c>
      <c r="I1213" s="28" t="s">
        <v>516</v>
      </c>
      <c r="J1213" s="28" t="s">
        <v>517</v>
      </c>
      <c r="K1213" s="28" t="s">
        <v>518</v>
      </c>
      <c r="L1213" s="28" t="s">
        <v>3338</v>
      </c>
      <c r="M1213" s="28" t="s">
        <v>535</v>
      </c>
      <c r="S1213" s="28" t="s">
        <v>589</v>
      </c>
      <c r="T1213" s="28" t="s">
        <v>3083</v>
      </c>
      <c r="U1213" s="28" t="s">
        <v>3083</v>
      </c>
      <c r="V1213" s="28" t="s">
        <v>517</v>
      </c>
      <c r="W1213" s="28" t="s">
        <v>4912</v>
      </c>
      <c r="Z1213" s="118" t="s">
        <v>563</v>
      </c>
      <c r="AA1213" s="118"/>
      <c r="AB1213" s="73" t="s">
        <v>4506</v>
      </c>
      <c r="AF1213" s="117"/>
      <c r="AK1213" s="60" t="s">
        <v>2927</v>
      </c>
      <c r="AL1213" s="117">
        <f>1/COUNTIF(Tableau6[LAT],B1213)</f>
        <v>1</v>
      </c>
      <c r="AM1213" s="60" t="b">
        <f t="shared" si="136"/>
        <v>0</v>
      </c>
      <c r="AN1213" s="60" t="b">
        <f t="shared" si="137"/>
        <v>0</v>
      </c>
      <c r="AO1213" s="60" t="b">
        <f t="shared" si="138"/>
        <v>0</v>
      </c>
      <c r="AP1213" s="60" t="b">
        <f t="shared" si="139"/>
        <v>0</v>
      </c>
      <c r="AQ1213" s="60" t="b">
        <f t="shared" si="140"/>
        <v>0</v>
      </c>
      <c r="AR1213" s="60" t="str">
        <f t="shared" si="141"/>
        <v>No</v>
      </c>
      <c r="AS1213" s="60" t="str">
        <f t="shared" si="142"/>
        <v>No</v>
      </c>
    </row>
    <row r="1214" spans="1:45" ht="15" hidden="1">
      <c r="A1214" s="103">
        <v>45244</v>
      </c>
      <c r="B1214" s="117" t="s">
        <v>4913</v>
      </c>
      <c r="C1214" s="28" t="s">
        <v>511</v>
      </c>
      <c r="D1214" s="28" t="s">
        <v>4914</v>
      </c>
      <c r="F1214" s="28" t="s">
        <v>1002</v>
      </c>
      <c r="G1214" s="28" t="s">
        <v>514</v>
      </c>
      <c r="H1214" s="28" t="s">
        <v>1284</v>
      </c>
      <c r="I1214" s="28" t="s">
        <v>516</v>
      </c>
      <c r="J1214" s="28" t="s">
        <v>517</v>
      </c>
      <c r="K1214" s="28" t="s">
        <v>518</v>
      </c>
      <c r="L1214" s="28" t="s">
        <v>2363</v>
      </c>
      <c r="M1214" s="28" t="s">
        <v>535</v>
      </c>
      <c r="N1214" s="28" t="s">
        <v>557</v>
      </c>
      <c r="O1214" s="28" t="s">
        <v>544</v>
      </c>
      <c r="P1214" s="28" t="s">
        <v>522</v>
      </c>
      <c r="S1214" s="28" t="s">
        <v>741</v>
      </c>
      <c r="T1214" s="28" t="s">
        <v>2364</v>
      </c>
      <c r="U1214" s="28" t="s">
        <v>2364</v>
      </c>
      <c r="V1214" s="28" t="s">
        <v>517</v>
      </c>
      <c r="W1214" s="28" t="s">
        <v>4915</v>
      </c>
      <c r="Z1214" s="118" t="s">
        <v>526</v>
      </c>
      <c r="AA1214" s="118"/>
      <c r="AB1214" s="118"/>
      <c r="AD1214" s="28" t="s">
        <v>528</v>
      </c>
      <c r="AF1214" s="117" t="s">
        <v>4914</v>
      </c>
      <c r="AG1214" s="28" t="s">
        <v>529</v>
      </c>
      <c r="AK1214" s="60" t="s">
        <v>2927</v>
      </c>
      <c r="AL1214" s="117">
        <f>1/COUNTIF(Tableau6[LAT],B1214)</f>
        <v>0.25</v>
      </c>
      <c r="AM1214" s="60" t="b">
        <f t="shared" si="136"/>
        <v>0</v>
      </c>
      <c r="AN1214" s="60" t="b">
        <f t="shared" si="137"/>
        <v>0</v>
      </c>
      <c r="AO1214" s="60" t="b">
        <f t="shared" si="138"/>
        <v>0</v>
      </c>
      <c r="AP1214" s="60" t="b">
        <f t="shared" si="139"/>
        <v>0</v>
      </c>
      <c r="AQ1214" s="60" t="b">
        <f t="shared" si="140"/>
        <v>0</v>
      </c>
      <c r="AR1214" s="60" t="str">
        <f t="shared" si="141"/>
        <v>No</v>
      </c>
      <c r="AS1214" s="60" t="str">
        <f t="shared" si="142"/>
        <v>Yes</v>
      </c>
    </row>
    <row r="1215" spans="1:45" ht="15" hidden="1">
      <c r="A1215" s="103">
        <v>45244</v>
      </c>
      <c r="B1215" s="117" t="s">
        <v>4913</v>
      </c>
      <c r="C1215" s="28" t="s">
        <v>548</v>
      </c>
      <c r="D1215" s="28" t="s">
        <v>4916</v>
      </c>
      <c r="F1215" s="28" t="s">
        <v>1002</v>
      </c>
      <c r="G1215" s="28" t="s">
        <v>514</v>
      </c>
      <c r="H1215" s="28" t="s">
        <v>4917</v>
      </c>
      <c r="I1215" s="28" t="s">
        <v>516</v>
      </c>
      <c r="J1215" s="28" t="s">
        <v>517</v>
      </c>
      <c r="K1215" s="28" t="s">
        <v>518</v>
      </c>
      <c r="L1215" s="28" t="s">
        <v>2363</v>
      </c>
      <c r="M1215" s="28" t="s">
        <v>535</v>
      </c>
      <c r="N1215" s="28" t="s">
        <v>557</v>
      </c>
      <c r="O1215" s="28" t="s">
        <v>544</v>
      </c>
      <c r="P1215" s="28" t="s">
        <v>522</v>
      </c>
      <c r="S1215" s="28" t="s">
        <v>741</v>
      </c>
      <c r="T1215" s="28" t="s">
        <v>2364</v>
      </c>
      <c r="U1215" s="28" t="s">
        <v>2364</v>
      </c>
      <c r="V1215" s="28" t="s">
        <v>517</v>
      </c>
      <c r="W1215" s="28" t="s">
        <v>4918</v>
      </c>
      <c r="Z1215" s="118" t="s">
        <v>526</v>
      </c>
      <c r="AA1215" s="118"/>
      <c r="AB1215" s="118"/>
      <c r="AD1215" s="28" t="s">
        <v>528</v>
      </c>
      <c r="AF1215" s="117" t="s">
        <v>4914</v>
      </c>
      <c r="AG1215" s="28" t="s">
        <v>529</v>
      </c>
      <c r="AK1215" s="60" t="s">
        <v>2927</v>
      </c>
      <c r="AL1215" s="117">
        <f>1/COUNTIF(Tableau6[LAT],B1215)</f>
        <v>0.25</v>
      </c>
      <c r="AM1215" s="60" t="b">
        <f t="shared" si="136"/>
        <v>0</v>
      </c>
      <c r="AN1215" s="60" t="b">
        <f t="shared" si="137"/>
        <v>0</v>
      </c>
      <c r="AO1215" s="60" t="b">
        <f t="shared" si="138"/>
        <v>0</v>
      </c>
      <c r="AP1215" s="60" t="b">
        <f t="shared" si="139"/>
        <v>0</v>
      </c>
      <c r="AQ1215" s="60" t="b">
        <f t="shared" si="140"/>
        <v>0</v>
      </c>
      <c r="AR1215" s="60" t="str">
        <f t="shared" si="141"/>
        <v>No</v>
      </c>
      <c r="AS1215" s="60" t="str">
        <f t="shared" si="142"/>
        <v>Yes</v>
      </c>
    </row>
    <row r="1216" spans="1:45" ht="15" hidden="1">
      <c r="A1216" s="103">
        <v>45244</v>
      </c>
      <c r="B1216" s="117" t="s">
        <v>4913</v>
      </c>
      <c r="C1216" s="28" t="s">
        <v>612</v>
      </c>
      <c r="D1216" s="28" t="s">
        <v>4919</v>
      </c>
      <c r="F1216" s="28" t="s">
        <v>1002</v>
      </c>
      <c r="G1216" s="28" t="s">
        <v>514</v>
      </c>
      <c r="H1216" s="28" t="s">
        <v>4917</v>
      </c>
      <c r="I1216" s="28" t="s">
        <v>516</v>
      </c>
      <c r="J1216" s="28" t="s">
        <v>517</v>
      </c>
      <c r="K1216" s="28" t="s">
        <v>518</v>
      </c>
      <c r="L1216" s="28" t="s">
        <v>2363</v>
      </c>
      <c r="M1216" s="28" t="s">
        <v>535</v>
      </c>
      <c r="N1216" s="28" t="s">
        <v>557</v>
      </c>
      <c r="O1216" s="28" t="s">
        <v>544</v>
      </c>
      <c r="P1216" s="28" t="s">
        <v>522</v>
      </c>
      <c r="S1216" s="28" t="s">
        <v>741</v>
      </c>
      <c r="T1216" s="28" t="s">
        <v>2364</v>
      </c>
      <c r="U1216" s="28" t="s">
        <v>2364</v>
      </c>
      <c r="V1216" s="28" t="s">
        <v>517</v>
      </c>
      <c r="W1216" s="28" t="s">
        <v>4920</v>
      </c>
      <c r="Z1216" s="118" t="s">
        <v>526</v>
      </c>
      <c r="AA1216" s="118"/>
      <c r="AB1216" s="118"/>
      <c r="AD1216" s="28" t="s">
        <v>528</v>
      </c>
      <c r="AF1216" s="117" t="s">
        <v>4914</v>
      </c>
      <c r="AG1216" s="28" t="s">
        <v>529</v>
      </c>
      <c r="AK1216" s="60" t="s">
        <v>2927</v>
      </c>
      <c r="AL1216" s="117">
        <f>1/COUNTIF(Tableau6[LAT],B1216)</f>
        <v>0.25</v>
      </c>
      <c r="AM1216" s="60" t="b">
        <f t="shared" si="136"/>
        <v>0</v>
      </c>
      <c r="AN1216" s="60" t="b">
        <f t="shared" si="137"/>
        <v>0</v>
      </c>
      <c r="AO1216" s="60" t="b">
        <f t="shared" si="138"/>
        <v>0</v>
      </c>
      <c r="AP1216" s="60" t="b">
        <f t="shared" si="139"/>
        <v>0</v>
      </c>
      <c r="AQ1216" s="60" t="b">
        <f t="shared" si="140"/>
        <v>0</v>
      </c>
      <c r="AR1216" s="60" t="str">
        <f t="shared" si="141"/>
        <v>No</v>
      </c>
      <c r="AS1216" s="60" t="str">
        <f t="shared" si="142"/>
        <v>Yes</v>
      </c>
    </row>
    <row r="1217" spans="1:45" ht="15" hidden="1">
      <c r="A1217" s="103">
        <v>45244</v>
      </c>
      <c r="B1217" s="117" t="s">
        <v>4913</v>
      </c>
      <c r="C1217" s="28" t="s">
        <v>691</v>
      </c>
      <c r="D1217" s="28" t="s">
        <v>4921</v>
      </c>
      <c r="F1217" s="28" t="s">
        <v>1002</v>
      </c>
      <c r="G1217" s="28" t="s">
        <v>514</v>
      </c>
      <c r="H1217" s="28" t="s">
        <v>1144</v>
      </c>
      <c r="I1217" s="28" t="s">
        <v>516</v>
      </c>
      <c r="J1217" s="28" t="s">
        <v>517</v>
      </c>
      <c r="K1217" s="28" t="s">
        <v>518</v>
      </c>
      <c r="L1217" s="28" t="s">
        <v>2363</v>
      </c>
      <c r="M1217" s="28" t="s">
        <v>535</v>
      </c>
      <c r="N1217" s="28" t="s">
        <v>557</v>
      </c>
      <c r="O1217" s="28" t="s">
        <v>544</v>
      </c>
      <c r="P1217" s="28" t="s">
        <v>522</v>
      </c>
      <c r="S1217" s="28" t="s">
        <v>741</v>
      </c>
      <c r="T1217" s="28" t="s">
        <v>2364</v>
      </c>
      <c r="U1217" s="28" t="s">
        <v>2364</v>
      </c>
      <c r="V1217" s="28" t="s">
        <v>517</v>
      </c>
      <c r="W1217" s="28" t="s">
        <v>4922</v>
      </c>
      <c r="Z1217" s="118" t="s">
        <v>526</v>
      </c>
      <c r="AA1217" s="118"/>
      <c r="AB1217" s="118"/>
      <c r="AD1217" s="28" t="s">
        <v>528</v>
      </c>
      <c r="AF1217" s="117" t="s">
        <v>4914</v>
      </c>
      <c r="AG1217" s="28" t="s">
        <v>529</v>
      </c>
      <c r="AK1217" s="60" t="s">
        <v>2927</v>
      </c>
      <c r="AL1217" s="117">
        <f>1/COUNTIF(Tableau6[LAT],B1217)</f>
        <v>0.25</v>
      </c>
      <c r="AM1217" s="60" t="b">
        <f t="shared" si="136"/>
        <v>0</v>
      </c>
      <c r="AN1217" s="60" t="b">
        <f t="shared" si="137"/>
        <v>0</v>
      </c>
      <c r="AO1217" s="60" t="b">
        <f t="shared" si="138"/>
        <v>0</v>
      </c>
      <c r="AP1217" s="60" t="b">
        <f t="shared" si="139"/>
        <v>0</v>
      </c>
      <c r="AQ1217" s="60" t="b">
        <f t="shared" si="140"/>
        <v>0</v>
      </c>
      <c r="AR1217" s="60" t="str">
        <f t="shared" si="141"/>
        <v>No</v>
      </c>
      <c r="AS1217" s="60" t="str">
        <f t="shared" si="142"/>
        <v>Yes</v>
      </c>
    </row>
    <row r="1218" spans="1:45" ht="15" hidden="1">
      <c r="A1218" s="103">
        <v>45244</v>
      </c>
      <c r="B1218" s="117" t="s">
        <v>4923</v>
      </c>
      <c r="C1218" s="28" t="s">
        <v>612</v>
      </c>
      <c r="D1218" s="28" t="s">
        <v>4924</v>
      </c>
      <c r="E1218" s="28" t="s">
        <v>4925</v>
      </c>
      <c r="F1218" s="28" t="s">
        <v>4926</v>
      </c>
      <c r="G1218" s="28" t="s">
        <v>514</v>
      </c>
      <c r="H1218" s="28" t="s">
        <v>555</v>
      </c>
      <c r="I1218" s="28" t="s">
        <v>516</v>
      </c>
      <c r="J1218" s="28" t="s">
        <v>516</v>
      </c>
      <c r="K1218" s="28" t="s">
        <v>518</v>
      </c>
      <c r="L1218" s="28" t="s">
        <v>2147</v>
      </c>
      <c r="M1218" s="28" t="s">
        <v>520</v>
      </c>
      <c r="N1218" s="28" t="s">
        <v>557</v>
      </c>
      <c r="O1218" s="28" t="s">
        <v>544</v>
      </c>
      <c r="P1218" s="28" t="s">
        <v>558</v>
      </c>
      <c r="Q1218" s="28" t="s">
        <v>522</v>
      </c>
      <c r="R1218" s="28" t="s">
        <v>559</v>
      </c>
      <c r="S1218" s="28" t="s">
        <v>928</v>
      </c>
      <c r="T1218" s="28" t="s">
        <v>733</v>
      </c>
      <c r="U1218" s="28" t="s">
        <v>733</v>
      </c>
      <c r="V1218" s="28" t="s">
        <v>517</v>
      </c>
      <c r="W1218" s="28" t="s">
        <v>4927</v>
      </c>
      <c r="X1218" s="28" t="s">
        <v>670</v>
      </c>
      <c r="Z1218" s="118" t="s">
        <v>526</v>
      </c>
      <c r="AA1218" s="118"/>
      <c r="AB1218" s="118"/>
      <c r="AD1218" s="118" t="s">
        <v>954</v>
      </c>
      <c r="AE1218" s="118"/>
      <c r="AF1218" s="138"/>
      <c r="AG1218" s="118" t="s">
        <v>563</v>
      </c>
      <c r="AK1218" s="60" t="s">
        <v>2927</v>
      </c>
      <c r="AL1218" s="117">
        <f>1/COUNTIF(Tableau6[LAT],B1218)</f>
        <v>1</v>
      </c>
      <c r="AM1218" s="60" t="b">
        <f t="shared" si="136"/>
        <v>0</v>
      </c>
      <c r="AN1218" s="60" t="b">
        <f t="shared" si="137"/>
        <v>0</v>
      </c>
      <c r="AO1218" s="60" t="b">
        <f t="shared" si="138"/>
        <v>0</v>
      </c>
      <c r="AP1218" s="60" t="b">
        <f t="shared" si="139"/>
        <v>0</v>
      </c>
      <c r="AQ1218" s="60" t="b">
        <f t="shared" si="140"/>
        <v>0</v>
      </c>
      <c r="AR1218" s="60" t="str">
        <f t="shared" si="141"/>
        <v>No</v>
      </c>
      <c r="AS1218" s="60" t="str">
        <f t="shared" si="142"/>
        <v>No</v>
      </c>
    </row>
    <row r="1219" spans="1:45" ht="15" hidden="1">
      <c r="A1219" s="103">
        <v>45244</v>
      </c>
      <c r="B1219" s="117" t="s">
        <v>4928</v>
      </c>
      <c r="C1219" s="28" t="s">
        <v>511</v>
      </c>
      <c r="D1219" s="28" t="s">
        <v>4929</v>
      </c>
      <c r="F1219" s="28" t="s">
        <v>4930</v>
      </c>
      <c r="G1219" s="28" t="s">
        <v>514</v>
      </c>
      <c r="H1219" s="28" t="s">
        <v>639</v>
      </c>
      <c r="I1219" s="28" t="s">
        <v>516</v>
      </c>
      <c r="J1219" s="28" t="s">
        <v>517</v>
      </c>
      <c r="K1219" s="28" t="s">
        <v>518</v>
      </c>
      <c r="L1219" s="28" t="s">
        <v>1032</v>
      </c>
      <c r="M1219" s="28" t="s">
        <v>535</v>
      </c>
      <c r="N1219" s="28" t="s">
        <v>557</v>
      </c>
      <c r="O1219" s="28" t="s">
        <v>544</v>
      </c>
      <c r="S1219" s="28" t="s">
        <v>928</v>
      </c>
      <c r="T1219" s="28" t="s">
        <v>545</v>
      </c>
      <c r="U1219" s="28" t="s">
        <v>545</v>
      </c>
      <c r="V1219" s="28" t="s">
        <v>517</v>
      </c>
      <c r="W1219" s="28" t="s">
        <v>4931</v>
      </c>
      <c r="Z1219" s="118" t="s">
        <v>563</v>
      </c>
      <c r="AA1219" s="118"/>
      <c r="AB1219" s="118" t="s">
        <v>527</v>
      </c>
      <c r="AD1219" s="28" t="s">
        <v>528</v>
      </c>
      <c r="AF1219" s="117" t="s">
        <v>4929</v>
      </c>
      <c r="AG1219" s="28" t="s">
        <v>563</v>
      </c>
      <c r="AK1219" s="60" t="s">
        <v>2927</v>
      </c>
      <c r="AL1219" s="117">
        <f>1/COUNTIF(Tableau6[LAT],B1219)</f>
        <v>0.5</v>
      </c>
      <c r="AM1219" s="60" t="b">
        <f t="shared" si="136"/>
        <v>0</v>
      </c>
      <c r="AN1219" s="60" t="b">
        <f t="shared" si="137"/>
        <v>0</v>
      </c>
      <c r="AO1219" s="60" t="b">
        <f t="shared" si="138"/>
        <v>0</v>
      </c>
      <c r="AP1219" s="60" t="b">
        <f t="shared" si="139"/>
        <v>0</v>
      </c>
      <c r="AQ1219" s="60" t="b">
        <f t="shared" si="140"/>
        <v>0</v>
      </c>
      <c r="AR1219" s="60" t="str">
        <f t="shared" si="141"/>
        <v>No</v>
      </c>
      <c r="AS1219" s="60" t="str">
        <f t="shared" si="142"/>
        <v>No</v>
      </c>
    </row>
    <row r="1220" spans="1:45" ht="15" hidden="1">
      <c r="A1220" s="103">
        <v>45244</v>
      </c>
      <c r="B1220" s="117" t="s">
        <v>4928</v>
      </c>
      <c r="C1220" s="28" t="s">
        <v>548</v>
      </c>
      <c r="D1220" s="28" t="s">
        <v>4932</v>
      </c>
      <c r="F1220" s="28" t="s">
        <v>4930</v>
      </c>
      <c r="G1220" s="28" t="s">
        <v>514</v>
      </c>
      <c r="H1220" s="28" t="s">
        <v>639</v>
      </c>
      <c r="I1220" s="28" t="s">
        <v>516</v>
      </c>
      <c r="J1220" s="28" t="s">
        <v>517</v>
      </c>
      <c r="K1220" s="28" t="s">
        <v>518</v>
      </c>
      <c r="L1220" s="28" t="s">
        <v>1032</v>
      </c>
      <c r="M1220" s="28" t="s">
        <v>535</v>
      </c>
      <c r="N1220" s="28" t="s">
        <v>557</v>
      </c>
      <c r="O1220" s="28" t="s">
        <v>544</v>
      </c>
      <c r="S1220" s="28" t="s">
        <v>928</v>
      </c>
      <c r="T1220" s="28" t="s">
        <v>545</v>
      </c>
      <c r="U1220" s="28" t="s">
        <v>545</v>
      </c>
      <c r="V1220" s="28" t="s">
        <v>517</v>
      </c>
      <c r="W1220" s="28" t="s">
        <v>4933</v>
      </c>
      <c r="Z1220" s="118" t="s">
        <v>563</v>
      </c>
      <c r="AA1220" s="118"/>
      <c r="AB1220" s="118" t="s">
        <v>527</v>
      </c>
      <c r="AD1220" s="28" t="s">
        <v>528</v>
      </c>
      <c r="AF1220" s="117" t="s">
        <v>4929</v>
      </c>
      <c r="AG1220" s="28" t="s">
        <v>563</v>
      </c>
      <c r="AK1220" s="60" t="s">
        <v>2927</v>
      </c>
      <c r="AL1220" s="117">
        <f>1/COUNTIF(Tableau6[LAT],B1220)</f>
        <v>0.5</v>
      </c>
      <c r="AM1220" s="60" t="b">
        <f t="shared" si="136"/>
        <v>0</v>
      </c>
      <c r="AN1220" s="60" t="b">
        <f t="shared" si="137"/>
        <v>0</v>
      </c>
      <c r="AO1220" s="60" t="b">
        <f t="shared" si="138"/>
        <v>0</v>
      </c>
      <c r="AP1220" s="60" t="b">
        <f t="shared" si="139"/>
        <v>0</v>
      </c>
      <c r="AQ1220" s="60" t="b">
        <f t="shared" si="140"/>
        <v>0</v>
      </c>
      <c r="AR1220" s="60" t="str">
        <f t="shared" si="141"/>
        <v>No</v>
      </c>
      <c r="AS1220" s="60" t="str">
        <f t="shared" si="142"/>
        <v>No</v>
      </c>
    </row>
    <row r="1221" spans="1:45" ht="15" hidden="1">
      <c r="A1221" s="103">
        <v>45244</v>
      </c>
      <c r="B1221" s="117" t="s">
        <v>4934</v>
      </c>
      <c r="C1221" s="28" t="s">
        <v>511</v>
      </c>
      <c r="D1221" s="28" t="s">
        <v>4935</v>
      </c>
      <c r="F1221" s="28" t="s">
        <v>4936</v>
      </c>
      <c r="G1221" s="28" t="s">
        <v>514</v>
      </c>
      <c r="H1221" s="28" t="s">
        <v>2642</v>
      </c>
      <c r="I1221" s="28" t="s">
        <v>516</v>
      </c>
      <c r="J1221" s="28" t="s">
        <v>517</v>
      </c>
      <c r="K1221" s="28" t="s">
        <v>518</v>
      </c>
      <c r="L1221" s="28" t="s">
        <v>726</v>
      </c>
      <c r="M1221" s="28" t="s">
        <v>535</v>
      </c>
      <c r="N1221" s="28" t="s">
        <v>544</v>
      </c>
      <c r="O1221" s="28" t="s">
        <v>522</v>
      </c>
      <c r="S1221" s="28" t="s">
        <v>928</v>
      </c>
      <c r="T1221" s="28" t="s">
        <v>589</v>
      </c>
      <c r="U1221" s="28" t="s">
        <v>589</v>
      </c>
      <c r="V1221" s="28" t="s">
        <v>517</v>
      </c>
      <c r="W1221" s="28" t="s">
        <v>922</v>
      </c>
      <c r="Z1221" s="118" t="s">
        <v>563</v>
      </c>
      <c r="AA1221" s="118"/>
      <c r="AB1221" s="118" t="s">
        <v>527</v>
      </c>
      <c r="AD1221" s="28" t="s">
        <v>954</v>
      </c>
      <c r="AF1221" s="117" t="s">
        <v>4935</v>
      </c>
      <c r="AG1221" s="28" t="s">
        <v>563</v>
      </c>
      <c r="AK1221" s="60" t="s">
        <v>2927</v>
      </c>
      <c r="AL1221" s="117">
        <f>1/COUNTIF(Tableau6[LAT],B1221)</f>
        <v>1</v>
      </c>
      <c r="AM1221" s="60" t="b">
        <f t="shared" si="136"/>
        <v>0</v>
      </c>
      <c r="AN1221" s="60" t="b">
        <f t="shared" si="137"/>
        <v>0</v>
      </c>
      <c r="AO1221" s="60" t="b">
        <f t="shared" si="138"/>
        <v>0</v>
      </c>
      <c r="AP1221" s="60" t="b">
        <f t="shared" si="139"/>
        <v>0</v>
      </c>
      <c r="AQ1221" s="60" t="b">
        <f t="shared" si="140"/>
        <v>0</v>
      </c>
      <c r="AR1221" s="60" t="str">
        <f t="shared" si="141"/>
        <v>No</v>
      </c>
      <c r="AS1221" s="60" t="str">
        <f t="shared" si="142"/>
        <v>No</v>
      </c>
    </row>
    <row r="1222" spans="1:45" ht="15" hidden="1">
      <c r="A1222" s="103">
        <v>45244</v>
      </c>
      <c r="B1222" s="117" t="s">
        <v>4937</v>
      </c>
      <c r="C1222" s="28" t="s">
        <v>511</v>
      </c>
      <c r="D1222" s="28" t="s">
        <v>4938</v>
      </c>
      <c r="F1222" s="28" t="s">
        <v>4939</v>
      </c>
      <c r="G1222" s="28" t="s">
        <v>958</v>
      </c>
      <c r="H1222" s="28" t="s">
        <v>3593</v>
      </c>
      <c r="I1222" s="28" t="s">
        <v>516</v>
      </c>
      <c r="J1222" s="28" t="s">
        <v>517</v>
      </c>
      <c r="K1222" s="28" t="s">
        <v>518</v>
      </c>
      <c r="L1222" s="28" t="s">
        <v>809</v>
      </c>
      <c r="M1222" s="28" t="s">
        <v>520</v>
      </c>
      <c r="N1222" s="28" t="s">
        <v>522</v>
      </c>
      <c r="S1222" s="28" t="s">
        <v>928</v>
      </c>
      <c r="T1222" s="28" t="s">
        <v>811</v>
      </c>
      <c r="U1222" s="28" t="s">
        <v>811</v>
      </c>
      <c r="V1222" s="28" t="s">
        <v>517</v>
      </c>
      <c r="W1222" s="28" t="s">
        <v>4940</v>
      </c>
      <c r="Z1222" s="118" t="s">
        <v>563</v>
      </c>
      <c r="AA1222" s="118"/>
      <c r="AB1222" s="118" t="s">
        <v>527</v>
      </c>
      <c r="AD1222" s="28" t="s">
        <v>954</v>
      </c>
      <c r="AF1222" s="117" t="s">
        <v>4938</v>
      </c>
      <c r="AG1222" s="28" t="s">
        <v>563</v>
      </c>
      <c r="AK1222" s="60" t="s">
        <v>2927</v>
      </c>
      <c r="AL1222" s="117">
        <f>1/COUNTIF(Tableau6[LAT],B1222)</f>
        <v>0.1</v>
      </c>
      <c r="AM1222" s="60" t="b">
        <f t="shared" si="136"/>
        <v>0</v>
      </c>
      <c r="AN1222" s="60" t="b">
        <f t="shared" si="137"/>
        <v>0</v>
      </c>
      <c r="AO1222" s="60" t="b">
        <f t="shared" si="138"/>
        <v>0</v>
      </c>
      <c r="AP1222" s="60" t="b">
        <f t="shared" si="139"/>
        <v>0</v>
      </c>
      <c r="AQ1222" s="60" t="b">
        <f t="shared" si="140"/>
        <v>0</v>
      </c>
      <c r="AR1222" s="60" t="str">
        <f t="shared" si="141"/>
        <v>No</v>
      </c>
      <c r="AS1222" s="60" t="str">
        <f t="shared" si="142"/>
        <v>No</v>
      </c>
    </row>
    <row r="1223" spans="1:45" ht="15" hidden="1">
      <c r="A1223" s="103">
        <v>45244</v>
      </c>
      <c r="B1223" s="117" t="s">
        <v>4937</v>
      </c>
      <c r="C1223" s="28" t="s">
        <v>548</v>
      </c>
      <c r="D1223" s="28" t="s">
        <v>4941</v>
      </c>
      <c r="F1223" s="28" t="s">
        <v>3129</v>
      </c>
      <c r="G1223" s="28" t="s">
        <v>514</v>
      </c>
      <c r="H1223" s="28" t="s">
        <v>2985</v>
      </c>
      <c r="I1223" s="28" t="s">
        <v>516</v>
      </c>
      <c r="J1223" s="28" t="s">
        <v>517</v>
      </c>
      <c r="K1223" s="28" t="s">
        <v>518</v>
      </c>
      <c r="L1223" s="28" t="s">
        <v>809</v>
      </c>
      <c r="M1223" s="28" t="s">
        <v>520</v>
      </c>
      <c r="N1223" s="28" t="s">
        <v>522</v>
      </c>
      <c r="S1223" s="28" t="s">
        <v>928</v>
      </c>
      <c r="T1223" s="28" t="s">
        <v>811</v>
      </c>
      <c r="U1223" s="28" t="s">
        <v>811</v>
      </c>
      <c r="V1223" s="28" t="s">
        <v>517</v>
      </c>
      <c r="W1223" s="28" t="s">
        <v>4942</v>
      </c>
      <c r="Z1223" s="118" t="s">
        <v>563</v>
      </c>
      <c r="AA1223" s="118"/>
      <c r="AB1223" s="118" t="s">
        <v>527</v>
      </c>
      <c r="AD1223" s="28" t="s">
        <v>954</v>
      </c>
      <c r="AF1223" s="117" t="s">
        <v>4941</v>
      </c>
      <c r="AG1223" s="28" t="s">
        <v>563</v>
      </c>
      <c r="AK1223" s="60" t="s">
        <v>2927</v>
      </c>
      <c r="AL1223" s="117">
        <f>1/COUNTIF(Tableau6[LAT],B1223)</f>
        <v>0.1</v>
      </c>
      <c r="AM1223" s="60" t="b">
        <f t="shared" si="136"/>
        <v>0</v>
      </c>
      <c r="AN1223" s="60" t="b">
        <f t="shared" si="137"/>
        <v>0</v>
      </c>
      <c r="AO1223" s="60" t="b">
        <f t="shared" si="138"/>
        <v>0</v>
      </c>
      <c r="AP1223" s="60" t="b">
        <f t="shared" si="139"/>
        <v>0</v>
      </c>
      <c r="AQ1223" s="60" t="b">
        <f t="shared" si="140"/>
        <v>0</v>
      </c>
      <c r="AR1223" s="60" t="str">
        <f t="shared" si="141"/>
        <v>No</v>
      </c>
      <c r="AS1223" s="60" t="str">
        <f t="shared" si="142"/>
        <v>No</v>
      </c>
    </row>
    <row r="1224" spans="1:45" ht="15" hidden="1">
      <c r="A1224" s="103">
        <v>45244</v>
      </c>
      <c r="B1224" s="117" t="s">
        <v>4937</v>
      </c>
      <c r="C1224" s="28" t="s">
        <v>612</v>
      </c>
      <c r="D1224" s="28" t="s">
        <v>4943</v>
      </c>
      <c r="F1224" s="28" t="s">
        <v>4944</v>
      </c>
      <c r="G1224" s="28" t="s">
        <v>665</v>
      </c>
      <c r="H1224" s="28" t="s">
        <v>515</v>
      </c>
      <c r="I1224" s="28" t="s">
        <v>516</v>
      </c>
      <c r="J1224" s="28" t="s">
        <v>517</v>
      </c>
      <c r="K1224" s="28" t="s">
        <v>518</v>
      </c>
      <c r="L1224" s="28" t="s">
        <v>809</v>
      </c>
      <c r="M1224" s="28" t="s">
        <v>520</v>
      </c>
      <c r="N1224" s="28" t="s">
        <v>522</v>
      </c>
      <c r="S1224" s="28" t="s">
        <v>928</v>
      </c>
      <c r="T1224" s="28" t="s">
        <v>811</v>
      </c>
      <c r="U1224" s="28" t="s">
        <v>811</v>
      </c>
      <c r="V1224" s="28" t="s">
        <v>517</v>
      </c>
      <c r="W1224" s="28" t="s">
        <v>4945</v>
      </c>
      <c r="Z1224" s="118" t="s">
        <v>563</v>
      </c>
      <c r="AA1224" s="118"/>
      <c r="AB1224" s="118" t="s">
        <v>527</v>
      </c>
      <c r="AD1224" s="28" t="s">
        <v>954</v>
      </c>
      <c r="AF1224" s="117" t="s">
        <v>4943</v>
      </c>
      <c r="AG1224" s="28" t="s">
        <v>563</v>
      </c>
      <c r="AK1224" s="60" t="s">
        <v>2927</v>
      </c>
      <c r="AL1224" s="117">
        <f>1/COUNTIF(Tableau6[LAT],B1224)</f>
        <v>0.1</v>
      </c>
      <c r="AM1224" s="60" t="b">
        <f t="shared" si="136"/>
        <v>0</v>
      </c>
      <c r="AN1224" s="60" t="b">
        <f t="shared" si="137"/>
        <v>0</v>
      </c>
      <c r="AO1224" s="60" t="b">
        <f t="shared" si="138"/>
        <v>0</v>
      </c>
      <c r="AP1224" s="60" t="b">
        <f t="shared" si="139"/>
        <v>0</v>
      </c>
      <c r="AQ1224" s="60" t="b">
        <f t="shared" si="140"/>
        <v>0</v>
      </c>
      <c r="AR1224" s="60" t="str">
        <f t="shared" si="141"/>
        <v>No</v>
      </c>
      <c r="AS1224" s="60" t="str">
        <f t="shared" si="142"/>
        <v>No</v>
      </c>
    </row>
    <row r="1225" spans="1:45" ht="15" hidden="1">
      <c r="A1225" s="103">
        <v>45244</v>
      </c>
      <c r="B1225" s="117" t="s">
        <v>4937</v>
      </c>
      <c r="C1225" s="28" t="s">
        <v>691</v>
      </c>
      <c r="D1225" s="28" t="s">
        <v>4946</v>
      </c>
      <c r="F1225" s="28" t="s">
        <v>4944</v>
      </c>
      <c r="G1225" s="28" t="s">
        <v>665</v>
      </c>
      <c r="H1225" s="28" t="s">
        <v>515</v>
      </c>
      <c r="I1225" s="28" t="s">
        <v>516</v>
      </c>
      <c r="J1225" s="28" t="s">
        <v>517</v>
      </c>
      <c r="K1225" s="28" t="s">
        <v>518</v>
      </c>
      <c r="L1225" s="28" t="s">
        <v>809</v>
      </c>
      <c r="M1225" s="28" t="s">
        <v>520</v>
      </c>
      <c r="N1225" s="28" t="s">
        <v>522</v>
      </c>
      <c r="S1225" s="28" t="s">
        <v>928</v>
      </c>
      <c r="T1225" s="28" t="s">
        <v>811</v>
      </c>
      <c r="U1225" s="28" t="s">
        <v>811</v>
      </c>
      <c r="V1225" s="28" t="s">
        <v>517</v>
      </c>
      <c r="W1225" s="28" t="s">
        <v>4947</v>
      </c>
      <c r="Z1225" s="118" t="s">
        <v>563</v>
      </c>
      <c r="AA1225" s="118"/>
      <c r="AB1225" s="118" t="s">
        <v>527</v>
      </c>
      <c r="AD1225" s="28" t="s">
        <v>954</v>
      </c>
      <c r="AF1225" s="117" t="s">
        <v>4946</v>
      </c>
      <c r="AG1225" s="28" t="s">
        <v>563</v>
      </c>
      <c r="AK1225" s="60" t="s">
        <v>2927</v>
      </c>
      <c r="AL1225" s="117">
        <f>1/COUNTIF(Tableau6[LAT],B1225)</f>
        <v>0.1</v>
      </c>
      <c r="AM1225" s="60" t="b">
        <f t="shared" si="136"/>
        <v>0</v>
      </c>
      <c r="AN1225" s="60" t="b">
        <f t="shared" si="137"/>
        <v>0</v>
      </c>
      <c r="AO1225" s="60" t="b">
        <f t="shared" si="138"/>
        <v>0</v>
      </c>
      <c r="AP1225" s="60" t="b">
        <f t="shared" si="139"/>
        <v>0</v>
      </c>
      <c r="AQ1225" s="60" t="b">
        <f t="shared" si="140"/>
        <v>0</v>
      </c>
      <c r="AR1225" s="60" t="str">
        <f t="shared" si="141"/>
        <v>No</v>
      </c>
      <c r="AS1225" s="60" t="str">
        <f t="shared" si="142"/>
        <v>No</v>
      </c>
    </row>
    <row r="1226" spans="1:45" ht="15" hidden="1">
      <c r="A1226" s="103">
        <v>45244</v>
      </c>
      <c r="B1226" s="117" t="s">
        <v>4937</v>
      </c>
      <c r="C1226" s="28" t="s">
        <v>859</v>
      </c>
      <c r="D1226" s="28" t="s">
        <v>4948</v>
      </c>
      <c r="F1226" s="28" t="s">
        <v>4949</v>
      </c>
      <c r="G1226" s="28" t="s">
        <v>657</v>
      </c>
      <c r="H1226" s="28" t="s">
        <v>848</v>
      </c>
      <c r="I1226" s="28" t="s">
        <v>516</v>
      </c>
      <c r="J1226" s="28" t="s">
        <v>517</v>
      </c>
      <c r="K1226" s="28" t="s">
        <v>518</v>
      </c>
      <c r="L1226" s="28" t="s">
        <v>809</v>
      </c>
      <c r="M1226" s="28" t="s">
        <v>520</v>
      </c>
      <c r="N1226" s="28" t="s">
        <v>522</v>
      </c>
      <c r="S1226" s="28" t="s">
        <v>928</v>
      </c>
      <c r="T1226" s="28" t="s">
        <v>811</v>
      </c>
      <c r="U1226" s="28" t="s">
        <v>811</v>
      </c>
      <c r="V1226" s="28" t="s">
        <v>517</v>
      </c>
      <c r="W1226" s="28" t="s">
        <v>4950</v>
      </c>
      <c r="Z1226" s="118" t="s">
        <v>563</v>
      </c>
      <c r="AA1226" s="118"/>
      <c r="AB1226" s="118" t="s">
        <v>527</v>
      </c>
      <c r="AD1226" s="28" t="s">
        <v>954</v>
      </c>
      <c r="AF1226" s="117" t="s">
        <v>4948</v>
      </c>
      <c r="AG1226" s="28" t="s">
        <v>563</v>
      </c>
      <c r="AK1226" s="60" t="s">
        <v>2927</v>
      </c>
      <c r="AL1226" s="117">
        <f>1/COUNTIF(Tableau6[LAT],B1226)</f>
        <v>0.1</v>
      </c>
      <c r="AM1226" s="60" t="b">
        <f t="shared" si="136"/>
        <v>0</v>
      </c>
      <c r="AN1226" s="60" t="b">
        <f t="shared" si="137"/>
        <v>0</v>
      </c>
      <c r="AO1226" s="60" t="b">
        <f t="shared" si="138"/>
        <v>0</v>
      </c>
      <c r="AP1226" s="60" t="b">
        <f t="shared" si="139"/>
        <v>0</v>
      </c>
      <c r="AQ1226" s="60" t="b">
        <f t="shared" si="140"/>
        <v>0</v>
      </c>
      <c r="AR1226" s="60" t="str">
        <f t="shared" si="141"/>
        <v>No</v>
      </c>
      <c r="AS1226" s="60" t="str">
        <f t="shared" si="142"/>
        <v>No</v>
      </c>
    </row>
    <row r="1227" spans="1:45" ht="15" hidden="1">
      <c r="A1227" s="103">
        <v>45244</v>
      </c>
      <c r="B1227" s="117" t="s">
        <v>4937</v>
      </c>
      <c r="C1227" s="28" t="s">
        <v>861</v>
      </c>
      <c r="D1227" s="28" t="s">
        <v>4951</v>
      </c>
      <c r="F1227" s="28" t="s">
        <v>3129</v>
      </c>
      <c r="G1227" s="28" t="s">
        <v>514</v>
      </c>
      <c r="H1227" s="28" t="s">
        <v>2985</v>
      </c>
      <c r="I1227" s="28" t="s">
        <v>516</v>
      </c>
      <c r="J1227" s="28" t="s">
        <v>517</v>
      </c>
      <c r="K1227" s="28" t="s">
        <v>518</v>
      </c>
      <c r="L1227" s="28" t="s">
        <v>809</v>
      </c>
      <c r="M1227" s="28" t="s">
        <v>520</v>
      </c>
      <c r="N1227" s="28" t="s">
        <v>522</v>
      </c>
      <c r="S1227" s="28" t="s">
        <v>928</v>
      </c>
      <c r="T1227" s="28" t="s">
        <v>811</v>
      </c>
      <c r="U1227" s="28" t="s">
        <v>811</v>
      </c>
      <c r="V1227" s="28" t="s">
        <v>517</v>
      </c>
      <c r="W1227" s="28" t="s">
        <v>4952</v>
      </c>
      <c r="Z1227" s="118" t="s">
        <v>563</v>
      </c>
      <c r="AA1227" s="118"/>
      <c r="AB1227" s="118" t="s">
        <v>527</v>
      </c>
      <c r="AD1227" s="28" t="s">
        <v>954</v>
      </c>
      <c r="AF1227" s="117" t="s">
        <v>4951</v>
      </c>
      <c r="AG1227" s="28" t="s">
        <v>563</v>
      </c>
      <c r="AK1227" s="60" t="s">
        <v>2927</v>
      </c>
      <c r="AL1227" s="117">
        <f>1/COUNTIF(Tableau6[LAT],B1227)</f>
        <v>0.1</v>
      </c>
      <c r="AM1227" s="60" t="b">
        <f t="shared" si="136"/>
        <v>0</v>
      </c>
      <c r="AN1227" s="60" t="b">
        <f t="shared" si="137"/>
        <v>0</v>
      </c>
      <c r="AO1227" s="60" t="b">
        <f t="shared" si="138"/>
        <v>0</v>
      </c>
      <c r="AP1227" s="60" t="b">
        <f t="shared" si="139"/>
        <v>0</v>
      </c>
      <c r="AQ1227" s="60" t="b">
        <f t="shared" si="140"/>
        <v>0</v>
      </c>
      <c r="AR1227" s="60" t="str">
        <f t="shared" si="141"/>
        <v>No</v>
      </c>
      <c r="AS1227" s="60" t="str">
        <f t="shared" si="142"/>
        <v>No</v>
      </c>
    </row>
    <row r="1228" spans="1:45" ht="15" hidden="1">
      <c r="A1228" s="103">
        <v>45244</v>
      </c>
      <c r="B1228" s="117" t="s">
        <v>4937</v>
      </c>
      <c r="D1228" s="28" t="s">
        <v>4953</v>
      </c>
      <c r="F1228" s="28" t="s">
        <v>3129</v>
      </c>
      <c r="G1228" s="28" t="s">
        <v>514</v>
      </c>
      <c r="H1228" s="28" t="s">
        <v>2985</v>
      </c>
      <c r="I1228" s="28" t="s">
        <v>516</v>
      </c>
      <c r="J1228" s="28" t="s">
        <v>517</v>
      </c>
      <c r="K1228" s="28" t="s">
        <v>518</v>
      </c>
      <c r="L1228" s="28" t="s">
        <v>809</v>
      </c>
      <c r="M1228" s="28" t="s">
        <v>520</v>
      </c>
      <c r="N1228" s="28" t="s">
        <v>522</v>
      </c>
      <c r="S1228" s="28" t="s">
        <v>928</v>
      </c>
      <c r="T1228" s="28" t="s">
        <v>811</v>
      </c>
      <c r="U1228" s="28" t="s">
        <v>811</v>
      </c>
      <c r="V1228" s="28" t="s">
        <v>517</v>
      </c>
      <c r="W1228" s="28" t="s">
        <v>4954</v>
      </c>
      <c r="Z1228" s="118" t="s">
        <v>563</v>
      </c>
      <c r="AA1228" s="118"/>
      <c r="AB1228" s="118" t="s">
        <v>527</v>
      </c>
      <c r="AD1228" s="28" t="s">
        <v>954</v>
      </c>
      <c r="AF1228" s="117" t="s">
        <v>4953</v>
      </c>
      <c r="AG1228" s="28" t="s">
        <v>563</v>
      </c>
      <c r="AK1228" s="60" t="s">
        <v>2927</v>
      </c>
      <c r="AL1228" s="117">
        <f>1/COUNTIF(Tableau6[LAT],B1228)</f>
        <v>0.1</v>
      </c>
      <c r="AM1228" s="60" t="b">
        <f t="shared" si="136"/>
        <v>0</v>
      </c>
      <c r="AN1228" s="60" t="b">
        <f t="shared" si="137"/>
        <v>0</v>
      </c>
      <c r="AO1228" s="60" t="b">
        <f t="shared" si="138"/>
        <v>0</v>
      </c>
      <c r="AP1228" s="60" t="b">
        <f t="shared" si="139"/>
        <v>0</v>
      </c>
      <c r="AQ1228" s="60" t="b">
        <f t="shared" si="140"/>
        <v>0</v>
      </c>
      <c r="AR1228" s="60" t="str">
        <f t="shared" si="141"/>
        <v>No</v>
      </c>
      <c r="AS1228" s="60" t="str">
        <f t="shared" si="142"/>
        <v>No</v>
      </c>
    </row>
    <row r="1229" spans="1:45" ht="15" hidden="1">
      <c r="A1229" s="103">
        <v>45244</v>
      </c>
      <c r="B1229" s="117" t="s">
        <v>4937</v>
      </c>
      <c r="C1229" s="28" t="s">
        <v>864</v>
      </c>
      <c r="D1229" s="28" t="s">
        <v>4955</v>
      </c>
      <c r="F1229" s="28" t="s">
        <v>3129</v>
      </c>
      <c r="G1229" s="28" t="s">
        <v>514</v>
      </c>
      <c r="H1229" s="28" t="s">
        <v>2985</v>
      </c>
      <c r="I1229" s="28" t="s">
        <v>516</v>
      </c>
      <c r="J1229" s="28" t="s">
        <v>517</v>
      </c>
      <c r="K1229" s="28" t="s">
        <v>518</v>
      </c>
      <c r="L1229" s="28" t="s">
        <v>809</v>
      </c>
      <c r="M1229" s="28" t="s">
        <v>520</v>
      </c>
      <c r="N1229" s="28" t="s">
        <v>522</v>
      </c>
      <c r="S1229" s="28" t="s">
        <v>928</v>
      </c>
      <c r="T1229" s="28" t="s">
        <v>811</v>
      </c>
      <c r="U1229" s="28" t="s">
        <v>811</v>
      </c>
      <c r="V1229" s="28" t="s">
        <v>517</v>
      </c>
      <c r="W1229" s="28" t="s">
        <v>4956</v>
      </c>
      <c r="Z1229" s="118" t="s">
        <v>563</v>
      </c>
      <c r="AA1229" s="118"/>
      <c r="AB1229" s="118" t="s">
        <v>527</v>
      </c>
      <c r="AD1229" s="28" t="s">
        <v>954</v>
      </c>
      <c r="AF1229" s="117" t="s">
        <v>4955</v>
      </c>
      <c r="AG1229" s="28" t="s">
        <v>563</v>
      </c>
      <c r="AK1229" s="60" t="s">
        <v>2927</v>
      </c>
      <c r="AL1229" s="117">
        <f>1/COUNTIF(Tableau6[LAT],B1229)</f>
        <v>0.1</v>
      </c>
      <c r="AM1229" s="60" t="b">
        <f t="shared" si="136"/>
        <v>0</v>
      </c>
      <c r="AN1229" s="60" t="b">
        <f t="shared" si="137"/>
        <v>0</v>
      </c>
      <c r="AO1229" s="60" t="b">
        <f t="shared" si="138"/>
        <v>0</v>
      </c>
      <c r="AP1229" s="60" t="b">
        <f t="shared" si="139"/>
        <v>0</v>
      </c>
      <c r="AQ1229" s="60" t="b">
        <f t="shared" si="140"/>
        <v>0</v>
      </c>
      <c r="AR1229" s="60" t="str">
        <f t="shared" si="141"/>
        <v>No</v>
      </c>
      <c r="AS1229" s="60" t="str">
        <f t="shared" si="142"/>
        <v>No</v>
      </c>
    </row>
    <row r="1230" spans="1:45" ht="15" hidden="1">
      <c r="A1230" s="103">
        <v>45244</v>
      </c>
      <c r="B1230" s="117" t="s">
        <v>4937</v>
      </c>
      <c r="C1230" s="28" t="s">
        <v>866</v>
      </c>
      <c r="D1230" s="28" t="s">
        <v>4957</v>
      </c>
      <c r="F1230" s="28" t="s">
        <v>3129</v>
      </c>
      <c r="G1230" s="28" t="s">
        <v>514</v>
      </c>
      <c r="H1230" s="28" t="s">
        <v>2985</v>
      </c>
      <c r="I1230" s="28" t="s">
        <v>516</v>
      </c>
      <c r="J1230" s="28" t="s">
        <v>517</v>
      </c>
      <c r="K1230" s="28" t="s">
        <v>518</v>
      </c>
      <c r="L1230" s="28" t="s">
        <v>809</v>
      </c>
      <c r="M1230" s="28" t="s">
        <v>520</v>
      </c>
      <c r="N1230" s="28" t="s">
        <v>522</v>
      </c>
      <c r="S1230" s="28" t="s">
        <v>928</v>
      </c>
      <c r="T1230" s="28" t="s">
        <v>811</v>
      </c>
      <c r="U1230" s="28" t="s">
        <v>811</v>
      </c>
      <c r="V1230" s="28" t="s">
        <v>517</v>
      </c>
      <c r="W1230" s="28" t="s">
        <v>4958</v>
      </c>
      <c r="Z1230" s="118" t="s">
        <v>563</v>
      </c>
      <c r="AA1230" s="118"/>
      <c r="AB1230" s="118" t="s">
        <v>527</v>
      </c>
      <c r="AD1230" s="28" t="s">
        <v>954</v>
      </c>
      <c r="AF1230" s="117" t="s">
        <v>4957</v>
      </c>
      <c r="AG1230" s="28" t="s">
        <v>563</v>
      </c>
      <c r="AK1230" s="60" t="s">
        <v>2927</v>
      </c>
      <c r="AL1230" s="117">
        <f>1/COUNTIF(Tableau6[LAT],B1230)</f>
        <v>0.1</v>
      </c>
      <c r="AM1230" s="60" t="b">
        <f t="shared" si="136"/>
        <v>0</v>
      </c>
      <c r="AN1230" s="60" t="b">
        <f t="shared" si="137"/>
        <v>0</v>
      </c>
      <c r="AO1230" s="60" t="b">
        <f t="shared" si="138"/>
        <v>0</v>
      </c>
      <c r="AP1230" s="60" t="b">
        <f t="shared" si="139"/>
        <v>0</v>
      </c>
      <c r="AQ1230" s="60" t="b">
        <f t="shared" si="140"/>
        <v>0</v>
      </c>
      <c r="AR1230" s="60" t="str">
        <f t="shared" si="141"/>
        <v>No</v>
      </c>
      <c r="AS1230" s="60" t="str">
        <f t="shared" si="142"/>
        <v>No</v>
      </c>
    </row>
    <row r="1231" spans="1:45" ht="15" hidden="1">
      <c r="A1231" s="103">
        <v>45244</v>
      </c>
      <c r="B1231" s="117" t="s">
        <v>4937</v>
      </c>
      <c r="C1231" s="28" t="s">
        <v>868</v>
      </c>
      <c r="D1231" s="28" t="s">
        <v>4959</v>
      </c>
      <c r="F1231" s="28" t="s">
        <v>4939</v>
      </c>
      <c r="G1231" s="28" t="s">
        <v>958</v>
      </c>
      <c r="H1231" s="28" t="s">
        <v>3593</v>
      </c>
      <c r="I1231" s="28" t="s">
        <v>516</v>
      </c>
      <c r="J1231" s="28" t="s">
        <v>517</v>
      </c>
      <c r="K1231" s="28" t="s">
        <v>518</v>
      </c>
      <c r="L1231" s="28" t="s">
        <v>809</v>
      </c>
      <c r="M1231" s="28" t="s">
        <v>520</v>
      </c>
      <c r="N1231" s="28" t="s">
        <v>522</v>
      </c>
      <c r="S1231" s="28" t="s">
        <v>928</v>
      </c>
      <c r="T1231" s="28" t="s">
        <v>811</v>
      </c>
      <c r="U1231" s="28" t="s">
        <v>811</v>
      </c>
      <c r="V1231" s="28" t="s">
        <v>517</v>
      </c>
      <c r="W1231" s="28" t="s">
        <v>4960</v>
      </c>
      <c r="Z1231" s="118" t="s">
        <v>563</v>
      </c>
      <c r="AA1231" s="118"/>
      <c r="AB1231" s="118" t="s">
        <v>527</v>
      </c>
      <c r="AD1231" s="28" t="s">
        <v>954</v>
      </c>
      <c r="AF1231" s="117" t="s">
        <v>4959</v>
      </c>
      <c r="AG1231" s="28" t="s">
        <v>563</v>
      </c>
      <c r="AK1231" s="60" t="s">
        <v>2927</v>
      </c>
      <c r="AL1231" s="117">
        <f>1/COUNTIF(Tableau6[LAT],B1231)</f>
        <v>0.1</v>
      </c>
      <c r="AM1231" s="60" t="b">
        <f t="shared" si="136"/>
        <v>0</v>
      </c>
      <c r="AN1231" s="60" t="b">
        <f t="shared" si="137"/>
        <v>0</v>
      </c>
      <c r="AO1231" s="60" t="b">
        <f t="shared" si="138"/>
        <v>0</v>
      </c>
      <c r="AP1231" s="60" t="b">
        <f t="shared" si="139"/>
        <v>0</v>
      </c>
      <c r="AQ1231" s="60" t="b">
        <f t="shared" si="140"/>
        <v>0</v>
      </c>
      <c r="AR1231" s="60" t="str">
        <f t="shared" si="141"/>
        <v>No</v>
      </c>
      <c r="AS1231" s="60" t="str">
        <f t="shared" si="142"/>
        <v>No</v>
      </c>
    </row>
    <row r="1232" spans="1:45" ht="15" hidden="1">
      <c r="A1232" s="103">
        <v>45244</v>
      </c>
      <c r="B1232" s="117" t="s">
        <v>4961</v>
      </c>
      <c r="C1232" s="28" t="s">
        <v>511</v>
      </c>
      <c r="D1232" s="28" t="s">
        <v>4962</v>
      </c>
      <c r="F1232" s="28" t="s">
        <v>1007</v>
      </c>
      <c r="G1232" s="28" t="s">
        <v>514</v>
      </c>
      <c r="H1232" s="28" t="s">
        <v>1312</v>
      </c>
      <c r="I1232" s="28" t="s">
        <v>516</v>
      </c>
      <c r="J1232" s="28" t="s">
        <v>517</v>
      </c>
      <c r="K1232" s="28" t="s">
        <v>518</v>
      </c>
      <c r="L1232" s="28" t="s">
        <v>2325</v>
      </c>
      <c r="M1232" s="28" t="s">
        <v>535</v>
      </c>
      <c r="N1232" s="28" t="s">
        <v>544</v>
      </c>
      <c r="S1232" s="28" t="s">
        <v>1402</v>
      </c>
      <c r="T1232" s="28" t="s">
        <v>2326</v>
      </c>
      <c r="U1232" s="28" t="s">
        <v>2326</v>
      </c>
      <c r="V1232" s="28" t="s">
        <v>517</v>
      </c>
      <c r="W1232" s="28" t="s">
        <v>4963</v>
      </c>
      <c r="Z1232" s="118" t="s">
        <v>526</v>
      </c>
      <c r="AA1232" s="118"/>
      <c r="AB1232" s="118"/>
      <c r="AD1232" s="28" t="s">
        <v>954</v>
      </c>
      <c r="AF1232" s="117" t="s">
        <v>4962</v>
      </c>
      <c r="AG1232" s="28" t="s">
        <v>563</v>
      </c>
      <c r="AK1232" s="60" t="s">
        <v>2927</v>
      </c>
      <c r="AL1232" s="117">
        <f>1/COUNTIF(Tableau6[LAT],B1232)</f>
        <v>0.5</v>
      </c>
      <c r="AM1232" s="60" t="b">
        <f t="shared" si="136"/>
        <v>0</v>
      </c>
      <c r="AN1232" s="60" t="b">
        <f t="shared" si="137"/>
        <v>0</v>
      </c>
      <c r="AO1232" s="60" t="b">
        <f t="shared" si="138"/>
        <v>0</v>
      </c>
      <c r="AP1232" s="60" t="b">
        <f t="shared" si="139"/>
        <v>0</v>
      </c>
      <c r="AQ1232" s="60" t="b">
        <f t="shared" si="140"/>
        <v>0</v>
      </c>
      <c r="AR1232" s="60" t="str">
        <f t="shared" si="141"/>
        <v>No</v>
      </c>
      <c r="AS1232" s="60" t="str">
        <f t="shared" si="142"/>
        <v>No</v>
      </c>
    </row>
    <row r="1233" spans="1:45" ht="15" hidden="1">
      <c r="A1233" s="103">
        <v>45244</v>
      </c>
      <c r="B1233" s="117" t="s">
        <v>4961</v>
      </c>
      <c r="C1233" s="28" t="s">
        <v>548</v>
      </c>
      <c r="D1233" s="28" t="s">
        <v>4964</v>
      </c>
      <c r="F1233" s="28" t="s">
        <v>1007</v>
      </c>
      <c r="G1233" s="28" t="s">
        <v>514</v>
      </c>
      <c r="H1233" s="28" t="s">
        <v>1312</v>
      </c>
      <c r="I1233" s="28" t="s">
        <v>516</v>
      </c>
      <c r="J1233" s="28" t="s">
        <v>517</v>
      </c>
      <c r="K1233" s="28" t="s">
        <v>518</v>
      </c>
      <c r="L1233" s="28" t="s">
        <v>2325</v>
      </c>
      <c r="M1233" s="28" t="s">
        <v>535</v>
      </c>
      <c r="N1233" s="28" t="s">
        <v>544</v>
      </c>
      <c r="S1233" s="28" t="s">
        <v>1402</v>
      </c>
      <c r="T1233" s="28" t="s">
        <v>2326</v>
      </c>
      <c r="U1233" s="28" t="s">
        <v>2326</v>
      </c>
      <c r="V1233" s="28" t="s">
        <v>517</v>
      </c>
      <c r="W1233" s="28" t="s">
        <v>4965</v>
      </c>
      <c r="Z1233" s="118" t="s">
        <v>526</v>
      </c>
      <c r="AA1233" s="118"/>
      <c r="AB1233" s="118"/>
      <c r="AD1233" s="28" t="s">
        <v>954</v>
      </c>
      <c r="AF1233" s="117" t="s">
        <v>4962</v>
      </c>
      <c r="AG1233" s="28" t="s">
        <v>563</v>
      </c>
      <c r="AK1233" s="60" t="s">
        <v>2927</v>
      </c>
      <c r="AL1233" s="117">
        <f>1/COUNTIF(Tableau6[LAT],B1233)</f>
        <v>0.5</v>
      </c>
      <c r="AM1233" s="60" t="b">
        <f t="shared" si="136"/>
        <v>0</v>
      </c>
      <c r="AN1233" s="60" t="b">
        <f t="shared" si="137"/>
        <v>0</v>
      </c>
      <c r="AO1233" s="60" t="b">
        <f t="shared" si="138"/>
        <v>0</v>
      </c>
      <c r="AP1233" s="60" t="b">
        <f t="shared" si="139"/>
        <v>0</v>
      </c>
      <c r="AQ1233" s="60" t="b">
        <f t="shared" si="140"/>
        <v>0</v>
      </c>
      <c r="AR1233" s="60" t="str">
        <f t="shared" si="141"/>
        <v>No</v>
      </c>
      <c r="AS1233" s="60" t="str">
        <f t="shared" si="142"/>
        <v>No</v>
      </c>
    </row>
    <row r="1234" spans="1:45" ht="15" hidden="1">
      <c r="A1234" s="103">
        <v>45244</v>
      </c>
      <c r="B1234" s="117" t="s">
        <v>4966</v>
      </c>
      <c r="C1234" s="28" t="s">
        <v>511</v>
      </c>
      <c r="D1234" s="28" t="s">
        <v>4967</v>
      </c>
      <c r="F1234" s="28" t="s">
        <v>4968</v>
      </c>
      <c r="G1234" s="28" t="s">
        <v>1077</v>
      </c>
      <c r="H1234" s="28" t="s">
        <v>1394</v>
      </c>
      <c r="I1234" s="28" t="s">
        <v>516</v>
      </c>
      <c r="J1234" s="28" t="s">
        <v>517</v>
      </c>
      <c r="K1234" s="28" t="s">
        <v>518</v>
      </c>
      <c r="L1234" s="28" t="s">
        <v>2925</v>
      </c>
      <c r="M1234" s="28" t="s">
        <v>520</v>
      </c>
      <c r="S1234" s="28" t="s">
        <v>928</v>
      </c>
      <c r="T1234" s="28" t="s">
        <v>1042</v>
      </c>
      <c r="U1234" s="28" t="s">
        <v>1042</v>
      </c>
      <c r="V1234" s="28" t="s">
        <v>517</v>
      </c>
      <c r="W1234" s="28" t="s">
        <v>4969</v>
      </c>
      <c r="Z1234" s="118" t="s">
        <v>563</v>
      </c>
      <c r="AA1234" s="118"/>
      <c r="AB1234" s="73" t="s">
        <v>4506</v>
      </c>
      <c r="AD1234" s="28" t="s">
        <v>528</v>
      </c>
      <c r="AF1234" s="117" t="s">
        <v>4967</v>
      </c>
      <c r="AG1234" s="28" t="s">
        <v>563</v>
      </c>
      <c r="AK1234" s="60" t="s">
        <v>2927</v>
      </c>
      <c r="AL1234" s="117">
        <f>1/COUNTIF(Tableau6[LAT],B1234)</f>
        <v>0.5</v>
      </c>
      <c r="AM1234" s="60" t="b">
        <f t="shared" si="136"/>
        <v>0</v>
      </c>
      <c r="AN1234" s="60" t="b">
        <f t="shared" si="137"/>
        <v>0</v>
      </c>
      <c r="AO1234" s="60" t="b">
        <f t="shared" si="138"/>
        <v>0</v>
      </c>
      <c r="AP1234" s="60" t="b">
        <f t="shared" si="139"/>
        <v>0</v>
      </c>
      <c r="AQ1234" s="60" t="b">
        <f t="shared" si="140"/>
        <v>0</v>
      </c>
      <c r="AR1234" s="60" t="str">
        <f t="shared" si="141"/>
        <v>No</v>
      </c>
      <c r="AS1234" s="60" t="str">
        <f t="shared" si="142"/>
        <v>No</v>
      </c>
    </row>
    <row r="1235" spans="1:45" ht="15" hidden="1">
      <c r="A1235" s="103">
        <v>45244</v>
      </c>
      <c r="B1235" s="117" t="s">
        <v>4966</v>
      </c>
      <c r="C1235" s="28" t="s">
        <v>548</v>
      </c>
      <c r="D1235" s="28" t="s">
        <v>4970</v>
      </c>
      <c r="F1235" s="28" t="s">
        <v>4971</v>
      </c>
      <c r="G1235" s="28" t="s">
        <v>724</v>
      </c>
      <c r="H1235" s="28" t="s">
        <v>1996</v>
      </c>
      <c r="I1235" s="28" t="s">
        <v>516</v>
      </c>
      <c r="J1235" s="28" t="s">
        <v>517</v>
      </c>
      <c r="K1235" s="28" t="s">
        <v>518</v>
      </c>
      <c r="L1235" s="28" t="s">
        <v>2925</v>
      </c>
      <c r="M1235" s="28" t="s">
        <v>520</v>
      </c>
      <c r="S1235" s="28" t="s">
        <v>928</v>
      </c>
      <c r="T1235" s="28" t="s">
        <v>1042</v>
      </c>
      <c r="U1235" s="28" t="s">
        <v>1042</v>
      </c>
      <c r="V1235" s="28" t="s">
        <v>517</v>
      </c>
      <c r="W1235" s="28" t="s">
        <v>4972</v>
      </c>
      <c r="Z1235" s="118" t="s">
        <v>563</v>
      </c>
      <c r="AA1235" s="118"/>
      <c r="AB1235" s="73" t="s">
        <v>4506</v>
      </c>
      <c r="AD1235" s="28" t="s">
        <v>528</v>
      </c>
      <c r="AF1235" s="117" t="s">
        <v>4970</v>
      </c>
      <c r="AG1235" s="28" t="s">
        <v>563</v>
      </c>
      <c r="AK1235" s="60" t="s">
        <v>2927</v>
      </c>
      <c r="AL1235" s="117">
        <f>1/COUNTIF(Tableau6[LAT],B1235)</f>
        <v>0.5</v>
      </c>
      <c r="AM1235" s="60" t="b">
        <f t="shared" si="136"/>
        <v>0</v>
      </c>
      <c r="AN1235" s="60" t="b">
        <f t="shared" si="137"/>
        <v>0</v>
      </c>
      <c r="AO1235" s="60" t="b">
        <f t="shared" si="138"/>
        <v>0</v>
      </c>
      <c r="AP1235" s="60" t="b">
        <f t="shared" si="139"/>
        <v>0</v>
      </c>
      <c r="AQ1235" s="60" t="b">
        <f t="shared" si="140"/>
        <v>0</v>
      </c>
      <c r="AR1235" s="60" t="str">
        <f t="shared" si="141"/>
        <v>No</v>
      </c>
      <c r="AS1235" s="60" t="str">
        <f t="shared" si="142"/>
        <v>No</v>
      </c>
    </row>
    <row r="1236" spans="1:45" ht="15" hidden="1">
      <c r="A1236" s="103">
        <v>45244</v>
      </c>
      <c r="B1236" s="117" t="s">
        <v>4973</v>
      </c>
      <c r="C1236" s="28" t="s">
        <v>511</v>
      </c>
      <c r="D1236" s="28" t="s">
        <v>4974</v>
      </c>
      <c r="E1236" s="28" t="s">
        <v>4975</v>
      </c>
      <c r="F1236" s="28" t="s">
        <v>4976</v>
      </c>
      <c r="G1236" s="28" t="s">
        <v>1456</v>
      </c>
      <c r="H1236" s="28" t="s">
        <v>555</v>
      </c>
      <c r="I1236" s="28" t="s">
        <v>517</v>
      </c>
      <c r="J1236" s="28" t="s">
        <v>517</v>
      </c>
      <c r="K1236" s="28" t="s">
        <v>518</v>
      </c>
      <c r="L1236" s="28" t="s">
        <v>4394</v>
      </c>
      <c r="M1236" s="28" t="s">
        <v>535</v>
      </c>
      <c r="N1236" s="28" t="s">
        <v>650</v>
      </c>
      <c r="O1236" s="28" t="s">
        <v>559</v>
      </c>
      <c r="S1236" s="28" t="s">
        <v>573</v>
      </c>
      <c r="T1236" s="28" t="s">
        <v>659</v>
      </c>
      <c r="U1236" s="28" t="s">
        <v>659</v>
      </c>
      <c r="V1236" s="28" t="s">
        <v>517</v>
      </c>
      <c r="W1236" s="28" t="s">
        <v>4977</v>
      </c>
      <c r="X1236" s="28" t="s">
        <v>670</v>
      </c>
      <c r="Z1236" s="118" t="s">
        <v>563</v>
      </c>
      <c r="AA1236" s="118"/>
      <c r="AB1236" s="73" t="s">
        <v>4506</v>
      </c>
      <c r="AF1236" s="117"/>
      <c r="AK1236" s="60" t="s">
        <v>2927</v>
      </c>
      <c r="AL1236" s="117">
        <f>1/COUNTIF(Tableau6[LAT],B1236)</f>
        <v>1</v>
      </c>
      <c r="AM1236" s="60" t="b">
        <f t="shared" si="136"/>
        <v>0</v>
      </c>
      <c r="AN1236" s="60" t="b">
        <f t="shared" si="137"/>
        <v>0</v>
      </c>
      <c r="AO1236" s="60" t="b">
        <f t="shared" si="138"/>
        <v>0</v>
      </c>
      <c r="AP1236" s="60" t="b">
        <f t="shared" si="139"/>
        <v>0</v>
      </c>
      <c r="AQ1236" s="60" t="b">
        <f t="shared" si="140"/>
        <v>0</v>
      </c>
      <c r="AR1236" s="60" t="str">
        <f t="shared" si="141"/>
        <v>No</v>
      </c>
      <c r="AS1236" s="60" t="str">
        <f t="shared" si="142"/>
        <v>No</v>
      </c>
    </row>
    <row r="1237" spans="1:45" ht="15" hidden="1">
      <c r="A1237" s="103">
        <v>45244</v>
      </c>
      <c r="B1237" s="117" t="s">
        <v>4978</v>
      </c>
      <c r="C1237" s="28" t="s">
        <v>511</v>
      </c>
      <c r="D1237" s="28" t="s">
        <v>4979</v>
      </c>
      <c r="F1237" s="28" t="s">
        <v>4980</v>
      </c>
      <c r="G1237" s="28" t="s">
        <v>514</v>
      </c>
      <c r="H1237" s="28" t="s">
        <v>2369</v>
      </c>
      <c r="I1237" s="28" t="s">
        <v>517</v>
      </c>
      <c r="J1237" s="28" t="s">
        <v>517</v>
      </c>
      <c r="K1237" s="28" t="s">
        <v>518</v>
      </c>
      <c r="L1237" s="28" t="s">
        <v>801</v>
      </c>
      <c r="M1237" s="28" t="s">
        <v>520</v>
      </c>
      <c r="N1237" s="28" t="s">
        <v>521</v>
      </c>
      <c r="O1237" s="28" t="s">
        <v>650</v>
      </c>
      <c r="P1237" s="28" t="s">
        <v>559</v>
      </c>
      <c r="Q1237" s="28" t="s">
        <v>627</v>
      </c>
      <c r="S1237" s="28" t="s">
        <v>573</v>
      </c>
      <c r="T1237" s="28" t="s">
        <v>803</v>
      </c>
      <c r="U1237" s="28" t="s">
        <v>803</v>
      </c>
      <c r="V1237" s="28" t="s">
        <v>517</v>
      </c>
      <c r="W1237" s="28" t="s">
        <v>4981</v>
      </c>
      <c r="Z1237" s="118" t="s">
        <v>563</v>
      </c>
      <c r="AA1237" s="118"/>
      <c r="AB1237" s="73" t="s">
        <v>4506</v>
      </c>
      <c r="AD1237" s="28" t="s">
        <v>954</v>
      </c>
      <c r="AF1237" s="117" t="s">
        <v>4979</v>
      </c>
      <c r="AG1237" s="28" t="s">
        <v>563</v>
      </c>
      <c r="AK1237" s="60" t="s">
        <v>2927</v>
      </c>
      <c r="AL1237" s="117">
        <f>1/COUNTIF(Tableau6[LAT],B1237)</f>
        <v>1</v>
      </c>
      <c r="AM1237" s="60" t="b">
        <f t="shared" si="136"/>
        <v>0</v>
      </c>
      <c r="AN1237" s="60" t="b">
        <f t="shared" si="137"/>
        <v>0</v>
      </c>
      <c r="AO1237" s="60" t="b">
        <f t="shared" si="138"/>
        <v>0</v>
      </c>
      <c r="AP1237" s="60" t="b">
        <f t="shared" si="139"/>
        <v>0</v>
      </c>
      <c r="AQ1237" s="60" t="b">
        <f t="shared" si="140"/>
        <v>0</v>
      </c>
      <c r="AR1237" s="60" t="str">
        <f t="shared" si="141"/>
        <v>No</v>
      </c>
      <c r="AS1237" s="60" t="str">
        <f t="shared" si="142"/>
        <v>No</v>
      </c>
    </row>
    <row r="1238" spans="1:45" ht="15" hidden="1">
      <c r="A1238" s="103">
        <v>45244</v>
      </c>
      <c r="B1238" s="117" t="s">
        <v>4982</v>
      </c>
      <c r="C1238" s="28" t="s">
        <v>511</v>
      </c>
      <c r="D1238" s="28" t="s">
        <v>4983</v>
      </c>
      <c r="F1238" s="28" t="s">
        <v>4984</v>
      </c>
      <c r="G1238" s="28" t="s">
        <v>724</v>
      </c>
      <c r="H1238" s="28" t="s">
        <v>4985</v>
      </c>
      <c r="I1238" s="28" t="s">
        <v>517</v>
      </c>
      <c r="J1238" s="28" t="s">
        <v>517</v>
      </c>
      <c r="K1238" s="28" t="s">
        <v>518</v>
      </c>
      <c r="L1238" s="28" t="s">
        <v>801</v>
      </c>
      <c r="M1238" s="28" t="s">
        <v>535</v>
      </c>
      <c r="N1238" s="28" t="s">
        <v>521</v>
      </c>
      <c r="O1238" s="28" t="s">
        <v>544</v>
      </c>
      <c r="P1238" s="28" t="s">
        <v>626</v>
      </c>
      <c r="Q1238" s="28" t="s">
        <v>559</v>
      </c>
      <c r="R1238" s="28" t="s">
        <v>627</v>
      </c>
      <c r="S1238" s="28" t="s">
        <v>573</v>
      </c>
      <c r="T1238" s="28" t="s">
        <v>803</v>
      </c>
      <c r="U1238" s="28" t="s">
        <v>803</v>
      </c>
      <c r="V1238" s="28" t="s">
        <v>517</v>
      </c>
      <c r="W1238" s="28" t="s">
        <v>821</v>
      </c>
      <c r="Z1238" s="118" t="s">
        <v>563</v>
      </c>
      <c r="AA1238" s="118"/>
      <c r="AB1238" s="73" t="s">
        <v>4506</v>
      </c>
      <c r="AD1238" s="28" t="s">
        <v>954</v>
      </c>
      <c r="AF1238" s="117" t="s">
        <v>4983</v>
      </c>
      <c r="AG1238" s="28" t="s">
        <v>563</v>
      </c>
      <c r="AK1238" s="60" t="s">
        <v>2927</v>
      </c>
      <c r="AL1238" s="117">
        <f>1/COUNTIF(Tableau6[LAT],B1238)</f>
        <v>0.33333333333333331</v>
      </c>
      <c r="AM1238" s="60" t="b">
        <f t="shared" si="136"/>
        <v>0</v>
      </c>
      <c r="AN1238" s="60" t="b">
        <f t="shared" si="137"/>
        <v>0</v>
      </c>
      <c r="AO1238" s="60" t="b">
        <f t="shared" si="138"/>
        <v>0</v>
      </c>
      <c r="AP1238" s="60" t="b">
        <f t="shared" si="139"/>
        <v>0</v>
      </c>
      <c r="AQ1238" s="60" t="b">
        <f t="shared" si="140"/>
        <v>0</v>
      </c>
      <c r="AR1238" s="60" t="str">
        <f t="shared" si="141"/>
        <v>No</v>
      </c>
      <c r="AS1238" s="60" t="str">
        <f t="shared" si="142"/>
        <v>No</v>
      </c>
    </row>
    <row r="1239" spans="1:45" ht="15" hidden="1">
      <c r="A1239" s="103">
        <v>45244</v>
      </c>
      <c r="B1239" s="117" t="s">
        <v>4982</v>
      </c>
      <c r="C1239" s="28" t="s">
        <v>995</v>
      </c>
      <c r="D1239" s="28" t="s">
        <v>4986</v>
      </c>
      <c r="E1239" s="28" t="s">
        <v>4987</v>
      </c>
      <c r="F1239" s="28" t="s">
        <v>4988</v>
      </c>
      <c r="G1239" s="28" t="s">
        <v>657</v>
      </c>
      <c r="H1239" s="28" t="s">
        <v>4989</v>
      </c>
      <c r="I1239" s="28" t="s">
        <v>517</v>
      </c>
      <c r="J1239" s="28" t="s">
        <v>517</v>
      </c>
      <c r="K1239" s="28" t="s">
        <v>518</v>
      </c>
      <c r="L1239" s="28" t="s">
        <v>801</v>
      </c>
      <c r="M1239" s="28" t="s">
        <v>535</v>
      </c>
      <c r="N1239" s="28" t="s">
        <v>521</v>
      </c>
      <c r="O1239" s="28" t="s">
        <v>544</v>
      </c>
      <c r="P1239" s="28" t="s">
        <v>626</v>
      </c>
      <c r="Q1239" s="28" t="s">
        <v>559</v>
      </c>
      <c r="R1239" s="28" t="s">
        <v>627</v>
      </c>
      <c r="S1239" s="28" t="s">
        <v>573</v>
      </c>
      <c r="T1239" s="28" t="s">
        <v>803</v>
      </c>
      <c r="U1239" s="28" t="s">
        <v>803</v>
      </c>
      <c r="V1239" s="28" t="s">
        <v>517</v>
      </c>
      <c r="W1239" s="28" t="s">
        <v>4990</v>
      </c>
      <c r="X1239" s="28" t="s">
        <v>1071</v>
      </c>
      <c r="Z1239" s="118" t="s">
        <v>563</v>
      </c>
      <c r="AA1239" s="118"/>
      <c r="AB1239" s="73" t="s">
        <v>4506</v>
      </c>
      <c r="AD1239" s="28" t="s">
        <v>954</v>
      </c>
      <c r="AF1239" s="117" t="s">
        <v>4991</v>
      </c>
      <c r="AG1239" s="28" t="s">
        <v>563</v>
      </c>
      <c r="AK1239" s="60" t="s">
        <v>2927</v>
      </c>
      <c r="AL1239" s="117">
        <f>1/COUNTIF(Tableau6[LAT],B1239)</f>
        <v>0.33333333333333331</v>
      </c>
      <c r="AM1239" s="60" t="b">
        <f t="shared" si="136"/>
        <v>0</v>
      </c>
      <c r="AN1239" s="60" t="b">
        <f t="shared" si="137"/>
        <v>0</v>
      </c>
      <c r="AO1239" s="60" t="b">
        <f t="shared" si="138"/>
        <v>0</v>
      </c>
      <c r="AP1239" s="60" t="b">
        <f t="shared" si="139"/>
        <v>0</v>
      </c>
      <c r="AQ1239" s="60" t="b">
        <f t="shared" si="140"/>
        <v>0</v>
      </c>
      <c r="AR1239" s="60" t="str">
        <f t="shared" si="141"/>
        <v>No</v>
      </c>
      <c r="AS1239" s="60" t="str">
        <f t="shared" si="142"/>
        <v>No</v>
      </c>
    </row>
    <row r="1240" spans="1:45" ht="15" hidden="1">
      <c r="A1240" s="103">
        <v>45244</v>
      </c>
      <c r="B1240" s="117" t="s">
        <v>2576</v>
      </c>
      <c r="C1240" s="28" t="s">
        <v>1066</v>
      </c>
      <c r="D1240" s="28" t="s">
        <v>4992</v>
      </c>
      <c r="E1240" s="28" t="s">
        <v>4993</v>
      </c>
      <c r="F1240" s="28" t="s">
        <v>4994</v>
      </c>
      <c r="G1240" s="28" t="s">
        <v>979</v>
      </c>
      <c r="H1240" s="28" t="s">
        <v>4995</v>
      </c>
      <c r="I1240" s="28" t="s">
        <v>517</v>
      </c>
      <c r="J1240" s="28" t="s">
        <v>517</v>
      </c>
      <c r="K1240" s="28" t="s">
        <v>518</v>
      </c>
      <c r="L1240" s="28" t="s">
        <v>1491</v>
      </c>
      <c r="M1240" s="28" t="s">
        <v>520</v>
      </c>
      <c r="N1240" s="28" t="s">
        <v>557</v>
      </c>
      <c r="O1240" s="28" t="s">
        <v>544</v>
      </c>
      <c r="P1240" s="28" t="s">
        <v>626</v>
      </c>
      <c r="Q1240" s="28" t="s">
        <v>559</v>
      </c>
      <c r="R1240" s="28" t="s">
        <v>627</v>
      </c>
      <c r="S1240" s="28" t="s">
        <v>573</v>
      </c>
      <c r="T1240" s="28" t="s">
        <v>1494</v>
      </c>
      <c r="U1240" s="28" t="s">
        <v>1494</v>
      </c>
      <c r="V1240" s="28" t="s">
        <v>517</v>
      </c>
      <c r="W1240" s="28" t="s">
        <v>4996</v>
      </c>
      <c r="X1240" s="28" t="s">
        <v>4997</v>
      </c>
      <c r="Z1240" s="118" t="s">
        <v>563</v>
      </c>
      <c r="AA1240" s="118"/>
      <c r="AB1240" s="73" t="s">
        <v>4506</v>
      </c>
      <c r="AF1240" s="117" t="s">
        <v>1083</v>
      </c>
      <c r="AK1240" s="60" t="s">
        <v>2927</v>
      </c>
      <c r="AL1240" s="117">
        <f>1/COUNTIF(Tableau6[LAT],B1240)</f>
        <v>0.25</v>
      </c>
      <c r="AM1240" s="60" t="b">
        <f t="shared" si="136"/>
        <v>0</v>
      </c>
      <c r="AN1240" s="60" t="b">
        <f t="shared" si="137"/>
        <v>0</v>
      </c>
      <c r="AO1240" s="60" t="b">
        <f t="shared" si="138"/>
        <v>0</v>
      </c>
      <c r="AP1240" s="60" t="b">
        <f t="shared" si="139"/>
        <v>0</v>
      </c>
      <c r="AQ1240" s="60" t="b">
        <f t="shared" si="140"/>
        <v>0</v>
      </c>
      <c r="AR1240" s="60" t="str">
        <f t="shared" si="141"/>
        <v>No</v>
      </c>
      <c r="AS1240" s="60" t="str">
        <f t="shared" si="142"/>
        <v>No</v>
      </c>
    </row>
    <row r="1241" spans="1:45" ht="15" hidden="1">
      <c r="A1241" s="103">
        <v>45244</v>
      </c>
      <c r="B1241" s="117" t="s">
        <v>2576</v>
      </c>
      <c r="C1241" s="28" t="s">
        <v>4998</v>
      </c>
      <c r="D1241" s="28" t="s">
        <v>4999</v>
      </c>
      <c r="E1241" s="28" t="s">
        <v>5000</v>
      </c>
      <c r="F1241" s="28" t="s">
        <v>4994</v>
      </c>
      <c r="G1241" s="28" t="s">
        <v>979</v>
      </c>
      <c r="H1241" s="28" t="s">
        <v>4995</v>
      </c>
      <c r="I1241" s="28" t="s">
        <v>517</v>
      </c>
      <c r="J1241" s="28" t="s">
        <v>517</v>
      </c>
      <c r="K1241" s="28" t="s">
        <v>518</v>
      </c>
      <c r="L1241" s="28" t="s">
        <v>1491</v>
      </c>
      <c r="M1241" s="28" t="s">
        <v>520</v>
      </c>
      <c r="N1241" s="28" t="s">
        <v>557</v>
      </c>
      <c r="O1241" s="28" t="s">
        <v>544</v>
      </c>
      <c r="P1241" s="28" t="s">
        <v>626</v>
      </c>
      <c r="Q1241" s="28" t="s">
        <v>559</v>
      </c>
      <c r="R1241" s="28" t="s">
        <v>627</v>
      </c>
      <c r="S1241" s="28" t="s">
        <v>573</v>
      </c>
      <c r="T1241" s="28" t="s">
        <v>1494</v>
      </c>
      <c r="U1241" s="28" t="s">
        <v>1494</v>
      </c>
      <c r="V1241" s="28" t="s">
        <v>517</v>
      </c>
      <c r="W1241" s="28" t="s">
        <v>5001</v>
      </c>
      <c r="X1241" s="28" t="s">
        <v>1418</v>
      </c>
      <c r="Z1241" s="118" t="s">
        <v>563</v>
      </c>
      <c r="AA1241" s="118"/>
      <c r="AB1241" s="73" t="s">
        <v>4506</v>
      </c>
      <c r="AF1241" s="117" t="s">
        <v>1083</v>
      </c>
      <c r="AK1241" s="60" t="s">
        <v>2927</v>
      </c>
      <c r="AL1241" s="117">
        <f>1/COUNTIF(Tableau6[LAT],B1241)</f>
        <v>0.25</v>
      </c>
      <c r="AM1241" s="60" t="b">
        <f t="shared" si="136"/>
        <v>0</v>
      </c>
      <c r="AN1241" s="60" t="b">
        <f t="shared" si="137"/>
        <v>0</v>
      </c>
      <c r="AO1241" s="60" t="b">
        <f t="shared" si="138"/>
        <v>0</v>
      </c>
      <c r="AP1241" s="60" t="b">
        <f t="shared" si="139"/>
        <v>0</v>
      </c>
      <c r="AQ1241" s="60" t="b">
        <f t="shared" si="140"/>
        <v>0</v>
      </c>
      <c r="AR1241" s="60" t="str">
        <f t="shared" si="141"/>
        <v>No</v>
      </c>
      <c r="AS1241" s="60" t="str">
        <f t="shared" si="142"/>
        <v>No</v>
      </c>
    </row>
    <row r="1242" spans="1:45" ht="15" hidden="1">
      <c r="A1242" s="103">
        <v>45244</v>
      </c>
      <c r="B1242" s="117" t="s">
        <v>5002</v>
      </c>
      <c r="C1242" s="28" t="s">
        <v>511</v>
      </c>
      <c r="D1242" s="28" t="s">
        <v>5003</v>
      </c>
      <c r="F1242" s="28" t="s">
        <v>5004</v>
      </c>
      <c r="G1242" s="28" t="s">
        <v>665</v>
      </c>
      <c r="H1242" s="28" t="s">
        <v>1822</v>
      </c>
      <c r="I1242" s="28" t="s">
        <v>517</v>
      </c>
      <c r="J1242" s="28" t="s">
        <v>517</v>
      </c>
      <c r="K1242" s="28" t="s">
        <v>518</v>
      </c>
      <c r="L1242" s="28" t="s">
        <v>534</v>
      </c>
      <c r="M1242" s="28" t="s">
        <v>535</v>
      </c>
      <c r="N1242" s="28" t="s">
        <v>521</v>
      </c>
      <c r="O1242" s="28" t="s">
        <v>1523</v>
      </c>
      <c r="P1242" s="28" t="s">
        <v>5005</v>
      </c>
      <c r="Q1242" s="28" t="s">
        <v>559</v>
      </c>
      <c r="S1242" s="28" t="s">
        <v>573</v>
      </c>
      <c r="T1242" s="28" t="s">
        <v>537</v>
      </c>
      <c r="U1242" s="28" t="s">
        <v>537</v>
      </c>
      <c r="V1242" s="28" t="s">
        <v>517</v>
      </c>
      <c r="W1242" s="28" t="s">
        <v>5006</v>
      </c>
      <c r="Z1242" s="118" t="s">
        <v>563</v>
      </c>
      <c r="AA1242" s="118"/>
      <c r="AB1242" s="118" t="s">
        <v>4868</v>
      </c>
      <c r="AF1242" s="117"/>
      <c r="AK1242" s="60" t="s">
        <v>2927</v>
      </c>
      <c r="AL1242" s="117">
        <f>1/COUNTIF(Tableau6[LAT],B1242)</f>
        <v>1</v>
      </c>
      <c r="AM1242" s="60" t="b">
        <f t="shared" si="136"/>
        <v>0</v>
      </c>
      <c r="AN1242" s="60" t="b">
        <f t="shared" si="137"/>
        <v>0</v>
      </c>
      <c r="AO1242" s="60" t="b">
        <f t="shared" si="138"/>
        <v>0</v>
      </c>
      <c r="AP1242" s="60" t="b">
        <f t="shared" si="139"/>
        <v>0</v>
      </c>
      <c r="AQ1242" s="60" t="b">
        <f t="shared" si="140"/>
        <v>0</v>
      </c>
      <c r="AR1242" s="60" t="str">
        <f t="shared" si="141"/>
        <v>No</v>
      </c>
      <c r="AS1242" s="60" t="str">
        <f t="shared" si="142"/>
        <v>No</v>
      </c>
    </row>
    <row r="1243" spans="1:45" ht="15" hidden="1">
      <c r="A1243" s="103">
        <v>45244</v>
      </c>
      <c r="B1243" s="117" t="s">
        <v>5007</v>
      </c>
      <c r="C1243" s="28" t="s">
        <v>511</v>
      </c>
      <c r="D1243" s="28" t="s">
        <v>5008</v>
      </c>
      <c r="F1243" s="28" t="s">
        <v>5009</v>
      </c>
      <c r="G1243" s="28" t="s">
        <v>514</v>
      </c>
      <c r="H1243" s="28" t="s">
        <v>4042</v>
      </c>
      <c r="I1243" s="28" t="s">
        <v>517</v>
      </c>
      <c r="J1243" s="28" t="s">
        <v>517</v>
      </c>
      <c r="K1243" s="28" t="s">
        <v>518</v>
      </c>
      <c r="L1243" s="28" t="s">
        <v>801</v>
      </c>
      <c r="M1243" s="28" t="s">
        <v>1374</v>
      </c>
      <c r="N1243" s="28" t="s">
        <v>521</v>
      </c>
      <c r="O1243" s="28" t="s">
        <v>544</v>
      </c>
      <c r="P1243" s="28" t="s">
        <v>626</v>
      </c>
      <c r="Q1243" s="28" t="s">
        <v>559</v>
      </c>
      <c r="R1243" s="28" t="s">
        <v>627</v>
      </c>
      <c r="S1243" s="28" t="s">
        <v>573</v>
      </c>
      <c r="T1243" s="28" t="s">
        <v>803</v>
      </c>
      <c r="U1243" s="28" t="s">
        <v>803</v>
      </c>
      <c r="V1243" s="28" t="s">
        <v>517</v>
      </c>
      <c r="W1243" s="28" t="s">
        <v>5010</v>
      </c>
      <c r="Z1243" s="118" t="s">
        <v>563</v>
      </c>
      <c r="AA1243" s="118"/>
      <c r="AB1243" s="118" t="s">
        <v>4868</v>
      </c>
      <c r="AD1243" s="28" t="s">
        <v>954</v>
      </c>
      <c r="AF1243" s="117" t="s">
        <v>5008</v>
      </c>
      <c r="AG1243" s="28" t="s">
        <v>563</v>
      </c>
      <c r="AK1243" s="60" t="s">
        <v>2927</v>
      </c>
      <c r="AL1243" s="117">
        <f>1/COUNTIF(Tableau6[LAT],B1243)</f>
        <v>1</v>
      </c>
      <c r="AM1243" s="60" t="b">
        <f t="shared" si="136"/>
        <v>0</v>
      </c>
      <c r="AN1243" s="60" t="b">
        <f t="shared" si="137"/>
        <v>0</v>
      </c>
      <c r="AO1243" s="60" t="b">
        <f t="shared" si="138"/>
        <v>0</v>
      </c>
      <c r="AP1243" s="60" t="b">
        <f t="shared" si="139"/>
        <v>0</v>
      </c>
      <c r="AQ1243" s="60" t="b">
        <f t="shared" si="140"/>
        <v>0</v>
      </c>
      <c r="AR1243" s="60" t="str">
        <f t="shared" si="141"/>
        <v>No</v>
      </c>
      <c r="AS1243" s="60" t="str">
        <f t="shared" si="142"/>
        <v>No</v>
      </c>
    </row>
    <row r="1244" spans="1:45" ht="15" hidden="1">
      <c r="A1244" s="103">
        <v>45244</v>
      </c>
      <c r="B1244" s="117" t="s">
        <v>5011</v>
      </c>
      <c r="C1244" s="28" t="s">
        <v>511</v>
      </c>
      <c r="D1244" s="28" t="s">
        <v>5012</v>
      </c>
      <c r="F1244" s="28" t="s">
        <v>5013</v>
      </c>
      <c r="G1244" s="28" t="s">
        <v>514</v>
      </c>
      <c r="H1244" s="28" t="s">
        <v>1129</v>
      </c>
      <c r="I1244" s="28" t="s">
        <v>517</v>
      </c>
      <c r="J1244" s="28" t="s">
        <v>517</v>
      </c>
      <c r="K1244" s="28" t="s">
        <v>518</v>
      </c>
      <c r="L1244" s="28" t="s">
        <v>4505</v>
      </c>
      <c r="M1244" s="28" t="s">
        <v>535</v>
      </c>
      <c r="N1244" s="28" t="s">
        <v>521</v>
      </c>
      <c r="O1244" s="28" t="s">
        <v>1523</v>
      </c>
      <c r="P1244" s="28" t="s">
        <v>5005</v>
      </c>
      <c r="Q1244" s="28" t="s">
        <v>559</v>
      </c>
      <c r="S1244" s="28" t="s">
        <v>573</v>
      </c>
      <c r="T1244" s="28" t="s">
        <v>1934</v>
      </c>
      <c r="U1244" s="28" t="s">
        <v>1934</v>
      </c>
      <c r="V1244" s="28" t="s">
        <v>517</v>
      </c>
      <c r="W1244" s="28" t="s">
        <v>5014</v>
      </c>
      <c r="Z1244" s="118" t="s">
        <v>563</v>
      </c>
      <c r="AA1244" s="118"/>
      <c r="AB1244" s="118" t="s">
        <v>4868</v>
      </c>
      <c r="AF1244" s="117"/>
      <c r="AK1244" s="60" t="s">
        <v>2927</v>
      </c>
      <c r="AL1244" s="117">
        <f>1/COUNTIF(Tableau6[LAT],B1244)</f>
        <v>1</v>
      </c>
      <c r="AM1244" s="60" t="b">
        <f t="shared" si="136"/>
        <v>0</v>
      </c>
      <c r="AN1244" s="60" t="b">
        <f t="shared" si="137"/>
        <v>0</v>
      </c>
      <c r="AO1244" s="60" t="b">
        <f t="shared" si="138"/>
        <v>0</v>
      </c>
      <c r="AP1244" s="60" t="b">
        <f t="shared" si="139"/>
        <v>0</v>
      </c>
      <c r="AQ1244" s="60" t="b">
        <f t="shared" si="140"/>
        <v>0</v>
      </c>
      <c r="AR1244" s="60" t="str">
        <f t="shared" si="141"/>
        <v>No</v>
      </c>
      <c r="AS1244" s="60" t="str">
        <f t="shared" si="142"/>
        <v>No</v>
      </c>
    </row>
    <row r="1245" spans="1:45" ht="15" hidden="1">
      <c r="A1245" s="103">
        <v>45244</v>
      </c>
      <c r="B1245" s="117" t="s">
        <v>5015</v>
      </c>
      <c r="C1245" s="28" t="s">
        <v>511</v>
      </c>
      <c r="D1245" s="28" t="s">
        <v>5016</v>
      </c>
      <c r="F1245" s="28" t="s">
        <v>5017</v>
      </c>
      <c r="G1245" s="28" t="s">
        <v>514</v>
      </c>
      <c r="H1245" s="28" t="s">
        <v>658</v>
      </c>
      <c r="I1245" s="28" t="s">
        <v>517</v>
      </c>
      <c r="J1245" s="28" t="s">
        <v>517</v>
      </c>
      <c r="K1245" s="28" t="s">
        <v>518</v>
      </c>
      <c r="L1245" s="28" t="s">
        <v>1013</v>
      </c>
      <c r="M1245" s="28" t="s">
        <v>535</v>
      </c>
      <c r="N1245" s="28" t="s">
        <v>557</v>
      </c>
      <c r="O1245" s="28" t="s">
        <v>650</v>
      </c>
      <c r="P1245" s="28" t="s">
        <v>559</v>
      </c>
      <c r="Q1245" s="28" t="s">
        <v>627</v>
      </c>
      <c r="S1245" s="28" t="s">
        <v>573</v>
      </c>
      <c r="T1245" s="28" t="s">
        <v>1015</v>
      </c>
      <c r="U1245" s="28" t="s">
        <v>1015</v>
      </c>
      <c r="V1245" s="28" t="s">
        <v>517</v>
      </c>
      <c r="W1245" s="28" t="s">
        <v>5018</v>
      </c>
      <c r="Z1245" s="118" t="s">
        <v>563</v>
      </c>
      <c r="AA1245" s="118"/>
      <c r="AB1245" s="118" t="s">
        <v>4868</v>
      </c>
      <c r="AD1245" s="28" t="s">
        <v>954</v>
      </c>
      <c r="AF1245" s="117" t="s">
        <v>5016</v>
      </c>
      <c r="AG1245" s="28" t="s">
        <v>563</v>
      </c>
      <c r="AK1245" s="60" t="s">
        <v>2927</v>
      </c>
      <c r="AL1245" s="117">
        <f>1/COUNTIF(Tableau6[LAT],B1245)</f>
        <v>1</v>
      </c>
      <c r="AM1245" s="60" t="b">
        <f t="shared" si="136"/>
        <v>0</v>
      </c>
      <c r="AN1245" s="60" t="b">
        <f t="shared" si="137"/>
        <v>0</v>
      </c>
      <c r="AO1245" s="60" t="b">
        <f t="shared" si="138"/>
        <v>0</v>
      </c>
      <c r="AP1245" s="60" t="b">
        <f t="shared" si="139"/>
        <v>0</v>
      </c>
      <c r="AQ1245" s="60" t="b">
        <f t="shared" si="140"/>
        <v>0</v>
      </c>
      <c r="AR1245" s="60" t="str">
        <f t="shared" si="141"/>
        <v>No</v>
      </c>
      <c r="AS1245" s="60" t="str">
        <f t="shared" si="142"/>
        <v>No</v>
      </c>
    </row>
    <row r="1246" spans="1:45" ht="15" hidden="1">
      <c r="A1246" s="103">
        <v>45244</v>
      </c>
      <c r="B1246" s="117" t="s">
        <v>5019</v>
      </c>
      <c r="C1246" s="28" t="s">
        <v>511</v>
      </c>
      <c r="D1246" s="28" t="s">
        <v>5020</v>
      </c>
      <c r="F1246" s="28" t="s">
        <v>5021</v>
      </c>
      <c r="G1246" s="28" t="s">
        <v>724</v>
      </c>
      <c r="H1246" s="28" t="s">
        <v>2668</v>
      </c>
      <c r="I1246" s="28" t="s">
        <v>517</v>
      </c>
      <c r="J1246" s="28" t="s">
        <v>517</v>
      </c>
      <c r="K1246" s="28" t="s">
        <v>518</v>
      </c>
      <c r="L1246" s="28" t="s">
        <v>1013</v>
      </c>
      <c r="M1246" s="28" t="s">
        <v>535</v>
      </c>
      <c r="N1246" s="28" t="s">
        <v>557</v>
      </c>
      <c r="O1246" s="28" t="s">
        <v>650</v>
      </c>
      <c r="P1246" s="28" t="s">
        <v>559</v>
      </c>
      <c r="Q1246" s="28" t="s">
        <v>627</v>
      </c>
      <c r="S1246" s="28" t="s">
        <v>573</v>
      </c>
      <c r="T1246" s="28" t="s">
        <v>1015</v>
      </c>
      <c r="U1246" s="28" t="s">
        <v>1015</v>
      </c>
      <c r="V1246" s="28" t="s">
        <v>517</v>
      </c>
      <c r="W1246" s="28" t="s">
        <v>5022</v>
      </c>
      <c r="Z1246" s="118" t="s">
        <v>563</v>
      </c>
      <c r="AA1246" s="118"/>
      <c r="AB1246" s="118" t="s">
        <v>4868</v>
      </c>
      <c r="AD1246" s="28" t="s">
        <v>954</v>
      </c>
      <c r="AF1246" s="117" t="s">
        <v>5020</v>
      </c>
      <c r="AG1246" s="28" t="s">
        <v>563</v>
      </c>
      <c r="AK1246" s="60" t="s">
        <v>2927</v>
      </c>
      <c r="AL1246" s="117">
        <f>1/COUNTIF(Tableau6[LAT],B1246)</f>
        <v>0.5</v>
      </c>
      <c r="AM1246" s="60" t="b">
        <f t="shared" si="136"/>
        <v>0</v>
      </c>
      <c r="AN1246" s="60" t="b">
        <f t="shared" si="137"/>
        <v>0</v>
      </c>
      <c r="AO1246" s="60" t="b">
        <f t="shared" si="138"/>
        <v>0</v>
      </c>
      <c r="AP1246" s="60" t="b">
        <f t="shared" si="139"/>
        <v>0</v>
      </c>
      <c r="AQ1246" s="60" t="b">
        <f t="shared" si="140"/>
        <v>0</v>
      </c>
      <c r="AR1246" s="60" t="str">
        <f t="shared" si="141"/>
        <v>No</v>
      </c>
      <c r="AS1246" s="60" t="str">
        <f t="shared" si="142"/>
        <v>No</v>
      </c>
    </row>
    <row r="1247" spans="1:45" ht="15" hidden="1">
      <c r="A1247" s="103">
        <v>45244</v>
      </c>
      <c r="B1247" s="117" t="s">
        <v>5019</v>
      </c>
      <c r="C1247" s="28" t="s">
        <v>548</v>
      </c>
      <c r="D1247" s="28" t="s">
        <v>5023</v>
      </c>
      <c r="F1247" s="28" t="s">
        <v>5024</v>
      </c>
      <c r="G1247" s="28" t="s">
        <v>514</v>
      </c>
      <c r="H1247" s="28" t="s">
        <v>2614</v>
      </c>
      <c r="I1247" s="28" t="s">
        <v>517</v>
      </c>
      <c r="J1247" s="28" t="s">
        <v>517</v>
      </c>
      <c r="K1247" s="28" t="s">
        <v>518</v>
      </c>
      <c r="L1247" s="28" t="s">
        <v>1013</v>
      </c>
      <c r="M1247" s="28" t="s">
        <v>535</v>
      </c>
      <c r="N1247" s="28" t="s">
        <v>557</v>
      </c>
      <c r="O1247" s="28" t="s">
        <v>650</v>
      </c>
      <c r="P1247" s="28" t="s">
        <v>559</v>
      </c>
      <c r="Q1247" s="28" t="s">
        <v>627</v>
      </c>
      <c r="S1247" s="28" t="s">
        <v>573</v>
      </c>
      <c r="T1247" s="28" t="s">
        <v>1015</v>
      </c>
      <c r="U1247" s="28" t="s">
        <v>1015</v>
      </c>
      <c r="V1247" s="28" t="s">
        <v>517</v>
      </c>
      <c r="W1247" s="28" t="s">
        <v>5025</v>
      </c>
      <c r="Z1247" s="118" t="s">
        <v>563</v>
      </c>
      <c r="AA1247" s="118"/>
      <c r="AB1247" s="118" t="s">
        <v>4868</v>
      </c>
      <c r="AD1247" s="28" t="s">
        <v>954</v>
      </c>
      <c r="AF1247" s="117" t="s">
        <v>5023</v>
      </c>
      <c r="AG1247" s="28" t="s">
        <v>563</v>
      </c>
      <c r="AK1247" s="60" t="s">
        <v>2927</v>
      </c>
      <c r="AL1247" s="117">
        <f>1/COUNTIF(Tableau6[LAT],B1247)</f>
        <v>0.5</v>
      </c>
      <c r="AM1247" s="60" t="b">
        <f t="shared" si="136"/>
        <v>0</v>
      </c>
      <c r="AN1247" s="60" t="b">
        <f t="shared" si="137"/>
        <v>0</v>
      </c>
      <c r="AO1247" s="60" t="b">
        <f t="shared" si="138"/>
        <v>0</v>
      </c>
      <c r="AP1247" s="60" t="b">
        <f t="shared" si="139"/>
        <v>0</v>
      </c>
      <c r="AQ1247" s="60" t="b">
        <f t="shared" si="140"/>
        <v>0</v>
      </c>
      <c r="AR1247" s="60" t="str">
        <f t="shared" si="141"/>
        <v>No</v>
      </c>
      <c r="AS1247" s="60" t="str">
        <f t="shared" si="142"/>
        <v>No</v>
      </c>
    </row>
    <row r="1248" spans="1:45" ht="15" hidden="1">
      <c r="A1248" s="103">
        <v>45244</v>
      </c>
      <c r="B1248" s="117" t="s">
        <v>5026</v>
      </c>
      <c r="C1248" s="28" t="s">
        <v>511</v>
      </c>
      <c r="D1248" s="28" t="s">
        <v>5027</v>
      </c>
      <c r="F1248" s="28" t="s">
        <v>5028</v>
      </c>
      <c r="G1248" s="28" t="s">
        <v>514</v>
      </c>
      <c r="H1248" s="28" t="s">
        <v>658</v>
      </c>
      <c r="I1248" s="28" t="s">
        <v>517</v>
      </c>
      <c r="J1248" s="28" t="s">
        <v>517</v>
      </c>
      <c r="K1248" s="28" t="s">
        <v>518</v>
      </c>
      <c r="L1248" s="28" t="s">
        <v>5029</v>
      </c>
      <c r="M1248" s="28" t="s">
        <v>535</v>
      </c>
      <c r="N1248" s="28" t="s">
        <v>521</v>
      </c>
      <c r="O1248" s="28" t="s">
        <v>626</v>
      </c>
      <c r="P1248" s="28" t="s">
        <v>559</v>
      </c>
      <c r="Q1248" s="28" t="s">
        <v>627</v>
      </c>
      <c r="S1248" s="28" t="s">
        <v>573</v>
      </c>
      <c r="T1248" s="28" t="s">
        <v>1376</v>
      </c>
      <c r="U1248" s="28" t="s">
        <v>1376</v>
      </c>
      <c r="V1248" s="28" t="s">
        <v>517</v>
      </c>
      <c r="W1248" s="28" t="s">
        <v>5030</v>
      </c>
      <c r="Z1248" s="118" t="s">
        <v>563</v>
      </c>
      <c r="AA1248" s="118"/>
      <c r="AB1248" s="118" t="s">
        <v>4868</v>
      </c>
      <c r="AF1248" s="117" t="s">
        <v>1083</v>
      </c>
      <c r="AK1248" s="60" t="s">
        <v>2927</v>
      </c>
      <c r="AL1248" s="117">
        <f>1/COUNTIF(Tableau6[LAT],B1248)</f>
        <v>1</v>
      </c>
      <c r="AM1248" s="60" t="b">
        <f t="shared" si="136"/>
        <v>0</v>
      </c>
      <c r="AN1248" s="60" t="b">
        <f t="shared" si="137"/>
        <v>0</v>
      </c>
      <c r="AO1248" s="60" t="b">
        <f t="shared" si="138"/>
        <v>0</v>
      </c>
      <c r="AP1248" s="60" t="b">
        <f t="shared" si="139"/>
        <v>0</v>
      </c>
      <c r="AQ1248" s="60" t="b">
        <f t="shared" si="140"/>
        <v>0</v>
      </c>
      <c r="AR1248" s="60" t="str">
        <f t="shared" si="141"/>
        <v>No</v>
      </c>
      <c r="AS1248" s="60" t="str">
        <f t="shared" si="142"/>
        <v>No</v>
      </c>
    </row>
    <row r="1249" spans="1:45" ht="15" hidden="1">
      <c r="A1249" s="103">
        <v>45244</v>
      </c>
      <c r="B1249" s="117" t="s">
        <v>5031</v>
      </c>
      <c r="C1249" s="28" t="s">
        <v>511</v>
      </c>
      <c r="D1249" s="28" t="s">
        <v>5032</v>
      </c>
      <c r="F1249" s="28" t="s">
        <v>5033</v>
      </c>
      <c r="G1249" s="28" t="s">
        <v>958</v>
      </c>
      <c r="H1249" s="28" t="s">
        <v>5034</v>
      </c>
      <c r="I1249" s="28" t="s">
        <v>517</v>
      </c>
      <c r="J1249" s="28" t="s">
        <v>517</v>
      </c>
      <c r="K1249" s="28" t="s">
        <v>518</v>
      </c>
      <c r="L1249" s="28" t="s">
        <v>588</v>
      </c>
      <c r="M1249" s="28" t="s">
        <v>1374</v>
      </c>
      <c r="N1249" s="28" t="s">
        <v>557</v>
      </c>
      <c r="O1249" s="28" t="s">
        <v>544</v>
      </c>
      <c r="P1249" s="28" t="s">
        <v>650</v>
      </c>
      <c r="Q1249" s="28" t="s">
        <v>559</v>
      </c>
      <c r="R1249" s="28" t="s">
        <v>627</v>
      </c>
      <c r="S1249" s="28" t="s">
        <v>573</v>
      </c>
      <c r="T1249" s="28" t="s">
        <v>590</v>
      </c>
      <c r="U1249" s="28" t="s">
        <v>590</v>
      </c>
      <c r="V1249" s="28" t="s">
        <v>517</v>
      </c>
      <c r="W1249" s="28" t="s">
        <v>5035</v>
      </c>
      <c r="Z1249" s="118" t="s">
        <v>563</v>
      </c>
      <c r="AA1249" s="118"/>
      <c r="AB1249" s="118" t="s">
        <v>4868</v>
      </c>
      <c r="AD1249" s="28" t="s">
        <v>954</v>
      </c>
      <c r="AF1249" s="117" t="s">
        <v>5032</v>
      </c>
      <c r="AG1249" s="28" t="s">
        <v>563</v>
      </c>
      <c r="AK1249" s="60" t="s">
        <v>2927</v>
      </c>
      <c r="AL1249" s="117">
        <f>1/COUNTIF(Tableau6[LAT],B1249)</f>
        <v>0.5</v>
      </c>
      <c r="AM1249" s="60" t="b">
        <f t="shared" si="136"/>
        <v>0</v>
      </c>
      <c r="AN1249" s="60" t="b">
        <f t="shared" si="137"/>
        <v>0</v>
      </c>
      <c r="AO1249" s="60" t="b">
        <f t="shared" si="138"/>
        <v>0</v>
      </c>
      <c r="AP1249" s="60" t="b">
        <f t="shared" si="139"/>
        <v>0</v>
      </c>
      <c r="AQ1249" s="60" t="b">
        <f t="shared" si="140"/>
        <v>0</v>
      </c>
      <c r="AR1249" s="60" t="str">
        <f t="shared" si="141"/>
        <v>No</v>
      </c>
      <c r="AS1249" s="60" t="str">
        <f t="shared" si="142"/>
        <v>No</v>
      </c>
    </row>
    <row r="1250" spans="1:45" ht="15" hidden="1">
      <c r="A1250" s="103">
        <v>45244</v>
      </c>
      <c r="B1250" s="117" t="s">
        <v>5031</v>
      </c>
      <c r="C1250" s="28" t="s">
        <v>548</v>
      </c>
      <c r="D1250" s="28" t="s">
        <v>5036</v>
      </c>
      <c r="F1250" s="28" t="s">
        <v>5037</v>
      </c>
      <c r="G1250" s="28" t="s">
        <v>514</v>
      </c>
      <c r="H1250" s="28" t="s">
        <v>5038</v>
      </c>
      <c r="I1250" s="28" t="s">
        <v>517</v>
      </c>
      <c r="J1250" s="28" t="s">
        <v>517</v>
      </c>
      <c r="K1250" s="28" t="s">
        <v>518</v>
      </c>
      <c r="L1250" s="28" t="s">
        <v>588</v>
      </c>
      <c r="M1250" s="28" t="s">
        <v>1374</v>
      </c>
      <c r="N1250" s="28" t="s">
        <v>557</v>
      </c>
      <c r="O1250" s="28" t="s">
        <v>544</v>
      </c>
      <c r="P1250" s="28" t="s">
        <v>650</v>
      </c>
      <c r="Q1250" s="28" t="s">
        <v>559</v>
      </c>
      <c r="R1250" s="28" t="s">
        <v>627</v>
      </c>
      <c r="S1250" s="28" t="s">
        <v>573</v>
      </c>
      <c r="T1250" s="28" t="s">
        <v>590</v>
      </c>
      <c r="U1250" s="28" t="s">
        <v>590</v>
      </c>
      <c r="V1250" s="28" t="s">
        <v>517</v>
      </c>
      <c r="W1250" s="28" t="s">
        <v>5039</v>
      </c>
      <c r="Z1250" s="118" t="s">
        <v>563</v>
      </c>
      <c r="AA1250" s="118"/>
      <c r="AB1250" s="118" t="s">
        <v>4868</v>
      </c>
      <c r="AD1250" s="28" t="s">
        <v>954</v>
      </c>
      <c r="AF1250" s="117" t="s">
        <v>5036</v>
      </c>
      <c r="AG1250" s="28" t="s">
        <v>563</v>
      </c>
      <c r="AK1250" s="60" t="s">
        <v>2927</v>
      </c>
      <c r="AL1250" s="117">
        <f>1/COUNTIF(Tableau6[LAT],B1250)</f>
        <v>0.5</v>
      </c>
      <c r="AM1250" s="60" t="b">
        <f t="shared" si="136"/>
        <v>0</v>
      </c>
      <c r="AN1250" s="60" t="b">
        <f t="shared" si="137"/>
        <v>0</v>
      </c>
      <c r="AO1250" s="60" t="b">
        <f t="shared" si="138"/>
        <v>0</v>
      </c>
      <c r="AP1250" s="60" t="b">
        <f t="shared" si="139"/>
        <v>0</v>
      </c>
      <c r="AQ1250" s="60" t="b">
        <f t="shared" si="140"/>
        <v>0</v>
      </c>
      <c r="AR1250" s="60" t="str">
        <f t="shared" si="141"/>
        <v>No</v>
      </c>
      <c r="AS1250" s="60" t="str">
        <f t="shared" si="142"/>
        <v>No</v>
      </c>
    </row>
    <row r="1251" spans="1:45" ht="15" hidden="1">
      <c r="A1251" s="103">
        <v>45244</v>
      </c>
      <c r="B1251" s="117" t="s">
        <v>5040</v>
      </c>
      <c r="C1251" s="28" t="s">
        <v>511</v>
      </c>
      <c r="D1251" s="28" t="s">
        <v>5041</v>
      </c>
      <c r="F1251" s="28" t="s">
        <v>5042</v>
      </c>
      <c r="G1251" s="28" t="s">
        <v>514</v>
      </c>
      <c r="H1251" s="28" t="s">
        <v>5043</v>
      </c>
      <c r="I1251" s="28" t="s">
        <v>517</v>
      </c>
      <c r="J1251" s="28" t="s">
        <v>517</v>
      </c>
      <c r="K1251" s="28" t="s">
        <v>518</v>
      </c>
      <c r="L1251" s="28" t="s">
        <v>3639</v>
      </c>
      <c r="M1251" s="28" t="s">
        <v>535</v>
      </c>
      <c r="N1251" s="28" t="s">
        <v>521</v>
      </c>
      <c r="O1251" s="28" t="s">
        <v>544</v>
      </c>
      <c r="P1251" s="28" t="s">
        <v>650</v>
      </c>
      <c r="Q1251" s="28" t="s">
        <v>559</v>
      </c>
      <c r="R1251" s="28" t="s">
        <v>627</v>
      </c>
      <c r="S1251" s="28" t="s">
        <v>573</v>
      </c>
      <c r="T1251" s="28" t="s">
        <v>3640</v>
      </c>
      <c r="U1251" s="28" t="s">
        <v>3640</v>
      </c>
      <c r="V1251" s="28" t="s">
        <v>517</v>
      </c>
      <c r="W1251" s="28" t="s">
        <v>5044</v>
      </c>
      <c r="Z1251" s="118" t="s">
        <v>563</v>
      </c>
      <c r="AA1251" s="118"/>
      <c r="AB1251" s="118" t="s">
        <v>4868</v>
      </c>
      <c r="AD1251" s="28" t="s">
        <v>954</v>
      </c>
      <c r="AF1251" s="117" t="s">
        <v>5041</v>
      </c>
      <c r="AG1251" s="28" t="s">
        <v>563</v>
      </c>
      <c r="AK1251" s="60" t="s">
        <v>2927</v>
      </c>
      <c r="AL1251" s="117">
        <f>1/COUNTIF(Tableau6[LAT],B1251)</f>
        <v>0.5</v>
      </c>
      <c r="AM1251" s="60" t="b">
        <f t="shared" si="136"/>
        <v>0</v>
      </c>
      <c r="AN1251" s="60" t="b">
        <f t="shared" si="137"/>
        <v>0</v>
      </c>
      <c r="AO1251" s="60" t="b">
        <f t="shared" si="138"/>
        <v>0</v>
      </c>
      <c r="AP1251" s="60" t="b">
        <f t="shared" si="139"/>
        <v>0</v>
      </c>
      <c r="AQ1251" s="60" t="b">
        <f t="shared" si="140"/>
        <v>0</v>
      </c>
      <c r="AR1251" s="60" t="str">
        <f t="shared" si="141"/>
        <v>No</v>
      </c>
      <c r="AS1251" s="60" t="str">
        <f t="shared" si="142"/>
        <v>No</v>
      </c>
    </row>
    <row r="1252" spans="1:45" ht="15" hidden="1">
      <c r="A1252" s="103">
        <v>45244</v>
      </c>
      <c r="B1252" s="117" t="s">
        <v>5040</v>
      </c>
      <c r="C1252" s="28" t="s">
        <v>548</v>
      </c>
      <c r="D1252" s="28" t="s">
        <v>5045</v>
      </c>
      <c r="F1252" s="28" t="s">
        <v>5046</v>
      </c>
      <c r="G1252" s="28" t="s">
        <v>514</v>
      </c>
      <c r="H1252" s="28" t="s">
        <v>5043</v>
      </c>
      <c r="I1252" s="28" t="s">
        <v>517</v>
      </c>
      <c r="J1252" s="28" t="s">
        <v>517</v>
      </c>
      <c r="K1252" s="28" t="s">
        <v>518</v>
      </c>
      <c r="L1252" s="28" t="s">
        <v>3639</v>
      </c>
      <c r="M1252" s="28" t="s">
        <v>535</v>
      </c>
      <c r="N1252" s="28" t="s">
        <v>521</v>
      </c>
      <c r="O1252" s="28" t="s">
        <v>544</v>
      </c>
      <c r="P1252" s="28" t="s">
        <v>650</v>
      </c>
      <c r="Q1252" s="28" t="s">
        <v>559</v>
      </c>
      <c r="R1252" s="28" t="s">
        <v>627</v>
      </c>
      <c r="S1252" s="28" t="s">
        <v>573</v>
      </c>
      <c r="T1252" s="28" t="s">
        <v>3640</v>
      </c>
      <c r="U1252" s="28" t="s">
        <v>3640</v>
      </c>
      <c r="V1252" s="28" t="s">
        <v>517</v>
      </c>
      <c r="W1252" s="28" t="s">
        <v>5047</v>
      </c>
      <c r="Z1252" s="118" t="s">
        <v>563</v>
      </c>
      <c r="AA1252" s="118"/>
      <c r="AB1252" s="118" t="s">
        <v>4868</v>
      </c>
      <c r="AD1252" s="28" t="s">
        <v>954</v>
      </c>
      <c r="AF1252" s="117" t="s">
        <v>5045</v>
      </c>
      <c r="AG1252" s="28" t="s">
        <v>563</v>
      </c>
      <c r="AK1252" s="60" t="s">
        <v>2927</v>
      </c>
      <c r="AL1252" s="117">
        <f>1/COUNTIF(Tableau6[LAT],B1252)</f>
        <v>0.5</v>
      </c>
      <c r="AM1252" s="60" t="b">
        <f t="shared" si="136"/>
        <v>0</v>
      </c>
      <c r="AN1252" s="60" t="b">
        <f t="shared" si="137"/>
        <v>0</v>
      </c>
      <c r="AO1252" s="60" t="b">
        <f t="shared" si="138"/>
        <v>0</v>
      </c>
      <c r="AP1252" s="60" t="b">
        <f t="shared" si="139"/>
        <v>0</v>
      </c>
      <c r="AQ1252" s="60" t="b">
        <f t="shared" si="140"/>
        <v>0</v>
      </c>
      <c r="AR1252" s="60" t="str">
        <f t="shared" si="141"/>
        <v>No</v>
      </c>
      <c r="AS1252" s="60" t="str">
        <f t="shared" si="142"/>
        <v>No</v>
      </c>
    </row>
    <row r="1253" spans="1:45" ht="15" hidden="1">
      <c r="A1253" s="103">
        <v>45244</v>
      </c>
      <c r="B1253" s="117" t="s">
        <v>5048</v>
      </c>
      <c r="C1253" s="28" t="s">
        <v>511</v>
      </c>
      <c r="D1253" s="28" t="s">
        <v>5049</v>
      </c>
      <c r="F1253" s="28" t="s">
        <v>5050</v>
      </c>
      <c r="G1253" s="28" t="s">
        <v>514</v>
      </c>
      <c r="H1253" s="28" t="s">
        <v>5051</v>
      </c>
      <c r="I1253" s="28" t="s">
        <v>517</v>
      </c>
      <c r="J1253" s="28" t="s">
        <v>517</v>
      </c>
      <c r="K1253" s="28" t="s">
        <v>518</v>
      </c>
      <c r="L1253" s="28" t="s">
        <v>3639</v>
      </c>
      <c r="M1253" s="28" t="s">
        <v>535</v>
      </c>
      <c r="N1253" s="28" t="s">
        <v>521</v>
      </c>
      <c r="O1253" s="28" t="s">
        <v>544</v>
      </c>
      <c r="P1253" s="28" t="s">
        <v>650</v>
      </c>
      <c r="Q1253" s="28" t="s">
        <v>559</v>
      </c>
      <c r="R1253" s="28" t="s">
        <v>627</v>
      </c>
      <c r="S1253" s="28" t="s">
        <v>573</v>
      </c>
      <c r="T1253" s="28" t="s">
        <v>3640</v>
      </c>
      <c r="U1253" s="28" t="s">
        <v>3640</v>
      </c>
      <c r="V1253" s="28" t="s">
        <v>517</v>
      </c>
      <c r="W1253" s="28" t="s">
        <v>5052</v>
      </c>
      <c r="Z1253" s="118" t="s">
        <v>563</v>
      </c>
      <c r="AA1253" s="118"/>
      <c r="AB1253" s="118" t="s">
        <v>4511</v>
      </c>
      <c r="AD1253" s="28" t="s">
        <v>954</v>
      </c>
      <c r="AF1253" s="117" t="s">
        <v>5049</v>
      </c>
      <c r="AG1253" s="28" t="s">
        <v>563</v>
      </c>
      <c r="AK1253" s="60" t="s">
        <v>2927</v>
      </c>
      <c r="AL1253" s="117">
        <f>1/COUNTIF(Tableau6[LAT],B1253)</f>
        <v>0.5</v>
      </c>
      <c r="AM1253" s="60" t="b">
        <f t="shared" si="136"/>
        <v>0</v>
      </c>
      <c r="AN1253" s="60" t="b">
        <f t="shared" si="137"/>
        <v>0</v>
      </c>
      <c r="AO1253" s="60" t="b">
        <f t="shared" si="138"/>
        <v>0</v>
      </c>
      <c r="AP1253" s="60" t="b">
        <f t="shared" si="139"/>
        <v>0</v>
      </c>
      <c r="AQ1253" s="60" t="b">
        <f t="shared" si="140"/>
        <v>0</v>
      </c>
      <c r="AR1253" s="60" t="str">
        <f t="shared" si="141"/>
        <v>No</v>
      </c>
      <c r="AS1253" s="60" t="str">
        <f t="shared" si="142"/>
        <v>No</v>
      </c>
    </row>
    <row r="1254" spans="1:45" ht="15" hidden="1">
      <c r="A1254" s="103">
        <v>45244</v>
      </c>
      <c r="B1254" s="117" t="s">
        <v>5048</v>
      </c>
      <c r="C1254" s="28" t="s">
        <v>548</v>
      </c>
      <c r="D1254" s="28" t="s">
        <v>5053</v>
      </c>
      <c r="F1254" s="28" t="s">
        <v>5050</v>
      </c>
      <c r="G1254" s="28" t="s">
        <v>514</v>
      </c>
      <c r="H1254" s="28" t="s">
        <v>5051</v>
      </c>
      <c r="I1254" s="28" t="s">
        <v>517</v>
      </c>
      <c r="J1254" s="28" t="s">
        <v>517</v>
      </c>
      <c r="K1254" s="28" t="s">
        <v>518</v>
      </c>
      <c r="L1254" s="28" t="s">
        <v>3639</v>
      </c>
      <c r="M1254" s="28" t="s">
        <v>535</v>
      </c>
      <c r="N1254" s="28" t="s">
        <v>521</v>
      </c>
      <c r="O1254" s="28" t="s">
        <v>544</v>
      </c>
      <c r="P1254" s="28" t="s">
        <v>650</v>
      </c>
      <c r="Q1254" s="28" t="s">
        <v>559</v>
      </c>
      <c r="R1254" s="28" t="s">
        <v>627</v>
      </c>
      <c r="S1254" s="28" t="s">
        <v>573</v>
      </c>
      <c r="T1254" s="28" t="s">
        <v>3640</v>
      </c>
      <c r="U1254" s="28" t="s">
        <v>3640</v>
      </c>
      <c r="V1254" s="28" t="s">
        <v>517</v>
      </c>
      <c r="W1254" s="28" t="s">
        <v>5054</v>
      </c>
      <c r="Z1254" s="118" t="s">
        <v>563</v>
      </c>
      <c r="AA1254" s="118"/>
      <c r="AB1254" s="118" t="s">
        <v>4511</v>
      </c>
      <c r="AD1254" s="28" t="s">
        <v>954</v>
      </c>
      <c r="AF1254" s="117" t="s">
        <v>5049</v>
      </c>
      <c r="AG1254" s="28" t="s">
        <v>563</v>
      </c>
      <c r="AK1254" s="60" t="s">
        <v>2927</v>
      </c>
      <c r="AL1254" s="117">
        <f>1/COUNTIF(Tableau6[LAT],B1254)</f>
        <v>0.5</v>
      </c>
      <c r="AM1254" s="60" t="b">
        <f t="shared" si="136"/>
        <v>0</v>
      </c>
      <c r="AN1254" s="60" t="b">
        <f t="shared" si="137"/>
        <v>0</v>
      </c>
      <c r="AO1254" s="60" t="b">
        <f t="shared" si="138"/>
        <v>0</v>
      </c>
      <c r="AP1254" s="60" t="b">
        <f t="shared" si="139"/>
        <v>0</v>
      </c>
      <c r="AQ1254" s="60" t="b">
        <f t="shared" si="140"/>
        <v>0</v>
      </c>
      <c r="AR1254" s="60" t="str">
        <f t="shared" si="141"/>
        <v>No</v>
      </c>
      <c r="AS1254" s="60" t="str">
        <f t="shared" si="142"/>
        <v>No</v>
      </c>
    </row>
    <row r="1255" spans="1:45" ht="15" hidden="1">
      <c r="A1255" s="103">
        <v>45244</v>
      </c>
      <c r="B1255" s="117" t="s">
        <v>5055</v>
      </c>
      <c r="C1255" s="28" t="s">
        <v>511</v>
      </c>
      <c r="D1255" s="28" t="s">
        <v>5056</v>
      </c>
      <c r="F1255" s="28" t="s">
        <v>5057</v>
      </c>
      <c r="G1255" s="28" t="s">
        <v>648</v>
      </c>
      <c r="H1255" s="28" t="s">
        <v>2442</v>
      </c>
      <c r="I1255" s="28" t="s">
        <v>517</v>
      </c>
      <c r="J1255" s="28" t="s">
        <v>517</v>
      </c>
      <c r="K1255" s="28" t="s">
        <v>518</v>
      </c>
      <c r="L1255" s="28" t="s">
        <v>519</v>
      </c>
      <c r="M1255" s="28" t="s">
        <v>520</v>
      </c>
      <c r="N1255" s="28" t="s">
        <v>521</v>
      </c>
      <c r="O1255" s="28" t="s">
        <v>626</v>
      </c>
      <c r="P1255" s="28" t="s">
        <v>559</v>
      </c>
      <c r="Q1255" s="28" t="s">
        <v>627</v>
      </c>
      <c r="S1255" s="28" t="s">
        <v>573</v>
      </c>
      <c r="T1255" s="28" t="s">
        <v>524</v>
      </c>
      <c r="U1255" s="28" t="s">
        <v>524</v>
      </c>
      <c r="V1255" s="28" t="s">
        <v>517</v>
      </c>
      <c r="W1255" s="28" t="s">
        <v>821</v>
      </c>
      <c r="Z1255" s="118" t="s">
        <v>563</v>
      </c>
      <c r="AA1255" s="118"/>
      <c r="AB1255" s="118" t="s">
        <v>527</v>
      </c>
      <c r="AF1255" s="117"/>
      <c r="AK1255" s="60" t="s">
        <v>2927</v>
      </c>
      <c r="AL1255" s="117">
        <f>1/COUNTIF(Tableau6[LAT],B1255)</f>
        <v>1</v>
      </c>
      <c r="AM1255" s="60" t="b">
        <f t="shared" si="136"/>
        <v>0</v>
      </c>
      <c r="AN1255" s="60" t="b">
        <f t="shared" si="137"/>
        <v>0</v>
      </c>
      <c r="AO1255" s="60" t="b">
        <f t="shared" si="138"/>
        <v>0</v>
      </c>
      <c r="AP1255" s="60" t="b">
        <f t="shared" si="139"/>
        <v>0</v>
      </c>
      <c r="AQ1255" s="60" t="b">
        <f t="shared" si="140"/>
        <v>0</v>
      </c>
      <c r="AR1255" s="60" t="str">
        <f t="shared" si="141"/>
        <v>No</v>
      </c>
      <c r="AS1255" s="60" t="str">
        <f t="shared" si="142"/>
        <v>No</v>
      </c>
    </row>
    <row r="1256" spans="1:45" ht="15" hidden="1">
      <c r="A1256" s="103">
        <v>45244</v>
      </c>
      <c r="B1256" s="117" t="s">
        <v>5058</v>
      </c>
      <c r="C1256" s="28" t="s">
        <v>511</v>
      </c>
      <c r="D1256" s="28" t="s">
        <v>5059</v>
      </c>
      <c r="F1256" s="28" t="s">
        <v>5060</v>
      </c>
      <c r="G1256" s="28" t="s">
        <v>514</v>
      </c>
      <c r="H1256" s="28" t="s">
        <v>2094</v>
      </c>
      <c r="I1256" s="28" t="s">
        <v>516</v>
      </c>
      <c r="J1256" s="28" t="s">
        <v>517</v>
      </c>
      <c r="K1256" s="28" t="s">
        <v>518</v>
      </c>
      <c r="L1256" s="28" t="s">
        <v>1269</v>
      </c>
      <c r="M1256" s="28" t="s">
        <v>535</v>
      </c>
      <c r="N1256" s="28" t="s">
        <v>557</v>
      </c>
      <c r="O1256" s="28" t="s">
        <v>544</v>
      </c>
      <c r="P1256" s="28" t="s">
        <v>559</v>
      </c>
      <c r="S1256" s="28" t="s">
        <v>607</v>
      </c>
      <c r="T1256" s="28" t="s">
        <v>1589</v>
      </c>
      <c r="U1256" s="28" t="s">
        <v>1589</v>
      </c>
      <c r="V1256" s="28" t="s">
        <v>517</v>
      </c>
      <c r="W1256" s="28" t="s">
        <v>5061</v>
      </c>
      <c r="Z1256" s="118" t="s">
        <v>563</v>
      </c>
      <c r="AA1256" s="118"/>
      <c r="AB1256" s="118" t="s">
        <v>527</v>
      </c>
      <c r="AD1256" s="28" t="s">
        <v>954</v>
      </c>
      <c r="AF1256" s="117" t="s">
        <v>5059</v>
      </c>
      <c r="AG1256" s="28" t="s">
        <v>563</v>
      </c>
      <c r="AK1256" s="60" t="s">
        <v>2927</v>
      </c>
      <c r="AL1256" s="117">
        <f>1/COUNTIF(Tableau6[LAT],B1256)</f>
        <v>1</v>
      </c>
      <c r="AM1256" s="60" t="b">
        <f t="shared" si="136"/>
        <v>0</v>
      </c>
      <c r="AN1256" s="60" t="b">
        <f t="shared" si="137"/>
        <v>0</v>
      </c>
      <c r="AO1256" s="60" t="b">
        <f t="shared" si="138"/>
        <v>0</v>
      </c>
      <c r="AP1256" s="60" t="b">
        <f t="shared" si="139"/>
        <v>0</v>
      </c>
      <c r="AQ1256" s="60" t="b">
        <f t="shared" si="140"/>
        <v>0</v>
      </c>
      <c r="AR1256" s="60" t="str">
        <f t="shared" si="141"/>
        <v>No</v>
      </c>
      <c r="AS1256" s="60" t="str">
        <f t="shared" si="142"/>
        <v>No</v>
      </c>
    </row>
    <row r="1257" spans="1:45" ht="15" hidden="1">
      <c r="A1257" s="103">
        <v>45244</v>
      </c>
      <c r="B1257" s="117" t="s">
        <v>5062</v>
      </c>
      <c r="C1257" s="28" t="s">
        <v>511</v>
      </c>
      <c r="D1257" s="28" t="s">
        <v>5063</v>
      </c>
      <c r="F1257" s="28" t="s">
        <v>5064</v>
      </c>
      <c r="G1257" s="28" t="s">
        <v>514</v>
      </c>
      <c r="H1257" s="28" t="s">
        <v>921</v>
      </c>
      <c r="I1257" s="28" t="s">
        <v>516</v>
      </c>
      <c r="J1257" s="28" t="s">
        <v>517</v>
      </c>
      <c r="K1257" s="28" t="s">
        <v>518</v>
      </c>
      <c r="L1257" s="28" t="s">
        <v>3813</v>
      </c>
      <c r="M1257" s="28" t="s">
        <v>520</v>
      </c>
      <c r="N1257" s="28" t="s">
        <v>557</v>
      </c>
      <c r="O1257" s="28" t="s">
        <v>544</v>
      </c>
      <c r="P1257" s="28" t="s">
        <v>522</v>
      </c>
      <c r="S1257" s="28" t="s">
        <v>590</v>
      </c>
      <c r="T1257" s="28" t="s">
        <v>1014</v>
      </c>
      <c r="U1257" s="28" t="s">
        <v>1014</v>
      </c>
      <c r="V1257" s="28" t="s">
        <v>517</v>
      </c>
      <c r="W1257" s="28" t="s">
        <v>5065</v>
      </c>
      <c r="Z1257" s="118" t="s">
        <v>563</v>
      </c>
      <c r="AA1257" s="118"/>
      <c r="AB1257" s="118" t="s">
        <v>527</v>
      </c>
      <c r="AD1257" s="28" t="s">
        <v>954</v>
      </c>
      <c r="AF1257" s="117" t="s">
        <v>5063</v>
      </c>
      <c r="AG1257" s="28" t="s">
        <v>563</v>
      </c>
      <c r="AK1257" s="60" t="s">
        <v>2927</v>
      </c>
      <c r="AL1257" s="117">
        <f>1/COUNTIF(Tableau6[LAT],B1257)</f>
        <v>0.5</v>
      </c>
      <c r="AM1257" s="60" t="b">
        <f t="shared" si="136"/>
        <v>0</v>
      </c>
      <c r="AN1257" s="60" t="b">
        <f t="shared" si="137"/>
        <v>0</v>
      </c>
      <c r="AO1257" s="60" t="b">
        <f t="shared" si="138"/>
        <v>0</v>
      </c>
      <c r="AP1257" s="60" t="b">
        <f t="shared" si="139"/>
        <v>0</v>
      </c>
      <c r="AQ1257" s="60" t="b">
        <f t="shared" si="140"/>
        <v>0</v>
      </c>
      <c r="AR1257" s="60" t="str">
        <f t="shared" si="141"/>
        <v>No</v>
      </c>
      <c r="AS1257" s="60" t="str">
        <f t="shared" si="142"/>
        <v>No</v>
      </c>
    </row>
    <row r="1258" spans="1:45" ht="15" hidden="1">
      <c r="A1258" s="103">
        <v>45244</v>
      </c>
      <c r="B1258" s="117" t="s">
        <v>5062</v>
      </c>
      <c r="C1258" s="28" t="s">
        <v>548</v>
      </c>
      <c r="D1258" s="28" t="s">
        <v>5066</v>
      </c>
      <c r="E1258" s="28" t="s">
        <v>5067</v>
      </c>
      <c r="F1258" s="28" t="s">
        <v>3914</v>
      </c>
      <c r="G1258" s="28" t="s">
        <v>724</v>
      </c>
      <c r="H1258" s="28" t="s">
        <v>5068</v>
      </c>
      <c r="I1258" s="28" t="s">
        <v>516</v>
      </c>
      <c r="J1258" s="28" t="s">
        <v>517</v>
      </c>
      <c r="K1258" s="28" t="s">
        <v>518</v>
      </c>
      <c r="L1258" s="28" t="s">
        <v>3813</v>
      </c>
      <c r="M1258" s="28" t="s">
        <v>520</v>
      </c>
      <c r="N1258" s="28" t="s">
        <v>557</v>
      </c>
      <c r="O1258" s="28" t="s">
        <v>544</v>
      </c>
      <c r="P1258" s="28" t="s">
        <v>522</v>
      </c>
      <c r="S1258" s="28" t="s">
        <v>590</v>
      </c>
      <c r="T1258" s="28" t="s">
        <v>1014</v>
      </c>
      <c r="U1258" s="28" t="s">
        <v>1014</v>
      </c>
      <c r="V1258" s="28" t="s">
        <v>517</v>
      </c>
      <c r="W1258" s="28" t="s">
        <v>5069</v>
      </c>
      <c r="X1258" s="28" t="s">
        <v>670</v>
      </c>
      <c r="Z1258" s="118" t="s">
        <v>563</v>
      </c>
      <c r="AA1258" s="118"/>
      <c r="AB1258" s="118" t="s">
        <v>527</v>
      </c>
      <c r="AD1258" s="28" t="s">
        <v>954</v>
      </c>
      <c r="AF1258" s="117" t="s">
        <v>5063</v>
      </c>
      <c r="AG1258" s="28" t="s">
        <v>563</v>
      </c>
      <c r="AK1258" s="60" t="s">
        <v>2927</v>
      </c>
      <c r="AL1258" s="117">
        <f>1/COUNTIF(Tableau6[LAT],B1258)</f>
        <v>0.5</v>
      </c>
      <c r="AM1258" s="60" t="b">
        <f t="shared" si="136"/>
        <v>0</v>
      </c>
      <c r="AN1258" s="60" t="b">
        <f t="shared" si="137"/>
        <v>0</v>
      </c>
      <c r="AO1258" s="60" t="b">
        <f t="shared" si="138"/>
        <v>0</v>
      </c>
      <c r="AP1258" s="60" t="b">
        <f t="shared" si="139"/>
        <v>0</v>
      </c>
      <c r="AQ1258" s="60" t="b">
        <f t="shared" si="140"/>
        <v>0</v>
      </c>
      <c r="AR1258" s="60" t="str">
        <f t="shared" si="141"/>
        <v>No</v>
      </c>
      <c r="AS1258" s="60" t="str">
        <f t="shared" si="142"/>
        <v>No</v>
      </c>
    </row>
    <row r="1259" spans="1:45" ht="15" hidden="1">
      <c r="A1259" s="103">
        <v>45244</v>
      </c>
      <c r="B1259" s="117" t="s">
        <v>5070</v>
      </c>
      <c r="C1259" s="28" t="s">
        <v>548</v>
      </c>
      <c r="D1259" s="28" t="s">
        <v>5071</v>
      </c>
      <c r="F1259" s="28" t="s">
        <v>1306</v>
      </c>
      <c r="G1259" s="28" t="s">
        <v>514</v>
      </c>
      <c r="H1259" s="28" t="s">
        <v>1360</v>
      </c>
      <c r="I1259" s="28" t="s">
        <v>516</v>
      </c>
      <c r="J1259" s="28" t="s">
        <v>517</v>
      </c>
      <c r="K1259" s="28" t="s">
        <v>518</v>
      </c>
      <c r="L1259" s="28" t="s">
        <v>3313</v>
      </c>
      <c r="M1259" s="28" t="s">
        <v>520</v>
      </c>
      <c r="N1259" s="28" t="s">
        <v>557</v>
      </c>
      <c r="S1259" s="28" t="s">
        <v>733</v>
      </c>
      <c r="T1259" s="28" t="s">
        <v>2778</v>
      </c>
      <c r="U1259" s="28" t="s">
        <v>705</v>
      </c>
      <c r="V1259" s="28" t="s">
        <v>517</v>
      </c>
      <c r="W1259" s="28" t="s">
        <v>3285</v>
      </c>
      <c r="Z1259" s="118" t="s">
        <v>526</v>
      </c>
      <c r="AA1259" s="118"/>
      <c r="AB1259" s="118"/>
      <c r="AD1259" s="28" t="s">
        <v>954</v>
      </c>
      <c r="AF1259" s="117" t="s">
        <v>5072</v>
      </c>
      <c r="AG1259" s="28" t="s">
        <v>563</v>
      </c>
      <c r="AK1259" s="60" t="s">
        <v>2927</v>
      </c>
      <c r="AL1259" s="117">
        <f>1/COUNTIF(Tableau6[LAT],B1259)</f>
        <v>1</v>
      </c>
      <c r="AM1259" s="60" t="b">
        <f t="shared" si="136"/>
        <v>0</v>
      </c>
      <c r="AN1259" s="60" t="b">
        <f t="shared" si="137"/>
        <v>0</v>
      </c>
      <c r="AO1259" s="60" t="b">
        <f t="shared" si="138"/>
        <v>0</v>
      </c>
      <c r="AP1259" s="60" t="b">
        <f t="shared" si="139"/>
        <v>0</v>
      </c>
      <c r="AQ1259" s="60" t="b">
        <f t="shared" si="140"/>
        <v>0</v>
      </c>
      <c r="AR1259" s="60" t="str">
        <f t="shared" si="141"/>
        <v>No</v>
      </c>
      <c r="AS1259" s="60" t="str">
        <f t="shared" si="142"/>
        <v>Yes</v>
      </c>
    </row>
    <row r="1260" spans="1:45" ht="15" hidden="1">
      <c r="A1260" s="103">
        <v>45244</v>
      </c>
      <c r="B1260" s="117" t="s">
        <v>5073</v>
      </c>
      <c r="C1260" s="28" t="s">
        <v>511</v>
      </c>
      <c r="D1260" s="28" t="s">
        <v>5074</v>
      </c>
      <c r="F1260" s="28" t="s">
        <v>5075</v>
      </c>
      <c r="G1260" s="28" t="s">
        <v>514</v>
      </c>
      <c r="H1260" s="28" t="s">
        <v>5038</v>
      </c>
      <c r="I1260" s="28" t="s">
        <v>516</v>
      </c>
      <c r="J1260" s="28" t="s">
        <v>517</v>
      </c>
      <c r="K1260" s="28" t="s">
        <v>518</v>
      </c>
      <c r="L1260" s="28" t="s">
        <v>839</v>
      </c>
      <c r="M1260" s="28" t="s">
        <v>520</v>
      </c>
      <c r="N1260" s="28" t="s">
        <v>544</v>
      </c>
      <c r="O1260" s="28" t="s">
        <v>1107</v>
      </c>
      <c r="P1260" s="28" t="s">
        <v>559</v>
      </c>
      <c r="S1260" s="28" t="s">
        <v>928</v>
      </c>
      <c r="T1260" s="28" t="s">
        <v>840</v>
      </c>
      <c r="U1260" s="28" t="s">
        <v>840</v>
      </c>
      <c r="V1260" s="28" t="s">
        <v>517</v>
      </c>
      <c r="W1260" s="28" t="s">
        <v>591</v>
      </c>
      <c r="Z1260" s="118" t="s">
        <v>563</v>
      </c>
      <c r="AA1260" s="118"/>
      <c r="AB1260" s="118" t="s">
        <v>527</v>
      </c>
      <c r="AD1260" s="28" t="s">
        <v>528</v>
      </c>
      <c r="AF1260" s="117" t="s">
        <v>5074</v>
      </c>
      <c r="AG1260" s="28" t="s">
        <v>563</v>
      </c>
      <c r="AK1260" s="60" t="s">
        <v>2927</v>
      </c>
      <c r="AL1260" s="117">
        <f>1/COUNTIF(Tableau6[LAT],B1260)</f>
        <v>0.33333333333333331</v>
      </c>
      <c r="AM1260" s="60" t="b">
        <f t="shared" si="136"/>
        <v>0</v>
      </c>
      <c r="AN1260" s="60" t="b">
        <f t="shared" si="137"/>
        <v>0</v>
      </c>
      <c r="AO1260" s="60" t="b">
        <f t="shared" si="138"/>
        <v>0</v>
      </c>
      <c r="AP1260" s="60" t="b">
        <f t="shared" si="139"/>
        <v>0</v>
      </c>
      <c r="AQ1260" s="60" t="b">
        <f t="shared" si="140"/>
        <v>0</v>
      </c>
      <c r="AR1260" s="60" t="str">
        <f t="shared" si="141"/>
        <v>No</v>
      </c>
      <c r="AS1260" s="60" t="str">
        <f t="shared" si="142"/>
        <v>No</v>
      </c>
    </row>
    <row r="1261" spans="1:45" ht="15" hidden="1">
      <c r="A1261" s="103">
        <v>45244</v>
      </c>
      <c r="B1261" s="117" t="s">
        <v>5073</v>
      </c>
      <c r="C1261" s="28" t="s">
        <v>548</v>
      </c>
      <c r="D1261" s="28" t="s">
        <v>5076</v>
      </c>
      <c r="F1261" s="28" t="s">
        <v>5077</v>
      </c>
      <c r="G1261" s="28" t="s">
        <v>514</v>
      </c>
      <c r="H1261" s="28" t="s">
        <v>5038</v>
      </c>
      <c r="I1261" s="28" t="s">
        <v>516</v>
      </c>
      <c r="J1261" s="28" t="s">
        <v>517</v>
      </c>
      <c r="K1261" s="28" t="s">
        <v>518</v>
      </c>
      <c r="L1261" s="28" t="s">
        <v>839</v>
      </c>
      <c r="M1261" s="28" t="s">
        <v>520</v>
      </c>
      <c r="N1261" s="28" t="s">
        <v>544</v>
      </c>
      <c r="O1261" s="28" t="s">
        <v>1107</v>
      </c>
      <c r="P1261" s="28" t="s">
        <v>559</v>
      </c>
      <c r="S1261" s="28" t="s">
        <v>928</v>
      </c>
      <c r="T1261" s="28" t="s">
        <v>840</v>
      </c>
      <c r="U1261" s="28" t="s">
        <v>840</v>
      </c>
      <c r="V1261" s="28" t="s">
        <v>517</v>
      </c>
      <c r="W1261" s="28" t="s">
        <v>5078</v>
      </c>
      <c r="Z1261" s="118" t="s">
        <v>563</v>
      </c>
      <c r="AA1261" s="118"/>
      <c r="AB1261" s="118" t="s">
        <v>527</v>
      </c>
      <c r="AD1261" s="28" t="s">
        <v>528</v>
      </c>
      <c r="AF1261" s="117" t="s">
        <v>5076</v>
      </c>
      <c r="AG1261" s="28" t="s">
        <v>563</v>
      </c>
      <c r="AK1261" s="60" t="s">
        <v>2927</v>
      </c>
      <c r="AL1261" s="117">
        <f>1/COUNTIF(Tableau6[LAT],B1261)</f>
        <v>0.33333333333333331</v>
      </c>
      <c r="AM1261" s="60" t="b">
        <f t="shared" si="136"/>
        <v>0</v>
      </c>
      <c r="AN1261" s="60" t="b">
        <f t="shared" si="137"/>
        <v>0</v>
      </c>
      <c r="AO1261" s="60" t="b">
        <f t="shared" si="138"/>
        <v>0</v>
      </c>
      <c r="AP1261" s="60" t="b">
        <f t="shared" si="139"/>
        <v>0</v>
      </c>
      <c r="AQ1261" s="60" t="b">
        <f t="shared" si="140"/>
        <v>0</v>
      </c>
      <c r="AR1261" s="60" t="str">
        <f t="shared" si="141"/>
        <v>No</v>
      </c>
      <c r="AS1261" s="60" t="str">
        <f t="shared" si="142"/>
        <v>No</v>
      </c>
    </row>
    <row r="1262" spans="1:45" ht="15" hidden="1">
      <c r="A1262" s="103">
        <v>45244</v>
      </c>
      <c r="B1262" s="117" t="s">
        <v>5073</v>
      </c>
      <c r="C1262" s="28" t="s">
        <v>612</v>
      </c>
      <c r="D1262" s="28" t="s">
        <v>5079</v>
      </c>
      <c r="F1262" s="28" t="s">
        <v>5075</v>
      </c>
      <c r="G1262" s="28" t="s">
        <v>514</v>
      </c>
      <c r="H1262" s="28" t="s">
        <v>5038</v>
      </c>
      <c r="I1262" s="28" t="s">
        <v>516</v>
      </c>
      <c r="J1262" s="28" t="s">
        <v>517</v>
      </c>
      <c r="K1262" s="28" t="s">
        <v>518</v>
      </c>
      <c r="L1262" s="28" t="s">
        <v>839</v>
      </c>
      <c r="M1262" s="28" t="s">
        <v>520</v>
      </c>
      <c r="N1262" s="28" t="s">
        <v>544</v>
      </c>
      <c r="O1262" s="28" t="s">
        <v>1107</v>
      </c>
      <c r="P1262" s="28" t="s">
        <v>559</v>
      </c>
      <c r="S1262" s="28" t="s">
        <v>928</v>
      </c>
      <c r="T1262" s="28" t="s">
        <v>840</v>
      </c>
      <c r="U1262" s="28" t="s">
        <v>840</v>
      </c>
      <c r="V1262" s="28" t="s">
        <v>517</v>
      </c>
      <c r="W1262" s="28" t="s">
        <v>591</v>
      </c>
      <c r="Z1262" s="118" t="s">
        <v>563</v>
      </c>
      <c r="AA1262" s="118"/>
      <c r="AB1262" s="118" t="s">
        <v>527</v>
      </c>
      <c r="AD1262" s="28" t="s">
        <v>528</v>
      </c>
      <c r="AF1262" s="117" t="s">
        <v>5079</v>
      </c>
      <c r="AG1262" s="28" t="s">
        <v>563</v>
      </c>
      <c r="AK1262" s="60" t="s">
        <v>2927</v>
      </c>
      <c r="AL1262" s="117">
        <f>1/COUNTIF(Tableau6[LAT],B1262)</f>
        <v>0.33333333333333331</v>
      </c>
      <c r="AM1262" s="60" t="b">
        <f t="shared" si="136"/>
        <v>0</v>
      </c>
      <c r="AN1262" s="60" t="b">
        <f t="shared" si="137"/>
        <v>0</v>
      </c>
      <c r="AO1262" s="60" t="b">
        <f t="shared" si="138"/>
        <v>0</v>
      </c>
      <c r="AP1262" s="60" t="b">
        <f t="shared" si="139"/>
        <v>0</v>
      </c>
      <c r="AQ1262" s="60" t="b">
        <f t="shared" si="140"/>
        <v>0</v>
      </c>
      <c r="AR1262" s="60" t="str">
        <f t="shared" si="141"/>
        <v>No</v>
      </c>
      <c r="AS1262" s="60" t="str">
        <f t="shared" si="142"/>
        <v>No</v>
      </c>
    </row>
    <row r="1263" spans="1:45" ht="15" hidden="1">
      <c r="A1263" s="103">
        <v>45244</v>
      </c>
      <c r="B1263" s="117" t="s">
        <v>5080</v>
      </c>
      <c r="C1263" s="28" t="s">
        <v>612</v>
      </c>
      <c r="D1263" s="28" t="s">
        <v>5081</v>
      </c>
      <c r="E1263" s="28" t="s">
        <v>5082</v>
      </c>
      <c r="F1263" s="28" t="s">
        <v>5083</v>
      </c>
      <c r="G1263" s="28" t="s">
        <v>514</v>
      </c>
      <c r="H1263" s="28" t="s">
        <v>555</v>
      </c>
      <c r="I1263" s="28" t="s">
        <v>516</v>
      </c>
      <c r="J1263" s="28" t="s">
        <v>516</v>
      </c>
      <c r="K1263" s="28" t="s">
        <v>682</v>
      </c>
      <c r="L1263" s="28" t="s">
        <v>3143</v>
      </c>
      <c r="M1263" s="28" t="s">
        <v>535</v>
      </c>
      <c r="N1263" s="28" t="s">
        <v>2359</v>
      </c>
      <c r="O1263" s="28" t="s">
        <v>544</v>
      </c>
      <c r="P1263" s="28" t="s">
        <v>558</v>
      </c>
      <c r="Q1263" s="28" t="s">
        <v>1572</v>
      </c>
      <c r="R1263" s="28" t="s">
        <v>559</v>
      </c>
      <c r="S1263" s="28" t="s">
        <v>928</v>
      </c>
      <c r="T1263" s="28" t="s">
        <v>1918</v>
      </c>
      <c r="U1263" s="28" t="s">
        <v>1918</v>
      </c>
      <c r="V1263" s="28" t="s">
        <v>517</v>
      </c>
      <c r="W1263" s="28" t="s">
        <v>5084</v>
      </c>
      <c r="X1263" s="28" t="s">
        <v>670</v>
      </c>
      <c r="Z1263" s="118" t="s">
        <v>563</v>
      </c>
      <c r="AA1263" s="118"/>
      <c r="AB1263" s="118" t="s">
        <v>527</v>
      </c>
      <c r="AD1263" s="118" t="s">
        <v>954</v>
      </c>
      <c r="AE1263" s="118"/>
      <c r="AF1263" s="139" t="s">
        <v>5082</v>
      </c>
      <c r="AG1263" s="118" t="s">
        <v>563</v>
      </c>
      <c r="AK1263" s="60" t="s">
        <v>2927</v>
      </c>
      <c r="AL1263" s="117">
        <f>1/COUNTIF(Tableau6[LAT],B1263)</f>
        <v>0.5</v>
      </c>
      <c r="AM1263" s="60" t="b">
        <f t="shared" si="136"/>
        <v>0</v>
      </c>
      <c r="AN1263" s="60" t="b">
        <f t="shared" si="137"/>
        <v>0</v>
      </c>
      <c r="AO1263" s="60" t="b">
        <f t="shared" si="138"/>
        <v>0</v>
      </c>
      <c r="AP1263" s="60" t="b">
        <f t="shared" si="139"/>
        <v>0</v>
      </c>
      <c r="AQ1263" s="60" t="b">
        <f t="shared" si="140"/>
        <v>0</v>
      </c>
      <c r="AR1263" s="60" t="str">
        <f t="shared" si="141"/>
        <v>No</v>
      </c>
      <c r="AS1263" s="60" t="str">
        <f t="shared" si="142"/>
        <v>No</v>
      </c>
    </row>
    <row r="1264" spans="1:45" ht="15" hidden="1">
      <c r="A1264" s="103">
        <v>45244</v>
      </c>
      <c r="B1264" s="117" t="s">
        <v>5080</v>
      </c>
      <c r="C1264" s="28" t="s">
        <v>691</v>
      </c>
      <c r="D1264" s="28" t="s">
        <v>5085</v>
      </c>
      <c r="E1264" s="28" t="s">
        <v>5086</v>
      </c>
      <c r="F1264" s="28" t="s">
        <v>5087</v>
      </c>
      <c r="G1264" s="28" t="s">
        <v>514</v>
      </c>
      <c r="H1264" s="28" t="s">
        <v>555</v>
      </c>
      <c r="I1264" s="28" t="s">
        <v>516</v>
      </c>
      <c r="J1264" s="28" t="s">
        <v>516</v>
      </c>
      <c r="K1264" s="28" t="s">
        <v>682</v>
      </c>
      <c r="L1264" s="28" t="s">
        <v>3143</v>
      </c>
      <c r="M1264" s="28" t="s">
        <v>535</v>
      </c>
      <c r="N1264" s="28" t="s">
        <v>2359</v>
      </c>
      <c r="O1264" s="28" t="s">
        <v>544</v>
      </c>
      <c r="P1264" s="28" t="s">
        <v>558</v>
      </c>
      <c r="Q1264" s="28" t="s">
        <v>1572</v>
      </c>
      <c r="R1264" s="28" t="s">
        <v>559</v>
      </c>
      <c r="S1264" s="28" t="s">
        <v>928</v>
      </c>
      <c r="T1264" s="28" t="s">
        <v>1918</v>
      </c>
      <c r="U1264" s="28" t="s">
        <v>1918</v>
      </c>
      <c r="V1264" s="28" t="s">
        <v>517</v>
      </c>
      <c r="W1264" s="28" t="s">
        <v>5088</v>
      </c>
      <c r="X1264" s="28" t="s">
        <v>670</v>
      </c>
      <c r="Z1264" s="118" t="s">
        <v>563</v>
      </c>
      <c r="AA1264" s="118"/>
      <c r="AB1264" s="118" t="s">
        <v>527</v>
      </c>
      <c r="AD1264" s="118" t="s">
        <v>954</v>
      </c>
      <c r="AE1264" s="118"/>
      <c r="AF1264" s="137">
        <v>0</v>
      </c>
      <c r="AG1264" s="118" t="s">
        <v>563</v>
      </c>
      <c r="AK1264" s="60" t="s">
        <v>2927</v>
      </c>
      <c r="AL1264" s="117">
        <f>1/COUNTIF(Tableau6[LAT],B1264)</f>
        <v>0.5</v>
      </c>
      <c r="AM1264" s="60" t="b">
        <f t="shared" si="136"/>
        <v>0</v>
      </c>
      <c r="AN1264" s="60" t="b">
        <f t="shared" si="137"/>
        <v>0</v>
      </c>
      <c r="AO1264" s="60" t="b">
        <f t="shared" si="138"/>
        <v>0</v>
      </c>
      <c r="AP1264" s="60" t="b">
        <f t="shared" si="139"/>
        <v>0</v>
      </c>
      <c r="AQ1264" s="60" t="b">
        <f t="shared" si="140"/>
        <v>0</v>
      </c>
      <c r="AR1264" s="60" t="str">
        <f t="shared" si="141"/>
        <v>No</v>
      </c>
      <c r="AS1264" s="60" t="str">
        <f t="shared" si="142"/>
        <v>No</v>
      </c>
    </row>
    <row r="1265" spans="1:45" ht="15" hidden="1">
      <c r="A1265" s="103">
        <v>45244</v>
      </c>
      <c r="B1265" s="117" t="s">
        <v>5089</v>
      </c>
      <c r="C1265" s="28" t="s">
        <v>511</v>
      </c>
      <c r="D1265" s="28" t="s">
        <v>5090</v>
      </c>
      <c r="F1265" s="28" t="s">
        <v>5091</v>
      </c>
      <c r="G1265" s="28" t="s">
        <v>514</v>
      </c>
      <c r="H1265" s="28" t="s">
        <v>5092</v>
      </c>
      <c r="I1265" s="28" t="s">
        <v>516</v>
      </c>
      <c r="J1265" s="28" t="s">
        <v>517</v>
      </c>
      <c r="K1265" s="28" t="s">
        <v>518</v>
      </c>
      <c r="L1265" s="28" t="s">
        <v>809</v>
      </c>
      <c r="M1265" s="28" t="s">
        <v>535</v>
      </c>
      <c r="N1265" s="28" t="s">
        <v>557</v>
      </c>
      <c r="O1265" s="28" t="s">
        <v>544</v>
      </c>
      <c r="P1265" s="28" t="s">
        <v>559</v>
      </c>
      <c r="S1265" s="28" t="s">
        <v>928</v>
      </c>
      <c r="T1265" s="28" t="s">
        <v>811</v>
      </c>
      <c r="U1265" s="28" t="s">
        <v>811</v>
      </c>
      <c r="V1265" s="28" t="s">
        <v>517</v>
      </c>
      <c r="W1265" s="28" t="s">
        <v>835</v>
      </c>
      <c r="Z1265" s="118" t="s">
        <v>563</v>
      </c>
      <c r="AA1265" s="118"/>
      <c r="AB1265" s="118" t="s">
        <v>527</v>
      </c>
      <c r="AD1265" s="28" t="s">
        <v>954</v>
      </c>
      <c r="AF1265" s="117" t="s">
        <v>5090</v>
      </c>
      <c r="AG1265" s="28" t="s">
        <v>563</v>
      </c>
      <c r="AK1265" s="60" t="s">
        <v>2927</v>
      </c>
      <c r="AL1265" s="117">
        <f>1/COUNTIF(Tableau6[LAT],B1265)</f>
        <v>1</v>
      </c>
      <c r="AM1265" s="60" t="b">
        <f t="shared" si="136"/>
        <v>0</v>
      </c>
      <c r="AN1265" s="60" t="b">
        <f t="shared" si="137"/>
        <v>0</v>
      </c>
      <c r="AO1265" s="60" t="b">
        <f t="shared" si="138"/>
        <v>0</v>
      </c>
      <c r="AP1265" s="60" t="b">
        <f t="shared" si="139"/>
        <v>0</v>
      </c>
      <c r="AQ1265" s="60" t="b">
        <f t="shared" si="140"/>
        <v>0</v>
      </c>
      <c r="AR1265" s="60" t="str">
        <f t="shared" si="141"/>
        <v>No</v>
      </c>
      <c r="AS1265" s="60" t="str">
        <f t="shared" si="142"/>
        <v>No</v>
      </c>
    </row>
    <row r="1266" spans="1:45" ht="15" hidden="1">
      <c r="A1266" s="103">
        <v>45244</v>
      </c>
      <c r="B1266" s="117" t="s">
        <v>5093</v>
      </c>
      <c r="C1266" s="28" t="s">
        <v>861</v>
      </c>
      <c r="D1266" s="28" t="s">
        <v>5094</v>
      </c>
      <c r="F1266" s="28" t="s">
        <v>5095</v>
      </c>
      <c r="G1266" s="28" t="s">
        <v>514</v>
      </c>
      <c r="H1266" s="28" t="s">
        <v>618</v>
      </c>
      <c r="I1266" s="28" t="s">
        <v>516</v>
      </c>
      <c r="J1266" s="28" t="s">
        <v>517</v>
      </c>
      <c r="K1266" s="28" t="s">
        <v>518</v>
      </c>
      <c r="L1266" s="28" t="s">
        <v>1917</v>
      </c>
      <c r="M1266" s="28" t="s">
        <v>535</v>
      </c>
      <c r="N1266" s="28" t="s">
        <v>557</v>
      </c>
      <c r="O1266" s="28" t="s">
        <v>544</v>
      </c>
      <c r="P1266" s="28" t="s">
        <v>559</v>
      </c>
      <c r="S1266" s="28" t="s">
        <v>1158</v>
      </c>
      <c r="T1266" s="28" t="s">
        <v>1918</v>
      </c>
      <c r="U1266" s="28" t="s">
        <v>1918</v>
      </c>
      <c r="V1266" s="28" t="s">
        <v>517</v>
      </c>
      <c r="W1266" s="28" t="s">
        <v>5096</v>
      </c>
      <c r="Z1266" s="118" t="s">
        <v>563</v>
      </c>
      <c r="AA1266" s="118"/>
      <c r="AB1266" s="118" t="s">
        <v>527</v>
      </c>
      <c r="AD1266" s="28" t="s">
        <v>528</v>
      </c>
      <c r="AF1266" s="117" t="s">
        <v>5097</v>
      </c>
      <c r="AG1266" s="28" t="s">
        <v>563</v>
      </c>
      <c r="AK1266" s="60" t="s">
        <v>2927</v>
      </c>
      <c r="AL1266" s="117">
        <f>1/COUNTIF(Tableau6[LAT],B1266)</f>
        <v>0.5</v>
      </c>
      <c r="AM1266" s="60" t="b">
        <f t="shared" si="136"/>
        <v>0</v>
      </c>
      <c r="AN1266" s="60" t="b">
        <f t="shared" si="137"/>
        <v>0</v>
      </c>
      <c r="AO1266" s="60" t="b">
        <f t="shared" si="138"/>
        <v>0</v>
      </c>
      <c r="AP1266" s="60" t="b">
        <f t="shared" si="139"/>
        <v>0</v>
      </c>
      <c r="AQ1266" s="60" t="b">
        <f t="shared" si="140"/>
        <v>0</v>
      </c>
      <c r="AR1266" s="60" t="str">
        <f t="shared" si="141"/>
        <v>No</v>
      </c>
      <c r="AS1266" s="60" t="str">
        <f t="shared" si="142"/>
        <v>No</v>
      </c>
    </row>
    <row r="1267" spans="1:45" ht="15" hidden="1">
      <c r="A1267" s="103">
        <v>45244</v>
      </c>
      <c r="B1267" s="117" t="s">
        <v>5093</v>
      </c>
      <c r="D1267" s="28" t="s">
        <v>5098</v>
      </c>
      <c r="F1267" s="28" t="s">
        <v>5095</v>
      </c>
      <c r="G1267" s="28" t="s">
        <v>514</v>
      </c>
      <c r="H1267" s="28" t="s">
        <v>618</v>
      </c>
      <c r="I1267" s="28" t="s">
        <v>516</v>
      </c>
      <c r="J1267" s="28" t="s">
        <v>517</v>
      </c>
      <c r="K1267" s="28" t="s">
        <v>518</v>
      </c>
      <c r="L1267" s="28" t="s">
        <v>1917</v>
      </c>
      <c r="M1267" s="28" t="s">
        <v>535</v>
      </c>
      <c r="N1267" s="28" t="s">
        <v>557</v>
      </c>
      <c r="O1267" s="28" t="s">
        <v>544</v>
      </c>
      <c r="P1267" s="28" t="s">
        <v>559</v>
      </c>
      <c r="S1267" s="28" t="s">
        <v>1158</v>
      </c>
      <c r="T1267" s="28" t="s">
        <v>1918</v>
      </c>
      <c r="U1267" s="28" t="s">
        <v>1918</v>
      </c>
      <c r="V1267" s="28" t="s">
        <v>517</v>
      </c>
      <c r="W1267" s="28" t="s">
        <v>5099</v>
      </c>
      <c r="Z1267" s="118" t="s">
        <v>563</v>
      </c>
      <c r="AA1267" s="118"/>
      <c r="AB1267" s="118" t="s">
        <v>527</v>
      </c>
      <c r="AD1267" s="28" t="s">
        <v>528</v>
      </c>
      <c r="AF1267" s="117" t="s">
        <v>5097</v>
      </c>
      <c r="AG1267" s="28" t="s">
        <v>563</v>
      </c>
      <c r="AK1267" s="60" t="s">
        <v>2927</v>
      </c>
      <c r="AL1267" s="117">
        <f>1/COUNTIF(Tableau6[LAT],B1267)</f>
        <v>0.5</v>
      </c>
      <c r="AM1267" s="60" t="b">
        <f t="shared" si="136"/>
        <v>0</v>
      </c>
      <c r="AN1267" s="60" t="b">
        <f t="shared" si="137"/>
        <v>0</v>
      </c>
      <c r="AO1267" s="60" t="b">
        <f t="shared" si="138"/>
        <v>0</v>
      </c>
      <c r="AP1267" s="60" t="b">
        <f t="shared" si="139"/>
        <v>0</v>
      </c>
      <c r="AQ1267" s="60" t="b">
        <f t="shared" si="140"/>
        <v>0</v>
      </c>
      <c r="AR1267" s="60" t="str">
        <f t="shared" si="141"/>
        <v>No</v>
      </c>
      <c r="AS1267" s="60" t="str">
        <f t="shared" si="142"/>
        <v>No</v>
      </c>
    </row>
    <row r="1268" spans="1:45" ht="15" hidden="1">
      <c r="A1268" s="103">
        <v>45244</v>
      </c>
      <c r="B1268" s="117" t="s">
        <v>5100</v>
      </c>
      <c r="C1268" s="28" t="s">
        <v>511</v>
      </c>
      <c r="D1268" s="28" t="s">
        <v>5101</v>
      </c>
      <c r="F1268" s="28" t="s">
        <v>5102</v>
      </c>
      <c r="G1268" s="28" t="s">
        <v>514</v>
      </c>
      <c r="H1268" s="28" t="s">
        <v>5103</v>
      </c>
      <c r="I1268" s="28" t="s">
        <v>516</v>
      </c>
      <c r="J1268" s="28" t="s">
        <v>517</v>
      </c>
      <c r="K1268" s="28" t="s">
        <v>518</v>
      </c>
      <c r="L1268" s="28" t="s">
        <v>726</v>
      </c>
      <c r="M1268" s="28" t="s">
        <v>535</v>
      </c>
      <c r="N1268" s="28" t="s">
        <v>544</v>
      </c>
      <c r="O1268" s="28" t="s">
        <v>522</v>
      </c>
      <c r="S1268" s="28" t="s">
        <v>928</v>
      </c>
      <c r="T1268" s="28" t="s">
        <v>589</v>
      </c>
      <c r="U1268" s="28" t="s">
        <v>589</v>
      </c>
      <c r="V1268" s="28" t="s">
        <v>517</v>
      </c>
      <c r="W1268" s="28" t="s">
        <v>5104</v>
      </c>
      <c r="Z1268" s="118" t="s">
        <v>563</v>
      </c>
      <c r="AA1268" s="118"/>
      <c r="AB1268" s="118" t="s">
        <v>527</v>
      </c>
      <c r="AD1268" s="28" t="s">
        <v>528</v>
      </c>
      <c r="AF1268" s="117" t="s">
        <v>5101</v>
      </c>
      <c r="AG1268" s="28" t="s">
        <v>563</v>
      </c>
      <c r="AK1268" s="60" t="s">
        <v>2927</v>
      </c>
      <c r="AL1268" s="117">
        <f>1/COUNTIF(Tableau6[LAT],B1268)</f>
        <v>1</v>
      </c>
      <c r="AM1268" s="60" t="b">
        <f t="shared" ref="AM1268:AM1331" si="143">IF(N1268="ALM","Yes",IF(N1268="ALI","Yes",IF(N1268="CAO","Yes",IF(N1268="ICE","Yes",IF(N1268="MAG","Yes",IF(N1268="MAG","Yes",IF(N1268="RBI","Yes",IF(N1268="RBM","Yes",IF(N1268="RCL","Yes",IF(N1268="RCM","Yes",IF(N1268="RCX","Yes",IF(N1268="RDS","Yes",IF(N1268="REQ","Yes",IF(N1268="REX","Yes",IF(N1268="RFG","Yes",IF(N1268="RFL","Yes",IF(N1268="RFS","Yes",IF(N1268="RFW","Yes",IF(N1268="RGX","Yes",IF(N1268="RIS",IF(N1268="RLI","Yes",IF(N1268="RLM","Yes",IF(N1268="RMD","Yes",IF(N1268="RNG","Yes",IF(N1268="ROP","Yes",IF(N1268="ROX","Yes",IF(N1268="RPB","Yes",IF(N1268="RPG","Yes",IF(N1268="RRE","Yes",IF(N1268="RRW","Yes",IF(N1268="RRY","Yes",IF(N1268="RSB","Yes",IF(N1268="RSC","Yes",IF(N1268="RXB","Yes",IF(N1268="RXC","Yes",IF(N1268="RXD","Yes",IF(N1268="RXE","Yes",IF(N1268="RXG","Yes",IF(N1268="RXS","Yes",)))))))))))))))))))))))))))))))))))))))</f>
        <v>0</v>
      </c>
      <c r="AN1268" s="60" t="b">
        <f t="shared" ref="AN1268:AN1331" si="144">IF(O1268="ALM","Yes",IF(O1268="ALI","Yes",IF(O1268="CAO","Yes",IF(O1268="ICE","Yes",IF(O1268="MAG","Yes",IF(O1268="MAG","Yes",IF(O1268="RBI","Yes",IF(O1268="RBM","Yes",IF(O1268="RCL","Yes",IF(O1268="RCM","Yes",IF(O1268="RCX","Yes",IF(O1268="RDS","Yes",IF(O1268="REQ","Yes",IF(O1268="REX","Yes",IF(O1268="RFG","Yes",IF(O1268="RFL","Yes",IF(O1268="RFS","Yes",IF(O1268="RFW","Yes",IF(O1268="RGX","Yes",IF(O1268="RIS",IF(O1268="RLI","Yes",IF(O1268="RLM","Yes",IF(O1268="RMD","Yes",IF(O1268="RNG","Yes",IF(O1268="ROP","Yes",IF(O1268="ROX","Yes",IF(O1268="RPB","Yes",IF(O1268="RPG","Yes",IF(O1268="RRE","Yes",IF(O1268="RRW","Yes",IF(O1268="RRY","Yes",IF(O1268="RSB","Yes",IF(O1268="RSC","Yes",IF(O1268="RXB","Yes",IF(O1268="RXC","Yes",IF(O1268="RXD","Yes",IF(O1268="RXE","Yes",IF(O1268="RXG","Yes",IF(O1268="RXS","Yes",)))))))))))))))))))))))))))))))))))))))</f>
        <v>0</v>
      </c>
      <c r="AO1268" s="60" t="b">
        <f t="shared" ref="AO1268:AO1331" si="145">IF(P1268="ALM","Yes",IF(P1268="ALI","Yes",IF(P1268="CAO","Yes",IF(P1268="ICE","Yes",IF(P1268="MAG","Yes",IF(P1268="MAG","Yes",IF(P1268="RBI","Yes",IF(P1268="RBM","Yes",IF(P1268="RCL","Yes",IF(P1268="RCM","Yes",IF(P1268="RCX","Yes",IF(P1268="RDS","Yes",IF(P1268="REQ","Yes",IF(P1268="REX","Yes",IF(P1268="RFG","Yes",IF(P1268="RFL","Yes",IF(P1268="RFS","Yes",IF(P1268="RFW","Yes",IF(P1268="RGX","Yes",IF(P1268="RIS",IF(P1268="RLI","Yes",IF(P1268="RLM","Yes",IF(P1268="RMD","Yes",IF(P1268="RNG","Yes",IF(P1268="ROP","Yes",IF(P1268="ROX","Yes",IF(P1268="RPB","Yes",IF(P1268="RPG","Yes",IF(P1268="RRE","Yes",IF(P1268="RRW","Yes",IF(P1268="RRY","Yes",IF(P1268="RSB","Yes",IF(P1268="RSC","Yes",IF(P1268="RXB","Yes",IF(P1268="RXC","Yes",IF(P1268="RXD","Yes",IF(P1268="RXE","Yes",IF(P1268="RXG","Yes",IF(P1268="RXS","Yes",)))))))))))))))))))))))))))))))))))))))</f>
        <v>0</v>
      </c>
      <c r="AP1268" s="60" t="b">
        <f t="shared" ref="AP1268:AP1331" si="146">IF(Q1268="ALM","Yes",IF(Q1268="ALI","Yes",IF(Q1268="CAO","Yes",IF(Q1268="ICE","Yes",IF(Q1268="MAG","Yes",IF(Q1268="MAG","Yes",IF(Q1268="RBI","Yes",IF(Q1268="RBM","Yes",IF(Q1268="RCL","Yes",IF(Q1268="RCM","Yes",IF(Q1268="RCX","Yes",IF(Q1268="RDS","Yes",IF(Q1268="REQ","Yes",IF(Q1268="REX","Yes",IF(Q1268="RFG","Yes",IF(Q1268="RFL","Yes",IF(Q1268="RFS","Yes",IF(Q1268="RFW","Yes",IF(Q1268="RGX","Yes",IF(Q1268="RIS",IF(Q1268="RLI","Yes",IF(Q1268="RLM","Yes",IF(Q1268="RMD","Yes",IF(Q1268="RNG","Yes",IF(Q1268="ROP","Yes",IF(Q1268="ROX","Yes",IF(Q1268="RPB","Yes",IF(Q1268="RPG","Yes",IF(Q1268="RRE","Yes",IF(Q1268="RRW","Yes",IF(Q1268="RRY","Yes",IF(Q1268="RSB","Yes",IF(Q1268="RSC","Yes",IF(Q1268="RXB","Yes",IF(Q1268="RXC","Yes",IF(Q1268="RXD","Yes",IF(Q1268="RXE","Yes",IF(Q1268="RXG","Yes",IF(Q1268="RXS","Yes",)))))))))))))))))))))))))))))))))))))))</f>
        <v>0</v>
      </c>
      <c r="AQ1268" s="60" t="b">
        <f t="shared" ref="AQ1268:AQ1331" si="147">IF(R1268="ALM","Yes",IF(R1268="ALI","Yes",IF(R1268="CAO","Yes",IF(R1268="ICE","Yes",IF(R1268="MAG","Yes",IF(R1268="MAG","Yes",IF(R1268="RBI","Yes",IF(R1268="RBM","Yes",IF(R1268="RCL","Yes",IF(R1268="RCM","Yes",IF(R1268="RCX","Yes",IF(R1268="RDS","Yes",IF(R1268="REQ","Yes",IF(R1268="REX","Yes",IF(R1268="RFG","Yes",IF(R1268="RFL","Yes",IF(R1268="RFS","Yes",IF(R1268="RFW","Yes",IF(R1268="RGX","Yes",IF(R1268="RIS",IF(R1268="RLI","Yes",IF(R1268="RLM","Yes",IF(R1268="RMD","Yes",IF(R1268="RNG","Yes",IF(R1268="ROP","Yes",IF(R1268="ROX","Yes",IF(R1268="RPB","Yes",IF(R1268="RPG","Yes",IF(R1268="RRE","Yes",IF(R1268="RRW","Yes",IF(R1268="RRY","Yes",IF(R1268="RSB","Yes",IF(R1268="RSC","Yes",IF(R1268="RXB","Yes",IF(R1268="RXC","Yes",IF(R1268="RXD","Yes",IF(R1268="RXE","Yes",IF(R1268="RXG","Yes",IF(R1268="RXS","Yes",)))))))))))))))))))))))))))))))))))))))</f>
        <v>0</v>
      </c>
      <c r="AR1268" s="60" t="str">
        <f t="shared" ref="AR1268:AR1331" si="148">IF(AM1268="Yes","Yes",IF(AN1268="Yes","Yes",IF(AO1268="yes","Yes",IF(AP1268="Yes","Yes","No"))))</f>
        <v>No</v>
      </c>
      <c r="AS1268" s="60" t="str">
        <f t="shared" ref="AS1268:AS1331" si="149">IF(S1268="QFA","Yes",IF(S1268="LCJ","Yes",IF(S1268="CAJ","Yes",IF(S1268="WRO","Yes",IF(S1268="BEY","Yes",IF(S1268="TUN","Yes",IF(S1268="LFW","Yes",IF(S1268="DLA","Yes",IF(S1268="NSI","Yes",IF(S1268="OUA","Yes",IF(S1268="IAH","Yes",IF(S1268="LYS","Yes",IF(S1268="DSS","Yes",IF(S1268="BKO","Yes",IF(S1268="BZV","Yes",IF(S1268="COO","Yes",IF(S1268="EZE","Yes",IF(S1268="CKY","Yes",IF(S1268="PTP","Yes",IF(S1268="ORD","Yes",IF(S1268="CFE","Yes",IF(S1268="NKC","Yes",IF(S1268="FDF","Yes",IF(S1268="SDQ","Yes",IF(S1268="PNR","Yes",IF(S1268="ICAY","Yes",IF(S1268="DTW","Yes",IF(S1268="TNR","Yes",IF(S1268="RUN","Yes",IF(S1268="NIM","Yes","No"))))))))))))))))))))))))))))))</f>
        <v>No</v>
      </c>
    </row>
    <row r="1269" spans="1:45" ht="15" hidden="1">
      <c r="A1269" s="103">
        <v>45244</v>
      </c>
      <c r="B1269" s="117" t="s">
        <v>5105</v>
      </c>
      <c r="C1269" s="28" t="s">
        <v>511</v>
      </c>
      <c r="D1269" s="28" t="s">
        <v>5106</v>
      </c>
      <c r="E1269" s="28" t="s">
        <v>5107</v>
      </c>
      <c r="F1269" s="28" t="s">
        <v>5108</v>
      </c>
      <c r="G1269" s="28" t="s">
        <v>514</v>
      </c>
      <c r="H1269" s="28" t="s">
        <v>555</v>
      </c>
      <c r="I1269" s="28" t="s">
        <v>516</v>
      </c>
      <c r="J1269" s="28" t="s">
        <v>516</v>
      </c>
      <c r="K1269" s="28" t="s">
        <v>682</v>
      </c>
      <c r="L1269" s="28" t="s">
        <v>3143</v>
      </c>
      <c r="M1269" s="28" t="s">
        <v>535</v>
      </c>
      <c r="N1269" s="28" t="s">
        <v>2359</v>
      </c>
      <c r="O1269" s="28" t="s">
        <v>557</v>
      </c>
      <c r="P1269" s="28" t="s">
        <v>544</v>
      </c>
      <c r="Q1269" s="28" t="s">
        <v>558</v>
      </c>
      <c r="R1269" s="28" t="s">
        <v>559</v>
      </c>
      <c r="S1269" s="28" t="s">
        <v>1402</v>
      </c>
      <c r="T1269" s="28" t="s">
        <v>1918</v>
      </c>
      <c r="U1269" s="28" t="s">
        <v>1918</v>
      </c>
      <c r="V1269" s="28" t="s">
        <v>517</v>
      </c>
      <c r="W1269" s="28" t="s">
        <v>5109</v>
      </c>
      <c r="X1269" s="28" t="s">
        <v>670</v>
      </c>
      <c r="Z1269" s="118" t="s">
        <v>563</v>
      </c>
      <c r="AA1269" s="118"/>
      <c r="AB1269" s="118" t="s">
        <v>527</v>
      </c>
      <c r="AD1269" s="118" t="s">
        <v>528</v>
      </c>
      <c r="AE1269" s="118"/>
      <c r="AF1269" s="138" t="s">
        <v>5107</v>
      </c>
      <c r="AG1269" s="28" t="s">
        <v>563</v>
      </c>
      <c r="AK1269" s="60" t="s">
        <v>2927</v>
      </c>
      <c r="AL1269" s="117">
        <f>1/COUNTIF(Tableau6[LAT],B1269)</f>
        <v>0.25</v>
      </c>
      <c r="AM1269" s="60" t="b">
        <f t="shared" si="143"/>
        <v>0</v>
      </c>
      <c r="AN1269" s="60" t="b">
        <f t="shared" si="144"/>
        <v>0</v>
      </c>
      <c r="AO1269" s="60" t="b">
        <f t="shared" si="145"/>
        <v>0</v>
      </c>
      <c r="AP1269" s="60" t="b">
        <f t="shared" si="146"/>
        <v>0</v>
      </c>
      <c r="AQ1269" s="60" t="b">
        <f t="shared" si="147"/>
        <v>0</v>
      </c>
      <c r="AR1269" s="60" t="str">
        <f t="shared" si="148"/>
        <v>No</v>
      </c>
      <c r="AS1269" s="60" t="str">
        <f t="shared" si="149"/>
        <v>No</v>
      </c>
    </row>
    <row r="1270" spans="1:45" ht="15" hidden="1">
      <c r="A1270" s="103">
        <v>45244</v>
      </c>
      <c r="B1270" s="117" t="s">
        <v>5105</v>
      </c>
      <c r="C1270" s="28" t="s">
        <v>548</v>
      </c>
      <c r="D1270" s="28" t="s">
        <v>5110</v>
      </c>
      <c r="E1270" s="28" t="s">
        <v>5111</v>
      </c>
      <c r="F1270" s="28" t="s">
        <v>5112</v>
      </c>
      <c r="G1270" s="28" t="s">
        <v>514</v>
      </c>
      <c r="H1270" s="28" t="s">
        <v>555</v>
      </c>
      <c r="I1270" s="28" t="s">
        <v>516</v>
      </c>
      <c r="J1270" s="28" t="s">
        <v>516</v>
      </c>
      <c r="K1270" s="28" t="s">
        <v>682</v>
      </c>
      <c r="L1270" s="28" t="s">
        <v>3143</v>
      </c>
      <c r="M1270" s="28" t="s">
        <v>535</v>
      </c>
      <c r="N1270" s="28" t="s">
        <v>2359</v>
      </c>
      <c r="O1270" s="28" t="s">
        <v>557</v>
      </c>
      <c r="P1270" s="28" t="s">
        <v>544</v>
      </c>
      <c r="Q1270" s="28" t="s">
        <v>558</v>
      </c>
      <c r="R1270" s="28" t="s">
        <v>559</v>
      </c>
      <c r="S1270" s="28" t="s">
        <v>1402</v>
      </c>
      <c r="T1270" s="28" t="s">
        <v>1918</v>
      </c>
      <c r="U1270" s="28" t="s">
        <v>1918</v>
      </c>
      <c r="V1270" s="28" t="s">
        <v>517</v>
      </c>
      <c r="W1270" s="28" t="s">
        <v>5113</v>
      </c>
      <c r="X1270" s="28" t="s">
        <v>670</v>
      </c>
      <c r="Z1270" s="118" t="s">
        <v>563</v>
      </c>
      <c r="AA1270" s="118"/>
      <c r="AB1270" s="118" t="s">
        <v>527</v>
      </c>
      <c r="AD1270" s="118" t="s">
        <v>528</v>
      </c>
      <c r="AE1270" s="118"/>
      <c r="AF1270" s="138" t="s">
        <v>5111</v>
      </c>
      <c r="AG1270" s="28" t="s">
        <v>563</v>
      </c>
      <c r="AK1270" s="60" t="s">
        <v>2927</v>
      </c>
      <c r="AL1270" s="117">
        <f>1/COUNTIF(Tableau6[LAT],B1270)</f>
        <v>0.25</v>
      </c>
      <c r="AM1270" s="60" t="b">
        <f t="shared" si="143"/>
        <v>0</v>
      </c>
      <c r="AN1270" s="60" t="b">
        <f t="shared" si="144"/>
        <v>0</v>
      </c>
      <c r="AO1270" s="60" t="b">
        <f t="shared" si="145"/>
        <v>0</v>
      </c>
      <c r="AP1270" s="60" t="b">
        <f t="shared" si="146"/>
        <v>0</v>
      </c>
      <c r="AQ1270" s="60" t="b">
        <f t="shared" si="147"/>
        <v>0</v>
      </c>
      <c r="AR1270" s="60" t="str">
        <f t="shared" si="148"/>
        <v>No</v>
      </c>
      <c r="AS1270" s="60" t="str">
        <f t="shared" si="149"/>
        <v>No</v>
      </c>
    </row>
    <row r="1271" spans="1:45" ht="15" hidden="1">
      <c r="A1271" s="103">
        <v>45244</v>
      </c>
      <c r="B1271" s="117" t="s">
        <v>5105</v>
      </c>
      <c r="C1271" s="28" t="s">
        <v>612</v>
      </c>
      <c r="D1271" s="28" t="s">
        <v>5114</v>
      </c>
      <c r="E1271" s="28" t="s">
        <v>5115</v>
      </c>
      <c r="F1271" s="28" t="s">
        <v>5116</v>
      </c>
      <c r="G1271" s="28" t="s">
        <v>514</v>
      </c>
      <c r="H1271" s="28" t="s">
        <v>555</v>
      </c>
      <c r="I1271" s="28" t="s">
        <v>516</v>
      </c>
      <c r="J1271" s="28" t="s">
        <v>516</v>
      </c>
      <c r="K1271" s="28" t="s">
        <v>682</v>
      </c>
      <c r="L1271" s="28" t="s">
        <v>3143</v>
      </c>
      <c r="M1271" s="28" t="s">
        <v>520</v>
      </c>
      <c r="N1271" s="28" t="s">
        <v>2359</v>
      </c>
      <c r="O1271" s="28" t="s">
        <v>557</v>
      </c>
      <c r="P1271" s="28" t="s">
        <v>544</v>
      </c>
      <c r="Q1271" s="28" t="s">
        <v>558</v>
      </c>
      <c r="R1271" s="28" t="s">
        <v>559</v>
      </c>
      <c r="S1271" s="28" t="s">
        <v>1402</v>
      </c>
      <c r="T1271" s="28" t="s">
        <v>1918</v>
      </c>
      <c r="U1271" s="28" t="s">
        <v>1918</v>
      </c>
      <c r="V1271" s="28" t="s">
        <v>517</v>
      </c>
      <c r="W1271" s="28" t="s">
        <v>5117</v>
      </c>
      <c r="X1271" s="28" t="s">
        <v>670</v>
      </c>
      <c r="Z1271" s="118" t="s">
        <v>563</v>
      </c>
      <c r="AA1271" s="118"/>
      <c r="AB1271" s="118" t="s">
        <v>527</v>
      </c>
      <c r="AD1271" s="118" t="s">
        <v>528</v>
      </c>
      <c r="AE1271" s="118"/>
      <c r="AF1271" s="138" t="s">
        <v>5115</v>
      </c>
      <c r="AG1271" s="28" t="s">
        <v>563</v>
      </c>
      <c r="AK1271" s="60" t="s">
        <v>2927</v>
      </c>
      <c r="AL1271" s="117">
        <f>1/COUNTIF(Tableau6[LAT],B1271)</f>
        <v>0.25</v>
      </c>
      <c r="AM1271" s="60" t="b">
        <f t="shared" si="143"/>
        <v>0</v>
      </c>
      <c r="AN1271" s="60" t="b">
        <f t="shared" si="144"/>
        <v>0</v>
      </c>
      <c r="AO1271" s="60" t="b">
        <f t="shared" si="145"/>
        <v>0</v>
      </c>
      <c r="AP1271" s="60" t="b">
        <f t="shared" si="146"/>
        <v>0</v>
      </c>
      <c r="AQ1271" s="60" t="b">
        <f t="shared" si="147"/>
        <v>0</v>
      </c>
      <c r="AR1271" s="60" t="str">
        <f t="shared" si="148"/>
        <v>No</v>
      </c>
      <c r="AS1271" s="60" t="str">
        <f t="shared" si="149"/>
        <v>No</v>
      </c>
    </row>
    <row r="1272" spans="1:45" ht="15" hidden="1">
      <c r="A1272" s="103">
        <v>45244</v>
      </c>
      <c r="B1272" s="117" t="s">
        <v>5105</v>
      </c>
      <c r="C1272" s="28" t="s">
        <v>691</v>
      </c>
      <c r="D1272" s="28" t="s">
        <v>5118</v>
      </c>
      <c r="E1272" s="28" t="s">
        <v>5119</v>
      </c>
      <c r="F1272" s="28" t="s">
        <v>5120</v>
      </c>
      <c r="G1272" s="28" t="s">
        <v>514</v>
      </c>
      <c r="H1272" s="28" t="s">
        <v>555</v>
      </c>
      <c r="I1272" s="28" t="s">
        <v>516</v>
      </c>
      <c r="J1272" s="28" t="s">
        <v>516</v>
      </c>
      <c r="K1272" s="28" t="s">
        <v>682</v>
      </c>
      <c r="L1272" s="28" t="s">
        <v>3143</v>
      </c>
      <c r="M1272" s="28" t="s">
        <v>520</v>
      </c>
      <c r="N1272" s="28" t="s">
        <v>2359</v>
      </c>
      <c r="O1272" s="28" t="s">
        <v>557</v>
      </c>
      <c r="P1272" s="28" t="s">
        <v>544</v>
      </c>
      <c r="Q1272" s="28" t="s">
        <v>558</v>
      </c>
      <c r="R1272" s="28" t="s">
        <v>559</v>
      </c>
      <c r="S1272" s="28" t="s">
        <v>1402</v>
      </c>
      <c r="T1272" s="28" t="s">
        <v>1918</v>
      </c>
      <c r="U1272" s="28" t="s">
        <v>1918</v>
      </c>
      <c r="V1272" s="28" t="s">
        <v>517</v>
      </c>
      <c r="W1272" s="28" t="s">
        <v>5121</v>
      </c>
      <c r="X1272" s="28" t="s">
        <v>670</v>
      </c>
      <c r="Z1272" s="118" t="s">
        <v>563</v>
      </c>
      <c r="AA1272" s="118"/>
      <c r="AB1272" s="118" t="s">
        <v>527</v>
      </c>
      <c r="AD1272" s="118" t="s">
        <v>528</v>
      </c>
      <c r="AE1272" s="118"/>
      <c r="AF1272" s="138" t="s">
        <v>5119</v>
      </c>
      <c r="AG1272" s="28" t="s">
        <v>563</v>
      </c>
      <c r="AK1272" s="60" t="s">
        <v>2927</v>
      </c>
      <c r="AL1272" s="117">
        <f>1/COUNTIF(Tableau6[LAT],B1272)</f>
        <v>0.25</v>
      </c>
      <c r="AM1272" s="60" t="b">
        <f t="shared" si="143"/>
        <v>0</v>
      </c>
      <c r="AN1272" s="60" t="b">
        <f t="shared" si="144"/>
        <v>0</v>
      </c>
      <c r="AO1272" s="60" t="b">
        <f t="shared" si="145"/>
        <v>0</v>
      </c>
      <c r="AP1272" s="60" t="b">
        <f t="shared" si="146"/>
        <v>0</v>
      </c>
      <c r="AQ1272" s="60" t="b">
        <f t="shared" si="147"/>
        <v>0</v>
      </c>
      <c r="AR1272" s="60" t="str">
        <f t="shared" si="148"/>
        <v>No</v>
      </c>
      <c r="AS1272" s="60" t="str">
        <f t="shared" si="149"/>
        <v>No</v>
      </c>
    </row>
    <row r="1273" spans="1:45" ht="15" hidden="1">
      <c r="A1273" s="103">
        <v>45244</v>
      </c>
      <c r="B1273" s="117" t="s">
        <v>5122</v>
      </c>
      <c r="C1273" s="28" t="s">
        <v>511</v>
      </c>
      <c r="D1273" s="28" t="s">
        <v>5123</v>
      </c>
      <c r="E1273" s="28" t="s">
        <v>5124</v>
      </c>
      <c r="F1273" s="28" t="s">
        <v>5125</v>
      </c>
      <c r="G1273" s="28" t="s">
        <v>514</v>
      </c>
      <c r="H1273" s="28" t="s">
        <v>555</v>
      </c>
      <c r="I1273" s="28" t="s">
        <v>516</v>
      </c>
      <c r="J1273" s="28" t="s">
        <v>516</v>
      </c>
      <c r="K1273" s="28" t="s">
        <v>518</v>
      </c>
      <c r="L1273" s="28" t="s">
        <v>3338</v>
      </c>
      <c r="M1273" s="28" t="s">
        <v>535</v>
      </c>
      <c r="N1273" s="28" t="s">
        <v>557</v>
      </c>
      <c r="O1273" s="28" t="s">
        <v>544</v>
      </c>
      <c r="P1273" s="28" t="s">
        <v>558</v>
      </c>
      <c r="Q1273" s="28" t="s">
        <v>559</v>
      </c>
      <c r="S1273" s="28" t="s">
        <v>1402</v>
      </c>
      <c r="T1273" s="28" t="s">
        <v>3083</v>
      </c>
      <c r="U1273" s="28" t="s">
        <v>3083</v>
      </c>
      <c r="V1273" s="28" t="s">
        <v>517</v>
      </c>
      <c r="W1273" s="28" t="s">
        <v>5126</v>
      </c>
      <c r="X1273" s="28" t="s">
        <v>670</v>
      </c>
      <c r="Z1273" s="118" t="s">
        <v>563</v>
      </c>
      <c r="AA1273" s="118"/>
      <c r="AB1273" s="118" t="s">
        <v>527</v>
      </c>
      <c r="AD1273" s="118" t="s">
        <v>528</v>
      </c>
      <c r="AE1273" s="118"/>
      <c r="AF1273" s="137" t="s">
        <v>5124</v>
      </c>
      <c r="AG1273" s="28" t="s">
        <v>563</v>
      </c>
      <c r="AK1273" s="60" t="s">
        <v>2927</v>
      </c>
      <c r="AL1273" s="117">
        <f>1/COUNTIF(Tableau6[LAT],B1273)</f>
        <v>0.5</v>
      </c>
      <c r="AM1273" s="60" t="b">
        <f t="shared" si="143"/>
        <v>0</v>
      </c>
      <c r="AN1273" s="60" t="b">
        <f t="shared" si="144"/>
        <v>0</v>
      </c>
      <c r="AO1273" s="60" t="b">
        <f t="shared" si="145"/>
        <v>0</v>
      </c>
      <c r="AP1273" s="60" t="b">
        <f t="shared" si="146"/>
        <v>0</v>
      </c>
      <c r="AQ1273" s="60" t="b">
        <f t="shared" si="147"/>
        <v>0</v>
      </c>
      <c r="AR1273" s="60" t="str">
        <f t="shared" si="148"/>
        <v>No</v>
      </c>
      <c r="AS1273" s="60" t="str">
        <f t="shared" si="149"/>
        <v>No</v>
      </c>
    </row>
    <row r="1274" spans="1:45" ht="15" hidden="1">
      <c r="A1274" s="103">
        <v>45244</v>
      </c>
      <c r="B1274" s="117" t="s">
        <v>5122</v>
      </c>
      <c r="C1274" s="28" t="s">
        <v>548</v>
      </c>
      <c r="D1274" s="28" t="s">
        <v>5127</v>
      </c>
      <c r="E1274" s="28" t="s">
        <v>5128</v>
      </c>
      <c r="F1274" s="28" t="s">
        <v>5129</v>
      </c>
      <c r="G1274" s="28" t="s">
        <v>514</v>
      </c>
      <c r="H1274" s="28" t="s">
        <v>555</v>
      </c>
      <c r="I1274" s="28" t="s">
        <v>516</v>
      </c>
      <c r="J1274" s="28" t="s">
        <v>516</v>
      </c>
      <c r="K1274" s="28" t="s">
        <v>518</v>
      </c>
      <c r="L1274" s="28" t="s">
        <v>3338</v>
      </c>
      <c r="M1274" s="28" t="s">
        <v>535</v>
      </c>
      <c r="N1274" s="28" t="s">
        <v>557</v>
      </c>
      <c r="O1274" s="28" t="s">
        <v>544</v>
      </c>
      <c r="P1274" s="28" t="s">
        <v>558</v>
      </c>
      <c r="Q1274" s="28" t="s">
        <v>559</v>
      </c>
      <c r="S1274" s="28" t="s">
        <v>1402</v>
      </c>
      <c r="T1274" s="28" t="s">
        <v>3083</v>
      </c>
      <c r="U1274" s="28" t="s">
        <v>3083</v>
      </c>
      <c r="V1274" s="28" t="s">
        <v>517</v>
      </c>
      <c r="W1274" s="28" t="s">
        <v>5130</v>
      </c>
      <c r="X1274" s="28" t="s">
        <v>670</v>
      </c>
      <c r="Z1274" s="118" t="s">
        <v>563</v>
      </c>
      <c r="AA1274" s="118"/>
      <c r="AB1274" s="118" t="s">
        <v>527</v>
      </c>
      <c r="AD1274" s="118" t="s">
        <v>528</v>
      </c>
      <c r="AE1274" s="118"/>
      <c r="AF1274" s="137" t="s">
        <v>5128</v>
      </c>
      <c r="AG1274" s="28" t="s">
        <v>563</v>
      </c>
      <c r="AK1274" s="60" t="s">
        <v>2927</v>
      </c>
      <c r="AL1274" s="117">
        <f>1/COUNTIF(Tableau6[LAT],B1274)</f>
        <v>0.5</v>
      </c>
      <c r="AM1274" s="60" t="b">
        <f t="shared" si="143"/>
        <v>0</v>
      </c>
      <c r="AN1274" s="60" t="b">
        <f t="shared" si="144"/>
        <v>0</v>
      </c>
      <c r="AO1274" s="60" t="b">
        <f t="shared" si="145"/>
        <v>0</v>
      </c>
      <c r="AP1274" s="60" t="b">
        <f t="shared" si="146"/>
        <v>0</v>
      </c>
      <c r="AQ1274" s="60" t="b">
        <f t="shared" si="147"/>
        <v>0</v>
      </c>
      <c r="AR1274" s="60" t="str">
        <f t="shared" si="148"/>
        <v>No</v>
      </c>
      <c r="AS1274" s="60" t="str">
        <f t="shared" si="149"/>
        <v>No</v>
      </c>
    </row>
    <row r="1275" spans="1:45" ht="15" hidden="1">
      <c r="A1275" s="103">
        <v>45244</v>
      </c>
      <c r="B1275" s="117" t="s">
        <v>5131</v>
      </c>
      <c r="C1275" s="28" t="s">
        <v>511</v>
      </c>
      <c r="D1275" s="28" t="s">
        <v>5132</v>
      </c>
      <c r="F1275" s="28" t="s">
        <v>2003</v>
      </c>
      <c r="G1275" s="28" t="s">
        <v>514</v>
      </c>
      <c r="H1275" s="28" t="s">
        <v>2486</v>
      </c>
      <c r="I1275" s="28" t="s">
        <v>516</v>
      </c>
      <c r="J1275" s="28" t="s">
        <v>517</v>
      </c>
      <c r="K1275" s="28" t="s">
        <v>518</v>
      </c>
      <c r="L1275" s="28" t="s">
        <v>839</v>
      </c>
      <c r="M1275" s="28" t="s">
        <v>520</v>
      </c>
      <c r="N1275" s="28" t="s">
        <v>544</v>
      </c>
      <c r="S1275" s="28" t="s">
        <v>928</v>
      </c>
      <c r="T1275" s="28" t="s">
        <v>840</v>
      </c>
      <c r="U1275" s="28" t="s">
        <v>840</v>
      </c>
      <c r="V1275" s="28" t="s">
        <v>517</v>
      </c>
      <c r="W1275" s="28" t="s">
        <v>835</v>
      </c>
      <c r="Z1275" s="118" t="s">
        <v>563</v>
      </c>
      <c r="AA1275" s="118"/>
      <c r="AB1275" s="118" t="s">
        <v>527</v>
      </c>
      <c r="AD1275" s="28" t="s">
        <v>528</v>
      </c>
      <c r="AF1275" s="117" t="s">
        <v>5132</v>
      </c>
      <c r="AG1275" s="28" t="s">
        <v>563</v>
      </c>
      <c r="AK1275" s="60" t="s">
        <v>2927</v>
      </c>
      <c r="AL1275" s="117">
        <f>1/COUNTIF(Tableau6[LAT],B1275)</f>
        <v>0.5</v>
      </c>
      <c r="AM1275" s="60" t="b">
        <f t="shared" si="143"/>
        <v>0</v>
      </c>
      <c r="AN1275" s="60" t="b">
        <f t="shared" si="144"/>
        <v>0</v>
      </c>
      <c r="AO1275" s="60" t="b">
        <f t="shared" si="145"/>
        <v>0</v>
      </c>
      <c r="AP1275" s="60" t="b">
        <f t="shared" si="146"/>
        <v>0</v>
      </c>
      <c r="AQ1275" s="60" t="b">
        <f t="shared" si="147"/>
        <v>0</v>
      </c>
      <c r="AR1275" s="60" t="str">
        <f t="shared" si="148"/>
        <v>No</v>
      </c>
      <c r="AS1275" s="60" t="str">
        <f t="shared" si="149"/>
        <v>No</v>
      </c>
    </row>
    <row r="1276" spans="1:45" ht="15" hidden="1">
      <c r="A1276" s="103">
        <v>45244</v>
      </c>
      <c r="B1276" s="117" t="s">
        <v>5131</v>
      </c>
      <c r="C1276" s="28" t="s">
        <v>548</v>
      </c>
      <c r="D1276" s="28" t="s">
        <v>5133</v>
      </c>
      <c r="F1276" s="28" t="s">
        <v>696</v>
      </c>
      <c r="G1276" s="28" t="s">
        <v>514</v>
      </c>
      <c r="H1276" s="28" t="s">
        <v>2668</v>
      </c>
      <c r="I1276" s="28" t="s">
        <v>516</v>
      </c>
      <c r="J1276" s="28" t="s">
        <v>517</v>
      </c>
      <c r="K1276" s="28" t="s">
        <v>518</v>
      </c>
      <c r="L1276" s="28" t="s">
        <v>839</v>
      </c>
      <c r="M1276" s="28" t="s">
        <v>520</v>
      </c>
      <c r="S1276" s="28" t="s">
        <v>928</v>
      </c>
      <c r="T1276" s="28" t="s">
        <v>840</v>
      </c>
      <c r="U1276" s="28" t="s">
        <v>840</v>
      </c>
      <c r="V1276" s="28" t="s">
        <v>517</v>
      </c>
      <c r="W1276" s="28" t="s">
        <v>5134</v>
      </c>
      <c r="Z1276" s="118" t="s">
        <v>563</v>
      </c>
      <c r="AA1276" s="118"/>
      <c r="AB1276" s="118" t="s">
        <v>527</v>
      </c>
      <c r="AD1276" s="28" t="s">
        <v>528</v>
      </c>
      <c r="AF1276" s="117" t="s">
        <v>5133</v>
      </c>
      <c r="AG1276" s="28" t="s">
        <v>563</v>
      </c>
      <c r="AK1276" s="60" t="s">
        <v>2927</v>
      </c>
      <c r="AL1276" s="117">
        <f>1/COUNTIF(Tableau6[LAT],B1276)</f>
        <v>0.5</v>
      </c>
      <c r="AM1276" s="60" t="b">
        <f t="shared" si="143"/>
        <v>0</v>
      </c>
      <c r="AN1276" s="60" t="b">
        <f t="shared" si="144"/>
        <v>0</v>
      </c>
      <c r="AO1276" s="60" t="b">
        <f t="shared" si="145"/>
        <v>0</v>
      </c>
      <c r="AP1276" s="60" t="b">
        <f t="shared" si="146"/>
        <v>0</v>
      </c>
      <c r="AQ1276" s="60" t="b">
        <f t="shared" si="147"/>
        <v>0</v>
      </c>
      <c r="AR1276" s="60" t="str">
        <f t="shared" si="148"/>
        <v>No</v>
      </c>
      <c r="AS1276" s="60" t="str">
        <f t="shared" si="149"/>
        <v>No</v>
      </c>
    </row>
    <row r="1277" spans="1:45" ht="15" hidden="1">
      <c r="A1277" s="103">
        <v>45244</v>
      </c>
      <c r="B1277" s="117" t="s">
        <v>5135</v>
      </c>
      <c r="C1277" s="28" t="s">
        <v>511</v>
      </c>
      <c r="D1277" s="28" t="s">
        <v>5136</v>
      </c>
      <c r="F1277" s="28" t="s">
        <v>696</v>
      </c>
      <c r="G1277" s="28" t="s">
        <v>514</v>
      </c>
      <c r="H1277" s="28" t="s">
        <v>5137</v>
      </c>
      <c r="I1277" s="28" t="s">
        <v>516</v>
      </c>
      <c r="J1277" s="28" t="s">
        <v>517</v>
      </c>
      <c r="K1277" s="28" t="s">
        <v>518</v>
      </c>
      <c r="L1277" s="28" t="s">
        <v>667</v>
      </c>
      <c r="M1277" s="28" t="s">
        <v>520</v>
      </c>
      <c r="N1277" s="28" t="s">
        <v>522</v>
      </c>
      <c r="S1277" s="28" t="s">
        <v>928</v>
      </c>
      <c r="T1277" s="28" t="s">
        <v>597</v>
      </c>
      <c r="U1277" s="28" t="s">
        <v>597</v>
      </c>
      <c r="V1277" s="28" t="s">
        <v>517</v>
      </c>
      <c r="W1277" s="28" t="s">
        <v>5138</v>
      </c>
      <c r="Z1277" s="118" t="s">
        <v>563</v>
      </c>
      <c r="AA1277" s="118"/>
      <c r="AB1277" s="118" t="s">
        <v>527</v>
      </c>
      <c r="AF1277" s="117"/>
      <c r="AK1277" s="60" t="s">
        <v>2927</v>
      </c>
      <c r="AL1277" s="117">
        <f>1/COUNTIF(Tableau6[LAT],B1277)</f>
        <v>1</v>
      </c>
      <c r="AM1277" s="60" t="b">
        <f t="shared" si="143"/>
        <v>0</v>
      </c>
      <c r="AN1277" s="60" t="b">
        <f t="shared" si="144"/>
        <v>0</v>
      </c>
      <c r="AO1277" s="60" t="b">
        <f t="shared" si="145"/>
        <v>0</v>
      </c>
      <c r="AP1277" s="60" t="b">
        <f t="shared" si="146"/>
        <v>0</v>
      </c>
      <c r="AQ1277" s="60" t="b">
        <f t="shared" si="147"/>
        <v>0</v>
      </c>
      <c r="AR1277" s="60" t="str">
        <f t="shared" si="148"/>
        <v>No</v>
      </c>
      <c r="AS1277" s="60" t="str">
        <f t="shared" si="149"/>
        <v>No</v>
      </c>
    </row>
    <row r="1278" spans="1:45" ht="15" hidden="1">
      <c r="A1278" s="103">
        <v>45244</v>
      </c>
      <c r="B1278" s="117" t="s">
        <v>5139</v>
      </c>
      <c r="C1278" s="28" t="s">
        <v>511</v>
      </c>
      <c r="D1278" s="28" t="s">
        <v>5140</v>
      </c>
      <c r="E1278" s="28" t="s">
        <v>5141</v>
      </c>
      <c r="F1278" s="28" t="s">
        <v>5142</v>
      </c>
      <c r="G1278" s="28" t="s">
        <v>514</v>
      </c>
      <c r="H1278" s="28" t="s">
        <v>555</v>
      </c>
      <c r="I1278" s="28" t="s">
        <v>516</v>
      </c>
      <c r="J1278" s="28" t="s">
        <v>516</v>
      </c>
      <c r="K1278" s="28" t="s">
        <v>518</v>
      </c>
      <c r="L1278" s="28" t="s">
        <v>2100</v>
      </c>
      <c r="M1278" s="28" t="s">
        <v>605</v>
      </c>
      <c r="N1278" s="28" t="s">
        <v>544</v>
      </c>
      <c r="O1278" s="28" t="s">
        <v>558</v>
      </c>
      <c r="P1278" s="28" t="s">
        <v>522</v>
      </c>
      <c r="S1278" s="28" t="s">
        <v>928</v>
      </c>
      <c r="T1278" s="28" t="s">
        <v>1918</v>
      </c>
      <c r="U1278" s="28" t="s">
        <v>1918</v>
      </c>
      <c r="V1278" s="28" t="s">
        <v>517</v>
      </c>
      <c r="W1278" s="28" t="s">
        <v>5143</v>
      </c>
      <c r="X1278" s="28" t="s">
        <v>670</v>
      </c>
      <c r="Z1278" s="118" t="s">
        <v>563</v>
      </c>
      <c r="AA1278" s="118"/>
      <c r="AB1278" s="118" t="s">
        <v>527</v>
      </c>
      <c r="AD1278" s="118" t="s">
        <v>528</v>
      </c>
      <c r="AE1278" s="118"/>
      <c r="AF1278" s="138" t="s">
        <v>5141</v>
      </c>
      <c r="AG1278" s="28" t="s">
        <v>563</v>
      </c>
      <c r="AK1278" s="60" t="s">
        <v>2927</v>
      </c>
      <c r="AL1278" s="117">
        <f>1/COUNTIF(Tableau6[LAT],B1278)</f>
        <v>1</v>
      </c>
      <c r="AM1278" s="60" t="b">
        <f t="shared" si="143"/>
        <v>0</v>
      </c>
      <c r="AN1278" s="60" t="b">
        <f t="shared" si="144"/>
        <v>0</v>
      </c>
      <c r="AO1278" s="60" t="b">
        <f t="shared" si="145"/>
        <v>0</v>
      </c>
      <c r="AP1278" s="60" t="b">
        <f t="shared" si="146"/>
        <v>0</v>
      </c>
      <c r="AQ1278" s="60" t="b">
        <f t="shared" si="147"/>
        <v>0</v>
      </c>
      <c r="AR1278" s="60" t="str">
        <f t="shared" si="148"/>
        <v>No</v>
      </c>
      <c r="AS1278" s="60" t="str">
        <f t="shared" si="149"/>
        <v>No</v>
      </c>
    </row>
    <row r="1279" spans="1:45" ht="15" hidden="1">
      <c r="A1279" s="103">
        <v>45244</v>
      </c>
      <c r="B1279" s="117" t="s">
        <v>5144</v>
      </c>
      <c r="C1279" s="28" t="s">
        <v>511</v>
      </c>
      <c r="D1279" s="28" t="s">
        <v>5145</v>
      </c>
      <c r="F1279" s="28" t="s">
        <v>5146</v>
      </c>
      <c r="G1279" s="28" t="s">
        <v>514</v>
      </c>
      <c r="H1279" s="28" t="s">
        <v>1615</v>
      </c>
      <c r="I1279" s="28" t="s">
        <v>516</v>
      </c>
      <c r="J1279" s="28" t="s">
        <v>517</v>
      </c>
      <c r="K1279" s="28" t="s">
        <v>682</v>
      </c>
      <c r="L1279" s="28" t="s">
        <v>3143</v>
      </c>
      <c r="M1279" s="28" t="s">
        <v>605</v>
      </c>
      <c r="N1279" s="28" t="s">
        <v>544</v>
      </c>
      <c r="O1279" s="28" t="s">
        <v>1107</v>
      </c>
      <c r="P1279" s="28" t="s">
        <v>559</v>
      </c>
      <c r="S1279" s="28" t="s">
        <v>928</v>
      </c>
      <c r="T1279" s="28" t="s">
        <v>1918</v>
      </c>
      <c r="U1279" s="28" t="s">
        <v>1918</v>
      </c>
      <c r="V1279" s="28" t="s">
        <v>517</v>
      </c>
      <c r="W1279" s="28" t="s">
        <v>975</v>
      </c>
      <c r="Z1279" s="118" t="s">
        <v>563</v>
      </c>
      <c r="AA1279" s="118"/>
      <c r="AB1279" s="118" t="s">
        <v>527</v>
      </c>
      <c r="AD1279" s="28" t="s">
        <v>954</v>
      </c>
      <c r="AF1279" s="117" t="s">
        <v>5145</v>
      </c>
      <c r="AG1279" s="28" t="s">
        <v>563</v>
      </c>
      <c r="AK1279" s="60" t="s">
        <v>2927</v>
      </c>
      <c r="AL1279" s="117">
        <f>1/COUNTIF(Tableau6[LAT],B1279)</f>
        <v>0.5</v>
      </c>
      <c r="AM1279" s="60" t="b">
        <f t="shared" si="143"/>
        <v>0</v>
      </c>
      <c r="AN1279" s="60" t="b">
        <f t="shared" si="144"/>
        <v>0</v>
      </c>
      <c r="AO1279" s="60" t="b">
        <f t="shared" si="145"/>
        <v>0</v>
      </c>
      <c r="AP1279" s="60" t="b">
        <f t="shared" si="146"/>
        <v>0</v>
      </c>
      <c r="AQ1279" s="60" t="b">
        <f t="shared" si="147"/>
        <v>0</v>
      </c>
      <c r="AR1279" s="60" t="str">
        <f t="shared" si="148"/>
        <v>No</v>
      </c>
      <c r="AS1279" s="60" t="str">
        <f t="shared" si="149"/>
        <v>No</v>
      </c>
    </row>
    <row r="1280" spans="1:45" ht="15" hidden="1">
      <c r="A1280" s="103">
        <v>45244</v>
      </c>
      <c r="B1280" s="117" t="s">
        <v>5144</v>
      </c>
      <c r="C1280" s="28" t="s">
        <v>548</v>
      </c>
      <c r="D1280" s="28" t="s">
        <v>5147</v>
      </c>
      <c r="F1280" s="28" t="s">
        <v>5146</v>
      </c>
      <c r="G1280" s="28" t="s">
        <v>514</v>
      </c>
      <c r="H1280" s="28" t="s">
        <v>1615</v>
      </c>
      <c r="I1280" s="28" t="s">
        <v>516</v>
      </c>
      <c r="J1280" s="28" t="s">
        <v>517</v>
      </c>
      <c r="K1280" s="28" t="s">
        <v>682</v>
      </c>
      <c r="L1280" s="28" t="s">
        <v>3143</v>
      </c>
      <c r="M1280" s="28" t="s">
        <v>605</v>
      </c>
      <c r="N1280" s="28" t="s">
        <v>544</v>
      </c>
      <c r="O1280" s="28" t="s">
        <v>1107</v>
      </c>
      <c r="P1280" s="28" t="s">
        <v>559</v>
      </c>
      <c r="S1280" s="28" t="s">
        <v>928</v>
      </c>
      <c r="T1280" s="28" t="s">
        <v>1918</v>
      </c>
      <c r="U1280" s="28" t="s">
        <v>1918</v>
      </c>
      <c r="V1280" s="28" t="s">
        <v>517</v>
      </c>
      <c r="W1280" s="28" t="s">
        <v>5148</v>
      </c>
      <c r="Z1280" s="118" t="s">
        <v>563</v>
      </c>
      <c r="AA1280" s="118"/>
      <c r="AB1280" s="118" t="s">
        <v>527</v>
      </c>
      <c r="AD1280" s="28" t="s">
        <v>954</v>
      </c>
      <c r="AF1280" s="117" t="s">
        <v>5145</v>
      </c>
      <c r="AG1280" s="28" t="s">
        <v>563</v>
      </c>
      <c r="AK1280" s="60" t="s">
        <v>2927</v>
      </c>
      <c r="AL1280" s="117">
        <f>1/COUNTIF(Tableau6[LAT],B1280)</f>
        <v>0.5</v>
      </c>
      <c r="AM1280" s="60" t="b">
        <f t="shared" si="143"/>
        <v>0</v>
      </c>
      <c r="AN1280" s="60" t="b">
        <f t="shared" si="144"/>
        <v>0</v>
      </c>
      <c r="AO1280" s="60" t="b">
        <f t="shared" si="145"/>
        <v>0</v>
      </c>
      <c r="AP1280" s="60" t="b">
        <f t="shared" si="146"/>
        <v>0</v>
      </c>
      <c r="AQ1280" s="60" t="b">
        <f t="shared" si="147"/>
        <v>0</v>
      </c>
      <c r="AR1280" s="60" t="str">
        <f t="shared" si="148"/>
        <v>No</v>
      </c>
      <c r="AS1280" s="60" t="str">
        <f t="shared" si="149"/>
        <v>No</v>
      </c>
    </row>
    <row r="1281" spans="1:45" ht="15" hidden="1">
      <c r="A1281" s="103">
        <v>45244</v>
      </c>
      <c r="B1281" s="117" t="s">
        <v>5149</v>
      </c>
      <c r="C1281" s="28" t="s">
        <v>511</v>
      </c>
      <c r="D1281" s="28" t="s">
        <v>5150</v>
      </c>
      <c r="F1281" s="28" t="s">
        <v>5151</v>
      </c>
      <c r="G1281" s="28" t="s">
        <v>514</v>
      </c>
      <c r="H1281" s="28" t="s">
        <v>1715</v>
      </c>
      <c r="I1281" s="28" t="s">
        <v>516</v>
      </c>
      <c r="J1281" s="28" t="s">
        <v>517</v>
      </c>
      <c r="K1281" s="28" t="s">
        <v>518</v>
      </c>
      <c r="L1281" s="28" t="s">
        <v>1040</v>
      </c>
      <c r="M1281" s="28" t="s">
        <v>535</v>
      </c>
      <c r="N1281" s="28" t="s">
        <v>544</v>
      </c>
      <c r="S1281" s="28" t="s">
        <v>928</v>
      </c>
      <c r="T1281" s="28" t="s">
        <v>1042</v>
      </c>
      <c r="U1281" s="28" t="s">
        <v>1042</v>
      </c>
      <c r="V1281" s="28" t="s">
        <v>517</v>
      </c>
      <c r="W1281" s="28" t="s">
        <v>5152</v>
      </c>
      <c r="Z1281" s="118" t="s">
        <v>563</v>
      </c>
      <c r="AA1281" s="118"/>
      <c r="AB1281" s="73" t="s">
        <v>4506</v>
      </c>
      <c r="AD1281" s="28" t="s">
        <v>528</v>
      </c>
      <c r="AF1281" s="117" t="s">
        <v>5150</v>
      </c>
      <c r="AG1281" s="28" t="s">
        <v>563</v>
      </c>
      <c r="AK1281" s="60" t="s">
        <v>2927</v>
      </c>
      <c r="AL1281" s="117">
        <f>1/COUNTIF(Tableau6[LAT],B1281)</f>
        <v>1</v>
      </c>
      <c r="AM1281" s="60" t="b">
        <f t="shared" si="143"/>
        <v>0</v>
      </c>
      <c r="AN1281" s="60" t="b">
        <f t="shared" si="144"/>
        <v>0</v>
      </c>
      <c r="AO1281" s="60" t="b">
        <f t="shared" si="145"/>
        <v>0</v>
      </c>
      <c r="AP1281" s="60" t="b">
        <f t="shared" si="146"/>
        <v>0</v>
      </c>
      <c r="AQ1281" s="60" t="b">
        <f t="shared" si="147"/>
        <v>0</v>
      </c>
      <c r="AR1281" s="60" t="str">
        <f t="shared" si="148"/>
        <v>No</v>
      </c>
      <c r="AS1281" s="60" t="str">
        <f t="shared" si="149"/>
        <v>No</v>
      </c>
    </row>
    <row r="1282" spans="1:45" ht="15" hidden="1">
      <c r="A1282" s="103">
        <v>45244</v>
      </c>
      <c r="B1282" s="117" t="s">
        <v>5153</v>
      </c>
      <c r="C1282" s="28" t="s">
        <v>511</v>
      </c>
      <c r="D1282" s="28" t="s">
        <v>5154</v>
      </c>
      <c r="E1282" s="28" t="s">
        <v>5155</v>
      </c>
      <c r="F1282" s="28" t="s">
        <v>5156</v>
      </c>
      <c r="G1282" s="28" t="s">
        <v>657</v>
      </c>
      <c r="H1282" s="28" t="s">
        <v>5157</v>
      </c>
      <c r="I1282" s="28" t="s">
        <v>516</v>
      </c>
      <c r="J1282" s="28" t="s">
        <v>517</v>
      </c>
      <c r="K1282" s="28" t="s">
        <v>518</v>
      </c>
      <c r="L1282" s="28" t="s">
        <v>596</v>
      </c>
      <c r="M1282" s="28" t="s">
        <v>520</v>
      </c>
      <c r="N1282" s="28" t="s">
        <v>544</v>
      </c>
      <c r="S1282" s="28" t="s">
        <v>1402</v>
      </c>
      <c r="T1282" s="28" t="s">
        <v>597</v>
      </c>
      <c r="U1282" s="28" t="s">
        <v>597</v>
      </c>
      <c r="V1282" s="28" t="s">
        <v>517</v>
      </c>
      <c r="W1282" s="28" t="s">
        <v>5158</v>
      </c>
      <c r="X1282" s="28" t="s">
        <v>670</v>
      </c>
      <c r="Z1282" s="118" t="s">
        <v>563</v>
      </c>
      <c r="AA1282" s="118"/>
      <c r="AB1282" s="118" t="s">
        <v>527</v>
      </c>
      <c r="AD1282" s="28" t="s">
        <v>528</v>
      </c>
      <c r="AF1282" s="117" t="s">
        <v>5154</v>
      </c>
      <c r="AG1282" s="28" t="s">
        <v>563</v>
      </c>
      <c r="AK1282" s="60" t="s">
        <v>2927</v>
      </c>
      <c r="AL1282" s="117">
        <f>1/COUNTIF(Tableau6[LAT],B1282)</f>
        <v>0.5</v>
      </c>
      <c r="AM1282" s="60" t="b">
        <f t="shared" si="143"/>
        <v>0</v>
      </c>
      <c r="AN1282" s="60" t="b">
        <f t="shared" si="144"/>
        <v>0</v>
      </c>
      <c r="AO1282" s="60" t="b">
        <f t="shared" si="145"/>
        <v>0</v>
      </c>
      <c r="AP1282" s="60" t="b">
        <f t="shared" si="146"/>
        <v>0</v>
      </c>
      <c r="AQ1282" s="60" t="b">
        <f t="shared" si="147"/>
        <v>0</v>
      </c>
      <c r="AR1282" s="60" t="str">
        <f t="shared" si="148"/>
        <v>No</v>
      </c>
      <c r="AS1282" s="60" t="str">
        <f t="shared" si="149"/>
        <v>No</v>
      </c>
    </row>
    <row r="1283" spans="1:45" ht="15" hidden="1">
      <c r="A1283" s="103">
        <v>45244</v>
      </c>
      <c r="B1283" s="117" t="s">
        <v>5153</v>
      </c>
      <c r="C1283" s="28" t="s">
        <v>548</v>
      </c>
      <c r="D1283" s="28" t="s">
        <v>5159</v>
      </c>
      <c r="E1283" s="28" t="s">
        <v>5160</v>
      </c>
      <c r="F1283" s="28" t="s">
        <v>5161</v>
      </c>
      <c r="G1283" s="28" t="s">
        <v>1077</v>
      </c>
      <c r="H1283" s="28" t="s">
        <v>5162</v>
      </c>
      <c r="I1283" s="28" t="s">
        <v>516</v>
      </c>
      <c r="J1283" s="28" t="s">
        <v>517</v>
      </c>
      <c r="K1283" s="28" t="s">
        <v>518</v>
      </c>
      <c r="L1283" s="28" t="s">
        <v>596</v>
      </c>
      <c r="M1283" s="28" t="s">
        <v>520</v>
      </c>
      <c r="N1283" s="28" t="s">
        <v>544</v>
      </c>
      <c r="S1283" s="28" t="s">
        <v>1402</v>
      </c>
      <c r="T1283" s="28" t="s">
        <v>597</v>
      </c>
      <c r="U1283" s="28" t="s">
        <v>597</v>
      </c>
      <c r="V1283" s="28" t="s">
        <v>517</v>
      </c>
      <c r="W1283" s="28" t="s">
        <v>5163</v>
      </c>
      <c r="X1283" s="28" t="s">
        <v>670</v>
      </c>
      <c r="Z1283" s="118" t="s">
        <v>563</v>
      </c>
      <c r="AA1283" s="118"/>
      <c r="AB1283" s="118" t="s">
        <v>527</v>
      </c>
      <c r="AD1283" s="28" t="s">
        <v>528</v>
      </c>
      <c r="AF1283" s="117" t="s">
        <v>5154</v>
      </c>
      <c r="AG1283" s="28" t="s">
        <v>563</v>
      </c>
      <c r="AK1283" s="60" t="s">
        <v>2927</v>
      </c>
      <c r="AL1283" s="117">
        <f>1/COUNTIF(Tableau6[LAT],B1283)</f>
        <v>0.5</v>
      </c>
      <c r="AM1283" s="60" t="b">
        <f t="shared" si="143"/>
        <v>0</v>
      </c>
      <c r="AN1283" s="60" t="b">
        <f t="shared" si="144"/>
        <v>0</v>
      </c>
      <c r="AO1283" s="60" t="b">
        <f t="shared" si="145"/>
        <v>0</v>
      </c>
      <c r="AP1283" s="60" t="b">
        <f t="shared" si="146"/>
        <v>0</v>
      </c>
      <c r="AQ1283" s="60" t="b">
        <f t="shared" si="147"/>
        <v>0</v>
      </c>
      <c r="AR1283" s="60" t="str">
        <f t="shared" si="148"/>
        <v>No</v>
      </c>
      <c r="AS1283" s="60" t="str">
        <f t="shared" si="149"/>
        <v>No</v>
      </c>
    </row>
    <row r="1284" spans="1:45" ht="15" hidden="1">
      <c r="A1284" s="103">
        <v>45244</v>
      </c>
      <c r="B1284" s="117" t="s">
        <v>5164</v>
      </c>
      <c r="C1284" s="28" t="s">
        <v>511</v>
      </c>
      <c r="D1284" s="28" t="s">
        <v>5165</v>
      </c>
      <c r="F1284" s="28" t="s">
        <v>5166</v>
      </c>
      <c r="G1284" s="28" t="s">
        <v>514</v>
      </c>
      <c r="H1284" s="28" t="s">
        <v>2861</v>
      </c>
      <c r="I1284" s="28" t="s">
        <v>516</v>
      </c>
      <c r="J1284" s="28" t="s">
        <v>517</v>
      </c>
      <c r="K1284" s="28" t="s">
        <v>518</v>
      </c>
      <c r="L1284" s="28" t="s">
        <v>667</v>
      </c>
      <c r="M1284" s="28" t="s">
        <v>520</v>
      </c>
      <c r="S1284" s="28" t="s">
        <v>928</v>
      </c>
      <c r="T1284" s="28" t="s">
        <v>5167</v>
      </c>
      <c r="U1284" s="28" t="s">
        <v>597</v>
      </c>
      <c r="V1284" s="28" t="s">
        <v>517</v>
      </c>
      <c r="W1284" s="28" t="s">
        <v>620</v>
      </c>
      <c r="Z1284" s="118" t="s">
        <v>563</v>
      </c>
      <c r="AA1284" s="118"/>
      <c r="AB1284" s="118" t="s">
        <v>527</v>
      </c>
      <c r="AD1284" s="28" t="s">
        <v>528</v>
      </c>
      <c r="AF1284" s="117" t="s">
        <v>5165</v>
      </c>
      <c r="AG1284" s="28" t="s">
        <v>563</v>
      </c>
      <c r="AK1284" s="60" t="s">
        <v>2927</v>
      </c>
      <c r="AL1284" s="117">
        <f>1/COUNTIF(Tableau6[LAT],B1284)</f>
        <v>0.33333333333333331</v>
      </c>
      <c r="AM1284" s="60" t="b">
        <f t="shared" si="143"/>
        <v>0</v>
      </c>
      <c r="AN1284" s="60" t="b">
        <f t="shared" si="144"/>
        <v>0</v>
      </c>
      <c r="AO1284" s="60" t="b">
        <f t="shared" si="145"/>
        <v>0</v>
      </c>
      <c r="AP1284" s="60" t="b">
        <f t="shared" si="146"/>
        <v>0</v>
      </c>
      <c r="AQ1284" s="60" t="b">
        <f t="shared" si="147"/>
        <v>0</v>
      </c>
      <c r="AR1284" s="60" t="str">
        <f t="shared" si="148"/>
        <v>No</v>
      </c>
      <c r="AS1284" s="60" t="str">
        <f t="shared" si="149"/>
        <v>No</v>
      </c>
    </row>
    <row r="1285" spans="1:45" ht="15" hidden="1">
      <c r="A1285" s="103">
        <v>45244</v>
      </c>
      <c r="B1285" s="117" t="s">
        <v>5164</v>
      </c>
      <c r="C1285" s="28" t="s">
        <v>548</v>
      </c>
      <c r="D1285" s="28" t="s">
        <v>5168</v>
      </c>
      <c r="F1285" s="28" t="s">
        <v>5166</v>
      </c>
      <c r="G1285" s="28" t="s">
        <v>514</v>
      </c>
      <c r="H1285" s="28" t="s">
        <v>2861</v>
      </c>
      <c r="I1285" s="28" t="s">
        <v>516</v>
      </c>
      <c r="J1285" s="28" t="s">
        <v>517</v>
      </c>
      <c r="K1285" s="28" t="s">
        <v>518</v>
      </c>
      <c r="L1285" s="28" t="s">
        <v>667</v>
      </c>
      <c r="M1285" s="28" t="s">
        <v>520</v>
      </c>
      <c r="S1285" s="28" t="s">
        <v>928</v>
      </c>
      <c r="T1285" s="28" t="s">
        <v>5167</v>
      </c>
      <c r="U1285" s="28" t="s">
        <v>597</v>
      </c>
      <c r="V1285" s="28" t="s">
        <v>517</v>
      </c>
      <c r="W1285" s="28" t="s">
        <v>975</v>
      </c>
      <c r="Z1285" s="118" t="s">
        <v>563</v>
      </c>
      <c r="AA1285" s="118"/>
      <c r="AB1285" s="118" t="s">
        <v>527</v>
      </c>
      <c r="AD1285" s="28" t="s">
        <v>528</v>
      </c>
      <c r="AF1285" s="117" t="s">
        <v>5165</v>
      </c>
      <c r="AG1285" s="28" t="s">
        <v>563</v>
      </c>
      <c r="AK1285" s="60" t="s">
        <v>2927</v>
      </c>
      <c r="AL1285" s="117">
        <f>1/COUNTIF(Tableau6[LAT],B1285)</f>
        <v>0.33333333333333331</v>
      </c>
      <c r="AM1285" s="60" t="b">
        <f t="shared" si="143"/>
        <v>0</v>
      </c>
      <c r="AN1285" s="60" t="b">
        <f t="shared" si="144"/>
        <v>0</v>
      </c>
      <c r="AO1285" s="60" t="b">
        <f t="shared" si="145"/>
        <v>0</v>
      </c>
      <c r="AP1285" s="60" t="b">
        <f t="shared" si="146"/>
        <v>0</v>
      </c>
      <c r="AQ1285" s="60" t="b">
        <f t="shared" si="147"/>
        <v>0</v>
      </c>
      <c r="AR1285" s="60" t="str">
        <f t="shared" si="148"/>
        <v>No</v>
      </c>
      <c r="AS1285" s="60" t="str">
        <f t="shared" si="149"/>
        <v>No</v>
      </c>
    </row>
    <row r="1286" spans="1:45" ht="15" hidden="1">
      <c r="A1286" s="103">
        <v>45244</v>
      </c>
      <c r="B1286" s="117" t="s">
        <v>5164</v>
      </c>
      <c r="C1286" s="28" t="s">
        <v>612</v>
      </c>
      <c r="D1286" s="28" t="s">
        <v>5169</v>
      </c>
      <c r="F1286" s="28" t="s">
        <v>5166</v>
      </c>
      <c r="G1286" s="28" t="s">
        <v>514</v>
      </c>
      <c r="H1286" s="28" t="s">
        <v>2861</v>
      </c>
      <c r="I1286" s="28" t="s">
        <v>516</v>
      </c>
      <c r="J1286" s="28" t="s">
        <v>517</v>
      </c>
      <c r="K1286" s="28" t="s">
        <v>518</v>
      </c>
      <c r="L1286" s="28" t="s">
        <v>667</v>
      </c>
      <c r="M1286" s="28" t="s">
        <v>520</v>
      </c>
      <c r="S1286" s="28" t="s">
        <v>928</v>
      </c>
      <c r="T1286" s="28" t="s">
        <v>5167</v>
      </c>
      <c r="U1286" s="28" t="s">
        <v>597</v>
      </c>
      <c r="V1286" s="28" t="s">
        <v>517</v>
      </c>
      <c r="W1286" s="28" t="s">
        <v>835</v>
      </c>
      <c r="Z1286" s="118" t="s">
        <v>563</v>
      </c>
      <c r="AA1286" s="118"/>
      <c r="AB1286" s="118" t="s">
        <v>527</v>
      </c>
      <c r="AD1286" s="28" t="s">
        <v>528</v>
      </c>
      <c r="AF1286" s="117" t="s">
        <v>5165</v>
      </c>
      <c r="AG1286" s="28" t="s">
        <v>563</v>
      </c>
      <c r="AK1286" s="60" t="s">
        <v>2927</v>
      </c>
      <c r="AL1286" s="117">
        <f>1/COUNTIF(Tableau6[LAT],B1286)</f>
        <v>0.33333333333333331</v>
      </c>
      <c r="AM1286" s="60" t="b">
        <f t="shared" si="143"/>
        <v>0</v>
      </c>
      <c r="AN1286" s="60" t="b">
        <f t="shared" si="144"/>
        <v>0</v>
      </c>
      <c r="AO1286" s="60" t="b">
        <f t="shared" si="145"/>
        <v>0</v>
      </c>
      <c r="AP1286" s="60" t="b">
        <f t="shared" si="146"/>
        <v>0</v>
      </c>
      <c r="AQ1286" s="60" t="b">
        <f t="shared" si="147"/>
        <v>0</v>
      </c>
      <c r="AR1286" s="60" t="str">
        <f t="shared" si="148"/>
        <v>No</v>
      </c>
      <c r="AS1286" s="60" t="str">
        <f t="shared" si="149"/>
        <v>No</v>
      </c>
    </row>
    <row r="1287" spans="1:45" ht="15" hidden="1">
      <c r="A1287" s="103">
        <v>45244</v>
      </c>
      <c r="B1287" s="117" t="s">
        <v>5170</v>
      </c>
      <c r="C1287" s="28" t="s">
        <v>511</v>
      </c>
      <c r="D1287" s="28" t="s">
        <v>5171</v>
      </c>
      <c r="F1287" s="28" t="s">
        <v>5172</v>
      </c>
      <c r="G1287" s="28" t="s">
        <v>514</v>
      </c>
      <c r="H1287" s="28" t="s">
        <v>1457</v>
      </c>
      <c r="I1287" s="28" t="s">
        <v>516</v>
      </c>
      <c r="J1287" s="28" t="s">
        <v>517</v>
      </c>
      <c r="K1287" s="28" t="s">
        <v>518</v>
      </c>
      <c r="L1287" s="28" t="s">
        <v>519</v>
      </c>
      <c r="M1287" s="28" t="s">
        <v>520</v>
      </c>
      <c r="N1287" s="28" t="s">
        <v>521</v>
      </c>
      <c r="O1287" s="28" t="s">
        <v>522</v>
      </c>
      <c r="S1287" s="28" t="s">
        <v>741</v>
      </c>
      <c r="T1287" s="28" t="s">
        <v>524</v>
      </c>
      <c r="U1287" s="28" t="s">
        <v>524</v>
      </c>
      <c r="V1287" s="28" t="s">
        <v>517</v>
      </c>
      <c r="W1287" s="28" t="s">
        <v>5173</v>
      </c>
      <c r="Z1287" s="118" t="s">
        <v>526</v>
      </c>
      <c r="AA1287" s="118"/>
      <c r="AB1287" s="118" t="s">
        <v>5174</v>
      </c>
      <c r="AD1287" s="28" t="s">
        <v>528</v>
      </c>
      <c r="AF1287" s="117" t="s">
        <v>5171</v>
      </c>
      <c r="AG1287" s="28" t="s">
        <v>529</v>
      </c>
      <c r="AK1287" s="60" t="s">
        <v>2927</v>
      </c>
      <c r="AL1287" s="117">
        <f>1/COUNTIF(Tableau6[LAT],B1287)</f>
        <v>0.25</v>
      </c>
      <c r="AM1287" s="60" t="b">
        <f t="shared" si="143"/>
        <v>0</v>
      </c>
      <c r="AN1287" s="60" t="b">
        <f t="shared" si="144"/>
        <v>0</v>
      </c>
      <c r="AO1287" s="60" t="b">
        <f t="shared" si="145"/>
        <v>0</v>
      </c>
      <c r="AP1287" s="60" t="b">
        <f t="shared" si="146"/>
        <v>0</v>
      </c>
      <c r="AQ1287" s="60" t="b">
        <f t="shared" si="147"/>
        <v>0</v>
      </c>
      <c r="AR1287" s="60" t="str">
        <f t="shared" si="148"/>
        <v>No</v>
      </c>
      <c r="AS1287" s="60" t="str">
        <f t="shared" si="149"/>
        <v>Yes</v>
      </c>
    </row>
    <row r="1288" spans="1:45" ht="15" hidden="1">
      <c r="A1288" s="103">
        <v>45244</v>
      </c>
      <c r="B1288" s="117" t="s">
        <v>5170</v>
      </c>
      <c r="C1288" s="28" t="s">
        <v>548</v>
      </c>
      <c r="D1288" s="28" t="s">
        <v>5175</v>
      </c>
      <c r="F1288" s="28" t="s">
        <v>5172</v>
      </c>
      <c r="G1288" s="28" t="s">
        <v>514</v>
      </c>
      <c r="H1288" s="28" t="s">
        <v>1457</v>
      </c>
      <c r="I1288" s="28" t="s">
        <v>516</v>
      </c>
      <c r="J1288" s="28" t="s">
        <v>517</v>
      </c>
      <c r="K1288" s="28" t="s">
        <v>518</v>
      </c>
      <c r="L1288" s="28" t="s">
        <v>519</v>
      </c>
      <c r="M1288" s="28" t="s">
        <v>520</v>
      </c>
      <c r="N1288" s="28" t="s">
        <v>521</v>
      </c>
      <c r="O1288" s="28" t="s">
        <v>522</v>
      </c>
      <c r="S1288" s="28" t="s">
        <v>741</v>
      </c>
      <c r="T1288" s="28" t="s">
        <v>524</v>
      </c>
      <c r="U1288" s="28" t="s">
        <v>524</v>
      </c>
      <c r="V1288" s="28" t="s">
        <v>517</v>
      </c>
      <c r="W1288" s="28" t="s">
        <v>5176</v>
      </c>
      <c r="Z1288" s="118" t="s">
        <v>526</v>
      </c>
      <c r="AA1288" s="118"/>
      <c r="AB1288" s="118" t="s">
        <v>5174</v>
      </c>
      <c r="AD1288" s="28" t="s">
        <v>528</v>
      </c>
      <c r="AF1288" s="117" t="s">
        <v>5171</v>
      </c>
      <c r="AG1288" s="28" t="s">
        <v>529</v>
      </c>
      <c r="AK1288" s="60" t="s">
        <v>2927</v>
      </c>
      <c r="AL1288" s="117">
        <f>1/COUNTIF(Tableau6[LAT],B1288)</f>
        <v>0.25</v>
      </c>
      <c r="AM1288" s="60" t="b">
        <f t="shared" si="143"/>
        <v>0</v>
      </c>
      <c r="AN1288" s="60" t="b">
        <f t="shared" si="144"/>
        <v>0</v>
      </c>
      <c r="AO1288" s="60" t="b">
        <f t="shared" si="145"/>
        <v>0</v>
      </c>
      <c r="AP1288" s="60" t="b">
        <f t="shared" si="146"/>
        <v>0</v>
      </c>
      <c r="AQ1288" s="60" t="b">
        <f t="shared" si="147"/>
        <v>0</v>
      </c>
      <c r="AR1288" s="60" t="str">
        <f t="shared" si="148"/>
        <v>No</v>
      </c>
      <c r="AS1288" s="60" t="str">
        <f t="shared" si="149"/>
        <v>Yes</v>
      </c>
    </row>
    <row r="1289" spans="1:45" ht="15" hidden="1">
      <c r="A1289" s="103">
        <v>45244</v>
      </c>
      <c r="B1289" s="117" t="s">
        <v>5170</v>
      </c>
      <c r="C1289" s="28" t="s">
        <v>612</v>
      </c>
      <c r="D1289" s="28" t="s">
        <v>5177</v>
      </c>
      <c r="F1289" s="28" t="s">
        <v>5172</v>
      </c>
      <c r="G1289" s="28" t="s">
        <v>514</v>
      </c>
      <c r="H1289" s="28" t="s">
        <v>1457</v>
      </c>
      <c r="I1289" s="28" t="s">
        <v>516</v>
      </c>
      <c r="J1289" s="28" t="s">
        <v>517</v>
      </c>
      <c r="K1289" s="28" t="s">
        <v>518</v>
      </c>
      <c r="L1289" s="28" t="s">
        <v>519</v>
      </c>
      <c r="M1289" s="28" t="s">
        <v>520</v>
      </c>
      <c r="N1289" s="28" t="s">
        <v>521</v>
      </c>
      <c r="O1289" s="28" t="s">
        <v>522</v>
      </c>
      <c r="S1289" s="28" t="s">
        <v>741</v>
      </c>
      <c r="T1289" s="28" t="s">
        <v>524</v>
      </c>
      <c r="U1289" s="28" t="s">
        <v>524</v>
      </c>
      <c r="V1289" s="28" t="s">
        <v>517</v>
      </c>
      <c r="W1289" s="28" t="s">
        <v>5176</v>
      </c>
      <c r="Z1289" s="118" t="s">
        <v>526</v>
      </c>
      <c r="AA1289" s="118"/>
      <c r="AB1289" s="118" t="s">
        <v>5174</v>
      </c>
      <c r="AD1289" s="28" t="s">
        <v>528</v>
      </c>
      <c r="AF1289" s="117" t="s">
        <v>5171</v>
      </c>
      <c r="AG1289" s="28" t="s">
        <v>529</v>
      </c>
      <c r="AK1289" s="60" t="s">
        <v>2927</v>
      </c>
      <c r="AL1289" s="117">
        <f>1/COUNTIF(Tableau6[LAT],B1289)</f>
        <v>0.25</v>
      </c>
      <c r="AM1289" s="60" t="b">
        <f t="shared" si="143"/>
        <v>0</v>
      </c>
      <c r="AN1289" s="60" t="b">
        <f t="shared" si="144"/>
        <v>0</v>
      </c>
      <c r="AO1289" s="60" t="b">
        <f t="shared" si="145"/>
        <v>0</v>
      </c>
      <c r="AP1289" s="60" t="b">
        <f t="shared" si="146"/>
        <v>0</v>
      </c>
      <c r="AQ1289" s="60" t="b">
        <f t="shared" si="147"/>
        <v>0</v>
      </c>
      <c r="AR1289" s="60" t="str">
        <f t="shared" si="148"/>
        <v>No</v>
      </c>
      <c r="AS1289" s="60" t="str">
        <f t="shared" si="149"/>
        <v>Yes</v>
      </c>
    </row>
    <row r="1290" spans="1:45" ht="15" hidden="1">
      <c r="A1290" s="103">
        <v>45244</v>
      </c>
      <c r="B1290" s="117" t="s">
        <v>5170</v>
      </c>
      <c r="C1290" s="28" t="s">
        <v>691</v>
      </c>
      <c r="D1290" s="28" t="s">
        <v>5178</v>
      </c>
      <c r="F1290" s="28" t="s">
        <v>5172</v>
      </c>
      <c r="G1290" s="28" t="s">
        <v>514</v>
      </c>
      <c r="H1290" s="28" t="s">
        <v>1457</v>
      </c>
      <c r="I1290" s="28" t="s">
        <v>516</v>
      </c>
      <c r="J1290" s="28" t="s">
        <v>517</v>
      </c>
      <c r="K1290" s="28" t="s">
        <v>518</v>
      </c>
      <c r="L1290" s="28" t="s">
        <v>519</v>
      </c>
      <c r="M1290" s="28" t="s">
        <v>520</v>
      </c>
      <c r="N1290" s="28" t="s">
        <v>521</v>
      </c>
      <c r="O1290" s="28" t="s">
        <v>522</v>
      </c>
      <c r="S1290" s="28" t="s">
        <v>741</v>
      </c>
      <c r="T1290" s="28" t="s">
        <v>524</v>
      </c>
      <c r="U1290" s="28" t="s">
        <v>524</v>
      </c>
      <c r="V1290" s="28" t="s">
        <v>517</v>
      </c>
      <c r="W1290" s="28" t="s">
        <v>1285</v>
      </c>
      <c r="Z1290" s="118" t="s">
        <v>526</v>
      </c>
      <c r="AA1290" s="118"/>
      <c r="AB1290" s="118" t="s">
        <v>5174</v>
      </c>
      <c r="AD1290" s="28" t="s">
        <v>528</v>
      </c>
      <c r="AF1290" s="117" t="s">
        <v>5171</v>
      </c>
      <c r="AG1290" s="28" t="s">
        <v>529</v>
      </c>
      <c r="AK1290" s="60" t="s">
        <v>2927</v>
      </c>
      <c r="AL1290" s="117">
        <f>1/COUNTIF(Tableau6[LAT],B1290)</f>
        <v>0.25</v>
      </c>
      <c r="AM1290" s="60" t="b">
        <f t="shared" si="143"/>
        <v>0</v>
      </c>
      <c r="AN1290" s="60" t="b">
        <f t="shared" si="144"/>
        <v>0</v>
      </c>
      <c r="AO1290" s="60" t="b">
        <f t="shared" si="145"/>
        <v>0</v>
      </c>
      <c r="AP1290" s="60" t="b">
        <f t="shared" si="146"/>
        <v>0</v>
      </c>
      <c r="AQ1290" s="60" t="b">
        <f t="shared" si="147"/>
        <v>0</v>
      </c>
      <c r="AR1290" s="60" t="str">
        <f t="shared" si="148"/>
        <v>No</v>
      </c>
      <c r="AS1290" s="60" t="str">
        <f t="shared" si="149"/>
        <v>Yes</v>
      </c>
    </row>
    <row r="1291" spans="1:45" ht="15" hidden="1">
      <c r="A1291" s="103">
        <v>45244</v>
      </c>
      <c r="B1291" s="117" t="s">
        <v>5179</v>
      </c>
      <c r="C1291" s="28" t="s">
        <v>511</v>
      </c>
      <c r="D1291" s="28" t="s">
        <v>5180</v>
      </c>
      <c r="E1291" s="28" t="s">
        <v>5181</v>
      </c>
      <c r="F1291" s="28" t="s">
        <v>5182</v>
      </c>
      <c r="G1291" s="28" t="s">
        <v>4911</v>
      </c>
      <c r="H1291" s="28" t="s">
        <v>2991</v>
      </c>
      <c r="I1291" s="28" t="s">
        <v>516</v>
      </c>
      <c r="J1291" s="28" t="s">
        <v>517</v>
      </c>
      <c r="K1291" s="28" t="s">
        <v>518</v>
      </c>
      <c r="L1291" s="28" t="s">
        <v>751</v>
      </c>
      <c r="M1291" s="28" t="s">
        <v>520</v>
      </c>
      <c r="N1291" s="28" t="s">
        <v>557</v>
      </c>
      <c r="O1291" s="28" t="s">
        <v>559</v>
      </c>
      <c r="S1291" s="28" t="s">
        <v>733</v>
      </c>
      <c r="T1291" s="28" t="s">
        <v>753</v>
      </c>
      <c r="U1291" s="28" t="s">
        <v>753</v>
      </c>
      <c r="V1291" s="28" t="s">
        <v>517</v>
      </c>
      <c r="W1291" s="28" t="s">
        <v>5183</v>
      </c>
      <c r="X1291" s="28" t="s">
        <v>670</v>
      </c>
      <c r="Z1291" s="118" t="s">
        <v>526</v>
      </c>
      <c r="AA1291" s="118"/>
      <c r="AB1291" s="118" t="s">
        <v>5174</v>
      </c>
      <c r="AD1291" s="28" t="s">
        <v>528</v>
      </c>
      <c r="AF1291" s="117" t="s">
        <v>5180</v>
      </c>
      <c r="AG1291" s="28" t="s">
        <v>529</v>
      </c>
      <c r="AK1291" s="60" t="s">
        <v>2927</v>
      </c>
      <c r="AL1291" s="117">
        <f>1/COUNTIF(Tableau6[LAT],B1291)</f>
        <v>0.5</v>
      </c>
      <c r="AM1291" s="60" t="b">
        <f t="shared" si="143"/>
        <v>0</v>
      </c>
      <c r="AN1291" s="60" t="b">
        <f t="shared" si="144"/>
        <v>0</v>
      </c>
      <c r="AO1291" s="60" t="b">
        <f t="shared" si="145"/>
        <v>0</v>
      </c>
      <c r="AP1291" s="60" t="b">
        <f t="shared" si="146"/>
        <v>0</v>
      </c>
      <c r="AQ1291" s="60" t="b">
        <f t="shared" si="147"/>
        <v>0</v>
      </c>
      <c r="AR1291" s="60" t="str">
        <f t="shared" si="148"/>
        <v>No</v>
      </c>
      <c r="AS1291" s="60" t="str">
        <f t="shared" si="149"/>
        <v>Yes</v>
      </c>
    </row>
    <row r="1292" spans="1:45" ht="15" hidden="1">
      <c r="A1292" s="103">
        <v>45244</v>
      </c>
      <c r="B1292" s="117" t="s">
        <v>5179</v>
      </c>
      <c r="C1292" s="28" t="s">
        <v>548</v>
      </c>
      <c r="D1292" s="28" t="s">
        <v>5184</v>
      </c>
      <c r="F1292" s="28" t="s">
        <v>5185</v>
      </c>
      <c r="G1292" s="28" t="s">
        <v>958</v>
      </c>
      <c r="H1292" s="28" t="s">
        <v>1372</v>
      </c>
      <c r="I1292" s="28" t="s">
        <v>516</v>
      </c>
      <c r="J1292" s="28" t="s">
        <v>517</v>
      </c>
      <c r="K1292" s="28" t="s">
        <v>518</v>
      </c>
      <c r="L1292" s="28" t="s">
        <v>751</v>
      </c>
      <c r="M1292" s="28" t="s">
        <v>520</v>
      </c>
      <c r="N1292" s="28" t="s">
        <v>557</v>
      </c>
      <c r="O1292" s="28" t="s">
        <v>559</v>
      </c>
      <c r="S1292" s="28" t="s">
        <v>733</v>
      </c>
      <c r="T1292" s="28" t="s">
        <v>753</v>
      </c>
      <c r="U1292" s="28" t="s">
        <v>753</v>
      </c>
      <c r="V1292" s="28" t="s">
        <v>517</v>
      </c>
      <c r="W1292" s="28" t="s">
        <v>5186</v>
      </c>
      <c r="Z1292" s="118" t="s">
        <v>526</v>
      </c>
      <c r="AA1292" s="118"/>
      <c r="AB1292" s="118" t="s">
        <v>5174</v>
      </c>
      <c r="AD1292" s="28" t="s">
        <v>528</v>
      </c>
      <c r="AF1292" s="117" t="s">
        <v>5184</v>
      </c>
      <c r="AG1292" s="28" t="s">
        <v>529</v>
      </c>
      <c r="AK1292" s="60" t="s">
        <v>2927</v>
      </c>
      <c r="AL1292" s="117">
        <f>1/COUNTIF(Tableau6[LAT],B1292)</f>
        <v>0.5</v>
      </c>
      <c r="AM1292" s="60" t="b">
        <f t="shared" si="143"/>
        <v>0</v>
      </c>
      <c r="AN1292" s="60" t="b">
        <f t="shared" si="144"/>
        <v>0</v>
      </c>
      <c r="AO1292" s="60" t="b">
        <f t="shared" si="145"/>
        <v>0</v>
      </c>
      <c r="AP1292" s="60" t="b">
        <f t="shared" si="146"/>
        <v>0</v>
      </c>
      <c r="AQ1292" s="60" t="b">
        <f t="shared" si="147"/>
        <v>0</v>
      </c>
      <c r="AR1292" s="60" t="str">
        <f t="shared" si="148"/>
        <v>No</v>
      </c>
      <c r="AS1292" s="60" t="str">
        <f t="shared" si="149"/>
        <v>Yes</v>
      </c>
    </row>
    <row r="1293" spans="1:45" ht="15" hidden="1">
      <c r="A1293" s="103">
        <v>45244</v>
      </c>
      <c r="B1293" s="117" t="s">
        <v>5187</v>
      </c>
      <c r="C1293" s="28" t="s">
        <v>511</v>
      </c>
      <c r="D1293" s="28" t="s">
        <v>5188</v>
      </c>
      <c r="F1293" s="28" t="s">
        <v>5189</v>
      </c>
      <c r="G1293" s="28" t="s">
        <v>724</v>
      </c>
      <c r="H1293" s="28" t="s">
        <v>5190</v>
      </c>
      <c r="I1293" s="28" t="s">
        <v>516</v>
      </c>
      <c r="J1293" s="28" t="s">
        <v>517</v>
      </c>
      <c r="K1293" s="28" t="s">
        <v>518</v>
      </c>
      <c r="L1293" s="28" t="s">
        <v>2363</v>
      </c>
      <c r="M1293" s="28" t="s">
        <v>535</v>
      </c>
      <c r="N1293" s="28" t="s">
        <v>557</v>
      </c>
      <c r="O1293" s="28" t="s">
        <v>544</v>
      </c>
      <c r="S1293" s="28" t="s">
        <v>733</v>
      </c>
      <c r="T1293" s="28" t="s">
        <v>2364</v>
      </c>
      <c r="U1293" s="28" t="s">
        <v>2364</v>
      </c>
      <c r="V1293" s="28" t="s">
        <v>517</v>
      </c>
      <c r="Z1293" s="118" t="s">
        <v>526</v>
      </c>
      <c r="AA1293" s="118"/>
      <c r="AB1293" s="118"/>
      <c r="AF1293" s="117" t="s">
        <v>5191</v>
      </c>
      <c r="AK1293" s="60" t="s">
        <v>2927</v>
      </c>
      <c r="AL1293" s="117">
        <f>1/COUNTIF(Tableau6[LAT],B1293)</f>
        <v>0.5</v>
      </c>
      <c r="AM1293" s="60" t="b">
        <f t="shared" si="143"/>
        <v>0</v>
      </c>
      <c r="AN1293" s="60" t="b">
        <f t="shared" si="144"/>
        <v>0</v>
      </c>
      <c r="AO1293" s="60" t="b">
        <f t="shared" si="145"/>
        <v>0</v>
      </c>
      <c r="AP1293" s="60" t="b">
        <f t="shared" si="146"/>
        <v>0</v>
      </c>
      <c r="AQ1293" s="60" t="b">
        <f t="shared" si="147"/>
        <v>0</v>
      </c>
      <c r="AR1293" s="60" t="str">
        <f t="shared" si="148"/>
        <v>No</v>
      </c>
      <c r="AS1293" s="60" t="str">
        <f t="shared" si="149"/>
        <v>Yes</v>
      </c>
    </row>
    <row r="1294" spans="1:45" ht="15" hidden="1">
      <c r="A1294" s="103">
        <v>45244</v>
      </c>
      <c r="B1294" s="117" t="s">
        <v>5192</v>
      </c>
      <c r="C1294" s="28" t="s">
        <v>511</v>
      </c>
      <c r="D1294" s="28" t="s">
        <v>5193</v>
      </c>
      <c r="F1294" s="28" t="s">
        <v>5194</v>
      </c>
      <c r="G1294" s="28" t="s">
        <v>1163</v>
      </c>
      <c r="H1294" s="28" t="s">
        <v>2401</v>
      </c>
      <c r="I1294" s="28" t="s">
        <v>516</v>
      </c>
      <c r="J1294" s="28" t="s">
        <v>517</v>
      </c>
      <c r="K1294" s="28" t="s">
        <v>518</v>
      </c>
      <c r="L1294" s="28" t="s">
        <v>5195</v>
      </c>
      <c r="M1294" s="28" t="s">
        <v>535</v>
      </c>
      <c r="N1294" s="28" t="s">
        <v>521</v>
      </c>
      <c r="O1294" s="28" t="s">
        <v>522</v>
      </c>
      <c r="S1294" s="28" t="s">
        <v>1098</v>
      </c>
      <c r="T1294" s="28" t="s">
        <v>3756</v>
      </c>
      <c r="U1294" s="28" t="s">
        <v>3756</v>
      </c>
      <c r="V1294" s="28" t="s">
        <v>517</v>
      </c>
      <c r="W1294" s="28" t="s">
        <v>5196</v>
      </c>
      <c r="Z1294" s="118" t="s">
        <v>563</v>
      </c>
      <c r="AA1294" s="118"/>
      <c r="AB1294" s="118" t="s">
        <v>527</v>
      </c>
      <c r="AD1294" s="28" t="s">
        <v>954</v>
      </c>
      <c r="AF1294" s="117" t="s">
        <v>5193</v>
      </c>
      <c r="AG1294" s="28" t="s">
        <v>563</v>
      </c>
      <c r="AK1294" s="60" t="s">
        <v>2927</v>
      </c>
      <c r="AL1294" s="117">
        <f>1/COUNTIF(Tableau6[LAT],B1294)</f>
        <v>0.5</v>
      </c>
      <c r="AM1294" s="60" t="b">
        <f t="shared" si="143"/>
        <v>0</v>
      </c>
      <c r="AN1294" s="60" t="b">
        <f t="shared" si="144"/>
        <v>0</v>
      </c>
      <c r="AO1294" s="60" t="b">
        <f t="shared" si="145"/>
        <v>0</v>
      </c>
      <c r="AP1294" s="60" t="b">
        <f t="shared" si="146"/>
        <v>0</v>
      </c>
      <c r="AQ1294" s="60" t="b">
        <f t="shared" si="147"/>
        <v>0</v>
      </c>
      <c r="AR1294" s="60" t="str">
        <f t="shared" si="148"/>
        <v>No</v>
      </c>
      <c r="AS1294" s="60" t="str">
        <f t="shared" si="149"/>
        <v>No</v>
      </c>
    </row>
    <row r="1295" spans="1:45" ht="15" hidden="1">
      <c r="A1295" s="103">
        <v>45244</v>
      </c>
      <c r="B1295" s="117" t="s">
        <v>5192</v>
      </c>
      <c r="C1295" s="28" t="s">
        <v>548</v>
      </c>
      <c r="D1295" s="28" t="s">
        <v>5197</v>
      </c>
      <c r="F1295" s="28" t="s">
        <v>5198</v>
      </c>
      <c r="G1295" s="28" t="s">
        <v>665</v>
      </c>
      <c r="H1295" s="28" t="s">
        <v>2017</v>
      </c>
      <c r="I1295" s="28" t="s">
        <v>516</v>
      </c>
      <c r="J1295" s="28" t="s">
        <v>517</v>
      </c>
      <c r="K1295" s="28" t="s">
        <v>518</v>
      </c>
      <c r="L1295" s="28" t="s">
        <v>5195</v>
      </c>
      <c r="M1295" s="28" t="s">
        <v>535</v>
      </c>
      <c r="N1295" s="28" t="s">
        <v>521</v>
      </c>
      <c r="O1295" s="28" t="s">
        <v>522</v>
      </c>
      <c r="S1295" s="28" t="s">
        <v>1098</v>
      </c>
      <c r="T1295" s="28" t="s">
        <v>3756</v>
      </c>
      <c r="U1295" s="28" t="s">
        <v>3756</v>
      </c>
      <c r="V1295" s="28" t="s">
        <v>517</v>
      </c>
      <c r="W1295" s="28" t="s">
        <v>2000</v>
      </c>
      <c r="Z1295" s="118" t="s">
        <v>563</v>
      </c>
      <c r="AA1295" s="118"/>
      <c r="AB1295" s="118" t="s">
        <v>527</v>
      </c>
      <c r="AD1295" s="28" t="s">
        <v>954</v>
      </c>
      <c r="AF1295" s="117" t="s">
        <v>5197</v>
      </c>
      <c r="AG1295" s="28" t="s">
        <v>563</v>
      </c>
      <c r="AK1295" s="60" t="s">
        <v>2927</v>
      </c>
      <c r="AL1295" s="117">
        <f>1/COUNTIF(Tableau6[LAT],B1295)</f>
        <v>0.5</v>
      </c>
      <c r="AM1295" s="60" t="b">
        <f t="shared" si="143"/>
        <v>0</v>
      </c>
      <c r="AN1295" s="60" t="b">
        <f t="shared" si="144"/>
        <v>0</v>
      </c>
      <c r="AO1295" s="60" t="b">
        <f t="shared" si="145"/>
        <v>0</v>
      </c>
      <c r="AP1295" s="60" t="b">
        <f t="shared" si="146"/>
        <v>0</v>
      </c>
      <c r="AQ1295" s="60" t="b">
        <f t="shared" si="147"/>
        <v>0</v>
      </c>
      <c r="AR1295" s="60" t="str">
        <f t="shared" si="148"/>
        <v>No</v>
      </c>
      <c r="AS1295" s="60" t="str">
        <f t="shared" si="149"/>
        <v>No</v>
      </c>
    </row>
    <row r="1296" spans="1:45" ht="15" hidden="1">
      <c r="A1296" s="103">
        <v>45244</v>
      </c>
      <c r="B1296" s="117" t="s">
        <v>5199</v>
      </c>
      <c r="C1296" s="28" t="s">
        <v>511</v>
      </c>
      <c r="D1296" s="28" t="s">
        <v>5200</v>
      </c>
      <c r="E1296" s="28" t="s">
        <v>2956</v>
      </c>
      <c r="F1296" s="28" t="s">
        <v>5201</v>
      </c>
      <c r="G1296" s="28" t="s">
        <v>514</v>
      </c>
      <c r="H1296" s="28" t="s">
        <v>2062</v>
      </c>
      <c r="I1296" s="28" t="s">
        <v>516</v>
      </c>
      <c r="J1296" s="28" t="s">
        <v>517</v>
      </c>
      <c r="K1296" s="28" t="s">
        <v>518</v>
      </c>
      <c r="L1296" s="28" t="s">
        <v>1269</v>
      </c>
      <c r="M1296" s="28" t="s">
        <v>535</v>
      </c>
      <c r="N1296" s="28" t="s">
        <v>557</v>
      </c>
      <c r="O1296" s="28" t="s">
        <v>544</v>
      </c>
      <c r="P1296" s="28" t="s">
        <v>522</v>
      </c>
      <c r="S1296" s="28" t="s">
        <v>917</v>
      </c>
      <c r="T1296" s="28" t="s">
        <v>1270</v>
      </c>
      <c r="U1296" s="28" t="s">
        <v>1041</v>
      </c>
      <c r="V1296" s="28" t="s">
        <v>517</v>
      </c>
      <c r="W1296" s="28" t="s">
        <v>2959</v>
      </c>
      <c r="X1296" s="28" t="s">
        <v>670</v>
      </c>
      <c r="Z1296" s="118" t="s">
        <v>526</v>
      </c>
      <c r="AA1296" s="118"/>
      <c r="AB1296" s="118"/>
      <c r="AD1296" s="28" t="s">
        <v>954</v>
      </c>
      <c r="AF1296" s="117" t="s">
        <v>5200</v>
      </c>
      <c r="AG1296" s="28" t="s">
        <v>563</v>
      </c>
      <c r="AK1296" s="60" t="s">
        <v>2927</v>
      </c>
      <c r="AL1296" s="117">
        <f>1/COUNTIF(Tableau6[LAT],B1296)</f>
        <v>1</v>
      </c>
      <c r="AM1296" s="60" t="b">
        <f t="shared" si="143"/>
        <v>0</v>
      </c>
      <c r="AN1296" s="60" t="b">
        <f t="shared" si="144"/>
        <v>0</v>
      </c>
      <c r="AO1296" s="60" t="b">
        <f t="shared" si="145"/>
        <v>0</v>
      </c>
      <c r="AP1296" s="60" t="b">
        <f t="shared" si="146"/>
        <v>0</v>
      </c>
      <c r="AQ1296" s="60" t="b">
        <f t="shared" si="147"/>
        <v>0</v>
      </c>
      <c r="AR1296" s="60" t="str">
        <f t="shared" si="148"/>
        <v>No</v>
      </c>
      <c r="AS1296" s="60" t="str">
        <f t="shared" si="149"/>
        <v>No</v>
      </c>
    </row>
    <row r="1297" spans="1:45" ht="15" hidden="1">
      <c r="A1297" s="103">
        <v>45244</v>
      </c>
      <c r="B1297" s="117" t="s">
        <v>5202</v>
      </c>
      <c r="C1297" s="28" t="s">
        <v>511</v>
      </c>
      <c r="D1297" s="28" t="s">
        <v>5203</v>
      </c>
      <c r="F1297" s="28" t="s">
        <v>5204</v>
      </c>
      <c r="G1297" s="28" t="s">
        <v>5205</v>
      </c>
      <c r="H1297" s="28" t="s">
        <v>3145</v>
      </c>
      <c r="I1297" s="28" t="s">
        <v>516</v>
      </c>
      <c r="J1297" s="28" t="s">
        <v>517</v>
      </c>
      <c r="K1297" s="28" t="s">
        <v>518</v>
      </c>
      <c r="L1297" s="28" t="s">
        <v>1149</v>
      </c>
      <c r="M1297" s="28" t="s">
        <v>535</v>
      </c>
      <c r="N1297" s="28" t="s">
        <v>557</v>
      </c>
      <c r="O1297" s="28" t="s">
        <v>559</v>
      </c>
      <c r="S1297" s="28" t="s">
        <v>607</v>
      </c>
      <c r="T1297" s="28" t="s">
        <v>820</v>
      </c>
      <c r="U1297" s="28" t="s">
        <v>820</v>
      </c>
      <c r="V1297" s="28" t="s">
        <v>517</v>
      </c>
      <c r="W1297" s="28" t="s">
        <v>5206</v>
      </c>
      <c r="Z1297" s="118" t="s">
        <v>563</v>
      </c>
      <c r="AA1297" s="118"/>
      <c r="AB1297" s="118" t="s">
        <v>527</v>
      </c>
      <c r="AD1297" s="28" t="s">
        <v>954</v>
      </c>
      <c r="AF1297" s="117" t="s">
        <v>5203</v>
      </c>
      <c r="AG1297" s="28" t="s">
        <v>563</v>
      </c>
      <c r="AK1297" s="60" t="s">
        <v>2927</v>
      </c>
      <c r="AL1297" s="117">
        <f>1/COUNTIF(Tableau6[LAT],B1297)</f>
        <v>1</v>
      </c>
      <c r="AM1297" s="60" t="b">
        <f t="shared" si="143"/>
        <v>0</v>
      </c>
      <c r="AN1297" s="60" t="b">
        <f t="shared" si="144"/>
        <v>0</v>
      </c>
      <c r="AO1297" s="60" t="b">
        <f t="shared" si="145"/>
        <v>0</v>
      </c>
      <c r="AP1297" s="60" t="b">
        <f t="shared" si="146"/>
        <v>0</v>
      </c>
      <c r="AQ1297" s="60" t="b">
        <f t="shared" si="147"/>
        <v>0</v>
      </c>
      <c r="AR1297" s="60" t="str">
        <f t="shared" si="148"/>
        <v>No</v>
      </c>
      <c r="AS1297" s="60" t="str">
        <f t="shared" si="149"/>
        <v>No</v>
      </c>
    </row>
    <row r="1298" spans="1:45" ht="15" hidden="1">
      <c r="A1298" s="103">
        <v>45244</v>
      </c>
      <c r="B1298" s="117" t="s">
        <v>5207</v>
      </c>
      <c r="C1298" s="28" t="s">
        <v>511</v>
      </c>
      <c r="D1298" s="28" t="s">
        <v>5208</v>
      </c>
      <c r="F1298" s="28" t="s">
        <v>696</v>
      </c>
      <c r="G1298" s="28" t="s">
        <v>514</v>
      </c>
      <c r="H1298" s="28" t="s">
        <v>1144</v>
      </c>
      <c r="I1298" s="28" t="s">
        <v>516</v>
      </c>
      <c r="J1298" s="28" t="s">
        <v>517</v>
      </c>
      <c r="K1298" s="28" t="s">
        <v>518</v>
      </c>
      <c r="L1298" s="28" t="s">
        <v>1097</v>
      </c>
      <c r="M1298" s="28" t="s">
        <v>520</v>
      </c>
      <c r="N1298" s="28" t="s">
        <v>557</v>
      </c>
      <c r="O1298" s="28" t="s">
        <v>522</v>
      </c>
      <c r="S1298" s="28" t="s">
        <v>928</v>
      </c>
      <c r="T1298" s="28" t="s">
        <v>1098</v>
      </c>
      <c r="U1298" s="28" t="s">
        <v>1098</v>
      </c>
      <c r="V1298" s="28" t="s">
        <v>517</v>
      </c>
      <c r="W1298" s="28" t="s">
        <v>835</v>
      </c>
      <c r="Z1298" s="118" t="s">
        <v>563</v>
      </c>
      <c r="AA1298" s="118"/>
      <c r="AB1298" s="118" t="s">
        <v>527</v>
      </c>
      <c r="AD1298" s="28" t="s">
        <v>528</v>
      </c>
      <c r="AF1298" s="117" t="s">
        <v>5208</v>
      </c>
      <c r="AG1298" s="28" t="s">
        <v>563</v>
      </c>
      <c r="AK1298" s="60" t="s">
        <v>2927</v>
      </c>
      <c r="AL1298" s="117">
        <f>1/COUNTIF(Tableau6[LAT],B1298)</f>
        <v>1</v>
      </c>
      <c r="AM1298" s="60" t="b">
        <f t="shared" si="143"/>
        <v>0</v>
      </c>
      <c r="AN1298" s="60" t="b">
        <f t="shared" si="144"/>
        <v>0</v>
      </c>
      <c r="AO1298" s="60" t="b">
        <f t="shared" si="145"/>
        <v>0</v>
      </c>
      <c r="AP1298" s="60" t="b">
        <f t="shared" si="146"/>
        <v>0</v>
      </c>
      <c r="AQ1298" s="60" t="b">
        <f t="shared" si="147"/>
        <v>0</v>
      </c>
      <c r="AR1298" s="60" t="str">
        <f t="shared" si="148"/>
        <v>No</v>
      </c>
      <c r="AS1298" s="60" t="str">
        <f t="shared" si="149"/>
        <v>No</v>
      </c>
    </row>
    <row r="1299" spans="1:45" ht="15" hidden="1">
      <c r="A1299" s="103">
        <v>45244</v>
      </c>
      <c r="B1299" s="117" t="s">
        <v>5209</v>
      </c>
      <c r="C1299" s="28" t="s">
        <v>511</v>
      </c>
      <c r="D1299" s="28" t="s">
        <v>5210</v>
      </c>
      <c r="F1299" s="28" t="s">
        <v>3451</v>
      </c>
      <c r="G1299" s="28" t="s">
        <v>514</v>
      </c>
      <c r="H1299" s="28" t="s">
        <v>4098</v>
      </c>
      <c r="I1299" s="28" t="s">
        <v>516</v>
      </c>
      <c r="J1299" s="28" t="s">
        <v>517</v>
      </c>
      <c r="K1299" s="28" t="s">
        <v>518</v>
      </c>
      <c r="L1299" s="28" t="s">
        <v>1502</v>
      </c>
      <c r="M1299" s="28" t="s">
        <v>535</v>
      </c>
      <c r="N1299" s="28" t="s">
        <v>619</v>
      </c>
      <c r="O1299" s="28" t="s">
        <v>522</v>
      </c>
      <c r="S1299" s="28" t="s">
        <v>740</v>
      </c>
      <c r="T1299" s="28" t="s">
        <v>1897</v>
      </c>
      <c r="U1299" s="28" t="s">
        <v>811</v>
      </c>
      <c r="V1299" s="28" t="s">
        <v>517</v>
      </c>
      <c r="W1299" s="28" t="s">
        <v>5211</v>
      </c>
      <c r="Z1299" s="118" t="s">
        <v>563</v>
      </c>
      <c r="AA1299" s="118"/>
      <c r="AB1299" s="118" t="s">
        <v>527</v>
      </c>
      <c r="AD1299" s="28" t="s">
        <v>954</v>
      </c>
      <c r="AF1299" s="117" t="s">
        <v>5210</v>
      </c>
      <c r="AG1299" s="28" t="s">
        <v>563</v>
      </c>
      <c r="AK1299" s="60" t="s">
        <v>2927</v>
      </c>
      <c r="AL1299" s="117">
        <f>1/COUNTIF(Tableau6[LAT],B1299)</f>
        <v>0.5</v>
      </c>
      <c r="AM1299" s="60" t="b">
        <f t="shared" si="143"/>
        <v>0</v>
      </c>
      <c r="AN1299" s="60" t="b">
        <f t="shared" si="144"/>
        <v>0</v>
      </c>
      <c r="AO1299" s="60" t="b">
        <f t="shared" si="145"/>
        <v>0</v>
      </c>
      <c r="AP1299" s="60" t="b">
        <f t="shared" si="146"/>
        <v>0</v>
      </c>
      <c r="AQ1299" s="60" t="b">
        <f t="shared" si="147"/>
        <v>0</v>
      </c>
      <c r="AR1299" s="60" t="str">
        <f t="shared" si="148"/>
        <v>No</v>
      </c>
      <c r="AS1299" s="60" t="str">
        <f t="shared" si="149"/>
        <v>No</v>
      </c>
    </row>
    <row r="1300" spans="1:45" ht="15" hidden="1">
      <c r="A1300" s="103">
        <v>45244</v>
      </c>
      <c r="B1300" s="117" t="s">
        <v>5209</v>
      </c>
      <c r="C1300" s="28" t="s">
        <v>548</v>
      </c>
      <c r="D1300" s="28" t="s">
        <v>5212</v>
      </c>
      <c r="F1300" s="28" t="s">
        <v>3451</v>
      </c>
      <c r="G1300" s="28" t="s">
        <v>514</v>
      </c>
      <c r="H1300" s="28" t="s">
        <v>4452</v>
      </c>
      <c r="I1300" s="28" t="s">
        <v>516</v>
      </c>
      <c r="J1300" s="28" t="s">
        <v>517</v>
      </c>
      <c r="K1300" s="28" t="s">
        <v>518</v>
      </c>
      <c r="L1300" s="28" t="s">
        <v>1502</v>
      </c>
      <c r="M1300" s="28" t="s">
        <v>535</v>
      </c>
      <c r="N1300" s="28" t="s">
        <v>619</v>
      </c>
      <c r="O1300" s="28" t="s">
        <v>522</v>
      </c>
      <c r="S1300" s="28" t="s">
        <v>740</v>
      </c>
      <c r="T1300" s="28" t="s">
        <v>1897</v>
      </c>
      <c r="U1300" s="28" t="s">
        <v>811</v>
      </c>
      <c r="V1300" s="28" t="s">
        <v>517</v>
      </c>
      <c r="W1300" s="28" t="s">
        <v>5213</v>
      </c>
      <c r="Z1300" s="118" t="s">
        <v>563</v>
      </c>
      <c r="AA1300" s="118"/>
      <c r="AB1300" s="118" t="s">
        <v>527</v>
      </c>
      <c r="AD1300" s="28" t="s">
        <v>954</v>
      </c>
      <c r="AF1300" s="117" t="s">
        <v>5210</v>
      </c>
      <c r="AG1300" s="28" t="s">
        <v>563</v>
      </c>
      <c r="AK1300" s="60" t="s">
        <v>2927</v>
      </c>
      <c r="AL1300" s="117">
        <f>1/COUNTIF(Tableau6[LAT],B1300)</f>
        <v>0.5</v>
      </c>
      <c r="AM1300" s="60" t="b">
        <f t="shared" si="143"/>
        <v>0</v>
      </c>
      <c r="AN1300" s="60" t="b">
        <f t="shared" si="144"/>
        <v>0</v>
      </c>
      <c r="AO1300" s="60" t="b">
        <f t="shared" si="145"/>
        <v>0</v>
      </c>
      <c r="AP1300" s="60" t="b">
        <f t="shared" si="146"/>
        <v>0</v>
      </c>
      <c r="AQ1300" s="60" t="b">
        <f t="shared" si="147"/>
        <v>0</v>
      </c>
      <c r="AR1300" s="60" t="str">
        <f t="shared" si="148"/>
        <v>No</v>
      </c>
      <c r="AS1300" s="60" t="str">
        <f t="shared" si="149"/>
        <v>No</v>
      </c>
    </row>
    <row r="1301" spans="1:45" ht="15" hidden="1">
      <c r="A1301" s="103">
        <v>45244</v>
      </c>
      <c r="B1301" s="117" t="s">
        <v>5214</v>
      </c>
      <c r="C1301" s="28" t="s">
        <v>511</v>
      </c>
      <c r="D1301" s="28" t="s">
        <v>5215</v>
      </c>
      <c r="F1301" s="28" t="s">
        <v>5216</v>
      </c>
      <c r="G1301" s="28" t="s">
        <v>514</v>
      </c>
      <c r="H1301" s="28" t="s">
        <v>1957</v>
      </c>
      <c r="I1301" s="28" t="s">
        <v>516</v>
      </c>
      <c r="J1301" s="28" t="s">
        <v>517</v>
      </c>
      <c r="K1301" s="28" t="s">
        <v>518</v>
      </c>
      <c r="L1301" s="28" t="s">
        <v>739</v>
      </c>
      <c r="M1301" s="28" t="s">
        <v>520</v>
      </c>
      <c r="N1301" s="28" t="s">
        <v>557</v>
      </c>
      <c r="O1301" s="28" t="s">
        <v>522</v>
      </c>
      <c r="S1301" s="28" t="s">
        <v>740</v>
      </c>
      <c r="T1301" s="28" t="s">
        <v>741</v>
      </c>
      <c r="U1301" s="28" t="s">
        <v>741</v>
      </c>
      <c r="V1301" s="28" t="s">
        <v>517</v>
      </c>
      <c r="W1301" s="28" t="s">
        <v>4656</v>
      </c>
      <c r="Z1301" s="118" t="s">
        <v>526</v>
      </c>
      <c r="AA1301" s="118"/>
      <c r="AB1301" s="118"/>
      <c r="AD1301" s="28" t="s">
        <v>954</v>
      </c>
      <c r="AF1301" s="117" t="s">
        <v>5215</v>
      </c>
      <c r="AG1301" s="28" t="s">
        <v>563</v>
      </c>
      <c r="AK1301" s="60" t="s">
        <v>2927</v>
      </c>
      <c r="AL1301" s="117">
        <f>1/COUNTIF(Tableau6[LAT],B1301)</f>
        <v>0.2</v>
      </c>
      <c r="AM1301" s="60" t="b">
        <f t="shared" si="143"/>
        <v>0</v>
      </c>
      <c r="AN1301" s="60" t="b">
        <f t="shared" si="144"/>
        <v>0</v>
      </c>
      <c r="AO1301" s="60" t="b">
        <f t="shared" si="145"/>
        <v>0</v>
      </c>
      <c r="AP1301" s="60" t="b">
        <f t="shared" si="146"/>
        <v>0</v>
      </c>
      <c r="AQ1301" s="60" t="b">
        <f t="shared" si="147"/>
        <v>0</v>
      </c>
      <c r="AR1301" s="60" t="str">
        <f t="shared" si="148"/>
        <v>No</v>
      </c>
      <c r="AS1301" s="60" t="str">
        <f t="shared" si="149"/>
        <v>No</v>
      </c>
    </row>
    <row r="1302" spans="1:45" ht="15" hidden="1">
      <c r="A1302" s="103">
        <v>45244</v>
      </c>
      <c r="B1302" s="117" t="s">
        <v>5214</v>
      </c>
      <c r="C1302" s="28" t="s">
        <v>548</v>
      </c>
      <c r="D1302" s="28" t="s">
        <v>5217</v>
      </c>
      <c r="F1302" s="28" t="s">
        <v>5218</v>
      </c>
      <c r="G1302" s="28" t="s">
        <v>724</v>
      </c>
      <c r="H1302" s="28" t="s">
        <v>933</v>
      </c>
      <c r="I1302" s="28" t="s">
        <v>516</v>
      </c>
      <c r="J1302" s="28" t="s">
        <v>517</v>
      </c>
      <c r="K1302" s="28" t="s">
        <v>518</v>
      </c>
      <c r="L1302" s="28" t="s">
        <v>739</v>
      </c>
      <c r="M1302" s="28" t="s">
        <v>520</v>
      </c>
      <c r="N1302" s="28" t="s">
        <v>557</v>
      </c>
      <c r="O1302" s="28" t="s">
        <v>522</v>
      </c>
      <c r="S1302" s="28" t="s">
        <v>740</v>
      </c>
      <c r="T1302" s="28" t="s">
        <v>741</v>
      </c>
      <c r="U1302" s="28" t="s">
        <v>741</v>
      </c>
      <c r="V1302" s="28" t="s">
        <v>517</v>
      </c>
      <c r="W1302" s="28" t="s">
        <v>5219</v>
      </c>
      <c r="Z1302" s="118" t="s">
        <v>526</v>
      </c>
      <c r="AA1302" s="118"/>
      <c r="AB1302" s="118"/>
      <c r="AD1302" s="28" t="s">
        <v>954</v>
      </c>
      <c r="AF1302" s="117" t="s">
        <v>5217</v>
      </c>
      <c r="AG1302" s="28" t="s">
        <v>563</v>
      </c>
      <c r="AK1302" s="60" t="s">
        <v>2927</v>
      </c>
      <c r="AL1302" s="117">
        <f>1/COUNTIF(Tableau6[LAT],B1302)</f>
        <v>0.2</v>
      </c>
      <c r="AM1302" s="60" t="b">
        <f t="shared" si="143"/>
        <v>0</v>
      </c>
      <c r="AN1302" s="60" t="b">
        <f t="shared" si="144"/>
        <v>0</v>
      </c>
      <c r="AO1302" s="60" t="b">
        <f t="shared" si="145"/>
        <v>0</v>
      </c>
      <c r="AP1302" s="60" t="b">
        <f t="shared" si="146"/>
        <v>0</v>
      </c>
      <c r="AQ1302" s="60" t="b">
        <f t="shared" si="147"/>
        <v>0</v>
      </c>
      <c r="AR1302" s="60" t="str">
        <f t="shared" si="148"/>
        <v>No</v>
      </c>
      <c r="AS1302" s="60" t="str">
        <f t="shared" si="149"/>
        <v>No</v>
      </c>
    </row>
    <row r="1303" spans="1:45" ht="15" hidden="1">
      <c r="A1303" s="103">
        <v>45244</v>
      </c>
      <c r="B1303" s="117" t="s">
        <v>5214</v>
      </c>
      <c r="C1303" s="28" t="s">
        <v>612</v>
      </c>
      <c r="D1303" s="28" t="s">
        <v>5220</v>
      </c>
      <c r="F1303" s="28" t="s">
        <v>5221</v>
      </c>
      <c r="G1303" s="28" t="s">
        <v>958</v>
      </c>
      <c r="H1303" s="28" t="s">
        <v>2168</v>
      </c>
      <c r="I1303" s="28" t="s">
        <v>516</v>
      </c>
      <c r="J1303" s="28" t="s">
        <v>517</v>
      </c>
      <c r="K1303" s="28" t="s">
        <v>518</v>
      </c>
      <c r="L1303" s="28" t="s">
        <v>739</v>
      </c>
      <c r="M1303" s="28" t="s">
        <v>520</v>
      </c>
      <c r="N1303" s="28" t="s">
        <v>557</v>
      </c>
      <c r="O1303" s="28" t="s">
        <v>522</v>
      </c>
      <c r="S1303" s="28" t="s">
        <v>740</v>
      </c>
      <c r="T1303" s="28" t="s">
        <v>741</v>
      </c>
      <c r="U1303" s="28" t="s">
        <v>741</v>
      </c>
      <c r="V1303" s="28" t="s">
        <v>517</v>
      </c>
      <c r="W1303" s="28" t="s">
        <v>5222</v>
      </c>
      <c r="Z1303" s="118" t="s">
        <v>526</v>
      </c>
      <c r="AA1303" s="118"/>
      <c r="AB1303" s="118"/>
      <c r="AD1303" s="28" t="s">
        <v>954</v>
      </c>
      <c r="AF1303" s="117" t="s">
        <v>5220</v>
      </c>
      <c r="AG1303" s="28" t="s">
        <v>563</v>
      </c>
      <c r="AK1303" s="60" t="s">
        <v>2927</v>
      </c>
      <c r="AL1303" s="117">
        <f>1/COUNTIF(Tableau6[LAT],B1303)</f>
        <v>0.2</v>
      </c>
      <c r="AM1303" s="60" t="b">
        <f t="shared" si="143"/>
        <v>0</v>
      </c>
      <c r="AN1303" s="60" t="b">
        <f t="shared" si="144"/>
        <v>0</v>
      </c>
      <c r="AO1303" s="60" t="b">
        <f t="shared" si="145"/>
        <v>0</v>
      </c>
      <c r="AP1303" s="60" t="b">
        <f t="shared" si="146"/>
        <v>0</v>
      </c>
      <c r="AQ1303" s="60" t="b">
        <f t="shared" si="147"/>
        <v>0</v>
      </c>
      <c r="AR1303" s="60" t="str">
        <f t="shared" si="148"/>
        <v>No</v>
      </c>
      <c r="AS1303" s="60" t="str">
        <f t="shared" si="149"/>
        <v>No</v>
      </c>
    </row>
    <row r="1304" spans="1:45" ht="15" hidden="1">
      <c r="A1304" s="103">
        <v>45244</v>
      </c>
      <c r="B1304" s="117" t="s">
        <v>5214</v>
      </c>
      <c r="C1304" s="28" t="s">
        <v>691</v>
      </c>
      <c r="D1304" s="28" t="s">
        <v>5223</v>
      </c>
      <c r="F1304" s="28" t="s">
        <v>5216</v>
      </c>
      <c r="G1304" s="28" t="s">
        <v>514</v>
      </c>
      <c r="H1304" s="28" t="s">
        <v>1957</v>
      </c>
      <c r="I1304" s="28" t="s">
        <v>516</v>
      </c>
      <c r="J1304" s="28" t="s">
        <v>517</v>
      </c>
      <c r="K1304" s="28" t="s">
        <v>518</v>
      </c>
      <c r="L1304" s="28" t="s">
        <v>739</v>
      </c>
      <c r="M1304" s="28" t="s">
        <v>520</v>
      </c>
      <c r="N1304" s="28" t="s">
        <v>557</v>
      </c>
      <c r="O1304" s="28" t="s">
        <v>522</v>
      </c>
      <c r="S1304" s="28" t="s">
        <v>740</v>
      </c>
      <c r="T1304" s="28" t="s">
        <v>741</v>
      </c>
      <c r="U1304" s="28" t="s">
        <v>741</v>
      </c>
      <c r="V1304" s="28" t="s">
        <v>517</v>
      </c>
      <c r="W1304" s="28" t="s">
        <v>910</v>
      </c>
      <c r="Z1304" s="118" t="s">
        <v>526</v>
      </c>
      <c r="AA1304" s="118"/>
      <c r="AB1304" s="118"/>
      <c r="AD1304" s="28" t="s">
        <v>954</v>
      </c>
      <c r="AF1304" s="117" t="s">
        <v>5223</v>
      </c>
      <c r="AG1304" s="28" t="s">
        <v>563</v>
      </c>
      <c r="AK1304" s="60" t="s">
        <v>2927</v>
      </c>
      <c r="AL1304" s="117">
        <f>1/COUNTIF(Tableau6[LAT],B1304)</f>
        <v>0.2</v>
      </c>
      <c r="AM1304" s="60" t="b">
        <f t="shared" si="143"/>
        <v>0</v>
      </c>
      <c r="AN1304" s="60" t="b">
        <f t="shared" si="144"/>
        <v>0</v>
      </c>
      <c r="AO1304" s="60" t="b">
        <f t="shared" si="145"/>
        <v>0</v>
      </c>
      <c r="AP1304" s="60" t="b">
        <f t="shared" si="146"/>
        <v>0</v>
      </c>
      <c r="AQ1304" s="60" t="b">
        <f t="shared" si="147"/>
        <v>0</v>
      </c>
      <c r="AR1304" s="60" t="str">
        <f t="shared" si="148"/>
        <v>No</v>
      </c>
      <c r="AS1304" s="60" t="str">
        <f t="shared" si="149"/>
        <v>No</v>
      </c>
    </row>
    <row r="1305" spans="1:45" ht="15" hidden="1">
      <c r="A1305" s="103">
        <v>45244</v>
      </c>
      <c r="B1305" s="117" t="s">
        <v>5214</v>
      </c>
      <c r="C1305" s="28" t="s">
        <v>859</v>
      </c>
      <c r="D1305" s="28" t="s">
        <v>5224</v>
      </c>
      <c r="F1305" s="28" t="s">
        <v>5216</v>
      </c>
      <c r="G1305" s="28" t="s">
        <v>514</v>
      </c>
      <c r="H1305" s="28" t="s">
        <v>1957</v>
      </c>
      <c r="I1305" s="28" t="s">
        <v>516</v>
      </c>
      <c r="J1305" s="28" t="s">
        <v>517</v>
      </c>
      <c r="K1305" s="28" t="s">
        <v>518</v>
      </c>
      <c r="L1305" s="28" t="s">
        <v>739</v>
      </c>
      <c r="M1305" s="28" t="s">
        <v>520</v>
      </c>
      <c r="N1305" s="28" t="s">
        <v>557</v>
      </c>
      <c r="O1305" s="28" t="s">
        <v>522</v>
      </c>
      <c r="S1305" s="28" t="s">
        <v>740</v>
      </c>
      <c r="T1305" s="28" t="s">
        <v>741</v>
      </c>
      <c r="U1305" s="28" t="s">
        <v>741</v>
      </c>
      <c r="V1305" s="28" t="s">
        <v>517</v>
      </c>
      <c r="W1305" s="28" t="s">
        <v>5225</v>
      </c>
      <c r="Z1305" s="118" t="s">
        <v>526</v>
      </c>
      <c r="AA1305" s="118"/>
      <c r="AB1305" s="118"/>
      <c r="AD1305" s="28" t="s">
        <v>954</v>
      </c>
      <c r="AF1305" s="117" t="s">
        <v>5224</v>
      </c>
      <c r="AG1305" s="28" t="s">
        <v>563</v>
      </c>
      <c r="AK1305" s="60" t="s">
        <v>2927</v>
      </c>
      <c r="AL1305" s="117">
        <f>1/COUNTIF(Tableau6[LAT],B1305)</f>
        <v>0.2</v>
      </c>
      <c r="AM1305" s="60" t="b">
        <f t="shared" si="143"/>
        <v>0</v>
      </c>
      <c r="AN1305" s="60" t="b">
        <f t="shared" si="144"/>
        <v>0</v>
      </c>
      <c r="AO1305" s="60" t="b">
        <f t="shared" si="145"/>
        <v>0</v>
      </c>
      <c r="AP1305" s="60" t="b">
        <f t="shared" si="146"/>
        <v>0</v>
      </c>
      <c r="AQ1305" s="60" t="b">
        <f t="shared" si="147"/>
        <v>0</v>
      </c>
      <c r="AR1305" s="60" t="str">
        <f t="shared" si="148"/>
        <v>No</v>
      </c>
      <c r="AS1305" s="60" t="str">
        <f t="shared" si="149"/>
        <v>No</v>
      </c>
    </row>
    <row r="1306" spans="1:45" ht="15" hidden="1">
      <c r="A1306" s="103">
        <v>45244</v>
      </c>
      <c r="B1306" s="117" t="s">
        <v>5226</v>
      </c>
      <c r="C1306" s="28" t="s">
        <v>511</v>
      </c>
      <c r="D1306" s="28" t="s">
        <v>5227</v>
      </c>
      <c r="F1306" s="28" t="s">
        <v>1547</v>
      </c>
      <c r="G1306" s="28" t="s">
        <v>514</v>
      </c>
      <c r="H1306" s="28" t="s">
        <v>2163</v>
      </c>
      <c r="I1306" s="28" t="s">
        <v>516</v>
      </c>
      <c r="J1306" s="28" t="s">
        <v>517</v>
      </c>
      <c r="K1306" s="28" t="s">
        <v>518</v>
      </c>
      <c r="L1306" s="28" t="s">
        <v>697</v>
      </c>
      <c r="M1306" s="28" t="s">
        <v>520</v>
      </c>
      <c r="S1306" s="28" t="s">
        <v>589</v>
      </c>
      <c r="T1306" s="28" t="s">
        <v>699</v>
      </c>
      <c r="U1306" s="28" t="s">
        <v>699</v>
      </c>
      <c r="V1306" s="28" t="s">
        <v>517</v>
      </c>
      <c r="W1306" s="28" t="s">
        <v>5228</v>
      </c>
      <c r="Z1306" s="118" t="s">
        <v>563</v>
      </c>
      <c r="AA1306" s="118"/>
      <c r="AB1306" s="73" t="s">
        <v>4506</v>
      </c>
      <c r="AD1306" s="28" t="s">
        <v>528</v>
      </c>
      <c r="AF1306" s="117" t="s">
        <v>5227</v>
      </c>
      <c r="AG1306" s="28" t="s">
        <v>563</v>
      </c>
      <c r="AK1306" s="60" t="s">
        <v>2927</v>
      </c>
      <c r="AL1306" s="117">
        <f>1/COUNTIF(Tableau6[LAT],B1306)</f>
        <v>1</v>
      </c>
      <c r="AM1306" s="60" t="b">
        <f t="shared" si="143"/>
        <v>0</v>
      </c>
      <c r="AN1306" s="60" t="b">
        <f t="shared" si="144"/>
        <v>0</v>
      </c>
      <c r="AO1306" s="60" t="b">
        <f t="shared" si="145"/>
        <v>0</v>
      </c>
      <c r="AP1306" s="60" t="b">
        <f t="shared" si="146"/>
        <v>0</v>
      </c>
      <c r="AQ1306" s="60" t="b">
        <f t="shared" si="147"/>
        <v>0</v>
      </c>
      <c r="AR1306" s="60" t="str">
        <f t="shared" si="148"/>
        <v>No</v>
      </c>
      <c r="AS1306" s="60" t="str">
        <f t="shared" si="149"/>
        <v>No</v>
      </c>
    </row>
    <row r="1307" spans="1:45" ht="15" hidden="1">
      <c r="A1307" s="103">
        <v>45244</v>
      </c>
      <c r="B1307" s="117" t="s">
        <v>5229</v>
      </c>
      <c r="C1307" s="28" t="s">
        <v>511</v>
      </c>
      <c r="D1307" s="28" t="s">
        <v>5230</v>
      </c>
      <c r="E1307" s="28" t="s">
        <v>5231</v>
      </c>
      <c r="F1307" s="28" t="s">
        <v>5232</v>
      </c>
      <c r="G1307" s="28" t="s">
        <v>5233</v>
      </c>
      <c r="H1307" s="28" t="s">
        <v>5234</v>
      </c>
      <c r="I1307" s="28" t="s">
        <v>516</v>
      </c>
      <c r="J1307" s="28" t="s">
        <v>517</v>
      </c>
      <c r="K1307" s="28" t="s">
        <v>518</v>
      </c>
      <c r="L1307" s="28" t="s">
        <v>916</v>
      </c>
      <c r="M1307" s="28" t="s">
        <v>535</v>
      </c>
      <c r="N1307" s="28" t="s">
        <v>5235</v>
      </c>
      <c r="O1307" s="28" t="s">
        <v>1637</v>
      </c>
      <c r="P1307" s="28" t="s">
        <v>522</v>
      </c>
      <c r="S1307" s="28" t="s">
        <v>2364</v>
      </c>
      <c r="T1307" s="28" t="s">
        <v>917</v>
      </c>
      <c r="U1307" s="28" t="s">
        <v>917</v>
      </c>
      <c r="V1307" s="28" t="s">
        <v>517</v>
      </c>
      <c r="W1307" s="28" t="s">
        <v>5236</v>
      </c>
      <c r="X1307" s="28" t="s">
        <v>670</v>
      </c>
      <c r="Z1307" s="118" t="s">
        <v>563</v>
      </c>
      <c r="AA1307" s="118"/>
      <c r="AB1307" s="73" t="s">
        <v>4506</v>
      </c>
      <c r="AF1307" s="117"/>
      <c r="AK1307" s="60" t="s">
        <v>2927</v>
      </c>
      <c r="AL1307" s="117">
        <f>1/COUNTIF(Tableau6[LAT],B1307)</f>
        <v>1</v>
      </c>
      <c r="AM1307" s="60" t="b">
        <f t="shared" si="143"/>
        <v>0</v>
      </c>
      <c r="AN1307" s="60" t="b">
        <f t="shared" si="144"/>
        <v>0</v>
      </c>
      <c r="AO1307" s="60" t="b">
        <f t="shared" si="145"/>
        <v>0</v>
      </c>
      <c r="AP1307" s="60" t="b">
        <f t="shared" si="146"/>
        <v>0</v>
      </c>
      <c r="AQ1307" s="60" t="b">
        <f t="shared" si="147"/>
        <v>0</v>
      </c>
      <c r="AR1307" s="60" t="str">
        <f t="shared" si="148"/>
        <v>No</v>
      </c>
      <c r="AS1307" s="60" t="str">
        <f t="shared" si="149"/>
        <v>Yes</v>
      </c>
    </row>
    <row r="1308" spans="1:45" ht="15" hidden="1">
      <c r="A1308" s="103">
        <v>45244</v>
      </c>
      <c r="B1308" s="117" t="s">
        <v>5237</v>
      </c>
      <c r="C1308" s="28" t="s">
        <v>511</v>
      </c>
      <c r="D1308" s="28" t="s">
        <v>5238</v>
      </c>
      <c r="F1308" s="28" t="s">
        <v>5239</v>
      </c>
      <c r="G1308" s="28" t="s">
        <v>1456</v>
      </c>
      <c r="H1308" s="28" t="s">
        <v>5240</v>
      </c>
      <c r="I1308" s="28" t="s">
        <v>516</v>
      </c>
      <c r="J1308" s="28" t="s">
        <v>517</v>
      </c>
      <c r="K1308" s="28" t="s">
        <v>518</v>
      </c>
      <c r="L1308" s="28" t="s">
        <v>1097</v>
      </c>
      <c r="M1308" s="28" t="s">
        <v>520</v>
      </c>
      <c r="S1308" s="28" t="s">
        <v>589</v>
      </c>
      <c r="T1308" s="28" t="s">
        <v>607</v>
      </c>
      <c r="U1308" s="28" t="s">
        <v>1098</v>
      </c>
      <c r="V1308" s="28" t="s">
        <v>517</v>
      </c>
      <c r="W1308" s="28" t="s">
        <v>591</v>
      </c>
      <c r="Z1308" s="118" t="s">
        <v>563</v>
      </c>
      <c r="AA1308" s="118"/>
      <c r="AB1308" s="118" t="s">
        <v>527</v>
      </c>
      <c r="AD1308" s="28" t="s">
        <v>954</v>
      </c>
      <c r="AF1308" s="117" t="s">
        <v>5238</v>
      </c>
      <c r="AG1308" s="28" t="s">
        <v>563</v>
      </c>
      <c r="AK1308" s="60" t="s">
        <v>2927</v>
      </c>
      <c r="AL1308" s="117">
        <f>1/COUNTIF(Tableau6[LAT],B1308)</f>
        <v>1</v>
      </c>
      <c r="AM1308" s="60" t="b">
        <f t="shared" si="143"/>
        <v>0</v>
      </c>
      <c r="AN1308" s="60" t="b">
        <f t="shared" si="144"/>
        <v>0</v>
      </c>
      <c r="AO1308" s="60" t="b">
        <f t="shared" si="145"/>
        <v>0</v>
      </c>
      <c r="AP1308" s="60" t="b">
        <f t="shared" si="146"/>
        <v>0</v>
      </c>
      <c r="AQ1308" s="60" t="b">
        <f t="shared" si="147"/>
        <v>0</v>
      </c>
      <c r="AR1308" s="60" t="str">
        <f t="shared" si="148"/>
        <v>No</v>
      </c>
      <c r="AS1308" s="60" t="str">
        <f t="shared" si="149"/>
        <v>No</v>
      </c>
    </row>
    <row r="1309" spans="1:45" ht="15" hidden="1">
      <c r="A1309" s="103">
        <v>45244</v>
      </c>
      <c r="B1309" s="117" t="s">
        <v>5241</v>
      </c>
      <c r="C1309" s="28" t="s">
        <v>511</v>
      </c>
      <c r="D1309" s="28" t="s">
        <v>5242</v>
      </c>
      <c r="E1309" s="28" t="s">
        <v>5243</v>
      </c>
      <c r="F1309" s="28" t="s">
        <v>2745</v>
      </c>
      <c r="G1309" s="28" t="s">
        <v>514</v>
      </c>
      <c r="H1309" s="28" t="s">
        <v>3868</v>
      </c>
      <c r="I1309" s="28" t="s">
        <v>516</v>
      </c>
      <c r="J1309" s="28" t="s">
        <v>517</v>
      </c>
      <c r="K1309" s="28" t="s">
        <v>518</v>
      </c>
      <c r="L1309" s="28" t="s">
        <v>3836</v>
      </c>
      <c r="M1309" s="28" t="s">
        <v>520</v>
      </c>
      <c r="N1309" s="28" t="s">
        <v>544</v>
      </c>
      <c r="S1309" s="28" t="s">
        <v>4051</v>
      </c>
      <c r="T1309" s="28" t="s">
        <v>699</v>
      </c>
      <c r="U1309" s="28" t="s">
        <v>3837</v>
      </c>
      <c r="V1309" s="28" t="s">
        <v>517</v>
      </c>
      <c r="W1309" s="28" t="s">
        <v>5244</v>
      </c>
      <c r="X1309" s="28" t="s">
        <v>670</v>
      </c>
      <c r="Z1309" s="118" t="s">
        <v>563</v>
      </c>
      <c r="AA1309" s="118"/>
      <c r="AB1309" s="118" t="s">
        <v>527</v>
      </c>
      <c r="AD1309" s="28" t="s">
        <v>954</v>
      </c>
      <c r="AF1309" s="117" t="s">
        <v>5242</v>
      </c>
      <c r="AG1309" s="28" t="s">
        <v>563</v>
      </c>
      <c r="AK1309" s="60" t="s">
        <v>2927</v>
      </c>
      <c r="AL1309" s="117">
        <f>1/COUNTIF(Tableau6[LAT],B1309)</f>
        <v>0.16666666666666666</v>
      </c>
      <c r="AM1309" s="60" t="b">
        <f t="shared" si="143"/>
        <v>0</v>
      </c>
      <c r="AN1309" s="60" t="b">
        <f t="shared" si="144"/>
        <v>0</v>
      </c>
      <c r="AO1309" s="60" t="b">
        <f t="shared" si="145"/>
        <v>0</v>
      </c>
      <c r="AP1309" s="60" t="b">
        <f t="shared" si="146"/>
        <v>0</v>
      </c>
      <c r="AQ1309" s="60" t="b">
        <f t="shared" si="147"/>
        <v>0</v>
      </c>
      <c r="AR1309" s="60" t="str">
        <f t="shared" si="148"/>
        <v>No</v>
      </c>
      <c r="AS1309" s="60" t="str">
        <f t="shared" si="149"/>
        <v>No</v>
      </c>
    </row>
    <row r="1310" spans="1:45" ht="15" hidden="1">
      <c r="A1310" s="103">
        <v>45244</v>
      </c>
      <c r="B1310" s="117" t="s">
        <v>5241</v>
      </c>
      <c r="C1310" s="28" t="s">
        <v>548</v>
      </c>
      <c r="D1310" s="28" t="s">
        <v>5245</v>
      </c>
      <c r="E1310" s="28" t="s">
        <v>5243</v>
      </c>
      <c r="F1310" s="28" t="s">
        <v>2745</v>
      </c>
      <c r="G1310" s="28" t="s">
        <v>514</v>
      </c>
      <c r="H1310" s="28" t="s">
        <v>3868</v>
      </c>
      <c r="I1310" s="28" t="s">
        <v>516</v>
      </c>
      <c r="J1310" s="28" t="s">
        <v>517</v>
      </c>
      <c r="K1310" s="28" t="s">
        <v>518</v>
      </c>
      <c r="L1310" s="28" t="s">
        <v>3836</v>
      </c>
      <c r="M1310" s="28" t="s">
        <v>520</v>
      </c>
      <c r="N1310" s="28" t="s">
        <v>544</v>
      </c>
      <c r="S1310" s="28" t="s">
        <v>4051</v>
      </c>
      <c r="T1310" s="28" t="s">
        <v>699</v>
      </c>
      <c r="U1310" s="28" t="s">
        <v>3837</v>
      </c>
      <c r="V1310" s="28" t="s">
        <v>517</v>
      </c>
      <c r="W1310" s="28" t="s">
        <v>5244</v>
      </c>
      <c r="X1310" s="28" t="s">
        <v>670</v>
      </c>
      <c r="Z1310" s="118" t="s">
        <v>563</v>
      </c>
      <c r="AA1310" s="118"/>
      <c r="AB1310" s="118" t="s">
        <v>527</v>
      </c>
      <c r="AD1310" s="28" t="s">
        <v>954</v>
      </c>
      <c r="AF1310" s="117" t="s">
        <v>5242</v>
      </c>
      <c r="AG1310" s="28" t="s">
        <v>563</v>
      </c>
      <c r="AK1310" s="60" t="s">
        <v>2927</v>
      </c>
      <c r="AL1310" s="117">
        <f>1/COUNTIF(Tableau6[LAT],B1310)</f>
        <v>0.16666666666666666</v>
      </c>
      <c r="AM1310" s="60" t="b">
        <f t="shared" si="143"/>
        <v>0</v>
      </c>
      <c r="AN1310" s="60" t="b">
        <f t="shared" si="144"/>
        <v>0</v>
      </c>
      <c r="AO1310" s="60" t="b">
        <f t="shared" si="145"/>
        <v>0</v>
      </c>
      <c r="AP1310" s="60" t="b">
        <f t="shared" si="146"/>
        <v>0</v>
      </c>
      <c r="AQ1310" s="60" t="b">
        <f t="shared" si="147"/>
        <v>0</v>
      </c>
      <c r="AR1310" s="60" t="str">
        <f t="shared" si="148"/>
        <v>No</v>
      </c>
      <c r="AS1310" s="60" t="str">
        <f t="shared" si="149"/>
        <v>No</v>
      </c>
    </row>
    <row r="1311" spans="1:45" ht="15" hidden="1">
      <c r="A1311" s="103">
        <v>45244</v>
      </c>
      <c r="B1311" s="117" t="s">
        <v>5241</v>
      </c>
      <c r="C1311" s="28" t="s">
        <v>612</v>
      </c>
      <c r="D1311" s="28" t="s">
        <v>5246</v>
      </c>
      <c r="E1311" s="28" t="s">
        <v>5243</v>
      </c>
      <c r="F1311" s="28" t="s">
        <v>2745</v>
      </c>
      <c r="G1311" s="28" t="s">
        <v>514</v>
      </c>
      <c r="H1311" s="28" t="s">
        <v>3868</v>
      </c>
      <c r="I1311" s="28" t="s">
        <v>516</v>
      </c>
      <c r="J1311" s="28" t="s">
        <v>517</v>
      </c>
      <c r="K1311" s="28" t="s">
        <v>518</v>
      </c>
      <c r="L1311" s="28" t="s">
        <v>3836</v>
      </c>
      <c r="M1311" s="28" t="s">
        <v>520</v>
      </c>
      <c r="N1311" s="28" t="s">
        <v>544</v>
      </c>
      <c r="S1311" s="28" t="s">
        <v>4051</v>
      </c>
      <c r="T1311" s="28" t="s">
        <v>699</v>
      </c>
      <c r="U1311" s="28" t="s">
        <v>3837</v>
      </c>
      <c r="V1311" s="28" t="s">
        <v>517</v>
      </c>
      <c r="W1311" s="28" t="s">
        <v>5244</v>
      </c>
      <c r="X1311" s="28" t="s">
        <v>670</v>
      </c>
      <c r="Z1311" s="118" t="s">
        <v>563</v>
      </c>
      <c r="AA1311" s="118"/>
      <c r="AB1311" s="118" t="s">
        <v>527</v>
      </c>
      <c r="AD1311" s="28" t="s">
        <v>954</v>
      </c>
      <c r="AF1311" s="117" t="s">
        <v>5242</v>
      </c>
      <c r="AG1311" s="28" t="s">
        <v>563</v>
      </c>
      <c r="AK1311" s="60" t="s">
        <v>2927</v>
      </c>
      <c r="AL1311" s="117">
        <f>1/COUNTIF(Tableau6[LAT],B1311)</f>
        <v>0.16666666666666666</v>
      </c>
      <c r="AM1311" s="60" t="b">
        <f t="shared" si="143"/>
        <v>0</v>
      </c>
      <c r="AN1311" s="60" t="b">
        <f t="shared" si="144"/>
        <v>0</v>
      </c>
      <c r="AO1311" s="60" t="b">
        <f t="shared" si="145"/>
        <v>0</v>
      </c>
      <c r="AP1311" s="60" t="b">
        <f t="shared" si="146"/>
        <v>0</v>
      </c>
      <c r="AQ1311" s="60" t="b">
        <f t="shared" si="147"/>
        <v>0</v>
      </c>
      <c r="AR1311" s="60" t="str">
        <f t="shared" si="148"/>
        <v>No</v>
      </c>
      <c r="AS1311" s="60" t="str">
        <f t="shared" si="149"/>
        <v>No</v>
      </c>
    </row>
    <row r="1312" spans="1:45" ht="15" hidden="1">
      <c r="A1312" s="103">
        <v>45244</v>
      </c>
      <c r="B1312" s="117" t="s">
        <v>5241</v>
      </c>
      <c r="C1312" s="28" t="s">
        <v>691</v>
      </c>
      <c r="D1312" s="28" t="s">
        <v>5247</v>
      </c>
      <c r="E1312" s="28" t="s">
        <v>5243</v>
      </c>
      <c r="F1312" s="28" t="s">
        <v>2745</v>
      </c>
      <c r="G1312" s="28" t="s">
        <v>514</v>
      </c>
      <c r="H1312" s="28" t="s">
        <v>3868</v>
      </c>
      <c r="I1312" s="28" t="s">
        <v>516</v>
      </c>
      <c r="J1312" s="28" t="s">
        <v>517</v>
      </c>
      <c r="K1312" s="28" t="s">
        <v>518</v>
      </c>
      <c r="L1312" s="28" t="s">
        <v>3836</v>
      </c>
      <c r="M1312" s="28" t="s">
        <v>520</v>
      </c>
      <c r="N1312" s="28" t="s">
        <v>544</v>
      </c>
      <c r="S1312" s="28" t="s">
        <v>4051</v>
      </c>
      <c r="T1312" s="28" t="s">
        <v>699</v>
      </c>
      <c r="U1312" s="28" t="s">
        <v>3837</v>
      </c>
      <c r="V1312" s="28" t="s">
        <v>517</v>
      </c>
      <c r="W1312" s="28" t="s">
        <v>5244</v>
      </c>
      <c r="X1312" s="28" t="s">
        <v>670</v>
      </c>
      <c r="Z1312" s="118" t="s">
        <v>563</v>
      </c>
      <c r="AA1312" s="118"/>
      <c r="AB1312" s="118" t="s">
        <v>527</v>
      </c>
      <c r="AD1312" s="28" t="s">
        <v>954</v>
      </c>
      <c r="AF1312" s="117" t="s">
        <v>5242</v>
      </c>
      <c r="AG1312" s="28" t="s">
        <v>563</v>
      </c>
      <c r="AK1312" s="60" t="s">
        <v>2927</v>
      </c>
      <c r="AL1312" s="117">
        <f>1/COUNTIF(Tableau6[LAT],B1312)</f>
        <v>0.16666666666666666</v>
      </c>
      <c r="AM1312" s="60" t="b">
        <f t="shared" si="143"/>
        <v>0</v>
      </c>
      <c r="AN1312" s="60" t="b">
        <f t="shared" si="144"/>
        <v>0</v>
      </c>
      <c r="AO1312" s="60" t="b">
        <f t="shared" si="145"/>
        <v>0</v>
      </c>
      <c r="AP1312" s="60" t="b">
        <f t="shared" si="146"/>
        <v>0</v>
      </c>
      <c r="AQ1312" s="60" t="b">
        <f t="shared" si="147"/>
        <v>0</v>
      </c>
      <c r="AR1312" s="60" t="str">
        <f t="shared" si="148"/>
        <v>No</v>
      </c>
      <c r="AS1312" s="60" t="str">
        <f t="shared" si="149"/>
        <v>No</v>
      </c>
    </row>
    <row r="1313" spans="1:45" ht="15" hidden="1">
      <c r="A1313" s="103">
        <v>45244</v>
      </c>
      <c r="B1313" s="117" t="s">
        <v>5241</v>
      </c>
      <c r="C1313" s="28" t="s">
        <v>859</v>
      </c>
      <c r="D1313" s="28" t="s">
        <v>5248</v>
      </c>
      <c r="E1313" s="28" t="s">
        <v>5243</v>
      </c>
      <c r="F1313" s="28" t="s">
        <v>2745</v>
      </c>
      <c r="G1313" s="28" t="s">
        <v>514</v>
      </c>
      <c r="H1313" s="28" t="s">
        <v>3868</v>
      </c>
      <c r="I1313" s="28" t="s">
        <v>516</v>
      </c>
      <c r="J1313" s="28" t="s">
        <v>517</v>
      </c>
      <c r="K1313" s="28" t="s">
        <v>518</v>
      </c>
      <c r="L1313" s="28" t="s">
        <v>3836</v>
      </c>
      <c r="M1313" s="28" t="s">
        <v>520</v>
      </c>
      <c r="N1313" s="28" t="s">
        <v>544</v>
      </c>
      <c r="S1313" s="28" t="s">
        <v>4051</v>
      </c>
      <c r="T1313" s="28" t="s">
        <v>699</v>
      </c>
      <c r="U1313" s="28" t="s">
        <v>3837</v>
      </c>
      <c r="V1313" s="28" t="s">
        <v>517</v>
      </c>
      <c r="W1313" s="28" t="s">
        <v>5244</v>
      </c>
      <c r="X1313" s="28" t="s">
        <v>670</v>
      </c>
      <c r="Z1313" s="118" t="s">
        <v>563</v>
      </c>
      <c r="AA1313" s="118"/>
      <c r="AB1313" s="118" t="s">
        <v>527</v>
      </c>
      <c r="AD1313" s="28" t="s">
        <v>954</v>
      </c>
      <c r="AF1313" s="117" t="s">
        <v>5242</v>
      </c>
      <c r="AG1313" s="28" t="s">
        <v>563</v>
      </c>
      <c r="AK1313" s="60" t="s">
        <v>2927</v>
      </c>
      <c r="AL1313" s="117">
        <f>1/COUNTIF(Tableau6[LAT],B1313)</f>
        <v>0.16666666666666666</v>
      </c>
      <c r="AM1313" s="60" t="b">
        <f t="shared" si="143"/>
        <v>0</v>
      </c>
      <c r="AN1313" s="60" t="b">
        <f t="shared" si="144"/>
        <v>0</v>
      </c>
      <c r="AO1313" s="60" t="b">
        <f t="shared" si="145"/>
        <v>0</v>
      </c>
      <c r="AP1313" s="60" t="b">
        <f t="shared" si="146"/>
        <v>0</v>
      </c>
      <c r="AQ1313" s="60" t="b">
        <f t="shared" si="147"/>
        <v>0</v>
      </c>
      <c r="AR1313" s="60" t="str">
        <f t="shared" si="148"/>
        <v>No</v>
      </c>
      <c r="AS1313" s="60" t="str">
        <f t="shared" si="149"/>
        <v>No</v>
      </c>
    </row>
    <row r="1314" spans="1:45" ht="15" hidden="1">
      <c r="A1314" s="103">
        <v>45244</v>
      </c>
      <c r="B1314" s="117" t="s">
        <v>5241</v>
      </c>
      <c r="C1314" s="28" t="s">
        <v>861</v>
      </c>
      <c r="D1314" s="28" t="s">
        <v>5249</v>
      </c>
      <c r="E1314" s="28" t="s">
        <v>5243</v>
      </c>
      <c r="F1314" s="28" t="s">
        <v>2745</v>
      </c>
      <c r="G1314" s="28" t="s">
        <v>514</v>
      </c>
      <c r="H1314" s="28" t="s">
        <v>3868</v>
      </c>
      <c r="I1314" s="28" t="s">
        <v>516</v>
      </c>
      <c r="J1314" s="28" t="s">
        <v>517</v>
      </c>
      <c r="K1314" s="28" t="s">
        <v>518</v>
      </c>
      <c r="L1314" s="28" t="s">
        <v>3836</v>
      </c>
      <c r="M1314" s="28" t="s">
        <v>520</v>
      </c>
      <c r="N1314" s="28" t="s">
        <v>544</v>
      </c>
      <c r="S1314" s="28" t="s">
        <v>4051</v>
      </c>
      <c r="T1314" s="28" t="s">
        <v>699</v>
      </c>
      <c r="U1314" s="28" t="s">
        <v>3837</v>
      </c>
      <c r="V1314" s="28" t="s">
        <v>517</v>
      </c>
      <c r="W1314" s="28" t="s">
        <v>5244</v>
      </c>
      <c r="X1314" s="28" t="s">
        <v>670</v>
      </c>
      <c r="Z1314" s="118" t="s">
        <v>563</v>
      </c>
      <c r="AA1314" s="118"/>
      <c r="AB1314" s="118" t="s">
        <v>527</v>
      </c>
      <c r="AD1314" s="28" t="s">
        <v>954</v>
      </c>
      <c r="AF1314" s="117" t="s">
        <v>5242</v>
      </c>
      <c r="AG1314" s="28" t="s">
        <v>563</v>
      </c>
      <c r="AK1314" s="60" t="s">
        <v>2927</v>
      </c>
      <c r="AL1314" s="117">
        <f>1/COUNTIF(Tableau6[LAT],B1314)</f>
        <v>0.16666666666666666</v>
      </c>
      <c r="AM1314" s="60" t="b">
        <f t="shared" si="143"/>
        <v>0</v>
      </c>
      <c r="AN1314" s="60" t="b">
        <f t="shared" si="144"/>
        <v>0</v>
      </c>
      <c r="AO1314" s="60" t="b">
        <f t="shared" si="145"/>
        <v>0</v>
      </c>
      <c r="AP1314" s="60" t="b">
        <f t="shared" si="146"/>
        <v>0</v>
      </c>
      <c r="AQ1314" s="60" t="b">
        <f t="shared" si="147"/>
        <v>0</v>
      </c>
      <c r="AR1314" s="60" t="str">
        <f t="shared" si="148"/>
        <v>No</v>
      </c>
      <c r="AS1314" s="60" t="str">
        <f t="shared" si="149"/>
        <v>No</v>
      </c>
    </row>
    <row r="1315" spans="1:45" ht="15" hidden="1">
      <c r="A1315" s="103">
        <v>45244</v>
      </c>
      <c r="B1315" s="117" t="s">
        <v>5250</v>
      </c>
      <c r="C1315" s="28" t="s">
        <v>511</v>
      </c>
      <c r="D1315" s="28" t="s">
        <v>5251</v>
      </c>
      <c r="F1315" s="28" t="s">
        <v>5252</v>
      </c>
      <c r="G1315" s="28" t="s">
        <v>979</v>
      </c>
      <c r="H1315" s="28" t="s">
        <v>1619</v>
      </c>
      <c r="I1315" s="28" t="s">
        <v>516</v>
      </c>
      <c r="J1315" s="28" t="s">
        <v>517</v>
      </c>
      <c r="K1315" s="28" t="s">
        <v>518</v>
      </c>
      <c r="L1315" s="28" t="s">
        <v>839</v>
      </c>
      <c r="M1315" s="28" t="s">
        <v>605</v>
      </c>
      <c r="N1315" s="28" t="s">
        <v>522</v>
      </c>
      <c r="S1315" s="28" t="s">
        <v>3756</v>
      </c>
      <c r="T1315" s="28" t="s">
        <v>840</v>
      </c>
      <c r="U1315" s="28" t="s">
        <v>840</v>
      </c>
      <c r="V1315" s="28" t="s">
        <v>517</v>
      </c>
      <c r="W1315" s="28" t="s">
        <v>4015</v>
      </c>
      <c r="Z1315" s="118" t="s">
        <v>563</v>
      </c>
      <c r="AA1315" s="118"/>
      <c r="AB1315" s="73" t="s">
        <v>4506</v>
      </c>
      <c r="AD1315" s="28" t="s">
        <v>528</v>
      </c>
      <c r="AF1315" s="117" t="s">
        <v>5251</v>
      </c>
      <c r="AG1315" s="28" t="s">
        <v>563</v>
      </c>
      <c r="AK1315" s="60" t="s">
        <v>2927</v>
      </c>
      <c r="AL1315" s="117">
        <f>1/COUNTIF(Tableau6[LAT],B1315)</f>
        <v>1</v>
      </c>
      <c r="AM1315" s="60" t="b">
        <f t="shared" si="143"/>
        <v>0</v>
      </c>
      <c r="AN1315" s="60" t="b">
        <f t="shared" si="144"/>
        <v>0</v>
      </c>
      <c r="AO1315" s="60" t="b">
        <f t="shared" si="145"/>
        <v>0</v>
      </c>
      <c r="AP1315" s="60" t="b">
        <f t="shared" si="146"/>
        <v>0</v>
      </c>
      <c r="AQ1315" s="60" t="b">
        <f t="shared" si="147"/>
        <v>0</v>
      </c>
      <c r="AR1315" s="60" t="str">
        <f t="shared" si="148"/>
        <v>No</v>
      </c>
      <c r="AS1315" s="60" t="str">
        <f t="shared" si="149"/>
        <v>No</v>
      </c>
    </row>
    <row r="1316" spans="1:45" ht="15" hidden="1">
      <c r="A1316" s="103">
        <v>45244</v>
      </c>
      <c r="B1316" s="117" t="s">
        <v>5253</v>
      </c>
      <c r="C1316" s="28" t="s">
        <v>511</v>
      </c>
      <c r="D1316" s="28" t="s">
        <v>5254</v>
      </c>
      <c r="F1316" s="28" t="s">
        <v>5255</v>
      </c>
      <c r="G1316" s="28" t="s">
        <v>514</v>
      </c>
      <c r="H1316" s="28" t="s">
        <v>2067</v>
      </c>
      <c r="I1316" s="28" t="s">
        <v>516</v>
      </c>
      <c r="J1316" s="28" t="s">
        <v>517</v>
      </c>
      <c r="K1316" s="28" t="s">
        <v>518</v>
      </c>
      <c r="L1316" s="28" t="s">
        <v>2147</v>
      </c>
      <c r="M1316" s="28" t="s">
        <v>520</v>
      </c>
      <c r="N1316" s="28" t="s">
        <v>544</v>
      </c>
      <c r="S1316" s="28" t="s">
        <v>589</v>
      </c>
      <c r="T1316" s="28" t="s">
        <v>733</v>
      </c>
      <c r="U1316" s="28" t="s">
        <v>733</v>
      </c>
      <c r="V1316" s="28" t="s">
        <v>517</v>
      </c>
      <c r="W1316" s="28" t="s">
        <v>5256</v>
      </c>
      <c r="Z1316" s="118" t="s">
        <v>563</v>
      </c>
      <c r="AA1316" s="118"/>
      <c r="AB1316" s="118" t="s">
        <v>527</v>
      </c>
      <c r="AD1316" s="28" t="s">
        <v>954</v>
      </c>
      <c r="AF1316" s="117" t="s">
        <v>5254</v>
      </c>
      <c r="AG1316" s="28" t="s">
        <v>563</v>
      </c>
      <c r="AK1316" s="60" t="s">
        <v>2927</v>
      </c>
      <c r="AL1316" s="117">
        <f>1/COUNTIF(Tableau6[LAT],B1316)</f>
        <v>1</v>
      </c>
      <c r="AM1316" s="60" t="b">
        <f t="shared" si="143"/>
        <v>0</v>
      </c>
      <c r="AN1316" s="60" t="b">
        <f t="shared" si="144"/>
        <v>0</v>
      </c>
      <c r="AO1316" s="60" t="b">
        <f t="shared" si="145"/>
        <v>0</v>
      </c>
      <c r="AP1316" s="60" t="b">
        <f t="shared" si="146"/>
        <v>0</v>
      </c>
      <c r="AQ1316" s="60" t="b">
        <f t="shared" si="147"/>
        <v>0</v>
      </c>
      <c r="AR1316" s="60" t="str">
        <f t="shared" si="148"/>
        <v>No</v>
      </c>
      <c r="AS1316" s="60" t="str">
        <f t="shared" si="149"/>
        <v>No</v>
      </c>
    </row>
    <row r="1317" spans="1:45" ht="15" hidden="1">
      <c r="A1317" s="103">
        <v>45244</v>
      </c>
      <c r="B1317" s="117" t="s">
        <v>5257</v>
      </c>
      <c r="C1317" s="28" t="s">
        <v>511</v>
      </c>
      <c r="D1317" s="28" t="s">
        <v>5258</v>
      </c>
      <c r="F1317" s="28" t="s">
        <v>989</v>
      </c>
      <c r="G1317" s="28" t="s">
        <v>514</v>
      </c>
      <c r="H1317" s="28" t="s">
        <v>1138</v>
      </c>
      <c r="I1317" s="28" t="s">
        <v>516</v>
      </c>
      <c r="J1317" s="28" t="s">
        <v>517</v>
      </c>
      <c r="K1317" s="28" t="s">
        <v>518</v>
      </c>
      <c r="L1317" s="28" t="s">
        <v>1879</v>
      </c>
      <c r="M1317" s="28" t="s">
        <v>535</v>
      </c>
      <c r="N1317" s="28" t="s">
        <v>1492</v>
      </c>
      <c r="O1317" s="28" t="s">
        <v>557</v>
      </c>
      <c r="P1317" s="28" t="s">
        <v>544</v>
      </c>
      <c r="Q1317" s="28" t="s">
        <v>559</v>
      </c>
      <c r="S1317" s="28" t="s">
        <v>2199</v>
      </c>
      <c r="T1317" s="28" t="s">
        <v>1712</v>
      </c>
      <c r="U1317" s="28" t="s">
        <v>1712</v>
      </c>
      <c r="V1317" s="28" t="s">
        <v>517</v>
      </c>
      <c r="W1317" s="28" t="s">
        <v>5259</v>
      </c>
      <c r="Z1317" s="118" t="s">
        <v>563</v>
      </c>
      <c r="AA1317" s="118"/>
      <c r="AB1317" s="118" t="s">
        <v>527</v>
      </c>
      <c r="AD1317" s="28" t="s">
        <v>528</v>
      </c>
      <c r="AF1317" s="117" t="s">
        <v>5258</v>
      </c>
      <c r="AG1317" s="28" t="s">
        <v>563</v>
      </c>
      <c r="AK1317" s="60" t="s">
        <v>2927</v>
      </c>
      <c r="AL1317" s="117">
        <f>1/COUNTIF(Tableau6[LAT],B1317)</f>
        <v>1</v>
      </c>
      <c r="AM1317" s="60" t="b">
        <f t="shared" si="143"/>
        <v>0</v>
      </c>
      <c r="AN1317" s="60" t="b">
        <f t="shared" si="144"/>
        <v>0</v>
      </c>
      <c r="AO1317" s="60" t="b">
        <f t="shared" si="145"/>
        <v>0</v>
      </c>
      <c r="AP1317" s="60" t="b">
        <f t="shared" si="146"/>
        <v>0</v>
      </c>
      <c r="AQ1317" s="60" t="b">
        <f t="shared" si="147"/>
        <v>0</v>
      </c>
      <c r="AR1317" s="60" t="str">
        <f t="shared" si="148"/>
        <v>No</v>
      </c>
      <c r="AS1317" s="60" t="str">
        <f t="shared" si="149"/>
        <v>No</v>
      </c>
    </row>
    <row r="1318" spans="1:45" ht="15" hidden="1">
      <c r="A1318" s="103">
        <v>45244</v>
      </c>
      <c r="B1318" s="117" t="s">
        <v>5260</v>
      </c>
      <c r="C1318" s="28" t="s">
        <v>511</v>
      </c>
      <c r="D1318" s="28" t="s">
        <v>5261</v>
      </c>
      <c r="F1318" s="28" t="s">
        <v>5262</v>
      </c>
      <c r="G1318" s="28" t="s">
        <v>958</v>
      </c>
      <c r="H1318" s="28" t="s">
        <v>966</v>
      </c>
      <c r="I1318" s="28" t="s">
        <v>516</v>
      </c>
      <c r="J1318" s="28" t="s">
        <v>517</v>
      </c>
      <c r="K1318" s="28" t="s">
        <v>518</v>
      </c>
      <c r="L1318" s="28" t="s">
        <v>2925</v>
      </c>
      <c r="M1318" s="28" t="s">
        <v>520</v>
      </c>
      <c r="N1318" s="28" t="s">
        <v>521</v>
      </c>
      <c r="S1318" s="28" t="s">
        <v>1958</v>
      </c>
      <c r="T1318" s="28" t="s">
        <v>1042</v>
      </c>
      <c r="U1318" s="28" t="s">
        <v>1042</v>
      </c>
      <c r="V1318" s="28" t="s">
        <v>517</v>
      </c>
      <c r="W1318" s="28" t="s">
        <v>5263</v>
      </c>
      <c r="Z1318" s="118" t="s">
        <v>563</v>
      </c>
      <c r="AA1318" s="118"/>
      <c r="AB1318" s="118" t="s">
        <v>527</v>
      </c>
      <c r="AD1318" s="28" t="s">
        <v>528</v>
      </c>
      <c r="AF1318" s="117" t="s">
        <v>5261</v>
      </c>
      <c r="AG1318" s="28" t="s">
        <v>563</v>
      </c>
      <c r="AK1318" s="60" t="s">
        <v>2927</v>
      </c>
      <c r="AL1318" s="117">
        <f>1/COUNTIF(Tableau6[LAT],B1318)</f>
        <v>1</v>
      </c>
      <c r="AM1318" s="60" t="b">
        <f t="shared" si="143"/>
        <v>0</v>
      </c>
      <c r="AN1318" s="60" t="b">
        <f t="shared" si="144"/>
        <v>0</v>
      </c>
      <c r="AO1318" s="60" t="b">
        <f t="shared" si="145"/>
        <v>0</v>
      </c>
      <c r="AP1318" s="60" t="b">
        <f t="shared" si="146"/>
        <v>0</v>
      </c>
      <c r="AQ1318" s="60" t="b">
        <f t="shared" si="147"/>
        <v>0</v>
      </c>
      <c r="AR1318" s="60" t="str">
        <f t="shared" si="148"/>
        <v>No</v>
      </c>
      <c r="AS1318" s="60" t="str">
        <f t="shared" si="149"/>
        <v>No</v>
      </c>
    </row>
    <row r="1319" spans="1:45" ht="15" hidden="1">
      <c r="A1319" s="103">
        <v>45244</v>
      </c>
      <c r="B1319" s="117" t="s">
        <v>5264</v>
      </c>
      <c r="C1319" s="28" t="s">
        <v>511</v>
      </c>
      <c r="D1319" s="28" t="s">
        <v>5265</v>
      </c>
      <c r="F1319" s="28" t="s">
        <v>4386</v>
      </c>
      <c r="G1319" s="28" t="s">
        <v>514</v>
      </c>
      <c r="H1319" s="28" t="s">
        <v>3771</v>
      </c>
      <c r="I1319" s="28" t="s">
        <v>516</v>
      </c>
      <c r="J1319" s="28" t="s">
        <v>517</v>
      </c>
      <c r="K1319" s="28" t="s">
        <v>682</v>
      </c>
      <c r="L1319" s="28" t="s">
        <v>3261</v>
      </c>
      <c r="M1319" s="28" t="s">
        <v>535</v>
      </c>
      <c r="N1319" s="28" t="s">
        <v>557</v>
      </c>
      <c r="O1319" s="28" t="s">
        <v>544</v>
      </c>
      <c r="P1319" s="28" t="s">
        <v>522</v>
      </c>
      <c r="S1319" s="28" t="s">
        <v>523</v>
      </c>
      <c r="T1319" s="28" t="s">
        <v>1918</v>
      </c>
      <c r="U1319" s="28" t="s">
        <v>1918</v>
      </c>
      <c r="V1319" s="28" t="s">
        <v>517</v>
      </c>
      <c r="W1319" s="28" t="s">
        <v>5266</v>
      </c>
      <c r="Z1319" s="118" t="s">
        <v>563</v>
      </c>
      <c r="AA1319" s="118"/>
      <c r="AB1319" s="118" t="s">
        <v>527</v>
      </c>
      <c r="AD1319" s="28" t="s">
        <v>528</v>
      </c>
      <c r="AF1319" s="117" t="s">
        <v>5265</v>
      </c>
      <c r="AG1319" s="28" t="s">
        <v>563</v>
      </c>
      <c r="AK1319" s="60" t="s">
        <v>2927</v>
      </c>
      <c r="AL1319" s="117">
        <f>1/COUNTIF(Tableau6[LAT],B1319)</f>
        <v>0.33333333333333331</v>
      </c>
      <c r="AM1319" s="60" t="b">
        <f t="shared" si="143"/>
        <v>0</v>
      </c>
      <c r="AN1319" s="60" t="b">
        <f t="shared" si="144"/>
        <v>0</v>
      </c>
      <c r="AO1319" s="60" t="b">
        <f t="shared" si="145"/>
        <v>0</v>
      </c>
      <c r="AP1319" s="60" t="b">
        <f t="shared" si="146"/>
        <v>0</v>
      </c>
      <c r="AQ1319" s="60" t="b">
        <f t="shared" si="147"/>
        <v>0</v>
      </c>
      <c r="AR1319" s="60" t="str">
        <f t="shared" si="148"/>
        <v>No</v>
      </c>
      <c r="AS1319" s="60" t="str">
        <f t="shared" si="149"/>
        <v>No</v>
      </c>
    </row>
    <row r="1320" spans="1:45" ht="15" hidden="1">
      <c r="A1320" s="103">
        <v>45244</v>
      </c>
      <c r="B1320" s="117" t="s">
        <v>5264</v>
      </c>
      <c r="C1320" s="28" t="s">
        <v>548</v>
      </c>
      <c r="D1320" s="28" t="s">
        <v>5267</v>
      </c>
      <c r="F1320" s="28" t="s">
        <v>4386</v>
      </c>
      <c r="G1320" s="28" t="s">
        <v>514</v>
      </c>
      <c r="H1320" s="28" t="s">
        <v>3771</v>
      </c>
      <c r="I1320" s="28" t="s">
        <v>516</v>
      </c>
      <c r="J1320" s="28" t="s">
        <v>517</v>
      </c>
      <c r="K1320" s="28" t="s">
        <v>682</v>
      </c>
      <c r="L1320" s="28" t="s">
        <v>3261</v>
      </c>
      <c r="M1320" s="28" t="s">
        <v>535</v>
      </c>
      <c r="N1320" s="28" t="s">
        <v>557</v>
      </c>
      <c r="O1320" s="28" t="s">
        <v>544</v>
      </c>
      <c r="P1320" s="28" t="s">
        <v>522</v>
      </c>
      <c r="S1320" s="28" t="s">
        <v>523</v>
      </c>
      <c r="T1320" s="28" t="s">
        <v>1918</v>
      </c>
      <c r="U1320" s="28" t="s">
        <v>1918</v>
      </c>
      <c r="V1320" s="28" t="s">
        <v>517</v>
      </c>
      <c r="W1320" s="28" t="s">
        <v>5268</v>
      </c>
      <c r="Z1320" s="118" t="s">
        <v>563</v>
      </c>
      <c r="AA1320" s="118"/>
      <c r="AB1320" s="118" t="s">
        <v>527</v>
      </c>
      <c r="AD1320" s="28" t="s">
        <v>528</v>
      </c>
      <c r="AF1320" s="117" t="s">
        <v>5265</v>
      </c>
      <c r="AG1320" s="28" t="s">
        <v>563</v>
      </c>
      <c r="AK1320" s="60" t="s">
        <v>2927</v>
      </c>
      <c r="AL1320" s="117">
        <f>1/COUNTIF(Tableau6[LAT],B1320)</f>
        <v>0.33333333333333331</v>
      </c>
      <c r="AM1320" s="60" t="b">
        <f t="shared" si="143"/>
        <v>0</v>
      </c>
      <c r="AN1320" s="60" t="b">
        <f t="shared" si="144"/>
        <v>0</v>
      </c>
      <c r="AO1320" s="60" t="b">
        <f t="shared" si="145"/>
        <v>0</v>
      </c>
      <c r="AP1320" s="60" t="b">
        <f t="shared" si="146"/>
        <v>0</v>
      </c>
      <c r="AQ1320" s="60" t="b">
        <f t="shared" si="147"/>
        <v>0</v>
      </c>
      <c r="AR1320" s="60" t="str">
        <f t="shared" si="148"/>
        <v>No</v>
      </c>
      <c r="AS1320" s="60" t="str">
        <f t="shared" si="149"/>
        <v>No</v>
      </c>
    </row>
    <row r="1321" spans="1:45" ht="15" hidden="1">
      <c r="A1321" s="103">
        <v>45244</v>
      </c>
      <c r="B1321" s="117" t="s">
        <v>5264</v>
      </c>
      <c r="C1321" s="28" t="s">
        <v>612</v>
      </c>
      <c r="D1321" s="28" t="s">
        <v>5269</v>
      </c>
      <c r="F1321" s="28" t="s">
        <v>4386</v>
      </c>
      <c r="G1321" s="28" t="s">
        <v>514</v>
      </c>
      <c r="H1321" s="28" t="s">
        <v>3771</v>
      </c>
      <c r="I1321" s="28" t="s">
        <v>516</v>
      </c>
      <c r="J1321" s="28" t="s">
        <v>517</v>
      </c>
      <c r="K1321" s="28" t="s">
        <v>682</v>
      </c>
      <c r="L1321" s="28" t="s">
        <v>3261</v>
      </c>
      <c r="M1321" s="28" t="s">
        <v>535</v>
      </c>
      <c r="N1321" s="28" t="s">
        <v>557</v>
      </c>
      <c r="O1321" s="28" t="s">
        <v>544</v>
      </c>
      <c r="P1321" s="28" t="s">
        <v>522</v>
      </c>
      <c r="S1321" s="28" t="s">
        <v>523</v>
      </c>
      <c r="T1321" s="28" t="s">
        <v>1918</v>
      </c>
      <c r="U1321" s="28" t="s">
        <v>1918</v>
      </c>
      <c r="V1321" s="28" t="s">
        <v>517</v>
      </c>
      <c r="W1321" s="28" t="s">
        <v>5270</v>
      </c>
      <c r="Z1321" s="118" t="s">
        <v>563</v>
      </c>
      <c r="AA1321" s="118"/>
      <c r="AB1321" s="118" t="s">
        <v>527</v>
      </c>
      <c r="AD1321" s="28" t="s">
        <v>528</v>
      </c>
      <c r="AF1321" s="117" t="s">
        <v>5265</v>
      </c>
      <c r="AG1321" s="28" t="s">
        <v>563</v>
      </c>
      <c r="AK1321" s="60" t="s">
        <v>2927</v>
      </c>
      <c r="AL1321" s="117">
        <f>1/COUNTIF(Tableau6[LAT],B1321)</f>
        <v>0.33333333333333331</v>
      </c>
      <c r="AM1321" s="60" t="b">
        <f t="shared" si="143"/>
        <v>0</v>
      </c>
      <c r="AN1321" s="60" t="b">
        <f t="shared" si="144"/>
        <v>0</v>
      </c>
      <c r="AO1321" s="60" t="b">
        <f t="shared" si="145"/>
        <v>0</v>
      </c>
      <c r="AP1321" s="60" t="b">
        <f t="shared" si="146"/>
        <v>0</v>
      </c>
      <c r="AQ1321" s="60" t="b">
        <f t="shared" si="147"/>
        <v>0</v>
      </c>
      <c r="AR1321" s="60" t="str">
        <f t="shared" si="148"/>
        <v>No</v>
      </c>
      <c r="AS1321" s="60" t="str">
        <f t="shared" si="149"/>
        <v>No</v>
      </c>
    </row>
    <row r="1322" spans="1:45" ht="15" hidden="1">
      <c r="A1322" s="103">
        <v>45244</v>
      </c>
      <c r="B1322" s="117" t="s">
        <v>5271</v>
      </c>
      <c r="C1322" s="28" t="s">
        <v>511</v>
      </c>
      <c r="D1322" s="28" t="s">
        <v>5272</v>
      </c>
      <c r="F1322" s="28" t="s">
        <v>5273</v>
      </c>
      <c r="G1322" s="28" t="s">
        <v>514</v>
      </c>
      <c r="H1322" s="28" t="s">
        <v>2233</v>
      </c>
      <c r="I1322" s="28" t="s">
        <v>516</v>
      </c>
      <c r="J1322" s="28" t="s">
        <v>517</v>
      </c>
      <c r="K1322" s="28" t="s">
        <v>518</v>
      </c>
      <c r="L1322" s="28" t="s">
        <v>1199</v>
      </c>
      <c r="M1322" s="28" t="s">
        <v>605</v>
      </c>
      <c r="N1322" s="28" t="s">
        <v>619</v>
      </c>
      <c r="O1322" s="28" t="s">
        <v>544</v>
      </c>
      <c r="S1322" s="28" t="s">
        <v>786</v>
      </c>
      <c r="T1322" s="28" t="s">
        <v>651</v>
      </c>
      <c r="U1322" s="28" t="s">
        <v>651</v>
      </c>
      <c r="V1322" s="28" t="s">
        <v>517</v>
      </c>
      <c r="W1322" s="28" t="s">
        <v>5274</v>
      </c>
      <c r="Z1322" s="118" t="s">
        <v>526</v>
      </c>
      <c r="AA1322" s="118"/>
      <c r="AB1322" s="118"/>
      <c r="AD1322" s="28" t="s">
        <v>528</v>
      </c>
      <c r="AF1322" s="117"/>
      <c r="AG1322" s="28" t="s">
        <v>563</v>
      </c>
      <c r="AK1322" s="60" t="s">
        <v>2927</v>
      </c>
      <c r="AL1322" s="117">
        <f>1/COUNTIF(Tableau6[LAT],B1322)</f>
        <v>0.5</v>
      </c>
      <c r="AM1322" s="60" t="b">
        <f t="shared" si="143"/>
        <v>0</v>
      </c>
      <c r="AN1322" s="60" t="b">
        <f t="shared" si="144"/>
        <v>0</v>
      </c>
      <c r="AO1322" s="60" t="b">
        <f t="shared" si="145"/>
        <v>0</v>
      </c>
      <c r="AP1322" s="60" t="b">
        <f t="shared" si="146"/>
        <v>0</v>
      </c>
      <c r="AQ1322" s="60" t="b">
        <f t="shared" si="147"/>
        <v>0</v>
      </c>
      <c r="AR1322" s="60" t="str">
        <f t="shared" si="148"/>
        <v>No</v>
      </c>
      <c r="AS1322" s="60" t="str">
        <f t="shared" si="149"/>
        <v>No</v>
      </c>
    </row>
    <row r="1323" spans="1:45" ht="15" hidden="1">
      <c r="A1323" s="103">
        <v>45244</v>
      </c>
      <c r="B1323" s="117" t="s">
        <v>5271</v>
      </c>
      <c r="C1323" s="28" t="s">
        <v>548</v>
      </c>
      <c r="D1323" s="28" t="s">
        <v>5275</v>
      </c>
      <c r="F1323" s="28" t="s">
        <v>5273</v>
      </c>
      <c r="G1323" s="28" t="s">
        <v>514</v>
      </c>
      <c r="H1323" s="28" t="s">
        <v>2099</v>
      </c>
      <c r="I1323" s="28" t="s">
        <v>516</v>
      </c>
      <c r="J1323" s="28" t="s">
        <v>517</v>
      </c>
      <c r="K1323" s="28" t="s">
        <v>518</v>
      </c>
      <c r="L1323" s="28" t="s">
        <v>1199</v>
      </c>
      <c r="M1323" s="28" t="s">
        <v>605</v>
      </c>
      <c r="N1323" s="28" t="s">
        <v>544</v>
      </c>
      <c r="S1323" s="28" t="s">
        <v>786</v>
      </c>
      <c r="T1323" s="28" t="s">
        <v>651</v>
      </c>
      <c r="U1323" s="28" t="s">
        <v>651</v>
      </c>
      <c r="V1323" s="28" t="s">
        <v>517</v>
      </c>
      <c r="W1323" s="28" t="s">
        <v>5276</v>
      </c>
      <c r="Z1323" s="118" t="s">
        <v>526</v>
      </c>
      <c r="AA1323" s="118"/>
      <c r="AB1323" s="118"/>
      <c r="AD1323" s="28" t="s">
        <v>528</v>
      </c>
      <c r="AF1323" s="117"/>
      <c r="AG1323" s="28" t="s">
        <v>563</v>
      </c>
      <c r="AK1323" s="60" t="s">
        <v>2927</v>
      </c>
      <c r="AL1323" s="117">
        <f>1/COUNTIF(Tableau6[LAT],B1323)</f>
        <v>0.5</v>
      </c>
      <c r="AM1323" s="60" t="b">
        <f t="shared" si="143"/>
        <v>0</v>
      </c>
      <c r="AN1323" s="60" t="b">
        <f t="shared" si="144"/>
        <v>0</v>
      </c>
      <c r="AO1323" s="60" t="b">
        <f t="shared" si="145"/>
        <v>0</v>
      </c>
      <c r="AP1323" s="60" t="b">
        <f t="shared" si="146"/>
        <v>0</v>
      </c>
      <c r="AQ1323" s="60" t="b">
        <f t="shared" si="147"/>
        <v>0</v>
      </c>
      <c r="AR1323" s="60" t="str">
        <f t="shared" si="148"/>
        <v>No</v>
      </c>
      <c r="AS1323" s="60" t="str">
        <f t="shared" si="149"/>
        <v>No</v>
      </c>
    </row>
    <row r="1324" spans="1:45" ht="15" hidden="1">
      <c r="A1324" s="103">
        <v>45244</v>
      </c>
      <c r="B1324" s="117" t="s">
        <v>5277</v>
      </c>
      <c r="C1324" s="28" t="s">
        <v>511</v>
      </c>
      <c r="D1324" s="28" t="s">
        <v>5278</v>
      </c>
      <c r="F1324" s="28" t="s">
        <v>2625</v>
      </c>
      <c r="G1324" s="28" t="s">
        <v>514</v>
      </c>
      <c r="H1324" s="28" t="s">
        <v>1715</v>
      </c>
      <c r="I1324" s="28" t="s">
        <v>516</v>
      </c>
      <c r="J1324" s="28" t="s">
        <v>517</v>
      </c>
      <c r="K1324" s="28" t="s">
        <v>518</v>
      </c>
      <c r="L1324" s="28" t="s">
        <v>5279</v>
      </c>
      <c r="M1324" s="28" t="s">
        <v>605</v>
      </c>
      <c r="S1324" s="28" t="s">
        <v>803</v>
      </c>
      <c r="T1324" s="28" t="s">
        <v>5280</v>
      </c>
      <c r="U1324" s="28" t="s">
        <v>5280</v>
      </c>
      <c r="V1324" s="28" t="s">
        <v>517</v>
      </c>
      <c r="W1324" s="28" t="s">
        <v>5281</v>
      </c>
      <c r="Z1324" s="118" t="s">
        <v>563</v>
      </c>
      <c r="AA1324" s="118"/>
      <c r="AB1324" s="73" t="s">
        <v>4506</v>
      </c>
      <c r="AD1324" s="28" t="s">
        <v>528</v>
      </c>
      <c r="AF1324" s="117"/>
      <c r="AG1324" s="28" t="s">
        <v>563</v>
      </c>
      <c r="AK1324" s="60" t="s">
        <v>2927</v>
      </c>
      <c r="AL1324" s="117">
        <f>1/COUNTIF(Tableau6[LAT],B1324)</f>
        <v>1</v>
      </c>
      <c r="AM1324" s="60" t="b">
        <f t="shared" si="143"/>
        <v>0</v>
      </c>
      <c r="AN1324" s="60" t="b">
        <f t="shared" si="144"/>
        <v>0</v>
      </c>
      <c r="AO1324" s="60" t="b">
        <f t="shared" si="145"/>
        <v>0</v>
      </c>
      <c r="AP1324" s="60" t="b">
        <f t="shared" si="146"/>
        <v>0</v>
      </c>
      <c r="AQ1324" s="60" t="b">
        <f t="shared" si="147"/>
        <v>0</v>
      </c>
      <c r="AR1324" s="60" t="str">
        <f t="shared" si="148"/>
        <v>No</v>
      </c>
      <c r="AS1324" s="60" t="str">
        <f t="shared" si="149"/>
        <v>No</v>
      </c>
    </row>
    <row r="1325" spans="1:45" ht="15" hidden="1">
      <c r="A1325" s="103">
        <v>45244</v>
      </c>
      <c r="B1325" s="117" t="s">
        <v>5282</v>
      </c>
      <c r="C1325" s="28" t="s">
        <v>511</v>
      </c>
      <c r="D1325" s="28" t="s">
        <v>5283</v>
      </c>
      <c r="E1325" s="28" t="s">
        <v>5284</v>
      </c>
      <c r="F1325" s="28" t="s">
        <v>5285</v>
      </c>
      <c r="G1325" s="28" t="s">
        <v>657</v>
      </c>
      <c r="H1325" s="28" t="s">
        <v>5286</v>
      </c>
      <c r="I1325" s="28" t="s">
        <v>516</v>
      </c>
      <c r="J1325" s="28" t="s">
        <v>517</v>
      </c>
      <c r="K1325" s="28" t="s">
        <v>518</v>
      </c>
      <c r="L1325" s="28" t="s">
        <v>3338</v>
      </c>
      <c r="M1325" s="28" t="s">
        <v>520</v>
      </c>
      <c r="N1325" s="28" t="s">
        <v>557</v>
      </c>
      <c r="O1325" s="28" t="s">
        <v>544</v>
      </c>
      <c r="P1325" s="28" t="s">
        <v>427</v>
      </c>
      <c r="Q1325" s="28" t="s">
        <v>522</v>
      </c>
      <c r="S1325" s="28" t="s">
        <v>2778</v>
      </c>
      <c r="T1325" s="28" t="s">
        <v>3083</v>
      </c>
      <c r="U1325" s="28" t="s">
        <v>3083</v>
      </c>
      <c r="V1325" s="28" t="s">
        <v>517</v>
      </c>
      <c r="W1325" s="28" t="s">
        <v>5287</v>
      </c>
      <c r="X1325" s="28" t="s">
        <v>670</v>
      </c>
      <c r="Z1325" s="118" t="s">
        <v>563</v>
      </c>
      <c r="AA1325" s="118"/>
      <c r="AB1325" s="118" t="s">
        <v>527</v>
      </c>
      <c r="AD1325" s="28" t="s">
        <v>528</v>
      </c>
      <c r="AF1325" s="117" t="s">
        <v>5283</v>
      </c>
      <c r="AG1325" s="28" t="s">
        <v>563</v>
      </c>
      <c r="AK1325" s="60" t="s">
        <v>2927</v>
      </c>
      <c r="AL1325" s="117">
        <f>1/COUNTIF(Tableau6[LAT],B1325)</f>
        <v>0.5</v>
      </c>
      <c r="AM1325" s="60" t="b">
        <f t="shared" si="143"/>
        <v>0</v>
      </c>
      <c r="AN1325" s="60" t="b">
        <f t="shared" si="144"/>
        <v>0</v>
      </c>
      <c r="AO1325" s="60" t="b">
        <f t="shared" si="145"/>
        <v>0</v>
      </c>
      <c r="AP1325" s="60" t="b">
        <f t="shared" si="146"/>
        <v>0</v>
      </c>
      <c r="AQ1325" s="60" t="b">
        <f t="shared" si="147"/>
        <v>0</v>
      </c>
      <c r="AR1325" s="60" t="str">
        <f t="shared" si="148"/>
        <v>No</v>
      </c>
      <c r="AS1325" s="60" t="str">
        <f t="shared" si="149"/>
        <v>No</v>
      </c>
    </row>
    <row r="1326" spans="1:45" ht="15" hidden="1">
      <c r="A1326" s="103">
        <v>45244</v>
      </c>
      <c r="B1326" s="117" t="s">
        <v>5282</v>
      </c>
      <c r="C1326" s="28" t="s">
        <v>548</v>
      </c>
      <c r="D1326" s="28" t="s">
        <v>5288</v>
      </c>
      <c r="E1326" s="28" t="s">
        <v>5289</v>
      </c>
      <c r="F1326" s="28" t="s">
        <v>2253</v>
      </c>
      <c r="G1326" s="28" t="s">
        <v>724</v>
      </c>
      <c r="H1326" s="28" t="s">
        <v>5286</v>
      </c>
      <c r="I1326" s="28" t="s">
        <v>516</v>
      </c>
      <c r="J1326" s="28" t="s">
        <v>517</v>
      </c>
      <c r="K1326" s="28" t="s">
        <v>518</v>
      </c>
      <c r="L1326" s="28" t="s">
        <v>3338</v>
      </c>
      <c r="M1326" s="28" t="s">
        <v>520</v>
      </c>
      <c r="N1326" s="28" t="s">
        <v>557</v>
      </c>
      <c r="O1326" s="28" t="s">
        <v>544</v>
      </c>
      <c r="P1326" s="28" t="s">
        <v>427</v>
      </c>
      <c r="Q1326" s="28" t="s">
        <v>522</v>
      </c>
      <c r="S1326" s="28" t="s">
        <v>2778</v>
      </c>
      <c r="T1326" s="28" t="s">
        <v>3083</v>
      </c>
      <c r="U1326" s="28" t="s">
        <v>3083</v>
      </c>
      <c r="V1326" s="28" t="s">
        <v>517</v>
      </c>
      <c r="W1326" s="28" t="s">
        <v>5290</v>
      </c>
      <c r="X1326" s="28" t="s">
        <v>670</v>
      </c>
      <c r="Z1326" s="118" t="s">
        <v>563</v>
      </c>
      <c r="AA1326" s="118"/>
      <c r="AB1326" s="118" t="s">
        <v>527</v>
      </c>
      <c r="AF1326" s="117"/>
      <c r="AK1326" s="60" t="s">
        <v>2927</v>
      </c>
      <c r="AL1326" s="117">
        <f>1/COUNTIF(Tableau6[LAT],B1326)</f>
        <v>0.5</v>
      </c>
      <c r="AM1326" s="60" t="b">
        <f t="shared" si="143"/>
        <v>0</v>
      </c>
      <c r="AN1326" s="60" t="b">
        <f t="shared" si="144"/>
        <v>0</v>
      </c>
      <c r="AO1326" s="60" t="b">
        <f t="shared" si="145"/>
        <v>0</v>
      </c>
      <c r="AP1326" s="60" t="b">
        <f t="shared" si="146"/>
        <v>0</v>
      </c>
      <c r="AQ1326" s="60" t="b">
        <f t="shared" si="147"/>
        <v>0</v>
      </c>
      <c r="AR1326" s="60" t="str">
        <f t="shared" si="148"/>
        <v>No</v>
      </c>
      <c r="AS1326" s="60" t="str">
        <f t="shared" si="149"/>
        <v>No</v>
      </c>
    </row>
    <row r="1327" spans="1:45" ht="15" hidden="1">
      <c r="A1327" s="103">
        <v>45244</v>
      </c>
      <c r="B1327" s="117" t="s">
        <v>5291</v>
      </c>
      <c r="C1327" s="28" t="s">
        <v>511</v>
      </c>
      <c r="D1327" s="28" t="s">
        <v>5292</v>
      </c>
      <c r="F1327" s="28" t="s">
        <v>5293</v>
      </c>
      <c r="G1327" s="28" t="s">
        <v>514</v>
      </c>
      <c r="H1327" s="28" t="s">
        <v>1217</v>
      </c>
      <c r="I1327" s="28" t="s">
        <v>517</v>
      </c>
      <c r="J1327" s="28" t="s">
        <v>517</v>
      </c>
      <c r="K1327" s="28" t="s">
        <v>518</v>
      </c>
      <c r="L1327" s="28" t="s">
        <v>1787</v>
      </c>
      <c r="M1327" s="28" t="s">
        <v>535</v>
      </c>
      <c r="N1327" s="28" t="s">
        <v>1124</v>
      </c>
      <c r="S1327" s="28" t="s">
        <v>573</v>
      </c>
      <c r="T1327" s="28" t="s">
        <v>581</v>
      </c>
      <c r="U1327" s="28" t="s">
        <v>581</v>
      </c>
      <c r="V1327" s="28" t="s">
        <v>517</v>
      </c>
      <c r="W1327" s="28" t="s">
        <v>5294</v>
      </c>
      <c r="Z1327" s="118" t="s">
        <v>563</v>
      </c>
      <c r="AA1327" s="118"/>
      <c r="AB1327" s="73" t="s">
        <v>4506</v>
      </c>
      <c r="AD1327" s="28" t="s">
        <v>954</v>
      </c>
      <c r="AF1327" s="117" t="s">
        <v>5292</v>
      </c>
      <c r="AG1327" s="28" t="s">
        <v>563</v>
      </c>
      <c r="AK1327" s="60" t="s">
        <v>2927</v>
      </c>
      <c r="AL1327" s="117">
        <f>1/COUNTIF(Tableau6[LAT],B1327)</f>
        <v>1</v>
      </c>
      <c r="AM1327" s="60" t="b">
        <f t="shared" si="143"/>
        <v>0</v>
      </c>
      <c r="AN1327" s="60" t="b">
        <f t="shared" si="144"/>
        <v>0</v>
      </c>
      <c r="AO1327" s="60" t="b">
        <f t="shared" si="145"/>
        <v>0</v>
      </c>
      <c r="AP1327" s="60" t="b">
        <f t="shared" si="146"/>
        <v>0</v>
      </c>
      <c r="AQ1327" s="60" t="b">
        <f t="shared" si="147"/>
        <v>0</v>
      </c>
      <c r="AR1327" s="60" t="str">
        <f t="shared" si="148"/>
        <v>No</v>
      </c>
      <c r="AS1327" s="60" t="str">
        <f t="shared" si="149"/>
        <v>No</v>
      </c>
    </row>
    <row r="1328" spans="1:45" ht="15" hidden="1">
      <c r="A1328" s="103">
        <v>45244</v>
      </c>
      <c r="B1328" s="117" t="s">
        <v>5295</v>
      </c>
      <c r="C1328" s="28" t="s">
        <v>511</v>
      </c>
      <c r="D1328" s="28" t="s">
        <v>5296</v>
      </c>
      <c r="F1328" s="28" t="s">
        <v>5297</v>
      </c>
      <c r="G1328" s="28" t="s">
        <v>514</v>
      </c>
      <c r="H1328" s="28" t="s">
        <v>990</v>
      </c>
      <c r="I1328" s="28" t="s">
        <v>516</v>
      </c>
      <c r="J1328" s="28" t="s">
        <v>517</v>
      </c>
      <c r="K1328" s="28" t="s">
        <v>518</v>
      </c>
      <c r="L1328" s="28" t="s">
        <v>1157</v>
      </c>
      <c r="M1328" s="28" t="s">
        <v>535</v>
      </c>
      <c r="N1328" s="28" t="s">
        <v>1382</v>
      </c>
      <c r="O1328" s="28" t="s">
        <v>1383</v>
      </c>
      <c r="P1328" s="28" t="s">
        <v>521</v>
      </c>
      <c r="Q1328" s="28" t="s">
        <v>522</v>
      </c>
      <c r="S1328" s="28" t="s">
        <v>1366</v>
      </c>
      <c r="T1328" s="28" t="s">
        <v>1159</v>
      </c>
      <c r="U1328" s="28" t="s">
        <v>1159</v>
      </c>
      <c r="V1328" s="28" t="s">
        <v>517</v>
      </c>
      <c r="W1328" s="28" t="s">
        <v>5298</v>
      </c>
      <c r="Z1328" s="118" t="s">
        <v>563</v>
      </c>
      <c r="AA1328" s="118"/>
      <c r="AB1328" s="118" t="s">
        <v>527</v>
      </c>
      <c r="AD1328" s="28" t="s">
        <v>528</v>
      </c>
      <c r="AF1328" s="117" t="s">
        <v>5296</v>
      </c>
      <c r="AG1328" s="28" t="s">
        <v>529</v>
      </c>
      <c r="AK1328" s="60" t="s">
        <v>2927</v>
      </c>
      <c r="AL1328" s="117">
        <f>1/COUNTIF(Tableau6[LAT],B1328)</f>
        <v>0.33333333333333331</v>
      </c>
      <c r="AM1328" s="60" t="b">
        <f t="shared" si="143"/>
        <v>0</v>
      </c>
      <c r="AN1328" s="60" t="b">
        <f t="shared" si="144"/>
        <v>0</v>
      </c>
      <c r="AO1328" s="60" t="b">
        <f t="shared" si="145"/>
        <v>0</v>
      </c>
      <c r="AP1328" s="60" t="b">
        <f t="shared" si="146"/>
        <v>0</v>
      </c>
      <c r="AQ1328" s="60" t="b">
        <f t="shared" si="147"/>
        <v>0</v>
      </c>
      <c r="AR1328" s="60" t="str">
        <f t="shared" si="148"/>
        <v>No</v>
      </c>
      <c r="AS1328" s="60" t="str">
        <f t="shared" si="149"/>
        <v>No</v>
      </c>
    </row>
    <row r="1329" spans="1:45" ht="15" hidden="1">
      <c r="A1329" s="103">
        <v>45244</v>
      </c>
      <c r="B1329" s="117" t="s">
        <v>5295</v>
      </c>
      <c r="C1329" s="28" t="s">
        <v>548</v>
      </c>
      <c r="D1329" s="28" t="s">
        <v>5299</v>
      </c>
      <c r="F1329" s="28" t="s">
        <v>5297</v>
      </c>
      <c r="G1329" s="28" t="s">
        <v>514</v>
      </c>
      <c r="H1329" s="28" t="s">
        <v>990</v>
      </c>
      <c r="I1329" s="28" t="s">
        <v>516</v>
      </c>
      <c r="J1329" s="28" t="s">
        <v>517</v>
      </c>
      <c r="K1329" s="28" t="s">
        <v>518</v>
      </c>
      <c r="L1329" s="28" t="s">
        <v>1157</v>
      </c>
      <c r="M1329" s="28" t="s">
        <v>535</v>
      </c>
      <c r="N1329" s="28" t="s">
        <v>1382</v>
      </c>
      <c r="O1329" s="28" t="s">
        <v>1383</v>
      </c>
      <c r="P1329" s="28" t="s">
        <v>521</v>
      </c>
      <c r="Q1329" s="28" t="s">
        <v>522</v>
      </c>
      <c r="S1329" s="28" t="s">
        <v>1366</v>
      </c>
      <c r="T1329" s="28" t="s">
        <v>1159</v>
      </c>
      <c r="U1329" s="28" t="s">
        <v>1159</v>
      </c>
      <c r="V1329" s="28" t="s">
        <v>517</v>
      </c>
      <c r="W1329" s="28" t="s">
        <v>5300</v>
      </c>
      <c r="Z1329" s="118" t="s">
        <v>563</v>
      </c>
      <c r="AA1329" s="118"/>
      <c r="AB1329" s="118" t="s">
        <v>527</v>
      </c>
      <c r="AD1329" s="28" t="s">
        <v>528</v>
      </c>
      <c r="AF1329" s="117" t="s">
        <v>5296</v>
      </c>
      <c r="AG1329" s="28" t="s">
        <v>529</v>
      </c>
      <c r="AK1329" s="60" t="s">
        <v>2927</v>
      </c>
      <c r="AL1329" s="117">
        <f>1/COUNTIF(Tableau6[LAT],B1329)</f>
        <v>0.33333333333333331</v>
      </c>
      <c r="AM1329" s="60" t="b">
        <f t="shared" si="143"/>
        <v>0</v>
      </c>
      <c r="AN1329" s="60" t="b">
        <f t="shared" si="144"/>
        <v>0</v>
      </c>
      <c r="AO1329" s="60" t="b">
        <f t="shared" si="145"/>
        <v>0</v>
      </c>
      <c r="AP1329" s="60" t="b">
        <f t="shared" si="146"/>
        <v>0</v>
      </c>
      <c r="AQ1329" s="60" t="b">
        <f t="shared" si="147"/>
        <v>0</v>
      </c>
      <c r="AR1329" s="60" t="str">
        <f t="shared" si="148"/>
        <v>No</v>
      </c>
      <c r="AS1329" s="60" t="str">
        <f t="shared" si="149"/>
        <v>No</v>
      </c>
    </row>
    <row r="1330" spans="1:45" ht="15" hidden="1">
      <c r="A1330" s="103">
        <v>45244</v>
      </c>
      <c r="B1330" s="117" t="s">
        <v>5295</v>
      </c>
      <c r="C1330" s="28" t="s">
        <v>612</v>
      </c>
      <c r="D1330" s="28" t="s">
        <v>5301</v>
      </c>
      <c r="F1330" s="28" t="s">
        <v>5297</v>
      </c>
      <c r="G1330" s="28" t="s">
        <v>514</v>
      </c>
      <c r="H1330" s="28" t="s">
        <v>990</v>
      </c>
      <c r="I1330" s="28" t="s">
        <v>516</v>
      </c>
      <c r="J1330" s="28" t="s">
        <v>517</v>
      </c>
      <c r="K1330" s="28" t="s">
        <v>518</v>
      </c>
      <c r="L1330" s="28" t="s">
        <v>1157</v>
      </c>
      <c r="M1330" s="28" t="s">
        <v>535</v>
      </c>
      <c r="N1330" s="28" t="s">
        <v>1382</v>
      </c>
      <c r="O1330" s="28" t="s">
        <v>1383</v>
      </c>
      <c r="P1330" s="28" t="s">
        <v>521</v>
      </c>
      <c r="Q1330" s="28" t="s">
        <v>522</v>
      </c>
      <c r="S1330" s="28" t="s">
        <v>1366</v>
      </c>
      <c r="T1330" s="28" t="s">
        <v>1159</v>
      </c>
      <c r="U1330" s="28" t="s">
        <v>1159</v>
      </c>
      <c r="V1330" s="28" t="s">
        <v>517</v>
      </c>
      <c r="W1330" s="28" t="s">
        <v>5302</v>
      </c>
      <c r="Z1330" s="118" t="s">
        <v>563</v>
      </c>
      <c r="AA1330" s="118"/>
      <c r="AB1330" s="118" t="s">
        <v>527</v>
      </c>
      <c r="AD1330" s="28" t="s">
        <v>528</v>
      </c>
      <c r="AF1330" s="117" t="s">
        <v>5296</v>
      </c>
      <c r="AG1330" s="28" t="s">
        <v>529</v>
      </c>
      <c r="AK1330" s="60" t="s">
        <v>2927</v>
      </c>
      <c r="AL1330" s="117">
        <f>1/COUNTIF(Tableau6[LAT],B1330)</f>
        <v>0.33333333333333331</v>
      </c>
      <c r="AM1330" s="60" t="b">
        <f t="shared" si="143"/>
        <v>0</v>
      </c>
      <c r="AN1330" s="60" t="b">
        <f t="shared" si="144"/>
        <v>0</v>
      </c>
      <c r="AO1330" s="60" t="b">
        <f t="shared" si="145"/>
        <v>0</v>
      </c>
      <c r="AP1330" s="60" t="b">
        <f t="shared" si="146"/>
        <v>0</v>
      </c>
      <c r="AQ1330" s="60" t="b">
        <f t="shared" si="147"/>
        <v>0</v>
      </c>
      <c r="AR1330" s="60" t="str">
        <f t="shared" si="148"/>
        <v>No</v>
      </c>
      <c r="AS1330" s="60" t="str">
        <f t="shared" si="149"/>
        <v>No</v>
      </c>
    </row>
    <row r="1331" spans="1:45" ht="15" hidden="1">
      <c r="A1331" s="103">
        <v>45244</v>
      </c>
      <c r="B1331" s="117" t="s">
        <v>5303</v>
      </c>
      <c r="C1331" s="28" t="s">
        <v>511</v>
      </c>
      <c r="D1331" s="28" t="s">
        <v>5304</v>
      </c>
      <c r="F1331" s="28" t="s">
        <v>3250</v>
      </c>
      <c r="G1331" s="28" t="s">
        <v>514</v>
      </c>
      <c r="H1331" s="28" t="s">
        <v>2401</v>
      </c>
      <c r="I1331" s="28" t="s">
        <v>516</v>
      </c>
      <c r="J1331" s="28" t="s">
        <v>517</v>
      </c>
      <c r="K1331" s="28" t="s">
        <v>518</v>
      </c>
      <c r="L1331" s="28" t="s">
        <v>726</v>
      </c>
      <c r="M1331" s="28" t="s">
        <v>535</v>
      </c>
      <c r="S1331" s="28" t="s">
        <v>597</v>
      </c>
      <c r="T1331" s="28" t="s">
        <v>589</v>
      </c>
      <c r="U1331" s="28" t="s">
        <v>589</v>
      </c>
      <c r="V1331" s="28" t="s">
        <v>517</v>
      </c>
      <c r="W1331" s="28" t="s">
        <v>5305</v>
      </c>
      <c r="Z1331" s="118" t="s">
        <v>563</v>
      </c>
      <c r="AA1331" s="118"/>
      <c r="AB1331" s="118" t="s">
        <v>527</v>
      </c>
      <c r="AD1331" s="28" t="s">
        <v>528</v>
      </c>
      <c r="AF1331" s="117" t="s">
        <v>5304</v>
      </c>
      <c r="AG1331" s="28" t="s">
        <v>529</v>
      </c>
      <c r="AK1331" s="60" t="s">
        <v>2927</v>
      </c>
      <c r="AL1331" s="117">
        <f>1/COUNTIF(Tableau6[LAT],B1331)</f>
        <v>1</v>
      </c>
      <c r="AM1331" s="60" t="b">
        <f t="shared" si="143"/>
        <v>0</v>
      </c>
      <c r="AN1331" s="60" t="b">
        <f t="shared" si="144"/>
        <v>0</v>
      </c>
      <c r="AO1331" s="60" t="b">
        <f t="shared" si="145"/>
        <v>0</v>
      </c>
      <c r="AP1331" s="60" t="b">
        <f t="shared" si="146"/>
        <v>0</v>
      </c>
      <c r="AQ1331" s="60" t="b">
        <f t="shared" si="147"/>
        <v>0</v>
      </c>
      <c r="AR1331" s="60" t="str">
        <f t="shared" si="148"/>
        <v>No</v>
      </c>
      <c r="AS1331" s="60" t="str">
        <f t="shared" si="149"/>
        <v>No</v>
      </c>
    </row>
    <row r="1332" spans="1:45" ht="15" hidden="1">
      <c r="A1332" s="103">
        <v>45244</v>
      </c>
      <c r="B1332" s="117" t="s">
        <v>5306</v>
      </c>
      <c r="C1332" s="28" t="s">
        <v>511</v>
      </c>
      <c r="D1332" s="28" t="s">
        <v>5307</v>
      </c>
      <c r="E1332" s="28" t="s">
        <v>3655</v>
      </c>
      <c r="F1332" s="28" t="s">
        <v>5308</v>
      </c>
      <c r="G1332" s="28" t="s">
        <v>514</v>
      </c>
      <c r="H1332" s="28" t="s">
        <v>5092</v>
      </c>
      <c r="I1332" s="28" t="s">
        <v>516</v>
      </c>
      <c r="J1332" s="28" t="s">
        <v>517</v>
      </c>
      <c r="K1332" s="28" t="s">
        <v>682</v>
      </c>
      <c r="L1332" s="28" t="s">
        <v>3261</v>
      </c>
      <c r="M1332" s="28" t="s">
        <v>535</v>
      </c>
      <c r="N1332" s="28" t="s">
        <v>557</v>
      </c>
      <c r="O1332" s="28" t="s">
        <v>544</v>
      </c>
      <c r="P1332" s="28" t="s">
        <v>522</v>
      </c>
      <c r="S1332" s="28" t="s">
        <v>1366</v>
      </c>
      <c r="T1332" s="28" t="s">
        <v>1918</v>
      </c>
      <c r="U1332" s="28" t="s">
        <v>1918</v>
      </c>
      <c r="V1332" s="28" t="s">
        <v>517</v>
      </c>
      <c r="W1332" s="28" t="s">
        <v>3657</v>
      </c>
      <c r="X1332" s="28" t="s">
        <v>670</v>
      </c>
      <c r="Z1332" s="118" t="s">
        <v>563</v>
      </c>
      <c r="AA1332" s="118"/>
      <c r="AB1332" s="118" t="s">
        <v>527</v>
      </c>
      <c r="AD1332" s="28" t="s">
        <v>954</v>
      </c>
      <c r="AF1332" s="117" t="s">
        <v>5307</v>
      </c>
      <c r="AG1332" s="28" t="s">
        <v>563</v>
      </c>
      <c r="AK1332" s="60" t="s">
        <v>2927</v>
      </c>
      <c r="AL1332" s="117">
        <f>1/COUNTIF(Tableau6[LAT],B1332)</f>
        <v>0.5</v>
      </c>
      <c r="AM1332" s="60" t="b">
        <f t="shared" ref="AM1332:AM1393" si="150">IF(N1332="ALM","Yes",IF(N1332="ALI","Yes",IF(N1332="CAO","Yes",IF(N1332="ICE","Yes",IF(N1332="MAG","Yes",IF(N1332="MAG","Yes",IF(N1332="RBI","Yes",IF(N1332="RBM","Yes",IF(N1332="RCL","Yes",IF(N1332="RCM","Yes",IF(N1332="RCX","Yes",IF(N1332="RDS","Yes",IF(N1332="REQ","Yes",IF(N1332="REX","Yes",IF(N1332="RFG","Yes",IF(N1332="RFL","Yes",IF(N1332="RFS","Yes",IF(N1332="RFW","Yes",IF(N1332="RGX","Yes",IF(N1332="RIS",IF(N1332="RLI","Yes",IF(N1332="RLM","Yes",IF(N1332="RMD","Yes",IF(N1332="RNG","Yes",IF(N1332="ROP","Yes",IF(N1332="ROX","Yes",IF(N1332="RPB","Yes",IF(N1332="RPG","Yes",IF(N1332="RRE","Yes",IF(N1332="RRW","Yes",IF(N1332="RRY","Yes",IF(N1332="RSB","Yes",IF(N1332="RSC","Yes",IF(N1332="RXB","Yes",IF(N1332="RXC","Yes",IF(N1332="RXD","Yes",IF(N1332="RXE","Yes",IF(N1332="RXG","Yes",IF(N1332="RXS","Yes",)))))))))))))))))))))))))))))))))))))))</f>
        <v>0</v>
      </c>
      <c r="AN1332" s="60" t="b">
        <f t="shared" ref="AN1332:AN1393" si="151">IF(O1332="ALM","Yes",IF(O1332="ALI","Yes",IF(O1332="CAO","Yes",IF(O1332="ICE","Yes",IF(O1332="MAG","Yes",IF(O1332="MAG","Yes",IF(O1332="RBI","Yes",IF(O1332="RBM","Yes",IF(O1332="RCL","Yes",IF(O1332="RCM","Yes",IF(O1332="RCX","Yes",IF(O1332="RDS","Yes",IF(O1332="REQ","Yes",IF(O1332="REX","Yes",IF(O1332="RFG","Yes",IF(O1332="RFL","Yes",IF(O1332="RFS","Yes",IF(O1332="RFW","Yes",IF(O1332="RGX","Yes",IF(O1332="RIS",IF(O1332="RLI","Yes",IF(O1332="RLM","Yes",IF(O1332="RMD","Yes",IF(O1332="RNG","Yes",IF(O1332="ROP","Yes",IF(O1332="ROX","Yes",IF(O1332="RPB","Yes",IF(O1332="RPG","Yes",IF(O1332="RRE","Yes",IF(O1332="RRW","Yes",IF(O1332="RRY","Yes",IF(O1332="RSB","Yes",IF(O1332="RSC","Yes",IF(O1332="RXB","Yes",IF(O1332="RXC","Yes",IF(O1332="RXD","Yes",IF(O1332="RXE","Yes",IF(O1332="RXG","Yes",IF(O1332="RXS","Yes",)))))))))))))))))))))))))))))))))))))))</f>
        <v>0</v>
      </c>
      <c r="AO1332" s="60" t="b">
        <f t="shared" ref="AO1332:AO1393" si="152">IF(P1332="ALM","Yes",IF(P1332="ALI","Yes",IF(P1332="CAO","Yes",IF(P1332="ICE","Yes",IF(P1332="MAG","Yes",IF(P1332="MAG","Yes",IF(P1332="RBI","Yes",IF(P1332="RBM","Yes",IF(P1332="RCL","Yes",IF(P1332="RCM","Yes",IF(P1332="RCX","Yes",IF(P1332="RDS","Yes",IF(P1332="REQ","Yes",IF(P1332="REX","Yes",IF(P1332="RFG","Yes",IF(P1332="RFL","Yes",IF(P1332="RFS","Yes",IF(P1332="RFW","Yes",IF(P1332="RGX","Yes",IF(P1332="RIS",IF(P1332="RLI","Yes",IF(P1332="RLM","Yes",IF(P1332="RMD","Yes",IF(P1332="RNG","Yes",IF(P1332="ROP","Yes",IF(P1332="ROX","Yes",IF(P1332="RPB","Yes",IF(P1332="RPG","Yes",IF(P1332="RRE","Yes",IF(P1332="RRW","Yes",IF(P1332="RRY","Yes",IF(P1332="RSB","Yes",IF(P1332="RSC","Yes",IF(P1332="RXB","Yes",IF(P1332="RXC","Yes",IF(P1332="RXD","Yes",IF(P1332="RXE","Yes",IF(P1332="RXG","Yes",IF(P1332="RXS","Yes",)))))))))))))))))))))))))))))))))))))))</f>
        <v>0</v>
      </c>
      <c r="AP1332" s="60" t="b">
        <f t="shared" ref="AP1332:AP1393" si="153">IF(Q1332="ALM","Yes",IF(Q1332="ALI","Yes",IF(Q1332="CAO","Yes",IF(Q1332="ICE","Yes",IF(Q1332="MAG","Yes",IF(Q1332="MAG","Yes",IF(Q1332="RBI","Yes",IF(Q1332="RBM","Yes",IF(Q1332="RCL","Yes",IF(Q1332="RCM","Yes",IF(Q1332="RCX","Yes",IF(Q1332="RDS","Yes",IF(Q1332="REQ","Yes",IF(Q1332="REX","Yes",IF(Q1332="RFG","Yes",IF(Q1332="RFL","Yes",IF(Q1332="RFS","Yes",IF(Q1332="RFW","Yes",IF(Q1332="RGX","Yes",IF(Q1332="RIS",IF(Q1332="RLI","Yes",IF(Q1332="RLM","Yes",IF(Q1332="RMD","Yes",IF(Q1332="RNG","Yes",IF(Q1332="ROP","Yes",IF(Q1332="ROX","Yes",IF(Q1332="RPB","Yes",IF(Q1332="RPG","Yes",IF(Q1332="RRE","Yes",IF(Q1332="RRW","Yes",IF(Q1332="RRY","Yes",IF(Q1332="RSB","Yes",IF(Q1332="RSC","Yes",IF(Q1332="RXB","Yes",IF(Q1332="RXC","Yes",IF(Q1332="RXD","Yes",IF(Q1332="RXE","Yes",IF(Q1332="RXG","Yes",IF(Q1332="RXS","Yes",)))))))))))))))))))))))))))))))))))))))</f>
        <v>0</v>
      </c>
      <c r="AQ1332" s="60" t="b">
        <f t="shared" ref="AQ1332:AQ1393" si="154">IF(R1332="ALM","Yes",IF(R1332="ALI","Yes",IF(R1332="CAO","Yes",IF(R1332="ICE","Yes",IF(R1332="MAG","Yes",IF(R1332="MAG","Yes",IF(R1332="RBI","Yes",IF(R1332="RBM","Yes",IF(R1332="RCL","Yes",IF(R1332="RCM","Yes",IF(R1332="RCX","Yes",IF(R1332="RDS","Yes",IF(R1332="REQ","Yes",IF(R1332="REX","Yes",IF(R1332="RFG","Yes",IF(R1332="RFL","Yes",IF(R1332="RFS","Yes",IF(R1332="RFW","Yes",IF(R1332="RGX","Yes",IF(R1332="RIS",IF(R1332="RLI","Yes",IF(R1332="RLM","Yes",IF(R1332="RMD","Yes",IF(R1332="RNG","Yes",IF(R1332="ROP","Yes",IF(R1332="ROX","Yes",IF(R1332="RPB","Yes",IF(R1332="RPG","Yes",IF(R1332="RRE","Yes",IF(R1332="RRW","Yes",IF(R1332="RRY","Yes",IF(R1332="RSB","Yes",IF(R1332="RSC","Yes",IF(R1332="RXB","Yes",IF(R1332="RXC","Yes",IF(R1332="RXD","Yes",IF(R1332="RXE","Yes",IF(R1332="RXG","Yes",IF(R1332="RXS","Yes",)))))))))))))))))))))))))))))))))))))))</f>
        <v>0</v>
      </c>
      <c r="AR1332" s="60" t="str">
        <f t="shared" ref="AR1332:AR1393" si="155">IF(AM1332="Yes","Yes",IF(AN1332="Yes","Yes",IF(AO1332="yes","Yes",IF(AP1332="Yes","Yes","No"))))</f>
        <v>No</v>
      </c>
      <c r="AS1332" s="60" t="str">
        <f t="shared" ref="AS1332:AS1393" si="156">IF(S1332="QFA","Yes",IF(S1332="LCJ","Yes",IF(S1332="CAJ","Yes",IF(S1332="WRO","Yes",IF(S1332="BEY","Yes",IF(S1332="TUN","Yes",IF(S1332="LFW","Yes",IF(S1332="DLA","Yes",IF(S1332="NSI","Yes",IF(S1332="OUA","Yes",IF(S1332="IAH","Yes",IF(S1332="LYS","Yes",IF(S1332="DSS","Yes",IF(S1332="BKO","Yes",IF(S1332="BZV","Yes",IF(S1332="COO","Yes",IF(S1332="EZE","Yes",IF(S1332="CKY","Yes",IF(S1332="PTP","Yes",IF(S1332="ORD","Yes",IF(S1332="CFE","Yes",IF(S1332="NKC","Yes",IF(S1332="FDF","Yes",IF(S1332="SDQ","Yes",IF(S1332="PNR","Yes",IF(S1332="ICAY","Yes",IF(S1332="DTW","Yes",IF(S1332="TNR","Yes",IF(S1332="RUN","Yes",IF(S1332="NIM","Yes","No"))))))))))))))))))))))))))))))</f>
        <v>No</v>
      </c>
    </row>
    <row r="1333" spans="1:45" ht="15" hidden="1">
      <c r="A1333" s="103">
        <v>45244</v>
      </c>
      <c r="B1333" s="117" t="s">
        <v>5306</v>
      </c>
      <c r="C1333" s="28" t="s">
        <v>548</v>
      </c>
      <c r="D1333" s="28" t="s">
        <v>5309</v>
      </c>
      <c r="E1333" s="28" t="s">
        <v>3655</v>
      </c>
      <c r="F1333" s="28" t="s">
        <v>5308</v>
      </c>
      <c r="G1333" s="28" t="s">
        <v>514</v>
      </c>
      <c r="H1333" s="28" t="s">
        <v>5310</v>
      </c>
      <c r="I1333" s="28" t="s">
        <v>516</v>
      </c>
      <c r="J1333" s="28" t="s">
        <v>517</v>
      </c>
      <c r="K1333" s="28" t="s">
        <v>682</v>
      </c>
      <c r="L1333" s="28" t="s">
        <v>3261</v>
      </c>
      <c r="M1333" s="28" t="s">
        <v>535</v>
      </c>
      <c r="N1333" s="28" t="s">
        <v>557</v>
      </c>
      <c r="O1333" s="28" t="s">
        <v>544</v>
      </c>
      <c r="P1333" s="28" t="s">
        <v>522</v>
      </c>
      <c r="S1333" s="28" t="s">
        <v>1366</v>
      </c>
      <c r="T1333" s="28" t="s">
        <v>1918</v>
      </c>
      <c r="U1333" s="28" t="s">
        <v>1918</v>
      </c>
      <c r="V1333" s="28" t="s">
        <v>517</v>
      </c>
      <c r="W1333" s="28" t="s">
        <v>3657</v>
      </c>
      <c r="X1333" s="28" t="s">
        <v>670</v>
      </c>
      <c r="Z1333" s="118" t="s">
        <v>563</v>
      </c>
      <c r="AA1333" s="118"/>
      <c r="AB1333" s="118" t="s">
        <v>527</v>
      </c>
      <c r="AD1333" s="28" t="s">
        <v>954</v>
      </c>
      <c r="AF1333" s="117" t="s">
        <v>5307</v>
      </c>
      <c r="AG1333" s="28" t="s">
        <v>563</v>
      </c>
      <c r="AK1333" s="60" t="s">
        <v>2927</v>
      </c>
      <c r="AL1333" s="117">
        <f>1/COUNTIF(Tableau6[LAT],B1333)</f>
        <v>0.5</v>
      </c>
      <c r="AM1333" s="60" t="b">
        <f t="shared" si="150"/>
        <v>0</v>
      </c>
      <c r="AN1333" s="60" t="b">
        <f t="shared" si="151"/>
        <v>0</v>
      </c>
      <c r="AO1333" s="60" t="b">
        <f t="shared" si="152"/>
        <v>0</v>
      </c>
      <c r="AP1333" s="60" t="b">
        <f t="shared" si="153"/>
        <v>0</v>
      </c>
      <c r="AQ1333" s="60" t="b">
        <f t="shared" si="154"/>
        <v>0</v>
      </c>
      <c r="AR1333" s="60" t="str">
        <f t="shared" si="155"/>
        <v>No</v>
      </c>
      <c r="AS1333" s="60" t="str">
        <f t="shared" si="156"/>
        <v>No</v>
      </c>
    </row>
    <row r="1334" spans="1:45" ht="15" hidden="1">
      <c r="A1334" s="103">
        <v>45244</v>
      </c>
      <c r="B1334" s="117" t="s">
        <v>5311</v>
      </c>
      <c r="C1334" s="28" t="s">
        <v>511</v>
      </c>
      <c r="D1334" s="28" t="s">
        <v>5312</v>
      </c>
      <c r="F1334" s="28" t="s">
        <v>5313</v>
      </c>
      <c r="G1334" s="28" t="s">
        <v>514</v>
      </c>
      <c r="H1334" s="28" t="s">
        <v>2985</v>
      </c>
      <c r="I1334" s="28" t="s">
        <v>516</v>
      </c>
      <c r="J1334" s="28" t="s">
        <v>517</v>
      </c>
      <c r="K1334" s="28" t="s">
        <v>518</v>
      </c>
      <c r="L1334" s="28" t="s">
        <v>751</v>
      </c>
      <c r="M1334" s="28" t="s">
        <v>605</v>
      </c>
      <c r="S1334" s="28" t="s">
        <v>2199</v>
      </c>
      <c r="T1334" s="28" t="s">
        <v>753</v>
      </c>
      <c r="U1334" s="28" t="s">
        <v>753</v>
      </c>
      <c r="V1334" s="28" t="s">
        <v>517</v>
      </c>
      <c r="W1334" s="28" t="s">
        <v>5314</v>
      </c>
      <c r="Z1334" s="118" t="s">
        <v>563</v>
      </c>
      <c r="AA1334" s="118"/>
      <c r="AB1334" s="118" t="s">
        <v>527</v>
      </c>
      <c r="AD1334" s="28" t="s">
        <v>528</v>
      </c>
      <c r="AF1334" s="117" t="s">
        <v>5312</v>
      </c>
      <c r="AG1334" s="28" t="s">
        <v>529</v>
      </c>
      <c r="AK1334" s="60" t="s">
        <v>2927</v>
      </c>
      <c r="AL1334" s="117">
        <f>1/COUNTIF(Tableau6[LAT],B1334)</f>
        <v>1</v>
      </c>
      <c r="AM1334" s="60" t="b">
        <f t="shared" si="150"/>
        <v>0</v>
      </c>
      <c r="AN1334" s="60" t="b">
        <f t="shared" si="151"/>
        <v>0</v>
      </c>
      <c r="AO1334" s="60" t="b">
        <f t="shared" si="152"/>
        <v>0</v>
      </c>
      <c r="AP1334" s="60" t="b">
        <f t="shared" si="153"/>
        <v>0</v>
      </c>
      <c r="AQ1334" s="60" t="b">
        <f t="shared" si="154"/>
        <v>0</v>
      </c>
      <c r="AR1334" s="60" t="str">
        <f t="shared" si="155"/>
        <v>No</v>
      </c>
      <c r="AS1334" s="60" t="str">
        <f t="shared" si="156"/>
        <v>No</v>
      </c>
    </row>
    <row r="1335" spans="1:45" ht="15" hidden="1">
      <c r="A1335" s="103">
        <v>45244</v>
      </c>
      <c r="B1335" s="117" t="s">
        <v>5315</v>
      </c>
      <c r="C1335" s="28" t="s">
        <v>511</v>
      </c>
      <c r="D1335" s="28" t="s">
        <v>5316</v>
      </c>
      <c r="E1335" s="28" t="s">
        <v>5317</v>
      </c>
      <c r="F1335" s="28" t="s">
        <v>5318</v>
      </c>
      <c r="G1335" s="28" t="s">
        <v>958</v>
      </c>
      <c r="H1335" s="28" t="s">
        <v>1783</v>
      </c>
      <c r="I1335" s="28" t="s">
        <v>516</v>
      </c>
      <c r="J1335" s="28" t="s">
        <v>517</v>
      </c>
      <c r="K1335" s="28" t="s">
        <v>518</v>
      </c>
      <c r="L1335" s="28" t="s">
        <v>1079</v>
      </c>
      <c r="M1335" s="28" t="s">
        <v>535</v>
      </c>
      <c r="N1335" s="28" t="s">
        <v>557</v>
      </c>
      <c r="O1335" s="28" t="s">
        <v>544</v>
      </c>
      <c r="P1335" s="28" t="s">
        <v>522</v>
      </c>
      <c r="S1335" s="28" t="s">
        <v>1918</v>
      </c>
      <c r="T1335" s="28" t="s">
        <v>668</v>
      </c>
      <c r="U1335" s="28" t="s">
        <v>668</v>
      </c>
      <c r="V1335" s="28" t="s">
        <v>517</v>
      </c>
      <c r="W1335" s="28" t="s">
        <v>5319</v>
      </c>
      <c r="X1335" s="28" t="s">
        <v>2526</v>
      </c>
      <c r="Z1335" s="118" t="s">
        <v>563</v>
      </c>
      <c r="AA1335" s="118"/>
      <c r="AB1335" s="118" t="s">
        <v>527</v>
      </c>
      <c r="AD1335" s="28" t="s">
        <v>528</v>
      </c>
      <c r="AF1335" s="117" t="s">
        <v>5312</v>
      </c>
      <c r="AG1335" s="28" t="s">
        <v>529</v>
      </c>
      <c r="AK1335" s="60" t="s">
        <v>2927</v>
      </c>
      <c r="AL1335" s="117">
        <f>1/COUNTIF(Tableau6[LAT],B1335)</f>
        <v>1</v>
      </c>
      <c r="AM1335" s="60" t="b">
        <f t="shared" si="150"/>
        <v>0</v>
      </c>
      <c r="AN1335" s="60" t="b">
        <f t="shared" si="151"/>
        <v>0</v>
      </c>
      <c r="AO1335" s="60" t="b">
        <f t="shared" si="152"/>
        <v>0</v>
      </c>
      <c r="AP1335" s="60" t="b">
        <f t="shared" si="153"/>
        <v>0</v>
      </c>
      <c r="AQ1335" s="60" t="b">
        <f t="shared" si="154"/>
        <v>0</v>
      </c>
      <c r="AR1335" s="60" t="str">
        <f t="shared" si="155"/>
        <v>No</v>
      </c>
      <c r="AS1335" s="60" t="str">
        <f t="shared" si="156"/>
        <v>No</v>
      </c>
    </row>
    <row r="1336" spans="1:45" ht="15" hidden="1">
      <c r="A1336" s="103">
        <v>45244</v>
      </c>
      <c r="B1336" s="117" t="s">
        <v>5320</v>
      </c>
      <c r="C1336" s="28" t="s">
        <v>511</v>
      </c>
      <c r="D1336" s="28" t="s">
        <v>5321</v>
      </c>
      <c r="E1336" s="28" t="s">
        <v>5322</v>
      </c>
      <c r="F1336" s="28" t="s">
        <v>5323</v>
      </c>
      <c r="G1336" s="28" t="s">
        <v>2579</v>
      </c>
      <c r="H1336" s="28" t="s">
        <v>5324</v>
      </c>
      <c r="I1336" s="28" t="s">
        <v>516</v>
      </c>
      <c r="J1336" s="28" t="s">
        <v>517</v>
      </c>
      <c r="K1336" s="28" t="s">
        <v>518</v>
      </c>
      <c r="L1336" s="28" t="s">
        <v>2925</v>
      </c>
      <c r="M1336" s="28" t="s">
        <v>535</v>
      </c>
      <c r="N1336" s="28" t="s">
        <v>544</v>
      </c>
      <c r="O1336" s="28" t="s">
        <v>522</v>
      </c>
      <c r="S1336" s="28" t="s">
        <v>740</v>
      </c>
      <c r="T1336" s="28" t="s">
        <v>1042</v>
      </c>
      <c r="U1336" s="28" t="s">
        <v>1042</v>
      </c>
      <c r="V1336" s="28" t="s">
        <v>517</v>
      </c>
      <c r="W1336" s="28" t="s">
        <v>5325</v>
      </c>
      <c r="X1336" s="28" t="s">
        <v>670</v>
      </c>
      <c r="Z1336" s="118" t="s">
        <v>563</v>
      </c>
      <c r="AA1336" s="118"/>
      <c r="AB1336" s="118" t="s">
        <v>527</v>
      </c>
      <c r="AD1336" s="28" t="s">
        <v>954</v>
      </c>
      <c r="AF1336" s="117" t="s">
        <v>5321</v>
      </c>
      <c r="AG1336" s="28" t="s">
        <v>563</v>
      </c>
      <c r="AK1336" s="60" t="s">
        <v>2927</v>
      </c>
      <c r="AL1336" s="117">
        <f>1/COUNTIF(Tableau6[LAT],B1336)</f>
        <v>1</v>
      </c>
      <c r="AM1336" s="60" t="b">
        <f t="shared" si="150"/>
        <v>0</v>
      </c>
      <c r="AN1336" s="60" t="b">
        <f t="shared" si="151"/>
        <v>0</v>
      </c>
      <c r="AO1336" s="60" t="b">
        <f t="shared" si="152"/>
        <v>0</v>
      </c>
      <c r="AP1336" s="60" t="b">
        <f t="shared" si="153"/>
        <v>0</v>
      </c>
      <c r="AQ1336" s="60" t="b">
        <f t="shared" si="154"/>
        <v>0</v>
      </c>
      <c r="AR1336" s="60" t="str">
        <f t="shared" si="155"/>
        <v>No</v>
      </c>
      <c r="AS1336" s="60" t="str">
        <f t="shared" si="156"/>
        <v>No</v>
      </c>
    </row>
    <row r="1337" spans="1:45" ht="15" hidden="1">
      <c r="A1337" s="103">
        <v>45244</v>
      </c>
      <c r="B1337" s="117" t="s">
        <v>5326</v>
      </c>
      <c r="C1337" s="28" t="s">
        <v>511</v>
      </c>
      <c r="D1337" s="28" t="s">
        <v>5327</v>
      </c>
      <c r="E1337" s="28" t="s">
        <v>5328</v>
      </c>
      <c r="F1337" s="28" t="s">
        <v>5329</v>
      </c>
      <c r="G1337" s="28" t="s">
        <v>3055</v>
      </c>
      <c r="H1337" s="28" t="s">
        <v>3748</v>
      </c>
      <c r="I1337" s="28" t="s">
        <v>516</v>
      </c>
      <c r="J1337" s="28" t="s">
        <v>517</v>
      </c>
      <c r="K1337" s="28" t="s">
        <v>518</v>
      </c>
      <c r="L1337" s="28" t="s">
        <v>596</v>
      </c>
      <c r="M1337" s="28" t="s">
        <v>535</v>
      </c>
      <c r="S1337" s="28" t="s">
        <v>1366</v>
      </c>
      <c r="T1337" s="28" t="s">
        <v>597</v>
      </c>
      <c r="U1337" s="28" t="s">
        <v>597</v>
      </c>
      <c r="V1337" s="28" t="s">
        <v>517</v>
      </c>
      <c r="W1337" s="28" t="s">
        <v>5330</v>
      </c>
      <c r="X1337" s="28" t="s">
        <v>670</v>
      </c>
      <c r="Z1337" s="118" t="s">
        <v>563</v>
      </c>
      <c r="AA1337" s="118"/>
      <c r="AB1337" s="73" t="s">
        <v>4506</v>
      </c>
      <c r="AD1337" s="28" t="s">
        <v>528</v>
      </c>
      <c r="AF1337" s="117" t="s">
        <v>5327</v>
      </c>
      <c r="AG1337" s="28" t="s">
        <v>529</v>
      </c>
      <c r="AK1337" s="60" t="s">
        <v>2927</v>
      </c>
      <c r="AL1337" s="117">
        <f>1/COUNTIF(Tableau6[LAT],B1337)</f>
        <v>1</v>
      </c>
      <c r="AM1337" s="60" t="b">
        <f t="shared" si="150"/>
        <v>0</v>
      </c>
      <c r="AN1337" s="60" t="b">
        <f t="shared" si="151"/>
        <v>0</v>
      </c>
      <c r="AO1337" s="60" t="b">
        <f t="shared" si="152"/>
        <v>0</v>
      </c>
      <c r="AP1337" s="60" t="b">
        <f t="shared" si="153"/>
        <v>0</v>
      </c>
      <c r="AQ1337" s="60" t="b">
        <f t="shared" si="154"/>
        <v>0</v>
      </c>
      <c r="AR1337" s="60" t="str">
        <f t="shared" si="155"/>
        <v>No</v>
      </c>
      <c r="AS1337" s="60" t="str">
        <f t="shared" si="156"/>
        <v>No</v>
      </c>
    </row>
    <row r="1338" spans="1:45" ht="15" hidden="1">
      <c r="A1338" s="103">
        <v>45244</v>
      </c>
      <c r="B1338" s="117" t="s">
        <v>5331</v>
      </c>
      <c r="C1338" s="28" t="s">
        <v>612</v>
      </c>
      <c r="D1338" s="28" t="s">
        <v>5332</v>
      </c>
      <c r="F1338" s="28" t="s">
        <v>5262</v>
      </c>
      <c r="G1338" s="28" t="s">
        <v>514</v>
      </c>
      <c r="H1338" s="28" t="s">
        <v>848</v>
      </c>
      <c r="I1338" s="28" t="s">
        <v>516</v>
      </c>
      <c r="J1338" s="28" t="s">
        <v>517</v>
      </c>
      <c r="K1338" s="28" t="s">
        <v>518</v>
      </c>
      <c r="L1338" s="28" t="s">
        <v>3034</v>
      </c>
      <c r="M1338" s="28" t="s">
        <v>520</v>
      </c>
      <c r="N1338" s="28" t="s">
        <v>934</v>
      </c>
      <c r="S1338" s="28" t="s">
        <v>718</v>
      </c>
      <c r="T1338" s="28" t="s">
        <v>3035</v>
      </c>
      <c r="U1338" s="28" t="s">
        <v>3035</v>
      </c>
      <c r="V1338" s="28" t="s">
        <v>517</v>
      </c>
      <c r="W1338" s="28" t="s">
        <v>3686</v>
      </c>
      <c r="Z1338" s="118" t="s">
        <v>563</v>
      </c>
      <c r="AA1338" s="118"/>
      <c r="AB1338" s="73" t="s">
        <v>4506</v>
      </c>
      <c r="AF1338" s="117"/>
      <c r="AK1338" s="60" t="s">
        <v>2927</v>
      </c>
      <c r="AL1338" s="117">
        <f>1/COUNTIF(Tableau6[LAT],B1338)</f>
        <v>1</v>
      </c>
      <c r="AM1338" s="60" t="b">
        <f t="shared" si="150"/>
        <v>0</v>
      </c>
      <c r="AN1338" s="60" t="b">
        <f t="shared" si="151"/>
        <v>0</v>
      </c>
      <c r="AO1338" s="60" t="b">
        <f t="shared" si="152"/>
        <v>0</v>
      </c>
      <c r="AP1338" s="60" t="b">
        <f t="shared" si="153"/>
        <v>0</v>
      </c>
      <c r="AQ1338" s="60" t="b">
        <f t="shared" si="154"/>
        <v>0</v>
      </c>
      <c r="AR1338" s="60" t="str">
        <f t="shared" si="155"/>
        <v>No</v>
      </c>
      <c r="AS1338" s="60" t="str">
        <f t="shared" si="156"/>
        <v>No</v>
      </c>
    </row>
    <row r="1339" spans="1:45" ht="15" hidden="1">
      <c r="A1339" s="103">
        <v>45244</v>
      </c>
      <c r="B1339" s="117" t="s">
        <v>5333</v>
      </c>
      <c r="C1339" s="28" t="s">
        <v>511</v>
      </c>
      <c r="D1339" s="28" t="s">
        <v>5334</v>
      </c>
      <c r="F1339" s="28" t="s">
        <v>2550</v>
      </c>
      <c r="G1339" s="28" t="s">
        <v>514</v>
      </c>
      <c r="H1339" s="28" t="s">
        <v>1992</v>
      </c>
      <c r="I1339" s="28" t="s">
        <v>516</v>
      </c>
      <c r="J1339" s="28" t="s">
        <v>517</v>
      </c>
      <c r="K1339" s="28" t="s">
        <v>682</v>
      </c>
      <c r="L1339" s="28" t="s">
        <v>3143</v>
      </c>
      <c r="M1339" s="28" t="s">
        <v>605</v>
      </c>
      <c r="N1339" s="28" t="s">
        <v>544</v>
      </c>
      <c r="S1339" s="28" t="s">
        <v>2805</v>
      </c>
      <c r="T1339" s="28" t="s">
        <v>1918</v>
      </c>
      <c r="U1339" s="28" t="s">
        <v>1918</v>
      </c>
      <c r="V1339" s="28" t="s">
        <v>517</v>
      </c>
      <c r="W1339" s="28" t="s">
        <v>5335</v>
      </c>
      <c r="Z1339" s="118" t="s">
        <v>563</v>
      </c>
      <c r="AA1339" s="118"/>
      <c r="AB1339" s="118" t="s">
        <v>527</v>
      </c>
      <c r="AD1339" s="28" t="s">
        <v>528</v>
      </c>
      <c r="AF1339" s="117" t="s">
        <v>5334</v>
      </c>
      <c r="AG1339" s="28" t="s">
        <v>529</v>
      </c>
      <c r="AK1339" s="60" t="s">
        <v>2927</v>
      </c>
      <c r="AL1339" s="117">
        <f>1/COUNTIF(Tableau6[LAT],B1339)</f>
        <v>1</v>
      </c>
      <c r="AM1339" s="60" t="b">
        <f t="shared" si="150"/>
        <v>0</v>
      </c>
      <c r="AN1339" s="60" t="b">
        <f t="shared" si="151"/>
        <v>0</v>
      </c>
      <c r="AO1339" s="60" t="b">
        <f t="shared" si="152"/>
        <v>0</v>
      </c>
      <c r="AP1339" s="60" t="b">
        <f t="shared" si="153"/>
        <v>0</v>
      </c>
      <c r="AQ1339" s="60" t="b">
        <f t="shared" si="154"/>
        <v>0</v>
      </c>
      <c r="AR1339" s="60" t="str">
        <f t="shared" si="155"/>
        <v>No</v>
      </c>
      <c r="AS1339" s="60" t="str">
        <f t="shared" si="156"/>
        <v>No</v>
      </c>
    </row>
    <row r="1340" spans="1:45" ht="15" hidden="1">
      <c r="A1340" s="103">
        <v>45244</v>
      </c>
      <c r="B1340" s="117" t="s">
        <v>5336</v>
      </c>
      <c r="C1340" s="28" t="s">
        <v>511</v>
      </c>
      <c r="D1340" s="28" t="s">
        <v>5337</v>
      </c>
      <c r="E1340" s="28" t="s">
        <v>5338</v>
      </c>
      <c r="F1340" s="28" t="s">
        <v>5339</v>
      </c>
      <c r="G1340" s="28" t="s">
        <v>724</v>
      </c>
      <c r="H1340" s="28" t="s">
        <v>5340</v>
      </c>
      <c r="I1340" s="28" t="s">
        <v>516</v>
      </c>
      <c r="J1340" s="28" t="s">
        <v>517</v>
      </c>
      <c r="K1340" s="28" t="s">
        <v>518</v>
      </c>
      <c r="L1340" s="28" t="s">
        <v>596</v>
      </c>
      <c r="M1340" s="28" t="s">
        <v>520</v>
      </c>
      <c r="N1340" s="28" t="s">
        <v>1430</v>
      </c>
      <c r="O1340" s="28" t="s">
        <v>557</v>
      </c>
      <c r="P1340" s="28" t="s">
        <v>544</v>
      </c>
      <c r="Q1340" s="28" t="s">
        <v>427</v>
      </c>
      <c r="R1340" s="28" t="s">
        <v>559</v>
      </c>
      <c r="S1340" s="28" t="s">
        <v>928</v>
      </c>
      <c r="T1340" s="28" t="s">
        <v>597</v>
      </c>
      <c r="U1340" s="28" t="s">
        <v>597</v>
      </c>
      <c r="V1340" s="28" t="s">
        <v>517</v>
      </c>
      <c r="W1340" s="28" t="s">
        <v>5341</v>
      </c>
      <c r="X1340" s="28" t="s">
        <v>670</v>
      </c>
      <c r="Z1340" s="118" t="s">
        <v>563</v>
      </c>
      <c r="AA1340" s="118"/>
      <c r="AB1340" s="118" t="s">
        <v>527</v>
      </c>
      <c r="AD1340" s="28" t="s">
        <v>528</v>
      </c>
      <c r="AF1340" s="117"/>
      <c r="AG1340" s="28" t="s">
        <v>529</v>
      </c>
      <c r="AK1340" s="60" t="s">
        <v>2927</v>
      </c>
      <c r="AL1340" s="117">
        <f>1/COUNTIF(Tableau6[LAT],B1340)</f>
        <v>0.33333333333333331</v>
      </c>
      <c r="AM1340" s="60" t="b">
        <f t="shared" si="150"/>
        <v>0</v>
      </c>
      <c r="AN1340" s="60" t="b">
        <f t="shared" si="151"/>
        <v>0</v>
      </c>
      <c r="AO1340" s="60" t="b">
        <f t="shared" si="152"/>
        <v>0</v>
      </c>
      <c r="AP1340" s="60" t="b">
        <f t="shared" si="153"/>
        <v>0</v>
      </c>
      <c r="AQ1340" s="60" t="b">
        <f t="shared" si="154"/>
        <v>0</v>
      </c>
      <c r="AR1340" s="60" t="str">
        <f t="shared" si="155"/>
        <v>No</v>
      </c>
      <c r="AS1340" s="60" t="str">
        <f t="shared" si="156"/>
        <v>No</v>
      </c>
    </row>
    <row r="1341" spans="1:45" ht="15" hidden="1">
      <c r="A1341" s="103">
        <v>45244</v>
      </c>
      <c r="B1341" s="117" t="s">
        <v>5336</v>
      </c>
      <c r="C1341" s="28" t="s">
        <v>548</v>
      </c>
      <c r="D1341" s="28" t="s">
        <v>5342</v>
      </c>
      <c r="E1341" s="28" t="s">
        <v>5343</v>
      </c>
      <c r="F1341" s="28" t="s">
        <v>5344</v>
      </c>
      <c r="G1341" s="28" t="s">
        <v>724</v>
      </c>
      <c r="H1341" s="28" t="s">
        <v>5340</v>
      </c>
      <c r="I1341" s="28" t="s">
        <v>516</v>
      </c>
      <c r="J1341" s="28" t="s">
        <v>517</v>
      </c>
      <c r="K1341" s="28" t="s">
        <v>518</v>
      </c>
      <c r="L1341" s="28" t="s">
        <v>596</v>
      </c>
      <c r="M1341" s="28" t="s">
        <v>520</v>
      </c>
      <c r="N1341" s="28" t="s">
        <v>1430</v>
      </c>
      <c r="O1341" s="28" t="s">
        <v>557</v>
      </c>
      <c r="P1341" s="28" t="s">
        <v>544</v>
      </c>
      <c r="Q1341" s="28" t="s">
        <v>427</v>
      </c>
      <c r="R1341" s="28" t="s">
        <v>559</v>
      </c>
      <c r="S1341" s="28" t="s">
        <v>928</v>
      </c>
      <c r="T1341" s="28" t="s">
        <v>597</v>
      </c>
      <c r="U1341" s="28" t="s">
        <v>597</v>
      </c>
      <c r="V1341" s="28" t="s">
        <v>517</v>
      </c>
      <c r="W1341" s="28" t="s">
        <v>5345</v>
      </c>
      <c r="X1341" s="28" t="s">
        <v>670</v>
      </c>
      <c r="Z1341" s="118" t="s">
        <v>563</v>
      </c>
      <c r="AA1341" s="118"/>
      <c r="AB1341" s="118" t="s">
        <v>527</v>
      </c>
      <c r="AD1341" s="28" t="s">
        <v>528</v>
      </c>
      <c r="AF1341" s="117" t="s">
        <v>5342</v>
      </c>
      <c r="AG1341" s="28" t="s">
        <v>529</v>
      </c>
      <c r="AK1341" s="60" t="s">
        <v>2927</v>
      </c>
      <c r="AL1341" s="117">
        <f>1/COUNTIF(Tableau6[LAT],B1341)</f>
        <v>0.33333333333333331</v>
      </c>
      <c r="AM1341" s="60" t="b">
        <f t="shared" si="150"/>
        <v>0</v>
      </c>
      <c r="AN1341" s="60" t="b">
        <f t="shared" si="151"/>
        <v>0</v>
      </c>
      <c r="AO1341" s="60" t="b">
        <f t="shared" si="152"/>
        <v>0</v>
      </c>
      <c r="AP1341" s="60" t="b">
        <f t="shared" si="153"/>
        <v>0</v>
      </c>
      <c r="AQ1341" s="60" t="b">
        <f t="shared" si="154"/>
        <v>0</v>
      </c>
      <c r="AR1341" s="60" t="str">
        <f t="shared" si="155"/>
        <v>No</v>
      </c>
      <c r="AS1341" s="60" t="str">
        <f t="shared" si="156"/>
        <v>No</v>
      </c>
    </row>
    <row r="1342" spans="1:45" ht="15" hidden="1">
      <c r="A1342" s="103">
        <v>45244</v>
      </c>
      <c r="B1342" s="117" t="s">
        <v>5336</v>
      </c>
      <c r="C1342" s="28" t="s">
        <v>612</v>
      </c>
      <c r="D1342" s="28" t="s">
        <v>5346</v>
      </c>
      <c r="E1342" s="28" t="s">
        <v>5347</v>
      </c>
      <c r="F1342" s="28" t="s">
        <v>5348</v>
      </c>
      <c r="G1342" s="28" t="s">
        <v>657</v>
      </c>
      <c r="H1342" s="28" t="s">
        <v>5349</v>
      </c>
      <c r="I1342" s="28" t="s">
        <v>516</v>
      </c>
      <c r="J1342" s="28" t="s">
        <v>517</v>
      </c>
      <c r="K1342" s="28" t="s">
        <v>518</v>
      </c>
      <c r="L1342" s="28" t="s">
        <v>596</v>
      </c>
      <c r="M1342" s="28" t="s">
        <v>520</v>
      </c>
      <c r="N1342" s="28" t="s">
        <v>1430</v>
      </c>
      <c r="O1342" s="28" t="s">
        <v>557</v>
      </c>
      <c r="P1342" s="28" t="s">
        <v>544</v>
      </c>
      <c r="Q1342" s="28" t="s">
        <v>427</v>
      </c>
      <c r="R1342" s="28" t="s">
        <v>559</v>
      </c>
      <c r="S1342" s="28" t="s">
        <v>928</v>
      </c>
      <c r="T1342" s="28" t="s">
        <v>597</v>
      </c>
      <c r="U1342" s="28" t="s">
        <v>597</v>
      </c>
      <c r="V1342" s="28" t="s">
        <v>517</v>
      </c>
      <c r="W1342" s="28" t="s">
        <v>5350</v>
      </c>
      <c r="X1342" s="28" t="s">
        <v>670</v>
      </c>
      <c r="Z1342" s="118" t="s">
        <v>563</v>
      </c>
      <c r="AA1342" s="118"/>
      <c r="AB1342" s="118" t="s">
        <v>527</v>
      </c>
      <c r="AF1342" s="117" t="s">
        <v>5346</v>
      </c>
      <c r="AK1342" s="60" t="s">
        <v>2927</v>
      </c>
      <c r="AL1342" s="117">
        <f>1/COUNTIF(Tableau6[LAT],B1342)</f>
        <v>0.33333333333333331</v>
      </c>
      <c r="AM1342" s="60" t="b">
        <f t="shared" si="150"/>
        <v>0</v>
      </c>
      <c r="AN1342" s="60" t="b">
        <f t="shared" si="151"/>
        <v>0</v>
      </c>
      <c r="AO1342" s="60" t="b">
        <f t="shared" si="152"/>
        <v>0</v>
      </c>
      <c r="AP1342" s="60" t="b">
        <f t="shared" si="153"/>
        <v>0</v>
      </c>
      <c r="AQ1342" s="60" t="b">
        <f t="shared" si="154"/>
        <v>0</v>
      </c>
      <c r="AR1342" s="60" t="str">
        <f t="shared" si="155"/>
        <v>No</v>
      </c>
      <c r="AS1342" s="60" t="str">
        <f t="shared" si="156"/>
        <v>No</v>
      </c>
    </row>
    <row r="1343" spans="1:45" ht="15" hidden="1">
      <c r="A1343" s="103">
        <v>45244</v>
      </c>
      <c r="B1343" s="117" t="s">
        <v>5351</v>
      </c>
      <c r="C1343" s="28" t="s">
        <v>511</v>
      </c>
      <c r="D1343" s="28" t="s">
        <v>5352</v>
      </c>
      <c r="F1343" s="28" t="s">
        <v>5353</v>
      </c>
      <c r="G1343" s="28" t="s">
        <v>514</v>
      </c>
      <c r="H1343" s="28" t="s">
        <v>2741</v>
      </c>
      <c r="I1343" s="28" t="s">
        <v>516</v>
      </c>
      <c r="J1343" s="28" t="s">
        <v>517</v>
      </c>
      <c r="K1343" s="28" t="s">
        <v>518</v>
      </c>
      <c r="L1343" s="28" t="s">
        <v>1149</v>
      </c>
      <c r="M1343" s="28" t="s">
        <v>535</v>
      </c>
      <c r="N1343" s="28" t="s">
        <v>557</v>
      </c>
      <c r="O1343" s="28" t="s">
        <v>544</v>
      </c>
      <c r="S1343" s="28" t="s">
        <v>597</v>
      </c>
      <c r="T1343" s="28" t="s">
        <v>820</v>
      </c>
      <c r="U1343" s="28" t="s">
        <v>820</v>
      </c>
      <c r="V1343" s="28" t="s">
        <v>517</v>
      </c>
      <c r="W1343" s="28" t="s">
        <v>1296</v>
      </c>
      <c r="Z1343" s="118" t="s">
        <v>563</v>
      </c>
      <c r="AA1343" s="118"/>
      <c r="AB1343" s="73" t="s">
        <v>4506</v>
      </c>
      <c r="AD1343" s="28" t="s">
        <v>528</v>
      </c>
      <c r="AF1343" s="117" t="s">
        <v>5352</v>
      </c>
      <c r="AG1343" s="28" t="s">
        <v>529</v>
      </c>
      <c r="AK1343" s="60" t="s">
        <v>2927</v>
      </c>
      <c r="AL1343" s="117">
        <f>1/COUNTIF(Tableau6[LAT],B1343)</f>
        <v>0.5</v>
      </c>
      <c r="AM1343" s="60" t="b">
        <f t="shared" si="150"/>
        <v>0</v>
      </c>
      <c r="AN1343" s="60" t="b">
        <f t="shared" si="151"/>
        <v>0</v>
      </c>
      <c r="AO1343" s="60" t="b">
        <f t="shared" si="152"/>
        <v>0</v>
      </c>
      <c r="AP1343" s="60" t="b">
        <f t="shared" si="153"/>
        <v>0</v>
      </c>
      <c r="AQ1343" s="60" t="b">
        <f t="shared" si="154"/>
        <v>0</v>
      </c>
      <c r="AR1343" s="60" t="str">
        <f t="shared" si="155"/>
        <v>No</v>
      </c>
      <c r="AS1343" s="60" t="str">
        <f t="shared" si="156"/>
        <v>No</v>
      </c>
    </row>
    <row r="1344" spans="1:45" ht="15" hidden="1">
      <c r="A1344" s="103">
        <v>45244</v>
      </c>
      <c r="B1344" s="117" t="s">
        <v>5351</v>
      </c>
      <c r="C1344" s="28" t="s">
        <v>548</v>
      </c>
      <c r="D1344" s="28" t="s">
        <v>5354</v>
      </c>
      <c r="F1344" s="28" t="s">
        <v>5353</v>
      </c>
      <c r="G1344" s="28" t="s">
        <v>514</v>
      </c>
      <c r="H1344" s="28" t="s">
        <v>2741</v>
      </c>
      <c r="I1344" s="28" t="s">
        <v>516</v>
      </c>
      <c r="J1344" s="28" t="s">
        <v>517</v>
      </c>
      <c r="K1344" s="28" t="s">
        <v>518</v>
      </c>
      <c r="L1344" s="28" t="s">
        <v>1149</v>
      </c>
      <c r="M1344" s="28" t="s">
        <v>535</v>
      </c>
      <c r="N1344" s="28" t="s">
        <v>1414</v>
      </c>
      <c r="O1344" s="28" t="s">
        <v>4006</v>
      </c>
      <c r="P1344" s="28" t="s">
        <v>1415</v>
      </c>
      <c r="Q1344" s="28" t="s">
        <v>1124</v>
      </c>
      <c r="R1344" s="28" t="s">
        <v>544</v>
      </c>
      <c r="S1344" s="28" t="s">
        <v>597</v>
      </c>
      <c r="T1344" s="28" t="s">
        <v>820</v>
      </c>
      <c r="U1344" s="28" t="s">
        <v>820</v>
      </c>
      <c r="V1344" s="28" t="s">
        <v>517</v>
      </c>
      <c r="W1344" s="28" t="s">
        <v>5355</v>
      </c>
      <c r="Z1344" s="118" t="s">
        <v>563</v>
      </c>
      <c r="AA1344" s="118"/>
      <c r="AB1344" s="73" t="s">
        <v>5356</v>
      </c>
      <c r="AF1344" s="117" t="s">
        <v>5352</v>
      </c>
      <c r="AK1344" s="60" t="s">
        <v>2927</v>
      </c>
      <c r="AL1344" s="117">
        <f>1/COUNTIF(Tableau6[LAT],B1344)</f>
        <v>0.5</v>
      </c>
      <c r="AM1344" s="60" t="str">
        <f t="shared" si="150"/>
        <v>Yes</v>
      </c>
      <c r="AN1344" s="60" t="str">
        <f t="shared" si="151"/>
        <v>Yes</v>
      </c>
      <c r="AO1344" s="60" t="str">
        <f t="shared" si="152"/>
        <v>Yes</v>
      </c>
      <c r="AP1344" s="60" t="b">
        <f t="shared" si="153"/>
        <v>0</v>
      </c>
      <c r="AQ1344" s="60" t="b">
        <f t="shared" si="154"/>
        <v>0</v>
      </c>
      <c r="AR1344" s="60" t="str">
        <f t="shared" si="155"/>
        <v>Yes</v>
      </c>
      <c r="AS1344" s="60" t="str">
        <f t="shared" si="156"/>
        <v>No</v>
      </c>
    </row>
    <row r="1345" spans="1:45" ht="15" hidden="1">
      <c r="A1345" s="103">
        <v>45244</v>
      </c>
      <c r="B1345" s="117" t="s">
        <v>5357</v>
      </c>
      <c r="C1345" s="28" t="s">
        <v>511</v>
      </c>
      <c r="D1345" s="28" t="s">
        <v>5358</v>
      </c>
      <c r="E1345" s="28" t="s">
        <v>5359</v>
      </c>
      <c r="F1345" s="28" t="s">
        <v>5360</v>
      </c>
      <c r="G1345" s="28" t="s">
        <v>5361</v>
      </c>
      <c r="H1345" s="28" t="s">
        <v>5362</v>
      </c>
      <c r="I1345" s="28" t="s">
        <v>516</v>
      </c>
      <c r="J1345" s="28" t="s">
        <v>517</v>
      </c>
      <c r="K1345" s="28" t="s">
        <v>518</v>
      </c>
      <c r="L1345" s="28" t="s">
        <v>739</v>
      </c>
      <c r="M1345" s="28" t="s">
        <v>605</v>
      </c>
      <c r="N1345" s="28" t="s">
        <v>2412</v>
      </c>
      <c r="O1345" s="28" t="s">
        <v>1637</v>
      </c>
      <c r="S1345" s="28" t="s">
        <v>803</v>
      </c>
      <c r="T1345" s="28" t="s">
        <v>741</v>
      </c>
      <c r="U1345" s="28" t="s">
        <v>741</v>
      </c>
      <c r="V1345" s="28" t="s">
        <v>517</v>
      </c>
      <c r="W1345" s="28" t="s">
        <v>5363</v>
      </c>
      <c r="X1345" s="28" t="s">
        <v>670</v>
      </c>
      <c r="Z1345" s="118" t="s">
        <v>563</v>
      </c>
      <c r="AA1345" s="118"/>
      <c r="AB1345" s="73" t="s">
        <v>4506</v>
      </c>
      <c r="AD1345" s="28" t="s">
        <v>528</v>
      </c>
      <c r="AF1345" s="117"/>
      <c r="AG1345" s="28" t="s">
        <v>563</v>
      </c>
      <c r="AK1345" s="60" t="s">
        <v>2927</v>
      </c>
      <c r="AL1345" s="117">
        <f>1/COUNTIF(Tableau6[LAT],B1345)</f>
        <v>1</v>
      </c>
      <c r="AM1345" s="60" t="b">
        <f t="shared" si="150"/>
        <v>0</v>
      </c>
      <c r="AN1345" s="60" t="b">
        <f t="shared" si="151"/>
        <v>0</v>
      </c>
      <c r="AO1345" s="60" t="b">
        <f t="shared" si="152"/>
        <v>0</v>
      </c>
      <c r="AP1345" s="60" t="b">
        <f t="shared" si="153"/>
        <v>0</v>
      </c>
      <c r="AQ1345" s="60" t="b">
        <f t="shared" si="154"/>
        <v>0</v>
      </c>
      <c r="AR1345" s="60" t="str">
        <f t="shared" si="155"/>
        <v>No</v>
      </c>
      <c r="AS1345" s="60" t="str">
        <f t="shared" si="156"/>
        <v>No</v>
      </c>
    </row>
    <row r="1346" spans="1:45" ht="15" hidden="1">
      <c r="A1346" s="103">
        <v>45244</v>
      </c>
      <c r="B1346" s="117" t="s">
        <v>5364</v>
      </c>
      <c r="C1346" s="28" t="s">
        <v>511</v>
      </c>
      <c r="D1346" s="28" t="s">
        <v>5365</v>
      </c>
      <c r="E1346" s="28" t="s">
        <v>5366</v>
      </c>
      <c r="F1346" s="28" t="s">
        <v>5367</v>
      </c>
      <c r="G1346" s="28" t="s">
        <v>1077</v>
      </c>
      <c r="H1346" s="28" t="s">
        <v>5368</v>
      </c>
      <c r="I1346" s="28" t="s">
        <v>516</v>
      </c>
      <c r="J1346" s="28" t="s">
        <v>517</v>
      </c>
      <c r="K1346" s="28" t="s">
        <v>682</v>
      </c>
      <c r="L1346" s="28" t="s">
        <v>4796</v>
      </c>
      <c r="M1346" s="28" t="s">
        <v>535</v>
      </c>
      <c r="N1346" s="28" t="s">
        <v>557</v>
      </c>
      <c r="O1346" s="28" t="s">
        <v>544</v>
      </c>
      <c r="P1346" s="28" t="s">
        <v>522</v>
      </c>
      <c r="S1346" s="28" t="s">
        <v>668</v>
      </c>
      <c r="T1346" s="28" t="s">
        <v>1150</v>
      </c>
      <c r="U1346" s="28" t="s">
        <v>1150</v>
      </c>
      <c r="V1346" s="28" t="s">
        <v>517</v>
      </c>
      <c r="W1346" s="28" t="s">
        <v>5369</v>
      </c>
      <c r="X1346" s="28" t="s">
        <v>670</v>
      </c>
      <c r="Z1346" s="118" t="s">
        <v>526</v>
      </c>
      <c r="AA1346" s="118"/>
      <c r="AB1346" s="118"/>
      <c r="AD1346" s="28" t="s">
        <v>954</v>
      </c>
      <c r="AF1346" s="117" t="s">
        <v>5365</v>
      </c>
      <c r="AG1346" s="28" t="s">
        <v>563</v>
      </c>
      <c r="AK1346" s="60" t="s">
        <v>2927</v>
      </c>
      <c r="AL1346" s="117">
        <f>1/COUNTIF(Tableau6[LAT],B1346)</f>
        <v>0.5</v>
      </c>
      <c r="AM1346" s="60" t="b">
        <f t="shared" si="150"/>
        <v>0</v>
      </c>
      <c r="AN1346" s="60" t="b">
        <f t="shared" si="151"/>
        <v>0</v>
      </c>
      <c r="AO1346" s="60" t="b">
        <f t="shared" si="152"/>
        <v>0</v>
      </c>
      <c r="AP1346" s="60" t="b">
        <f t="shared" si="153"/>
        <v>0</v>
      </c>
      <c r="AQ1346" s="60" t="b">
        <f t="shared" si="154"/>
        <v>0</v>
      </c>
      <c r="AR1346" s="60" t="str">
        <f t="shared" si="155"/>
        <v>No</v>
      </c>
      <c r="AS1346" s="60" t="str">
        <f t="shared" si="156"/>
        <v>No</v>
      </c>
    </row>
    <row r="1347" spans="1:45" ht="15" hidden="1">
      <c r="A1347" s="103">
        <v>45244</v>
      </c>
      <c r="B1347" s="117" t="s">
        <v>5370</v>
      </c>
      <c r="C1347" s="28" t="s">
        <v>511</v>
      </c>
      <c r="D1347" s="28" t="s">
        <v>5371</v>
      </c>
      <c r="F1347" s="28" t="s">
        <v>5372</v>
      </c>
      <c r="G1347" s="28" t="s">
        <v>514</v>
      </c>
      <c r="H1347" s="28" t="s">
        <v>603</v>
      </c>
      <c r="I1347" s="28" t="s">
        <v>516</v>
      </c>
      <c r="J1347" s="28" t="s">
        <v>517</v>
      </c>
      <c r="K1347" s="28" t="s">
        <v>518</v>
      </c>
      <c r="L1347" s="28" t="s">
        <v>519</v>
      </c>
      <c r="M1347" s="28" t="s">
        <v>535</v>
      </c>
      <c r="N1347" s="28" t="s">
        <v>544</v>
      </c>
      <c r="S1347" s="28" t="s">
        <v>5373</v>
      </c>
      <c r="T1347" s="28" t="s">
        <v>524</v>
      </c>
      <c r="U1347" s="28" t="s">
        <v>524</v>
      </c>
      <c r="V1347" s="28" t="s">
        <v>517</v>
      </c>
      <c r="W1347" s="28" t="s">
        <v>591</v>
      </c>
      <c r="Z1347" s="118" t="s">
        <v>526</v>
      </c>
      <c r="AA1347" s="118"/>
      <c r="AB1347" s="118"/>
      <c r="AD1347" s="28" t="s">
        <v>954</v>
      </c>
      <c r="AF1347" s="117" t="s">
        <v>5371</v>
      </c>
      <c r="AG1347" s="28" t="s">
        <v>563</v>
      </c>
      <c r="AK1347" s="60" t="s">
        <v>2927</v>
      </c>
      <c r="AL1347" s="117">
        <f>1/COUNTIF(Tableau6[LAT],B1347)</f>
        <v>0.5</v>
      </c>
      <c r="AM1347" s="60" t="b">
        <f t="shared" si="150"/>
        <v>0</v>
      </c>
      <c r="AN1347" s="60" t="b">
        <f t="shared" si="151"/>
        <v>0</v>
      </c>
      <c r="AO1347" s="60" t="b">
        <f t="shared" si="152"/>
        <v>0</v>
      </c>
      <c r="AP1347" s="60" t="b">
        <f t="shared" si="153"/>
        <v>0</v>
      </c>
      <c r="AQ1347" s="60" t="b">
        <f t="shared" si="154"/>
        <v>0</v>
      </c>
      <c r="AR1347" s="60" t="str">
        <f t="shared" si="155"/>
        <v>No</v>
      </c>
      <c r="AS1347" s="60" t="str">
        <f t="shared" si="156"/>
        <v>No</v>
      </c>
    </row>
    <row r="1348" spans="1:45" ht="15" hidden="1">
      <c r="A1348" s="103">
        <v>45244</v>
      </c>
      <c r="B1348" s="117" t="s">
        <v>5370</v>
      </c>
      <c r="C1348" s="28" t="s">
        <v>548</v>
      </c>
      <c r="D1348" s="28" t="s">
        <v>5374</v>
      </c>
      <c r="F1348" s="28" t="s">
        <v>5372</v>
      </c>
      <c r="G1348" s="28" t="s">
        <v>514</v>
      </c>
      <c r="H1348" s="28" t="s">
        <v>603</v>
      </c>
      <c r="I1348" s="28" t="s">
        <v>516</v>
      </c>
      <c r="J1348" s="28" t="s">
        <v>517</v>
      </c>
      <c r="K1348" s="28" t="s">
        <v>518</v>
      </c>
      <c r="L1348" s="28" t="s">
        <v>519</v>
      </c>
      <c r="M1348" s="28" t="s">
        <v>535</v>
      </c>
      <c r="N1348" s="28" t="s">
        <v>544</v>
      </c>
      <c r="S1348" s="28" t="s">
        <v>5373</v>
      </c>
      <c r="T1348" s="28" t="s">
        <v>524</v>
      </c>
      <c r="U1348" s="28" t="s">
        <v>524</v>
      </c>
      <c r="V1348" s="28" t="s">
        <v>517</v>
      </c>
      <c r="W1348" s="28" t="s">
        <v>5375</v>
      </c>
      <c r="Z1348" s="118" t="s">
        <v>526</v>
      </c>
      <c r="AA1348" s="118"/>
      <c r="AB1348" s="118"/>
      <c r="AD1348" s="28" t="s">
        <v>954</v>
      </c>
      <c r="AF1348" s="117" t="s">
        <v>5371</v>
      </c>
      <c r="AG1348" s="28" t="s">
        <v>563</v>
      </c>
      <c r="AK1348" s="60" t="s">
        <v>2927</v>
      </c>
      <c r="AL1348" s="117">
        <f>1/COUNTIF(Tableau6[LAT],B1348)</f>
        <v>0.5</v>
      </c>
      <c r="AM1348" s="60" t="b">
        <f t="shared" si="150"/>
        <v>0</v>
      </c>
      <c r="AN1348" s="60" t="b">
        <f t="shared" si="151"/>
        <v>0</v>
      </c>
      <c r="AO1348" s="60" t="b">
        <f t="shared" si="152"/>
        <v>0</v>
      </c>
      <c r="AP1348" s="60" t="b">
        <f t="shared" si="153"/>
        <v>0</v>
      </c>
      <c r="AQ1348" s="60" t="b">
        <f t="shared" si="154"/>
        <v>0</v>
      </c>
      <c r="AR1348" s="60" t="str">
        <f t="shared" si="155"/>
        <v>No</v>
      </c>
      <c r="AS1348" s="60" t="str">
        <f t="shared" si="156"/>
        <v>No</v>
      </c>
    </row>
    <row r="1349" spans="1:45" ht="15" hidden="1">
      <c r="A1349" s="103">
        <v>45244</v>
      </c>
      <c r="B1349" s="117" t="s">
        <v>2837</v>
      </c>
      <c r="C1349" s="28" t="s">
        <v>511</v>
      </c>
      <c r="D1349" s="28" t="s">
        <v>2841</v>
      </c>
      <c r="F1349" s="28" t="s">
        <v>5297</v>
      </c>
      <c r="G1349" s="28" t="s">
        <v>958</v>
      </c>
      <c r="H1349" s="28" t="s">
        <v>2732</v>
      </c>
      <c r="I1349" s="28" t="s">
        <v>516</v>
      </c>
      <c r="J1349" s="28" t="s">
        <v>517</v>
      </c>
      <c r="K1349" s="28" t="s">
        <v>518</v>
      </c>
      <c r="L1349" s="28" t="s">
        <v>1429</v>
      </c>
      <c r="M1349" s="28" t="s">
        <v>535</v>
      </c>
      <c r="N1349" s="28" t="s">
        <v>557</v>
      </c>
      <c r="O1349" s="28" t="s">
        <v>522</v>
      </c>
      <c r="S1349" s="28" t="s">
        <v>659</v>
      </c>
      <c r="T1349" s="28" t="s">
        <v>1431</v>
      </c>
      <c r="U1349" s="28" t="s">
        <v>1431</v>
      </c>
      <c r="V1349" s="28" t="s">
        <v>517</v>
      </c>
      <c r="W1349" s="28" t="s">
        <v>5376</v>
      </c>
      <c r="Z1349" s="118" t="s">
        <v>563</v>
      </c>
      <c r="AA1349" s="118"/>
      <c r="AB1349" s="118" t="s">
        <v>527</v>
      </c>
      <c r="AF1349" s="117" t="s">
        <v>5377</v>
      </c>
      <c r="AK1349" s="60" t="s">
        <v>2927</v>
      </c>
      <c r="AL1349" s="117">
        <f>1/COUNTIF(Tableau6[LAT],B1349)</f>
        <v>0.33333333333333331</v>
      </c>
      <c r="AM1349" s="60" t="b">
        <f t="shared" si="150"/>
        <v>0</v>
      </c>
      <c r="AN1349" s="60" t="b">
        <f t="shared" si="151"/>
        <v>0</v>
      </c>
      <c r="AO1349" s="60" t="b">
        <f t="shared" si="152"/>
        <v>0</v>
      </c>
      <c r="AP1349" s="60" t="b">
        <f t="shared" si="153"/>
        <v>0</v>
      </c>
      <c r="AQ1349" s="60" t="b">
        <f t="shared" si="154"/>
        <v>0</v>
      </c>
      <c r="AR1349" s="60" t="str">
        <f t="shared" si="155"/>
        <v>No</v>
      </c>
      <c r="AS1349" s="60" t="str">
        <f t="shared" si="156"/>
        <v>No</v>
      </c>
    </row>
    <row r="1350" spans="1:45" ht="15" hidden="1">
      <c r="A1350" s="103">
        <v>45244</v>
      </c>
      <c r="B1350" s="117" t="s">
        <v>2837</v>
      </c>
      <c r="C1350" s="28" t="s">
        <v>548</v>
      </c>
      <c r="D1350" s="28" t="s">
        <v>5377</v>
      </c>
      <c r="F1350" s="28" t="s">
        <v>5378</v>
      </c>
      <c r="G1350" s="28" t="s">
        <v>665</v>
      </c>
      <c r="H1350" s="28" t="s">
        <v>2168</v>
      </c>
      <c r="I1350" s="28" t="s">
        <v>516</v>
      </c>
      <c r="J1350" s="28" t="s">
        <v>517</v>
      </c>
      <c r="K1350" s="28" t="s">
        <v>518</v>
      </c>
      <c r="L1350" s="28" t="s">
        <v>1429</v>
      </c>
      <c r="M1350" s="28" t="s">
        <v>535</v>
      </c>
      <c r="N1350" s="28" t="s">
        <v>557</v>
      </c>
      <c r="O1350" s="28" t="s">
        <v>522</v>
      </c>
      <c r="S1350" s="28" t="s">
        <v>659</v>
      </c>
      <c r="T1350" s="28" t="s">
        <v>1431</v>
      </c>
      <c r="U1350" s="28" t="s">
        <v>1431</v>
      </c>
      <c r="V1350" s="28" t="s">
        <v>517</v>
      </c>
      <c r="W1350" s="28" t="s">
        <v>611</v>
      </c>
      <c r="Z1350" s="118" t="s">
        <v>563</v>
      </c>
      <c r="AA1350" s="118"/>
      <c r="AB1350" s="118" t="s">
        <v>527</v>
      </c>
      <c r="AF1350" s="117" t="s">
        <v>2838</v>
      </c>
      <c r="AK1350" s="60" t="s">
        <v>2927</v>
      </c>
      <c r="AL1350" s="117">
        <f>1/COUNTIF(Tableau6[LAT],B1350)</f>
        <v>0.33333333333333331</v>
      </c>
      <c r="AM1350" s="60" t="b">
        <f t="shared" si="150"/>
        <v>0</v>
      </c>
      <c r="AN1350" s="60" t="b">
        <f t="shared" si="151"/>
        <v>0</v>
      </c>
      <c r="AO1350" s="60" t="b">
        <f t="shared" si="152"/>
        <v>0</v>
      </c>
      <c r="AP1350" s="60" t="b">
        <f t="shared" si="153"/>
        <v>0</v>
      </c>
      <c r="AQ1350" s="60" t="b">
        <f t="shared" si="154"/>
        <v>0</v>
      </c>
      <c r="AR1350" s="60" t="str">
        <f t="shared" si="155"/>
        <v>No</v>
      </c>
      <c r="AS1350" s="60" t="str">
        <f t="shared" si="156"/>
        <v>No</v>
      </c>
    </row>
    <row r="1351" spans="1:45" ht="15" hidden="1">
      <c r="A1351" s="103">
        <v>45244</v>
      </c>
      <c r="B1351" s="117" t="s">
        <v>2842</v>
      </c>
      <c r="C1351" s="28" t="s">
        <v>548</v>
      </c>
      <c r="D1351" s="28" t="s">
        <v>5379</v>
      </c>
      <c r="F1351" s="28" t="s">
        <v>5380</v>
      </c>
      <c r="G1351" s="28" t="s">
        <v>514</v>
      </c>
      <c r="H1351" s="28" t="s">
        <v>2175</v>
      </c>
      <c r="I1351" s="28" t="s">
        <v>516</v>
      </c>
      <c r="J1351" s="28" t="s">
        <v>517</v>
      </c>
      <c r="K1351" s="28" t="s">
        <v>518</v>
      </c>
      <c r="L1351" s="28" t="s">
        <v>2363</v>
      </c>
      <c r="M1351" s="28" t="s">
        <v>535</v>
      </c>
      <c r="N1351" s="28" t="s">
        <v>557</v>
      </c>
      <c r="O1351" s="28" t="s">
        <v>544</v>
      </c>
      <c r="P1351" s="28" t="s">
        <v>522</v>
      </c>
      <c r="S1351" s="28" t="s">
        <v>1318</v>
      </c>
      <c r="T1351" s="28" t="s">
        <v>2364</v>
      </c>
      <c r="U1351" s="28" t="s">
        <v>2364</v>
      </c>
      <c r="V1351" s="28" t="s">
        <v>517</v>
      </c>
      <c r="W1351" s="28" t="s">
        <v>5381</v>
      </c>
      <c r="Z1351" s="118" t="s">
        <v>526</v>
      </c>
      <c r="AA1351" s="118"/>
      <c r="AB1351" s="118"/>
      <c r="AF1351" s="117" t="s">
        <v>5379</v>
      </c>
      <c r="AK1351" s="60" t="s">
        <v>2927</v>
      </c>
      <c r="AL1351" s="117">
        <f>1/COUNTIF(Tableau6[LAT],B1351)</f>
        <v>0.5</v>
      </c>
      <c r="AM1351" s="60" t="b">
        <f t="shared" si="150"/>
        <v>0</v>
      </c>
      <c r="AN1351" s="60" t="b">
        <f t="shared" si="151"/>
        <v>0</v>
      </c>
      <c r="AO1351" s="60" t="b">
        <f t="shared" si="152"/>
        <v>0</v>
      </c>
      <c r="AP1351" s="60" t="b">
        <f t="shared" si="153"/>
        <v>0</v>
      </c>
      <c r="AQ1351" s="60" t="b">
        <f t="shared" si="154"/>
        <v>0</v>
      </c>
      <c r="AR1351" s="60" t="str">
        <f t="shared" si="155"/>
        <v>No</v>
      </c>
      <c r="AS1351" s="60" t="str">
        <f t="shared" si="156"/>
        <v>No</v>
      </c>
    </row>
    <row r="1352" spans="1:45" ht="15" hidden="1">
      <c r="A1352" s="103">
        <v>45244</v>
      </c>
      <c r="B1352" s="117" t="s">
        <v>5382</v>
      </c>
      <c r="C1352" s="28" t="s">
        <v>511</v>
      </c>
      <c r="D1352" s="28" t="s">
        <v>5383</v>
      </c>
      <c r="F1352" s="28" t="s">
        <v>5384</v>
      </c>
      <c r="G1352" s="28" t="s">
        <v>665</v>
      </c>
      <c r="H1352" s="28" t="s">
        <v>1457</v>
      </c>
      <c r="I1352" s="28" t="s">
        <v>516</v>
      </c>
      <c r="J1352" s="28" t="s">
        <v>517</v>
      </c>
      <c r="K1352" s="28" t="s">
        <v>518</v>
      </c>
      <c r="L1352" s="28" t="s">
        <v>717</v>
      </c>
      <c r="M1352" s="28" t="s">
        <v>535</v>
      </c>
      <c r="N1352" s="28" t="s">
        <v>521</v>
      </c>
      <c r="O1352" s="28" t="s">
        <v>522</v>
      </c>
      <c r="S1352" s="28" t="s">
        <v>1529</v>
      </c>
      <c r="T1352" s="28" t="s">
        <v>719</v>
      </c>
      <c r="U1352" s="28" t="s">
        <v>719</v>
      </c>
      <c r="V1352" s="28" t="s">
        <v>517</v>
      </c>
      <c r="W1352" s="28" t="s">
        <v>5385</v>
      </c>
      <c r="Z1352" s="118" t="s">
        <v>526</v>
      </c>
      <c r="AA1352" s="118"/>
      <c r="AB1352" s="118"/>
      <c r="AD1352" s="28" t="s">
        <v>954</v>
      </c>
      <c r="AF1352" s="117" t="s">
        <v>5383</v>
      </c>
      <c r="AG1352" s="28" t="s">
        <v>563</v>
      </c>
      <c r="AK1352" s="60" t="s">
        <v>2927</v>
      </c>
      <c r="AL1352" s="117">
        <f>1/COUNTIF(Tableau6[LAT],B1352)</f>
        <v>0.5</v>
      </c>
      <c r="AM1352" s="60" t="b">
        <f t="shared" si="150"/>
        <v>0</v>
      </c>
      <c r="AN1352" s="60" t="b">
        <f t="shared" si="151"/>
        <v>0</v>
      </c>
      <c r="AO1352" s="60" t="b">
        <f t="shared" si="152"/>
        <v>0</v>
      </c>
      <c r="AP1352" s="60" t="b">
        <f t="shared" si="153"/>
        <v>0</v>
      </c>
      <c r="AQ1352" s="60" t="b">
        <f t="shared" si="154"/>
        <v>0</v>
      </c>
      <c r="AR1352" s="60" t="str">
        <f t="shared" si="155"/>
        <v>No</v>
      </c>
      <c r="AS1352" s="60" t="str">
        <f t="shared" si="156"/>
        <v>No</v>
      </c>
    </row>
    <row r="1353" spans="1:45" ht="15" hidden="1">
      <c r="A1353" s="103">
        <v>45244</v>
      </c>
      <c r="B1353" s="117" t="s">
        <v>5382</v>
      </c>
      <c r="C1353" s="28" t="s">
        <v>548</v>
      </c>
      <c r="D1353" s="28" t="s">
        <v>5386</v>
      </c>
      <c r="F1353" s="28" t="s">
        <v>5387</v>
      </c>
      <c r="G1353" s="28" t="s">
        <v>514</v>
      </c>
      <c r="H1353" s="28" t="s">
        <v>1822</v>
      </c>
      <c r="I1353" s="28" t="s">
        <v>516</v>
      </c>
      <c r="J1353" s="28" t="s">
        <v>517</v>
      </c>
      <c r="K1353" s="28" t="s">
        <v>518</v>
      </c>
      <c r="L1353" s="28" t="s">
        <v>717</v>
      </c>
      <c r="M1353" s="28" t="s">
        <v>535</v>
      </c>
      <c r="N1353" s="28" t="s">
        <v>1124</v>
      </c>
      <c r="S1353" s="28" t="s">
        <v>1529</v>
      </c>
      <c r="T1353" s="28" t="s">
        <v>719</v>
      </c>
      <c r="U1353" s="28" t="s">
        <v>719</v>
      </c>
      <c r="V1353" s="28" t="s">
        <v>517</v>
      </c>
      <c r="W1353" s="28" t="s">
        <v>3013</v>
      </c>
      <c r="Z1353" s="118" t="s">
        <v>526</v>
      </c>
      <c r="AA1353" s="118"/>
      <c r="AB1353" s="118"/>
      <c r="AD1353" s="28" t="s">
        <v>954</v>
      </c>
      <c r="AF1353" s="117" t="s">
        <v>5386</v>
      </c>
      <c r="AG1353" s="28" t="s">
        <v>563</v>
      </c>
      <c r="AK1353" s="60" t="s">
        <v>2927</v>
      </c>
      <c r="AL1353" s="117">
        <f>1/COUNTIF(Tableau6[LAT],B1353)</f>
        <v>0.5</v>
      </c>
      <c r="AM1353" s="60" t="b">
        <f t="shared" si="150"/>
        <v>0</v>
      </c>
      <c r="AN1353" s="60" t="b">
        <f t="shared" si="151"/>
        <v>0</v>
      </c>
      <c r="AO1353" s="60" t="b">
        <f t="shared" si="152"/>
        <v>0</v>
      </c>
      <c r="AP1353" s="60" t="b">
        <f t="shared" si="153"/>
        <v>0</v>
      </c>
      <c r="AQ1353" s="60" t="b">
        <f t="shared" si="154"/>
        <v>0</v>
      </c>
      <c r="AR1353" s="60" t="str">
        <f t="shared" si="155"/>
        <v>No</v>
      </c>
      <c r="AS1353" s="60" t="str">
        <f t="shared" si="156"/>
        <v>No</v>
      </c>
    </row>
    <row r="1354" spans="1:45" ht="15" hidden="1">
      <c r="A1354" s="103">
        <v>45244</v>
      </c>
      <c r="B1354" s="117" t="s">
        <v>5388</v>
      </c>
      <c r="C1354" s="28" t="s">
        <v>511</v>
      </c>
      <c r="D1354" s="28" t="s">
        <v>5389</v>
      </c>
      <c r="F1354" s="28" t="s">
        <v>5390</v>
      </c>
      <c r="G1354" s="28" t="s">
        <v>979</v>
      </c>
      <c r="H1354" s="28" t="s">
        <v>2985</v>
      </c>
      <c r="I1354" s="28" t="s">
        <v>516</v>
      </c>
      <c r="J1354" s="28" t="s">
        <v>517</v>
      </c>
      <c r="K1354" s="28" t="s">
        <v>518</v>
      </c>
      <c r="L1354" s="28" t="s">
        <v>3082</v>
      </c>
      <c r="M1354" s="28" t="s">
        <v>520</v>
      </c>
      <c r="N1354" s="28" t="s">
        <v>557</v>
      </c>
      <c r="O1354" s="28" t="s">
        <v>559</v>
      </c>
      <c r="S1354" s="28" t="s">
        <v>3091</v>
      </c>
      <c r="T1354" s="28" t="s">
        <v>1232</v>
      </c>
      <c r="U1354" s="28" t="s">
        <v>1232</v>
      </c>
      <c r="V1354" s="28" t="s">
        <v>517</v>
      </c>
      <c r="W1354" s="28" t="s">
        <v>3084</v>
      </c>
      <c r="Z1354" s="118" t="s">
        <v>526</v>
      </c>
      <c r="AA1354" s="118"/>
      <c r="AB1354" s="118"/>
      <c r="AD1354" s="28" t="s">
        <v>954</v>
      </c>
      <c r="AF1354" s="117" t="s">
        <v>5389</v>
      </c>
      <c r="AG1354" s="28" t="s">
        <v>563</v>
      </c>
      <c r="AK1354" s="60" t="s">
        <v>2927</v>
      </c>
      <c r="AL1354" s="117">
        <f>1/COUNTIF(Tableau6[LAT],B1354)</f>
        <v>1</v>
      </c>
      <c r="AM1354" s="60" t="b">
        <f t="shared" si="150"/>
        <v>0</v>
      </c>
      <c r="AN1354" s="60" t="b">
        <f t="shared" si="151"/>
        <v>0</v>
      </c>
      <c r="AO1354" s="60" t="b">
        <f t="shared" si="152"/>
        <v>0</v>
      </c>
      <c r="AP1354" s="60" t="b">
        <f t="shared" si="153"/>
        <v>0</v>
      </c>
      <c r="AQ1354" s="60" t="b">
        <f t="shared" si="154"/>
        <v>0</v>
      </c>
      <c r="AR1354" s="60" t="str">
        <f t="shared" si="155"/>
        <v>No</v>
      </c>
      <c r="AS1354" s="60" t="str">
        <f t="shared" si="156"/>
        <v>No</v>
      </c>
    </row>
    <row r="1355" spans="1:45" ht="15" hidden="1">
      <c r="A1355" s="103">
        <v>45244</v>
      </c>
      <c r="B1355" s="117" t="s">
        <v>5391</v>
      </c>
      <c r="C1355" s="28" t="s">
        <v>511</v>
      </c>
      <c r="D1355" s="28" t="s">
        <v>5392</v>
      </c>
      <c r="F1355" s="28" t="s">
        <v>2550</v>
      </c>
      <c r="G1355" s="28" t="s">
        <v>4911</v>
      </c>
      <c r="H1355" s="28" t="s">
        <v>1372</v>
      </c>
      <c r="I1355" s="28" t="s">
        <v>516</v>
      </c>
      <c r="J1355" s="28" t="s">
        <v>517</v>
      </c>
      <c r="K1355" s="28" t="s">
        <v>518</v>
      </c>
      <c r="L1355" s="28" t="s">
        <v>3082</v>
      </c>
      <c r="M1355" s="28" t="s">
        <v>520</v>
      </c>
      <c r="N1355" s="28" t="s">
        <v>557</v>
      </c>
      <c r="O1355" s="28" t="s">
        <v>559</v>
      </c>
      <c r="S1355" s="28" t="s">
        <v>3091</v>
      </c>
      <c r="T1355" s="28" t="s">
        <v>1232</v>
      </c>
      <c r="U1355" s="28" t="s">
        <v>1232</v>
      </c>
      <c r="V1355" s="28" t="s">
        <v>517</v>
      </c>
      <c r="W1355" s="28" t="s">
        <v>3084</v>
      </c>
      <c r="Z1355" s="118" t="s">
        <v>526</v>
      </c>
      <c r="AA1355" s="118"/>
      <c r="AB1355" s="118"/>
      <c r="AD1355" s="28" t="s">
        <v>954</v>
      </c>
      <c r="AF1355" s="117" t="s">
        <v>5392</v>
      </c>
      <c r="AG1355" s="28" t="s">
        <v>563</v>
      </c>
      <c r="AK1355" s="60" t="s">
        <v>2927</v>
      </c>
      <c r="AL1355" s="117">
        <f>1/COUNTIF(Tableau6[LAT],B1355)</f>
        <v>1</v>
      </c>
      <c r="AM1355" s="60" t="b">
        <f t="shared" si="150"/>
        <v>0</v>
      </c>
      <c r="AN1355" s="60" t="b">
        <f t="shared" si="151"/>
        <v>0</v>
      </c>
      <c r="AO1355" s="60" t="b">
        <f t="shared" si="152"/>
        <v>0</v>
      </c>
      <c r="AP1355" s="60" t="b">
        <f t="shared" si="153"/>
        <v>0</v>
      </c>
      <c r="AQ1355" s="60" t="b">
        <f t="shared" si="154"/>
        <v>0</v>
      </c>
      <c r="AR1355" s="60" t="str">
        <f t="shared" si="155"/>
        <v>No</v>
      </c>
      <c r="AS1355" s="60" t="str">
        <f t="shared" si="156"/>
        <v>No</v>
      </c>
    </row>
    <row r="1356" spans="1:45" ht="15" hidden="1">
      <c r="A1356" s="103">
        <v>45244</v>
      </c>
      <c r="B1356" s="117" t="s">
        <v>5393</v>
      </c>
      <c r="C1356" s="28" t="s">
        <v>511</v>
      </c>
      <c r="D1356" s="28" t="s">
        <v>5394</v>
      </c>
      <c r="F1356" s="28" t="s">
        <v>5395</v>
      </c>
      <c r="G1356" s="28" t="s">
        <v>1163</v>
      </c>
      <c r="H1356" s="28" t="s">
        <v>1051</v>
      </c>
      <c r="I1356" s="28" t="s">
        <v>516</v>
      </c>
      <c r="J1356" s="28" t="s">
        <v>517</v>
      </c>
      <c r="K1356" s="28" t="s">
        <v>518</v>
      </c>
      <c r="L1356" s="28" t="s">
        <v>2951</v>
      </c>
      <c r="M1356" s="28" t="s">
        <v>520</v>
      </c>
      <c r="N1356" s="28" t="s">
        <v>557</v>
      </c>
      <c r="O1356" s="28" t="s">
        <v>559</v>
      </c>
      <c r="S1356" s="28" t="s">
        <v>659</v>
      </c>
      <c r="T1356" s="28" t="s">
        <v>1263</v>
      </c>
      <c r="U1356" s="28" t="s">
        <v>1263</v>
      </c>
      <c r="V1356" s="28" t="s">
        <v>517</v>
      </c>
      <c r="W1356" s="28" t="s">
        <v>2952</v>
      </c>
      <c r="Z1356" s="118" t="s">
        <v>526</v>
      </c>
      <c r="AA1356" s="118"/>
      <c r="AB1356" s="118"/>
      <c r="AD1356" s="28" t="s">
        <v>954</v>
      </c>
      <c r="AF1356" s="117" t="s">
        <v>5394</v>
      </c>
      <c r="AG1356" s="28" t="s">
        <v>563</v>
      </c>
      <c r="AK1356" s="60" t="s">
        <v>2927</v>
      </c>
      <c r="AL1356" s="117">
        <f>1/COUNTIF(Tableau6[LAT],B1356)</f>
        <v>1</v>
      </c>
      <c r="AM1356" s="60" t="b">
        <f t="shared" si="150"/>
        <v>0</v>
      </c>
      <c r="AN1356" s="60" t="b">
        <f t="shared" si="151"/>
        <v>0</v>
      </c>
      <c r="AO1356" s="60" t="b">
        <f t="shared" si="152"/>
        <v>0</v>
      </c>
      <c r="AP1356" s="60" t="b">
        <f t="shared" si="153"/>
        <v>0</v>
      </c>
      <c r="AQ1356" s="60" t="b">
        <f t="shared" si="154"/>
        <v>0</v>
      </c>
      <c r="AR1356" s="60" t="str">
        <f t="shared" si="155"/>
        <v>No</v>
      </c>
      <c r="AS1356" s="60" t="str">
        <f t="shared" si="156"/>
        <v>No</v>
      </c>
    </row>
    <row r="1357" spans="1:45" ht="15" hidden="1">
      <c r="A1357" s="103">
        <v>45244</v>
      </c>
      <c r="B1357" s="117" t="s">
        <v>5396</v>
      </c>
      <c r="C1357" s="28" t="s">
        <v>511</v>
      </c>
      <c r="D1357" s="28" t="s">
        <v>5397</v>
      </c>
      <c r="F1357" s="28" t="s">
        <v>3098</v>
      </c>
      <c r="G1357" s="28" t="s">
        <v>514</v>
      </c>
      <c r="H1357" s="28" t="s">
        <v>4438</v>
      </c>
      <c r="I1357" s="28" t="s">
        <v>516</v>
      </c>
      <c r="J1357" s="28" t="s">
        <v>517</v>
      </c>
      <c r="K1357" s="28" t="s">
        <v>518</v>
      </c>
      <c r="L1357" s="28" t="s">
        <v>2951</v>
      </c>
      <c r="M1357" s="28" t="s">
        <v>520</v>
      </c>
      <c r="N1357" s="28" t="s">
        <v>557</v>
      </c>
      <c r="O1357" s="28" t="s">
        <v>522</v>
      </c>
      <c r="S1357" s="28" t="s">
        <v>659</v>
      </c>
      <c r="T1357" s="28" t="s">
        <v>1263</v>
      </c>
      <c r="U1357" s="28" t="s">
        <v>1263</v>
      </c>
      <c r="V1357" s="28" t="s">
        <v>517</v>
      </c>
      <c r="W1357" s="28" t="s">
        <v>2952</v>
      </c>
      <c r="Z1357" s="118" t="s">
        <v>563</v>
      </c>
      <c r="AA1357" s="118"/>
      <c r="AB1357" s="118" t="s">
        <v>527</v>
      </c>
      <c r="AD1357" s="28" t="s">
        <v>954</v>
      </c>
      <c r="AF1357" s="117" t="s">
        <v>5397</v>
      </c>
      <c r="AG1357" s="28" t="s">
        <v>563</v>
      </c>
      <c r="AK1357" s="60" t="s">
        <v>2927</v>
      </c>
      <c r="AL1357" s="117">
        <f>1/COUNTIF(Tableau6[LAT],B1357)</f>
        <v>1</v>
      </c>
      <c r="AM1357" s="60" t="b">
        <f t="shared" si="150"/>
        <v>0</v>
      </c>
      <c r="AN1357" s="60" t="b">
        <f t="shared" si="151"/>
        <v>0</v>
      </c>
      <c r="AO1357" s="60" t="b">
        <f t="shared" si="152"/>
        <v>0</v>
      </c>
      <c r="AP1357" s="60" t="b">
        <f t="shared" si="153"/>
        <v>0</v>
      </c>
      <c r="AQ1357" s="60" t="b">
        <f t="shared" si="154"/>
        <v>0</v>
      </c>
      <c r="AR1357" s="60" t="str">
        <f t="shared" si="155"/>
        <v>No</v>
      </c>
      <c r="AS1357" s="60" t="str">
        <f t="shared" si="156"/>
        <v>No</v>
      </c>
    </row>
    <row r="1358" spans="1:45" ht="15" hidden="1">
      <c r="A1358" s="103">
        <v>45244</v>
      </c>
      <c r="B1358" s="117" t="s">
        <v>2864</v>
      </c>
      <c r="C1358" s="28" t="s">
        <v>548</v>
      </c>
      <c r="D1358" s="28" t="s">
        <v>5398</v>
      </c>
      <c r="F1358" s="28" t="s">
        <v>5399</v>
      </c>
      <c r="G1358" s="28" t="s">
        <v>514</v>
      </c>
      <c r="H1358" s="28" t="s">
        <v>624</v>
      </c>
      <c r="I1358" s="28" t="s">
        <v>516</v>
      </c>
      <c r="J1358" s="28" t="s">
        <v>517</v>
      </c>
      <c r="K1358" s="28" t="s">
        <v>518</v>
      </c>
      <c r="L1358" s="28" t="s">
        <v>1032</v>
      </c>
      <c r="M1358" s="28" t="s">
        <v>520</v>
      </c>
      <c r="N1358" s="28" t="s">
        <v>1430</v>
      </c>
      <c r="O1358" s="28" t="s">
        <v>544</v>
      </c>
      <c r="P1358" s="28" t="s">
        <v>559</v>
      </c>
      <c r="S1358" s="28" t="s">
        <v>928</v>
      </c>
      <c r="T1358" s="28" t="s">
        <v>545</v>
      </c>
      <c r="U1358" s="28" t="s">
        <v>545</v>
      </c>
      <c r="V1358" s="28" t="s">
        <v>517</v>
      </c>
      <c r="W1358" s="28" t="s">
        <v>5400</v>
      </c>
      <c r="Z1358" s="118" t="s">
        <v>563</v>
      </c>
      <c r="AA1358" s="118"/>
      <c r="AB1358" s="118" t="s">
        <v>527</v>
      </c>
      <c r="AF1358" s="117" t="s">
        <v>2871</v>
      </c>
      <c r="AK1358" s="60" t="s">
        <v>2927</v>
      </c>
      <c r="AL1358" s="117">
        <f>1/COUNTIF(Tableau6[LAT],B1358)</f>
        <v>0.2</v>
      </c>
      <c r="AM1358" s="60" t="b">
        <f t="shared" si="150"/>
        <v>0</v>
      </c>
      <c r="AN1358" s="60" t="b">
        <f t="shared" si="151"/>
        <v>0</v>
      </c>
      <c r="AO1358" s="60" t="b">
        <f t="shared" si="152"/>
        <v>0</v>
      </c>
      <c r="AP1358" s="60" t="b">
        <f t="shared" si="153"/>
        <v>0</v>
      </c>
      <c r="AQ1358" s="60" t="b">
        <f t="shared" si="154"/>
        <v>0</v>
      </c>
      <c r="AR1358" s="60" t="str">
        <f t="shared" si="155"/>
        <v>No</v>
      </c>
      <c r="AS1358" s="60" t="str">
        <f t="shared" si="156"/>
        <v>No</v>
      </c>
    </row>
    <row r="1359" spans="1:45" ht="15" hidden="1">
      <c r="A1359" s="103">
        <v>45244</v>
      </c>
      <c r="B1359" s="117" t="s">
        <v>5401</v>
      </c>
      <c r="C1359" s="28" t="s">
        <v>511</v>
      </c>
      <c r="D1359" s="28" t="s">
        <v>5402</v>
      </c>
      <c r="F1359" s="28" t="s">
        <v>1969</v>
      </c>
      <c r="G1359" s="28" t="s">
        <v>514</v>
      </c>
      <c r="H1359" s="28" t="s">
        <v>1732</v>
      </c>
      <c r="I1359" s="28" t="s">
        <v>516</v>
      </c>
      <c r="J1359" s="28" t="s">
        <v>517</v>
      </c>
      <c r="K1359" s="28" t="s">
        <v>518</v>
      </c>
      <c r="L1359" s="28" t="s">
        <v>801</v>
      </c>
      <c r="M1359" s="28" t="s">
        <v>520</v>
      </c>
      <c r="N1359" s="28" t="s">
        <v>521</v>
      </c>
      <c r="O1359" s="28" t="s">
        <v>559</v>
      </c>
      <c r="S1359" s="28" t="s">
        <v>3949</v>
      </c>
      <c r="T1359" s="28" t="s">
        <v>803</v>
      </c>
      <c r="U1359" s="28" t="s">
        <v>803</v>
      </c>
      <c r="V1359" s="28" t="s">
        <v>517</v>
      </c>
      <c r="W1359" s="28" t="s">
        <v>1450</v>
      </c>
      <c r="Z1359" s="118" t="s">
        <v>526</v>
      </c>
      <c r="AA1359" s="118"/>
      <c r="AB1359" s="118"/>
      <c r="AD1359" s="28" t="s">
        <v>954</v>
      </c>
      <c r="AF1359" s="117" t="s">
        <v>5402</v>
      </c>
      <c r="AG1359" s="28" t="s">
        <v>563</v>
      </c>
      <c r="AK1359" s="60" t="s">
        <v>2927</v>
      </c>
      <c r="AL1359" s="117">
        <f>1/COUNTIF(Tableau6[LAT],B1359)</f>
        <v>0.5</v>
      </c>
      <c r="AM1359" s="60" t="b">
        <f t="shared" si="150"/>
        <v>0</v>
      </c>
      <c r="AN1359" s="60" t="b">
        <f t="shared" si="151"/>
        <v>0</v>
      </c>
      <c r="AO1359" s="60" t="b">
        <f t="shared" si="152"/>
        <v>0</v>
      </c>
      <c r="AP1359" s="60" t="b">
        <f t="shared" si="153"/>
        <v>0</v>
      </c>
      <c r="AQ1359" s="60" t="b">
        <f t="shared" si="154"/>
        <v>0</v>
      </c>
      <c r="AR1359" s="60" t="str">
        <f t="shared" si="155"/>
        <v>No</v>
      </c>
      <c r="AS1359" s="60" t="str">
        <f t="shared" si="156"/>
        <v>No</v>
      </c>
    </row>
    <row r="1360" spans="1:45" ht="15" hidden="1">
      <c r="A1360" s="103">
        <v>45244</v>
      </c>
      <c r="B1360" s="117" t="s">
        <v>5401</v>
      </c>
      <c r="C1360" s="28" t="s">
        <v>548</v>
      </c>
      <c r="D1360" s="28" t="s">
        <v>5403</v>
      </c>
      <c r="F1360" s="28" t="s">
        <v>1969</v>
      </c>
      <c r="G1360" s="28" t="s">
        <v>514</v>
      </c>
      <c r="H1360" s="28" t="s">
        <v>1735</v>
      </c>
      <c r="I1360" s="28" t="s">
        <v>516</v>
      </c>
      <c r="J1360" s="28" t="s">
        <v>517</v>
      </c>
      <c r="K1360" s="28" t="s">
        <v>518</v>
      </c>
      <c r="L1360" s="28" t="s">
        <v>801</v>
      </c>
      <c r="M1360" s="28" t="s">
        <v>520</v>
      </c>
      <c r="N1360" s="28" t="s">
        <v>521</v>
      </c>
      <c r="O1360" s="28" t="s">
        <v>559</v>
      </c>
      <c r="S1360" s="28" t="s">
        <v>3949</v>
      </c>
      <c r="T1360" s="28" t="s">
        <v>803</v>
      </c>
      <c r="U1360" s="28" t="s">
        <v>803</v>
      </c>
      <c r="V1360" s="28" t="s">
        <v>517</v>
      </c>
      <c r="W1360" s="28" t="s">
        <v>5404</v>
      </c>
      <c r="Z1360" s="118" t="s">
        <v>526</v>
      </c>
      <c r="AA1360" s="118"/>
      <c r="AB1360" s="118"/>
      <c r="AD1360" s="28" t="s">
        <v>954</v>
      </c>
      <c r="AF1360" s="117" t="s">
        <v>5402</v>
      </c>
      <c r="AG1360" s="28" t="s">
        <v>563</v>
      </c>
      <c r="AK1360" s="60" t="s">
        <v>2927</v>
      </c>
      <c r="AL1360" s="117">
        <f>1/COUNTIF(Tableau6[LAT],B1360)</f>
        <v>0.5</v>
      </c>
      <c r="AM1360" s="60" t="b">
        <f t="shared" si="150"/>
        <v>0</v>
      </c>
      <c r="AN1360" s="60" t="b">
        <f t="shared" si="151"/>
        <v>0</v>
      </c>
      <c r="AO1360" s="60" t="b">
        <f t="shared" si="152"/>
        <v>0</v>
      </c>
      <c r="AP1360" s="60" t="b">
        <f t="shared" si="153"/>
        <v>0</v>
      </c>
      <c r="AQ1360" s="60" t="b">
        <f t="shared" si="154"/>
        <v>0</v>
      </c>
      <c r="AR1360" s="60" t="str">
        <f t="shared" si="155"/>
        <v>No</v>
      </c>
      <c r="AS1360" s="60" t="str">
        <f t="shared" si="156"/>
        <v>No</v>
      </c>
    </row>
    <row r="1361" spans="1:45" ht="15" hidden="1">
      <c r="A1361" s="103">
        <v>45244</v>
      </c>
      <c r="B1361" s="117" t="s">
        <v>5405</v>
      </c>
      <c r="C1361" s="28" t="s">
        <v>511</v>
      </c>
      <c r="D1361" s="28" t="s">
        <v>5406</v>
      </c>
      <c r="E1361" s="28" t="s">
        <v>5407</v>
      </c>
      <c r="F1361" s="28" t="s">
        <v>5408</v>
      </c>
      <c r="G1361" s="28" t="s">
        <v>1163</v>
      </c>
      <c r="H1361" s="28" t="s">
        <v>5409</v>
      </c>
      <c r="I1361" s="28" t="s">
        <v>516</v>
      </c>
      <c r="J1361" s="28" t="s">
        <v>517</v>
      </c>
      <c r="K1361" s="28" t="s">
        <v>518</v>
      </c>
      <c r="L1361" s="28" t="s">
        <v>801</v>
      </c>
      <c r="M1361" s="28" t="s">
        <v>1374</v>
      </c>
      <c r="N1361" s="28" t="s">
        <v>521</v>
      </c>
      <c r="O1361" s="28" t="s">
        <v>544</v>
      </c>
      <c r="P1361" s="28" t="s">
        <v>522</v>
      </c>
      <c r="S1361" s="28" t="s">
        <v>718</v>
      </c>
      <c r="T1361" s="28" t="s">
        <v>803</v>
      </c>
      <c r="U1361" s="28" t="s">
        <v>803</v>
      </c>
      <c r="V1361" s="28" t="s">
        <v>517</v>
      </c>
      <c r="W1361" s="28" t="s">
        <v>5410</v>
      </c>
      <c r="X1361" s="28" t="s">
        <v>670</v>
      </c>
      <c r="Z1361" s="118" t="s">
        <v>526</v>
      </c>
      <c r="AA1361" s="118"/>
      <c r="AB1361" s="118"/>
      <c r="AD1361" s="28" t="s">
        <v>954</v>
      </c>
      <c r="AF1361" s="117" t="s">
        <v>5406</v>
      </c>
      <c r="AG1361" s="28" t="s">
        <v>563</v>
      </c>
      <c r="AK1361" s="60" t="s">
        <v>2927</v>
      </c>
      <c r="AL1361" s="117">
        <f>1/COUNTIF(Tableau6[LAT],B1361)</f>
        <v>1</v>
      </c>
      <c r="AM1361" s="60" t="b">
        <f t="shared" si="150"/>
        <v>0</v>
      </c>
      <c r="AN1361" s="60" t="b">
        <f t="shared" si="151"/>
        <v>0</v>
      </c>
      <c r="AO1361" s="60" t="b">
        <f t="shared" si="152"/>
        <v>0</v>
      </c>
      <c r="AP1361" s="60" t="b">
        <f t="shared" si="153"/>
        <v>0</v>
      </c>
      <c r="AQ1361" s="60" t="b">
        <f t="shared" si="154"/>
        <v>0</v>
      </c>
      <c r="AR1361" s="60" t="str">
        <f t="shared" si="155"/>
        <v>No</v>
      </c>
      <c r="AS1361" s="60" t="str">
        <f t="shared" si="156"/>
        <v>No</v>
      </c>
    </row>
    <row r="1362" spans="1:45" ht="15" hidden="1">
      <c r="A1362" s="103">
        <v>45244</v>
      </c>
      <c r="B1362" s="117" t="s">
        <v>5411</v>
      </c>
      <c r="C1362" s="28" t="s">
        <v>511</v>
      </c>
      <c r="D1362" s="28" t="s">
        <v>5412</v>
      </c>
      <c r="F1362" s="28" t="s">
        <v>4175</v>
      </c>
      <c r="G1362" s="28" t="s">
        <v>514</v>
      </c>
      <c r="H1362" s="28" t="s">
        <v>952</v>
      </c>
      <c r="I1362" s="28" t="s">
        <v>516</v>
      </c>
      <c r="J1362" s="28" t="s">
        <v>517</v>
      </c>
      <c r="K1362" s="28" t="s">
        <v>518</v>
      </c>
      <c r="L1362" s="28" t="s">
        <v>3639</v>
      </c>
      <c r="M1362" s="28" t="s">
        <v>535</v>
      </c>
      <c r="N1362" s="28" t="s">
        <v>1382</v>
      </c>
      <c r="O1362" s="28" t="s">
        <v>1383</v>
      </c>
      <c r="P1362" s="28" t="s">
        <v>521</v>
      </c>
      <c r="Q1362" s="28" t="s">
        <v>522</v>
      </c>
      <c r="S1362" s="28" t="s">
        <v>2199</v>
      </c>
      <c r="T1362" s="28" t="s">
        <v>3640</v>
      </c>
      <c r="U1362" s="28" t="s">
        <v>3640</v>
      </c>
      <c r="V1362" s="28" t="s">
        <v>517</v>
      </c>
      <c r="W1362" s="28" t="s">
        <v>5413</v>
      </c>
      <c r="Z1362" s="118" t="s">
        <v>563</v>
      </c>
      <c r="AA1362" s="118"/>
      <c r="AB1362" s="118" t="s">
        <v>527</v>
      </c>
      <c r="AD1362" s="28" t="s">
        <v>528</v>
      </c>
      <c r="AF1362" s="117" t="s">
        <v>5412</v>
      </c>
      <c r="AG1362" s="28" t="s">
        <v>529</v>
      </c>
      <c r="AK1362" s="60" t="s">
        <v>2927</v>
      </c>
      <c r="AL1362" s="117">
        <f>1/COUNTIF(Tableau6[LAT],B1362)</f>
        <v>1</v>
      </c>
      <c r="AM1362" s="60" t="b">
        <f t="shared" si="150"/>
        <v>0</v>
      </c>
      <c r="AN1362" s="60" t="b">
        <f t="shared" si="151"/>
        <v>0</v>
      </c>
      <c r="AO1362" s="60" t="b">
        <f t="shared" si="152"/>
        <v>0</v>
      </c>
      <c r="AP1362" s="60" t="b">
        <f t="shared" si="153"/>
        <v>0</v>
      </c>
      <c r="AQ1362" s="60" t="b">
        <f t="shared" si="154"/>
        <v>0</v>
      </c>
      <c r="AR1362" s="60" t="str">
        <f t="shared" si="155"/>
        <v>No</v>
      </c>
      <c r="AS1362" s="60" t="str">
        <f t="shared" si="156"/>
        <v>No</v>
      </c>
    </row>
    <row r="1363" spans="1:45" ht="15" hidden="1">
      <c r="A1363" s="103">
        <v>45244</v>
      </c>
      <c r="B1363" s="117" t="s">
        <v>5414</v>
      </c>
      <c r="C1363" s="28" t="s">
        <v>511</v>
      </c>
      <c r="D1363" s="28" t="s">
        <v>5415</v>
      </c>
      <c r="F1363" s="28" t="s">
        <v>5416</v>
      </c>
      <c r="G1363" s="28" t="s">
        <v>514</v>
      </c>
      <c r="H1363" s="28" t="s">
        <v>1996</v>
      </c>
      <c r="I1363" s="28" t="s">
        <v>516</v>
      </c>
      <c r="J1363" s="28" t="s">
        <v>517</v>
      </c>
      <c r="K1363" s="28" t="s">
        <v>518</v>
      </c>
      <c r="L1363" s="28" t="s">
        <v>588</v>
      </c>
      <c r="M1363" s="28" t="s">
        <v>605</v>
      </c>
      <c r="N1363" s="28" t="s">
        <v>544</v>
      </c>
      <c r="S1363" s="28" t="s">
        <v>5417</v>
      </c>
      <c r="T1363" s="28" t="s">
        <v>590</v>
      </c>
      <c r="U1363" s="28" t="s">
        <v>590</v>
      </c>
      <c r="V1363" s="28" t="s">
        <v>517</v>
      </c>
      <c r="W1363" s="28" t="s">
        <v>5418</v>
      </c>
      <c r="Z1363" s="118" t="s">
        <v>563</v>
      </c>
      <c r="AA1363" s="118"/>
      <c r="AB1363" s="118" t="s">
        <v>527</v>
      </c>
      <c r="AD1363" s="28" t="s">
        <v>528</v>
      </c>
      <c r="AF1363" s="117" t="s">
        <v>5415</v>
      </c>
      <c r="AG1363" s="28" t="s">
        <v>529</v>
      </c>
      <c r="AK1363" s="60" t="s">
        <v>2927</v>
      </c>
      <c r="AL1363" s="117">
        <f>1/COUNTIF(Tableau6[LAT],B1363)</f>
        <v>0.33333333333333331</v>
      </c>
      <c r="AM1363" s="60" t="b">
        <f t="shared" si="150"/>
        <v>0</v>
      </c>
      <c r="AN1363" s="60" t="b">
        <f t="shared" si="151"/>
        <v>0</v>
      </c>
      <c r="AO1363" s="60" t="b">
        <f t="shared" si="152"/>
        <v>0</v>
      </c>
      <c r="AP1363" s="60" t="b">
        <f t="shared" si="153"/>
        <v>0</v>
      </c>
      <c r="AQ1363" s="60" t="b">
        <f t="shared" si="154"/>
        <v>0</v>
      </c>
      <c r="AR1363" s="60" t="str">
        <f t="shared" si="155"/>
        <v>No</v>
      </c>
      <c r="AS1363" s="60" t="str">
        <f t="shared" si="156"/>
        <v>No</v>
      </c>
    </row>
    <row r="1364" spans="1:45" ht="15" hidden="1">
      <c r="A1364" s="103">
        <v>45244</v>
      </c>
      <c r="B1364" s="117" t="s">
        <v>5414</v>
      </c>
      <c r="C1364" s="28" t="s">
        <v>548</v>
      </c>
      <c r="D1364" s="28" t="s">
        <v>5419</v>
      </c>
      <c r="F1364" s="28" t="s">
        <v>5416</v>
      </c>
      <c r="G1364" s="28" t="s">
        <v>514</v>
      </c>
      <c r="H1364" s="28" t="s">
        <v>1996</v>
      </c>
      <c r="I1364" s="28" t="s">
        <v>516</v>
      </c>
      <c r="J1364" s="28" t="s">
        <v>517</v>
      </c>
      <c r="K1364" s="28" t="s">
        <v>518</v>
      </c>
      <c r="L1364" s="28" t="s">
        <v>588</v>
      </c>
      <c r="M1364" s="28" t="s">
        <v>605</v>
      </c>
      <c r="N1364" s="28" t="s">
        <v>544</v>
      </c>
      <c r="S1364" s="28" t="s">
        <v>5417</v>
      </c>
      <c r="T1364" s="28" t="s">
        <v>590</v>
      </c>
      <c r="U1364" s="28" t="s">
        <v>590</v>
      </c>
      <c r="V1364" s="28" t="s">
        <v>517</v>
      </c>
      <c r="W1364" s="28" t="s">
        <v>5420</v>
      </c>
      <c r="Z1364" s="118" t="s">
        <v>563</v>
      </c>
      <c r="AA1364" s="118"/>
      <c r="AB1364" s="118" t="s">
        <v>527</v>
      </c>
      <c r="AD1364" s="28" t="s">
        <v>528</v>
      </c>
      <c r="AF1364" s="117" t="s">
        <v>5415</v>
      </c>
      <c r="AG1364" s="28" t="s">
        <v>529</v>
      </c>
      <c r="AK1364" s="60" t="s">
        <v>2927</v>
      </c>
      <c r="AL1364" s="117">
        <f>1/COUNTIF(Tableau6[LAT],B1364)</f>
        <v>0.33333333333333331</v>
      </c>
      <c r="AM1364" s="60" t="b">
        <f t="shared" si="150"/>
        <v>0</v>
      </c>
      <c r="AN1364" s="60" t="b">
        <f t="shared" si="151"/>
        <v>0</v>
      </c>
      <c r="AO1364" s="60" t="b">
        <f t="shared" si="152"/>
        <v>0</v>
      </c>
      <c r="AP1364" s="60" t="b">
        <f t="shared" si="153"/>
        <v>0</v>
      </c>
      <c r="AQ1364" s="60" t="b">
        <f t="shared" si="154"/>
        <v>0</v>
      </c>
      <c r="AR1364" s="60" t="str">
        <f t="shared" si="155"/>
        <v>No</v>
      </c>
      <c r="AS1364" s="60" t="str">
        <f t="shared" si="156"/>
        <v>No</v>
      </c>
    </row>
    <row r="1365" spans="1:45" ht="15" hidden="1">
      <c r="A1365" s="103">
        <v>45244</v>
      </c>
      <c r="B1365" s="117" t="s">
        <v>5414</v>
      </c>
      <c r="C1365" s="28" t="s">
        <v>612</v>
      </c>
      <c r="D1365" s="28" t="s">
        <v>5421</v>
      </c>
      <c r="F1365" s="28" t="s">
        <v>5416</v>
      </c>
      <c r="G1365" s="28" t="s">
        <v>514</v>
      </c>
      <c r="H1365" s="28" t="s">
        <v>4738</v>
      </c>
      <c r="I1365" s="28" t="s">
        <v>516</v>
      </c>
      <c r="J1365" s="28" t="s">
        <v>517</v>
      </c>
      <c r="K1365" s="28" t="s">
        <v>518</v>
      </c>
      <c r="L1365" s="28" t="s">
        <v>588</v>
      </c>
      <c r="M1365" s="28" t="s">
        <v>605</v>
      </c>
      <c r="N1365" s="28" t="s">
        <v>544</v>
      </c>
      <c r="S1365" s="28" t="s">
        <v>5417</v>
      </c>
      <c r="T1365" s="28" t="s">
        <v>590</v>
      </c>
      <c r="U1365" s="28" t="s">
        <v>590</v>
      </c>
      <c r="V1365" s="28" t="s">
        <v>517</v>
      </c>
      <c r="W1365" s="28" t="s">
        <v>5422</v>
      </c>
      <c r="Z1365" s="118" t="s">
        <v>563</v>
      </c>
      <c r="AA1365" s="118"/>
      <c r="AB1365" s="118" t="s">
        <v>527</v>
      </c>
      <c r="AD1365" s="28" t="s">
        <v>528</v>
      </c>
      <c r="AF1365" s="117" t="s">
        <v>5415</v>
      </c>
      <c r="AG1365" s="28" t="s">
        <v>529</v>
      </c>
      <c r="AK1365" s="60" t="s">
        <v>2927</v>
      </c>
      <c r="AL1365" s="117">
        <f>1/COUNTIF(Tableau6[LAT],B1365)</f>
        <v>0.33333333333333331</v>
      </c>
      <c r="AM1365" s="60" t="b">
        <f t="shared" si="150"/>
        <v>0</v>
      </c>
      <c r="AN1365" s="60" t="b">
        <f t="shared" si="151"/>
        <v>0</v>
      </c>
      <c r="AO1365" s="60" t="b">
        <f t="shared" si="152"/>
        <v>0</v>
      </c>
      <c r="AP1365" s="60" t="b">
        <f t="shared" si="153"/>
        <v>0</v>
      </c>
      <c r="AQ1365" s="60" t="b">
        <f t="shared" si="154"/>
        <v>0</v>
      </c>
      <c r="AR1365" s="60" t="str">
        <f t="shared" si="155"/>
        <v>No</v>
      </c>
      <c r="AS1365" s="60" t="str">
        <f t="shared" si="156"/>
        <v>No</v>
      </c>
    </row>
    <row r="1366" spans="1:45" ht="15" hidden="1">
      <c r="A1366" s="103">
        <v>45244</v>
      </c>
      <c r="B1366" s="117" t="s">
        <v>5423</v>
      </c>
      <c r="C1366" s="28" t="s">
        <v>511</v>
      </c>
      <c r="D1366" s="28" t="s">
        <v>5424</v>
      </c>
      <c r="F1366" s="28" t="s">
        <v>5425</v>
      </c>
      <c r="G1366" s="28" t="s">
        <v>514</v>
      </c>
      <c r="H1366" s="28" t="s">
        <v>658</v>
      </c>
      <c r="I1366" s="28" t="s">
        <v>516</v>
      </c>
      <c r="J1366" s="28" t="s">
        <v>517</v>
      </c>
      <c r="K1366" s="28" t="s">
        <v>518</v>
      </c>
      <c r="L1366" s="28" t="s">
        <v>604</v>
      </c>
      <c r="M1366" s="28" t="s">
        <v>802</v>
      </c>
      <c r="S1366" s="28" t="s">
        <v>803</v>
      </c>
      <c r="T1366" s="28" t="s">
        <v>607</v>
      </c>
      <c r="U1366" s="28" t="s">
        <v>607</v>
      </c>
      <c r="V1366" s="28" t="s">
        <v>517</v>
      </c>
      <c r="W1366" s="28" t="s">
        <v>5426</v>
      </c>
      <c r="Z1366" s="118" t="s">
        <v>526</v>
      </c>
      <c r="AA1366" s="118"/>
      <c r="AB1366" s="118"/>
      <c r="AD1366" s="28" t="s">
        <v>954</v>
      </c>
      <c r="AF1366" s="117" t="s">
        <v>5424</v>
      </c>
      <c r="AG1366" s="28" t="s">
        <v>563</v>
      </c>
      <c r="AK1366" s="60" t="s">
        <v>2927</v>
      </c>
      <c r="AL1366" s="117">
        <f>1/COUNTIF(Tableau6[LAT],B1366)</f>
        <v>0.5</v>
      </c>
      <c r="AM1366" s="60" t="b">
        <f t="shared" si="150"/>
        <v>0</v>
      </c>
      <c r="AN1366" s="60" t="b">
        <f t="shared" si="151"/>
        <v>0</v>
      </c>
      <c r="AO1366" s="60" t="b">
        <f t="shared" si="152"/>
        <v>0</v>
      </c>
      <c r="AP1366" s="60" t="b">
        <f t="shared" si="153"/>
        <v>0</v>
      </c>
      <c r="AQ1366" s="60" t="b">
        <f t="shared" si="154"/>
        <v>0</v>
      </c>
      <c r="AR1366" s="60" t="str">
        <f t="shared" si="155"/>
        <v>No</v>
      </c>
      <c r="AS1366" s="60" t="str">
        <f t="shared" si="156"/>
        <v>No</v>
      </c>
    </row>
    <row r="1367" spans="1:45" ht="15" hidden="1">
      <c r="A1367" s="103">
        <v>45244</v>
      </c>
      <c r="B1367" s="117" t="s">
        <v>5423</v>
      </c>
      <c r="C1367" s="28" t="s">
        <v>548</v>
      </c>
      <c r="D1367" s="28" t="s">
        <v>5427</v>
      </c>
      <c r="F1367" s="28" t="s">
        <v>5428</v>
      </c>
      <c r="G1367" s="28" t="s">
        <v>958</v>
      </c>
      <c r="H1367" s="28" t="s">
        <v>2904</v>
      </c>
      <c r="I1367" s="28" t="s">
        <v>516</v>
      </c>
      <c r="J1367" s="28" t="s">
        <v>517</v>
      </c>
      <c r="K1367" s="28" t="s">
        <v>518</v>
      </c>
      <c r="L1367" s="28" t="s">
        <v>604</v>
      </c>
      <c r="M1367" s="28" t="s">
        <v>802</v>
      </c>
      <c r="S1367" s="28" t="s">
        <v>803</v>
      </c>
      <c r="T1367" s="28" t="s">
        <v>607</v>
      </c>
      <c r="U1367" s="28" t="s">
        <v>607</v>
      </c>
      <c r="V1367" s="28" t="s">
        <v>517</v>
      </c>
      <c r="W1367" s="28" t="s">
        <v>5429</v>
      </c>
      <c r="Z1367" s="118" t="s">
        <v>526</v>
      </c>
      <c r="AA1367" s="118"/>
      <c r="AB1367" s="118"/>
      <c r="AD1367" s="28" t="s">
        <v>954</v>
      </c>
      <c r="AF1367" s="117" t="s">
        <v>5427</v>
      </c>
      <c r="AG1367" s="28" t="s">
        <v>563</v>
      </c>
      <c r="AK1367" s="60" t="s">
        <v>2927</v>
      </c>
      <c r="AL1367" s="117">
        <f>1/COUNTIF(Tableau6[LAT],B1367)</f>
        <v>0.5</v>
      </c>
      <c r="AM1367" s="60" t="b">
        <f t="shared" si="150"/>
        <v>0</v>
      </c>
      <c r="AN1367" s="60" t="b">
        <f t="shared" si="151"/>
        <v>0</v>
      </c>
      <c r="AO1367" s="60" t="b">
        <f t="shared" si="152"/>
        <v>0</v>
      </c>
      <c r="AP1367" s="60" t="b">
        <f t="shared" si="153"/>
        <v>0</v>
      </c>
      <c r="AQ1367" s="60" t="b">
        <f t="shared" si="154"/>
        <v>0</v>
      </c>
      <c r="AR1367" s="60" t="str">
        <f t="shared" si="155"/>
        <v>No</v>
      </c>
      <c r="AS1367" s="60" t="str">
        <f t="shared" si="156"/>
        <v>No</v>
      </c>
    </row>
    <row r="1368" spans="1:45" ht="15" hidden="1">
      <c r="A1368" s="103">
        <v>45244</v>
      </c>
      <c r="B1368" s="117" t="s">
        <v>5430</v>
      </c>
      <c r="C1368" s="28" t="s">
        <v>511</v>
      </c>
      <c r="D1368" s="28" t="s">
        <v>5431</v>
      </c>
      <c r="F1368" s="28" t="s">
        <v>5432</v>
      </c>
      <c r="G1368" s="28" t="s">
        <v>2324</v>
      </c>
      <c r="H1368" s="28" t="s">
        <v>3732</v>
      </c>
      <c r="I1368" s="28" t="s">
        <v>516</v>
      </c>
      <c r="J1368" s="28" t="s">
        <v>517</v>
      </c>
      <c r="K1368" s="28" t="s">
        <v>518</v>
      </c>
      <c r="L1368" s="28" t="s">
        <v>697</v>
      </c>
      <c r="M1368" s="28" t="s">
        <v>605</v>
      </c>
      <c r="N1368" s="28" t="s">
        <v>2412</v>
      </c>
      <c r="O1368" s="28" t="s">
        <v>1637</v>
      </c>
      <c r="S1368" s="28" t="s">
        <v>803</v>
      </c>
      <c r="T1368" s="28" t="s">
        <v>699</v>
      </c>
      <c r="U1368" s="28" t="s">
        <v>699</v>
      </c>
      <c r="V1368" s="28" t="s">
        <v>517</v>
      </c>
      <c r="W1368" s="28" t="s">
        <v>5433</v>
      </c>
      <c r="Z1368" s="118" t="s">
        <v>526</v>
      </c>
      <c r="AA1368" s="118"/>
      <c r="AB1368" s="118"/>
      <c r="AD1368" s="28" t="s">
        <v>954</v>
      </c>
      <c r="AF1368" s="117" t="s">
        <v>5431</v>
      </c>
      <c r="AG1368" s="28" t="s">
        <v>563</v>
      </c>
      <c r="AK1368" s="60" t="s">
        <v>2927</v>
      </c>
      <c r="AL1368" s="117">
        <f>1/COUNTIF(Tableau6[LAT],B1368)</f>
        <v>0.33333333333333331</v>
      </c>
      <c r="AM1368" s="60" t="b">
        <f t="shared" si="150"/>
        <v>0</v>
      </c>
      <c r="AN1368" s="60" t="b">
        <f t="shared" si="151"/>
        <v>0</v>
      </c>
      <c r="AO1368" s="60" t="b">
        <f t="shared" si="152"/>
        <v>0</v>
      </c>
      <c r="AP1368" s="60" t="b">
        <f t="shared" si="153"/>
        <v>0</v>
      </c>
      <c r="AQ1368" s="60" t="b">
        <f t="shared" si="154"/>
        <v>0</v>
      </c>
      <c r="AR1368" s="60" t="str">
        <f t="shared" si="155"/>
        <v>No</v>
      </c>
      <c r="AS1368" s="60" t="str">
        <f t="shared" si="156"/>
        <v>No</v>
      </c>
    </row>
    <row r="1369" spans="1:45" ht="15" hidden="1">
      <c r="A1369" s="103">
        <v>45244</v>
      </c>
      <c r="B1369" s="117" t="s">
        <v>5430</v>
      </c>
      <c r="C1369" s="28" t="s">
        <v>548</v>
      </c>
      <c r="D1369" s="28" t="s">
        <v>5434</v>
      </c>
      <c r="F1369" s="28" t="s">
        <v>5432</v>
      </c>
      <c r="G1369" s="28" t="s">
        <v>2324</v>
      </c>
      <c r="H1369" s="28" t="s">
        <v>3732</v>
      </c>
      <c r="I1369" s="28" t="s">
        <v>516</v>
      </c>
      <c r="J1369" s="28" t="s">
        <v>517</v>
      </c>
      <c r="K1369" s="28" t="s">
        <v>518</v>
      </c>
      <c r="L1369" s="28" t="s">
        <v>697</v>
      </c>
      <c r="M1369" s="28" t="s">
        <v>605</v>
      </c>
      <c r="N1369" s="28" t="s">
        <v>2412</v>
      </c>
      <c r="O1369" s="28" t="s">
        <v>1637</v>
      </c>
      <c r="S1369" s="28" t="s">
        <v>803</v>
      </c>
      <c r="T1369" s="28" t="s">
        <v>699</v>
      </c>
      <c r="U1369" s="28" t="s">
        <v>699</v>
      </c>
      <c r="V1369" s="28" t="s">
        <v>517</v>
      </c>
      <c r="W1369" s="28" t="s">
        <v>5435</v>
      </c>
      <c r="Z1369" s="118" t="s">
        <v>526</v>
      </c>
      <c r="AA1369" s="118"/>
      <c r="AB1369" s="118"/>
      <c r="AD1369" s="28" t="s">
        <v>954</v>
      </c>
      <c r="AF1369" s="117" t="s">
        <v>5434</v>
      </c>
      <c r="AG1369" s="28" t="s">
        <v>563</v>
      </c>
      <c r="AK1369" s="60" t="s">
        <v>2927</v>
      </c>
      <c r="AL1369" s="117">
        <f>1/COUNTIF(Tableau6[LAT],B1369)</f>
        <v>0.33333333333333331</v>
      </c>
      <c r="AM1369" s="60" t="b">
        <f t="shared" si="150"/>
        <v>0</v>
      </c>
      <c r="AN1369" s="60" t="b">
        <f t="shared" si="151"/>
        <v>0</v>
      </c>
      <c r="AO1369" s="60" t="b">
        <f t="shared" si="152"/>
        <v>0</v>
      </c>
      <c r="AP1369" s="60" t="b">
        <f t="shared" si="153"/>
        <v>0</v>
      </c>
      <c r="AQ1369" s="60" t="b">
        <f t="shared" si="154"/>
        <v>0</v>
      </c>
      <c r="AR1369" s="60" t="str">
        <f t="shared" si="155"/>
        <v>No</v>
      </c>
      <c r="AS1369" s="60" t="str">
        <f t="shared" si="156"/>
        <v>No</v>
      </c>
    </row>
    <row r="1370" spans="1:45" ht="15" hidden="1">
      <c r="A1370" s="103">
        <v>45244</v>
      </c>
      <c r="B1370" s="117" t="s">
        <v>5430</v>
      </c>
      <c r="C1370" s="28" t="s">
        <v>612</v>
      </c>
      <c r="D1370" s="28" t="s">
        <v>5436</v>
      </c>
      <c r="F1370" s="28" t="s">
        <v>5437</v>
      </c>
      <c r="G1370" s="28" t="s">
        <v>1635</v>
      </c>
      <c r="H1370" s="28" t="s">
        <v>579</v>
      </c>
      <c r="I1370" s="28" t="s">
        <v>516</v>
      </c>
      <c r="J1370" s="28" t="s">
        <v>517</v>
      </c>
      <c r="K1370" s="28" t="s">
        <v>518</v>
      </c>
      <c r="L1370" s="28" t="s">
        <v>697</v>
      </c>
      <c r="M1370" s="28" t="s">
        <v>605</v>
      </c>
      <c r="N1370" s="28" t="s">
        <v>2412</v>
      </c>
      <c r="O1370" s="28" t="s">
        <v>1637</v>
      </c>
      <c r="S1370" s="28" t="s">
        <v>803</v>
      </c>
      <c r="T1370" s="28" t="s">
        <v>699</v>
      </c>
      <c r="U1370" s="28" t="s">
        <v>699</v>
      </c>
      <c r="V1370" s="28" t="s">
        <v>517</v>
      </c>
      <c r="W1370" s="28" t="s">
        <v>5438</v>
      </c>
      <c r="Z1370" s="118" t="s">
        <v>526</v>
      </c>
      <c r="AA1370" s="118"/>
      <c r="AB1370" s="118"/>
      <c r="AD1370" s="28" t="s">
        <v>954</v>
      </c>
      <c r="AF1370" s="117" t="s">
        <v>5436</v>
      </c>
      <c r="AG1370" s="28" t="s">
        <v>563</v>
      </c>
      <c r="AK1370" s="60" t="s">
        <v>2927</v>
      </c>
      <c r="AL1370" s="117">
        <f>1/COUNTIF(Tableau6[LAT],B1370)</f>
        <v>0.33333333333333331</v>
      </c>
      <c r="AM1370" s="60" t="b">
        <f t="shared" si="150"/>
        <v>0</v>
      </c>
      <c r="AN1370" s="60" t="b">
        <f t="shared" si="151"/>
        <v>0</v>
      </c>
      <c r="AO1370" s="60" t="b">
        <f t="shared" si="152"/>
        <v>0</v>
      </c>
      <c r="AP1370" s="60" t="b">
        <f t="shared" si="153"/>
        <v>0</v>
      </c>
      <c r="AQ1370" s="60" t="b">
        <f t="shared" si="154"/>
        <v>0</v>
      </c>
      <c r="AR1370" s="60" t="str">
        <f t="shared" si="155"/>
        <v>No</v>
      </c>
      <c r="AS1370" s="60" t="str">
        <f t="shared" si="156"/>
        <v>No</v>
      </c>
    </row>
    <row r="1371" spans="1:45" ht="15" hidden="1">
      <c r="A1371" s="103">
        <v>45244</v>
      </c>
      <c r="B1371" s="117" t="s">
        <v>5439</v>
      </c>
      <c r="C1371" s="28" t="s">
        <v>511</v>
      </c>
      <c r="D1371" s="28" t="s">
        <v>5440</v>
      </c>
      <c r="E1371" s="28" t="s">
        <v>2956</v>
      </c>
      <c r="F1371" s="28" t="s">
        <v>2198</v>
      </c>
      <c r="G1371" s="28" t="s">
        <v>1077</v>
      </c>
      <c r="H1371" s="28" t="s">
        <v>904</v>
      </c>
      <c r="I1371" s="28" t="s">
        <v>516</v>
      </c>
      <c r="J1371" s="28" t="s">
        <v>517</v>
      </c>
      <c r="K1371" s="28" t="s">
        <v>518</v>
      </c>
      <c r="L1371" s="28" t="s">
        <v>1269</v>
      </c>
      <c r="M1371" s="28" t="s">
        <v>535</v>
      </c>
      <c r="N1371" s="28" t="s">
        <v>2412</v>
      </c>
      <c r="O1371" s="28" t="s">
        <v>1637</v>
      </c>
      <c r="S1371" s="28" t="s">
        <v>803</v>
      </c>
      <c r="T1371" s="28" t="s">
        <v>896</v>
      </c>
      <c r="U1371" s="28" t="s">
        <v>1041</v>
      </c>
      <c r="V1371" s="28" t="s">
        <v>517</v>
      </c>
      <c r="W1371" s="28" t="s">
        <v>2959</v>
      </c>
      <c r="X1371" s="28" t="s">
        <v>670</v>
      </c>
      <c r="Z1371" s="118" t="s">
        <v>526</v>
      </c>
      <c r="AA1371" s="118"/>
      <c r="AB1371" s="118"/>
      <c r="AD1371" s="28" t="s">
        <v>954</v>
      </c>
      <c r="AF1371" s="117" t="s">
        <v>5440</v>
      </c>
      <c r="AG1371" s="28" t="s">
        <v>563</v>
      </c>
      <c r="AK1371" s="60" t="s">
        <v>2927</v>
      </c>
      <c r="AL1371" s="117">
        <f>1/COUNTIF(Tableau6[LAT],B1371)</f>
        <v>1</v>
      </c>
      <c r="AM1371" s="60" t="b">
        <f t="shared" si="150"/>
        <v>0</v>
      </c>
      <c r="AN1371" s="60" t="b">
        <f t="shared" si="151"/>
        <v>0</v>
      </c>
      <c r="AO1371" s="60" t="b">
        <f t="shared" si="152"/>
        <v>0</v>
      </c>
      <c r="AP1371" s="60" t="b">
        <f t="shared" si="153"/>
        <v>0</v>
      </c>
      <c r="AQ1371" s="60" t="b">
        <f t="shared" si="154"/>
        <v>0</v>
      </c>
      <c r="AR1371" s="60" t="str">
        <f t="shared" si="155"/>
        <v>No</v>
      </c>
      <c r="AS1371" s="60" t="str">
        <f t="shared" si="156"/>
        <v>No</v>
      </c>
    </row>
    <row r="1372" spans="1:45" ht="15" hidden="1">
      <c r="A1372" s="103">
        <v>45244</v>
      </c>
      <c r="B1372" s="117" t="s">
        <v>5441</v>
      </c>
      <c r="C1372" s="28" t="s">
        <v>511</v>
      </c>
      <c r="D1372" s="28" t="s">
        <v>5442</v>
      </c>
      <c r="E1372" s="28" t="s">
        <v>2956</v>
      </c>
      <c r="F1372" s="28" t="s">
        <v>1290</v>
      </c>
      <c r="G1372" s="28" t="s">
        <v>1163</v>
      </c>
      <c r="H1372" s="28" t="s">
        <v>756</v>
      </c>
      <c r="I1372" s="28" t="s">
        <v>516</v>
      </c>
      <c r="J1372" s="28" t="s">
        <v>517</v>
      </c>
      <c r="K1372" s="28" t="s">
        <v>518</v>
      </c>
      <c r="L1372" s="28" t="s">
        <v>1269</v>
      </c>
      <c r="M1372" s="28" t="s">
        <v>535</v>
      </c>
      <c r="N1372" s="28" t="s">
        <v>2412</v>
      </c>
      <c r="O1372" s="28" t="s">
        <v>1637</v>
      </c>
      <c r="S1372" s="28" t="s">
        <v>803</v>
      </c>
      <c r="T1372" s="28" t="s">
        <v>896</v>
      </c>
      <c r="U1372" s="28" t="s">
        <v>1041</v>
      </c>
      <c r="V1372" s="28" t="s">
        <v>517</v>
      </c>
      <c r="W1372" s="28" t="s">
        <v>2959</v>
      </c>
      <c r="X1372" s="28" t="s">
        <v>670</v>
      </c>
      <c r="Z1372" s="118" t="s">
        <v>526</v>
      </c>
      <c r="AA1372" s="118"/>
      <c r="AB1372" s="118"/>
      <c r="AD1372" s="28" t="s">
        <v>954</v>
      </c>
      <c r="AF1372" s="117" t="s">
        <v>5442</v>
      </c>
      <c r="AG1372" s="28" t="s">
        <v>563</v>
      </c>
      <c r="AK1372" s="60" t="s">
        <v>2927</v>
      </c>
      <c r="AL1372" s="117">
        <f>1/COUNTIF(Tableau6[LAT],B1372)</f>
        <v>1</v>
      </c>
      <c r="AM1372" s="60" t="b">
        <f t="shared" si="150"/>
        <v>0</v>
      </c>
      <c r="AN1372" s="60" t="b">
        <f t="shared" si="151"/>
        <v>0</v>
      </c>
      <c r="AO1372" s="60" t="b">
        <f t="shared" si="152"/>
        <v>0</v>
      </c>
      <c r="AP1372" s="60" t="b">
        <f t="shared" si="153"/>
        <v>0</v>
      </c>
      <c r="AQ1372" s="60" t="b">
        <f t="shared" si="154"/>
        <v>0</v>
      </c>
      <c r="AR1372" s="60" t="str">
        <f t="shared" si="155"/>
        <v>No</v>
      </c>
      <c r="AS1372" s="60" t="str">
        <f t="shared" si="156"/>
        <v>No</v>
      </c>
    </row>
    <row r="1373" spans="1:45" ht="15" hidden="1">
      <c r="A1373" s="103">
        <v>45244</v>
      </c>
      <c r="B1373" s="117" t="s">
        <v>5443</v>
      </c>
      <c r="C1373" s="28" t="s">
        <v>511</v>
      </c>
      <c r="D1373" s="28" t="s">
        <v>5444</v>
      </c>
      <c r="F1373" s="28" t="s">
        <v>5445</v>
      </c>
      <c r="G1373" s="28" t="s">
        <v>514</v>
      </c>
      <c r="H1373" s="28" t="s">
        <v>658</v>
      </c>
      <c r="I1373" s="28" t="s">
        <v>516</v>
      </c>
      <c r="J1373" s="28" t="s">
        <v>517</v>
      </c>
      <c r="K1373" s="28" t="s">
        <v>518</v>
      </c>
      <c r="L1373" s="28" t="s">
        <v>2925</v>
      </c>
      <c r="M1373" s="28" t="s">
        <v>520</v>
      </c>
      <c r="S1373" s="28" t="s">
        <v>803</v>
      </c>
      <c r="T1373" s="28" t="s">
        <v>1042</v>
      </c>
      <c r="U1373" s="28" t="s">
        <v>1042</v>
      </c>
      <c r="V1373" s="28" t="s">
        <v>517</v>
      </c>
      <c r="W1373" s="28" t="s">
        <v>821</v>
      </c>
      <c r="Z1373" s="118" t="s">
        <v>563</v>
      </c>
      <c r="AA1373" s="118"/>
      <c r="AB1373" s="73" t="s">
        <v>4506</v>
      </c>
      <c r="AD1373" s="28" t="s">
        <v>528</v>
      </c>
      <c r="AF1373" s="117" t="s">
        <v>5444</v>
      </c>
      <c r="AG1373" s="28" t="s">
        <v>529</v>
      </c>
      <c r="AK1373" s="60" t="s">
        <v>2927</v>
      </c>
      <c r="AL1373" s="117">
        <f>1/COUNTIF(Tableau6[LAT],B1373)</f>
        <v>0.2</v>
      </c>
      <c r="AM1373" s="60" t="b">
        <f t="shared" si="150"/>
        <v>0</v>
      </c>
      <c r="AN1373" s="60" t="b">
        <f t="shared" si="151"/>
        <v>0</v>
      </c>
      <c r="AO1373" s="60" t="b">
        <f t="shared" si="152"/>
        <v>0</v>
      </c>
      <c r="AP1373" s="60" t="b">
        <f t="shared" si="153"/>
        <v>0</v>
      </c>
      <c r="AQ1373" s="60" t="b">
        <f t="shared" si="154"/>
        <v>0</v>
      </c>
      <c r="AR1373" s="60" t="str">
        <f t="shared" si="155"/>
        <v>No</v>
      </c>
      <c r="AS1373" s="60" t="str">
        <f t="shared" si="156"/>
        <v>No</v>
      </c>
    </row>
    <row r="1374" spans="1:45" ht="15" hidden="1">
      <c r="A1374" s="103">
        <v>45244</v>
      </c>
      <c r="B1374" s="117" t="s">
        <v>5443</v>
      </c>
      <c r="C1374" s="28" t="s">
        <v>548</v>
      </c>
      <c r="D1374" s="28" t="s">
        <v>5446</v>
      </c>
      <c r="F1374" s="28" t="s">
        <v>5445</v>
      </c>
      <c r="G1374" s="28" t="s">
        <v>514</v>
      </c>
      <c r="H1374" s="28" t="s">
        <v>658</v>
      </c>
      <c r="I1374" s="28" t="s">
        <v>516</v>
      </c>
      <c r="J1374" s="28" t="s">
        <v>517</v>
      </c>
      <c r="K1374" s="28" t="s">
        <v>518</v>
      </c>
      <c r="L1374" s="28" t="s">
        <v>2925</v>
      </c>
      <c r="M1374" s="28" t="s">
        <v>520</v>
      </c>
      <c r="S1374" s="28" t="s">
        <v>803</v>
      </c>
      <c r="T1374" s="28" t="s">
        <v>1042</v>
      </c>
      <c r="U1374" s="28" t="s">
        <v>1042</v>
      </c>
      <c r="V1374" s="28" t="s">
        <v>517</v>
      </c>
      <c r="W1374" s="28" t="s">
        <v>821</v>
      </c>
      <c r="Z1374" s="118" t="s">
        <v>563</v>
      </c>
      <c r="AA1374" s="118"/>
      <c r="AB1374" s="73" t="s">
        <v>4506</v>
      </c>
      <c r="AD1374" s="28" t="s">
        <v>528</v>
      </c>
      <c r="AF1374" s="117" t="s">
        <v>5444</v>
      </c>
      <c r="AG1374" s="28" t="s">
        <v>529</v>
      </c>
      <c r="AK1374" s="60" t="s">
        <v>2927</v>
      </c>
      <c r="AL1374" s="117">
        <f>1/COUNTIF(Tableau6[LAT],B1374)</f>
        <v>0.2</v>
      </c>
      <c r="AM1374" s="60" t="b">
        <f t="shared" si="150"/>
        <v>0</v>
      </c>
      <c r="AN1374" s="60" t="b">
        <f t="shared" si="151"/>
        <v>0</v>
      </c>
      <c r="AO1374" s="60" t="b">
        <f t="shared" si="152"/>
        <v>0</v>
      </c>
      <c r="AP1374" s="60" t="b">
        <f t="shared" si="153"/>
        <v>0</v>
      </c>
      <c r="AQ1374" s="60" t="b">
        <f t="shared" si="154"/>
        <v>0</v>
      </c>
      <c r="AR1374" s="60" t="str">
        <f t="shared" si="155"/>
        <v>No</v>
      </c>
      <c r="AS1374" s="60" t="str">
        <f t="shared" si="156"/>
        <v>No</v>
      </c>
    </row>
    <row r="1375" spans="1:45" ht="15" hidden="1">
      <c r="A1375" s="103">
        <v>45244</v>
      </c>
      <c r="B1375" s="117" t="s">
        <v>5443</v>
      </c>
      <c r="C1375" s="28" t="s">
        <v>612</v>
      </c>
      <c r="D1375" s="28" t="s">
        <v>5447</v>
      </c>
      <c r="F1375" s="28" t="s">
        <v>5445</v>
      </c>
      <c r="G1375" s="28" t="s">
        <v>514</v>
      </c>
      <c r="H1375" s="28" t="s">
        <v>658</v>
      </c>
      <c r="I1375" s="28" t="s">
        <v>516</v>
      </c>
      <c r="J1375" s="28" t="s">
        <v>517</v>
      </c>
      <c r="K1375" s="28" t="s">
        <v>518</v>
      </c>
      <c r="L1375" s="28" t="s">
        <v>2925</v>
      </c>
      <c r="M1375" s="28" t="s">
        <v>520</v>
      </c>
      <c r="S1375" s="28" t="s">
        <v>803</v>
      </c>
      <c r="T1375" s="28" t="s">
        <v>1042</v>
      </c>
      <c r="U1375" s="28" t="s">
        <v>1042</v>
      </c>
      <c r="V1375" s="28" t="s">
        <v>517</v>
      </c>
      <c r="W1375" s="28" t="s">
        <v>821</v>
      </c>
      <c r="Z1375" s="118" t="s">
        <v>563</v>
      </c>
      <c r="AA1375" s="118"/>
      <c r="AB1375" s="73" t="s">
        <v>4506</v>
      </c>
      <c r="AD1375" s="28" t="s">
        <v>528</v>
      </c>
      <c r="AF1375" s="117" t="s">
        <v>5444</v>
      </c>
      <c r="AG1375" s="28" t="s">
        <v>529</v>
      </c>
      <c r="AK1375" s="60" t="s">
        <v>2927</v>
      </c>
      <c r="AL1375" s="117">
        <f>1/COUNTIF(Tableau6[LAT],B1375)</f>
        <v>0.2</v>
      </c>
      <c r="AM1375" s="60" t="b">
        <f t="shared" si="150"/>
        <v>0</v>
      </c>
      <c r="AN1375" s="60" t="b">
        <f t="shared" si="151"/>
        <v>0</v>
      </c>
      <c r="AO1375" s="60" t="b">
        <f t="shared" si="152"/>
        <v>0</v>
      </c>
      <c r="AP1375" s="60" t="b">
        <f t="shared" si="153"/>
        <v>0</v>
      </c>
      <c r="AQ1375" s="60" t="b">
        <f t="shared" si="154"/>
        <v>0</v>
      </c>
      <c r="AR1375" s="60" t="str">
        <f t="shared" si="155"/>
        <v>No</v>
      </c>
      <c r="AS1375" s="60" t="str">
        <f t="shared" si="156"/>
        <v>No</v>
      </c>
    </row>
    <row r="1376" spans="1:45" ht="15" hidden="1">
      <c r="A1376" s="103">
        <v>45244</v>
      </c>
      <c r="B1376" s="117" t="s">
        <v>5443</v>
      </c>
      <c r="C1376" s="28" t="s">
        <v>691</v>
      </c>
      <c r="D1376" s="28" t="s">
        <v>5448</v>
      </c>
      <c r="F1376" s="28" t="s">
        <v>5445</v>
      </c>
      <c r="G1376" s="28" t="s">
        <v>514</v>
      </c>
      <c r="H1376" s="28" t="s">
        <v>658</v>
      </c>
      <c r="I1376" s="28" t="s">
        <v>516</v>
      </c>
      <c r="J1376" s="28" t="s">
        <v>517</v>
      </c>
      <c r="K1376" s="28" t="s">
        <v>518</v>
      </c>
      <c r="L1376" s="28" t="s">
        <v>2925</v>
      </c>
      <c r="M1376" s="28" t="s">
        <v>520</v>
      </c>
      <c r="S1376" s="28" t="s">
        <v>803</v>
      </c>
      <c r="T1376" s="28" t="s">
        <v>1042</v>
      </c>
      <c r="U1376" s="28" t="s">
        <v>1042</v>
      </c>
      <c r="V1376" s="28" t="s">
        <v>517</v>
      </c>
      <c r="W1376" s="28" t="s">
        <v>821</v>
      </c>
      <c r="Z1376" s="118" t="s">
        <v>563</v>
      </c>
      <c r="AA1376" s="118"/>
      <c r="AB1376" s="73" t="s">
        <v>4506</v>
      </c>
      <c r="AD1376" s="28" t="s">
        <v>528</v>
      </c>
      <c r="AF1376" s="117" t="s">
        <v>5444</v>
      </c>
      <c r="AG1376" s="28" t="s">
        <v>529</v>
      </c>
      <c r="AK1376" s="60" t="s">
        <v>2927</v>
      </c>
      <c r="AL1376" s="117">
        <f>1/COUNTIF(Tableau6[LAT],B1376)</f>
        <v>0.2</v>
      </c>
      <c r="AM1376" s="60" t="b">
        <f t="shared" si="150"/>
        <v>0</v>
      </c>
      <c r="AN1376" s="60" t="b">
        <f t="shared" si="151"/>
        <v>0</v>
      </c>
      <c r="AO1376" s="60" t="b">
        <f t="shared" si="152"/>
        <v>0</v>
      </c>
      <c r="AP1376" s="60" t="b">
        <f t="shared" si="153"/>
        <v>0</v>
      </c>
      <c r="AQ1376" s="60" t="b">
        <f t="shared" si="154"/>
        <v>0</v>
      </c>
      <c r="AR1376" s="60" t="str">
        <f t="shared" si="155"/>
        <v>No</v>
      </c>
      <c r="AS1376" s="60" t="str">
        <f t="shared" si="156"/>
        <v>No</v>
      </c>
    </row>
    <row r="1377" spans="1:45" ht="15" hidden="1">
      <c r="A1377" s="103">
        <v>45244</v>
      </c>
      <c r="B1377" s="117" t="s">
        <v>5443</v>
      </c>
      <c r="C1377" s="28" t="s">
        <v>859</v>
      </c>
      <c r="D1377" s="28" t="s">
        <v>5449</v>
      </c>
      <c r="F1377" s="28" t="s">
        <v>5445</v>
      </c>
      <c r="G1377" s="28" t="s">
        <v>514</v>
      </c>
      <c r="H1377" s="28" t="s">
        <v>658</v>
      </c>
      <c r="I1377" s="28" t="s">
        <v>516</v>
      </c>
      <c r="J1377" s="28" t="s">
        <v>517</v>
      </c>
      <c r="K1377" s="28" t="s">
        <v>518</v>
      </c>
      <c r="L1377" s="28" t="s">
        <v>2925</v>
      </c>
      <c r="M1377" s="28" t="s">
        <v>520</v>
      </c>
      <c r="S1377" s="28" t="s">
        <v>803</v>
      </c>
      <c r="T1377" s="28" t="s">
        <v>1042</v>
      </c>
      <c r="U1377" s="28" t="s">
        <v>1042</v>
      </c>
      <c r="V1377" s="28" t="s">
        <v>517</v>
      </c>
      <c r="W1377" s="28" t="s">
        <v>821</v>
      </c>
      <c r="Z1377" s="118" t="s">
        <v>563</v>
      </c>
      <c r="AA1377" s="118"/>
      <c r="AB1377" s="73" t="s">
        <v>4506</v>
      </c>
      <c r="AD1377" s="28" t="s">
        <v>528</v>
      </c>
      <c r="AF1377" s="117" t="s">
        <v>5444</v>
      </c>
      <c r="AG1377" s="28" t="s">
        <v>529</v>
      </c>
      <c r="AK1377" s="60" t="s">
        <v>2927</v>
      </c>
      <c r="AL1377" s="117">
        <f>1/COUNTIF(Tableau6[LAT],B1377)</f>
        <v>0.2</v>
      </c>
      <c r="AM1377" s="60" t="b">
        <f t="shared" si="150"/>
        <v>0</v>
      </c>
      <c r="AN1377" s="60" t="b">
        <f t="shared" si="151"/>
        <v>0</v>
      </c>
      <c r="AO1377" s="60" t="b">
        <f t="shared" si="152"/>
        <v>0</v>
      </c>
      <c r="AP1377" s="60" t="b">
        <f t="shared" si="153"/>
        <v>0</v>
      </c>
      <c r="AQ1377" s="60" t="b">
        <f t="shared" si="154"/>
        <v>0</v>
      </c>
      <c r="AR1377" s="60" t="str">
        <f t="shared" si="155"/>
        <v>No</v>
      </c>
      <c r="AS1377" s="60" t="str">
        <f t="shared" si="156"/>
        <v>No</v>
      </c>
    </row>
    <row r="1378" spans="1:45" ht="15" hidden="1">
      <c r="A1378" s="103">
        <v>45244</v>
      </c>
      <c r="B1378" s="117" t="s">
        <v>5450</v>
      </c>
      <c r="C1378" s="28" t="s">
        <v>511</v>
      </c>
      <c r="D1378" s="28" t="s">
        <v>5451</v>
      </c>
      <c r="F1378" s="28" t="s">
        <v>5452</v>
      </c>
      <c r="G1378" s="28" t="s">
        <v>2579</v>
      </c>
      <c r="H1378" s="28" t="s">
        <v>1236</v>
      </c>
      <c r="I1378" s="28" t="s">
        <v>516</v>
      </c>
      <c r="J1378" s="28" t="s">
        <v>517</v>
      </c>
      <c r="K1378" s="28" t="s">
        <v>518</v>
      </c>
      <c r="L1378" s="28" t="s">
        <v>1032</v>
      </c>
      <c r="M1378" s="28" t="s">
        <v>520</v>
      </c>
      <c r="N1378" s="28" t="s">
        <v>2412</v>
      </c>
      <c r="O1378" s="28" t="s">
        <v>1637</v>
      </c>
      <c r="S1378" s="28" t="s">
        <v>803</v>
      </c>
      <c r="T1378" s="28" t="s">
        <v>545</v>
      </c>
      <c r="U1378" s="28" t="s">
        <v>545</v>
      </c>
      <c r="V1378" s="28" t="s">
        <v>517</v>
      </c>
      <c r="W1378" s="28" t="s">
        <v>5453</v>
      </c>
      <c r="Z1378" s="118" t="s">
        <v>526</v>
      </c>
      <c r="AA1378" s="118"/>
      <c r="AB1378" s="118"/>
      <c r="AD1378" s="28" t="s">
        <v>954</v>
      </c>
      <c r="AF1378" s="117" t="s">
        <v>5451</v>
      </c>
      <c r="AG1378" s="28" t="s">
        <v>563</v>
      </c>
      <c r="AK1378" s="60" t="s">
        <v>2927</v>
      </c>
      <c r="AL1378" s="117">
        <f>1/COUNTIF(Tableau6[LAT],B1378)</f>
        <v>0.5</v>
      </c>
      <c r="AM1378" s="60" t="b">
        <f t="shared" si="150"/>
        <v>0</v>
      </c>
      <c r="AN1378" s="60" t="b">
        <f t="shared" si="151"/>
        <v>0</v>
      </c>
      <c r="AO1378" s="60" t="b">
        <f t="shared" si="152"/>
        <v>0</v>
      </c>
      <c r="AP1378" s="60" t="b">
        <f t="shared" si="153"/>
        <v>0</v>
      </c>
      <c r="AQ1378" s="60" t="b">
        <f t="shared" si="154"/>
        <v>0</v>
      </c>
      <c r="AR1378" s="60" t="str">
        <f t="shared" si="155"/>
        <v>No</v>
      </c>
      <c r="AS1378" s="60" t="str">
        <f t="shared" si="156"/>
        <v>No</v>
      </c>
    </row>
    <row r="1379" spans="1:45" ht="15" hidden="1">
      <c r="A1379" s="103">
        <v>45244</v>
      </c>
      <c r="B1379" s="117" t="s">
        <v>5450</v>
      </c>
      <c r="C1379" s="28" t="s">
        <v>548</v>
      </c>
      <c r="D1379" s="28" t="s">
        <v>5454</v>
      </c>
      <c r="F1379" s="28" t="s">
        <v>5452</v>
      </c>
      <c r="G1379" s="28" t="s">
        <v>2579</v>
      </c>
      <c r="H1379" s="28" t="s">
        <v>1236</v>
      </c>
      <c r="I1379" s="28" t="s">
        <v>516</v>
      </c>
      <c r="J1379" s="28" t="s">
        <v>517</v>
      </c>
      <c r="K1379" s="28" t="s">
        <v>518</v>
      </c>
      <c r="L1379" s="28" t="s">
        <v>1032</v>
      </c>
      <c r="M1379" s="28" t="s">
        <v>520</v>
      </c>
      <c r="N1379" s="28" t="s">
        <v>2412</v>
      </c>
      <c r="O1379" s="28" t="s">
        <v>1637</v>
      </c>
      <c r="S1379" s="28" t="s">
        <v>803</v>
      </c>
      <c r="T1379" s="28" t="s">
        <v>545</v>
      </c>
      <c r="U1379" s="28" t="s">
        <v>545</v>
      </c>
      <c r="V1379" s="28" t="s">
        <v>517</v>
      </c>
      <c r="W1379" s="28" t="s">
        <v>5455</v>
      </c>
      <c r="Z1379" s="118" t="s">
        <v>526</v>
      </c>
      <c r="AA1379" s="118"/>
      <c r="AB1379" s="118"/>
      <c r="AD1379" s="28" t="s">
        <v>954</v>
      </c>
      <c r="AF1379" s="117" t="s">
        <v>5451</v>
      </c>
      <c r="AG1379" s="28" t="s">
        <v>563</v>
      </c>
      <c r="AK1379" s="60" t="s">
        <v>2927</v>
      </c>
      <c r="AL1379" s="117">
        <f>1/COUNTIF(Tableau6[LAT],B1379)</f>
        <v>0.5</v>
      </c>
      <c r="AM1379" s="60" t="b">
        <f t="shared" si="150"/>
        <v>0</v>
      </c>
      <c r="AN1379" s="60" t="b">
        <f t="shared" si="151"/>
        <v>0</v>
      </c>
      <c r="AO1379" s="60" t="b">
        <f t="shared" si="152"/>
        <v>0</v>
      </c>
      <c r="AP1379" s="60" t="b">
        <f t="shared" si="153"/>
        <v>0</v>
      </c>
      <c r="AQ1379" s="60" t="b">
        <f t="shared" si="154"/>
        <v>0</v>
      </c>
      <c r="AR1379" s="60" t="str">
        <f t="shared" si="155"/>
        <v>No</v>
      </c>
      <c r="AS1379" s="60" t="str">
        <f t="shared" si="156"/>
        <v>No</v>
      </c>
    </row>
    <row r="1380" spans="1:45" ht="15" hidden="1">
      <c r="A1380" s="103">
        <v>45244</v>
      </c>
      <c r="B1380" s="117" t="s">
        <v>5456</v>
      </c>
      <c r="C1380" s="28" t="s">
        <v>511</v>
      </c>
      <c r="D1380" s="28" t="s">
        <v>5457</v>
      </c>
      <c r="E1380" s="28" t="s">
        <v>5458</v>
      </c>
      <c r="F1380" s="28" t="s">
        <v>5459</v>
      </c>
      <c r="G1380" s="28" t="s">
        <v>979</v>
      </c>
      <c r="H1380" s="28" t="s">
        <v>3412</v>
      </c>
      <c r="I1380" s="28" t="s">
        <v>516</v>
      </c>
      <c r="J1380" s="28" t="s">
        <v>517</v>
      </c>
      <c r="K1380" s="28" t="s">
        <v>518</v>
      </c>
      <c r="L1380" s="28" t="s">
        <v>763</v>
      </c>
      <c r="M1380" s="28" t="s">
        <v>520</v>
      </c>
      <c r="N1380" s="28" t="s">
        <v>2412</v>
      </c>
      <c r="O1380" s="28" t="s">
        <v>1637</v>
      </c>
      <c r="P1380" s="28" t="s">
        <v>544</v>
      </c>
      <c r="S1380" s="28" t="s">
        <v>803</v>
      </c>
      <c r="T1380" s="28" t="s">
        <v>545</v>
      </c>
      <c r="U1380" s="28" t="s">
        <v>545</v>
      </c>
      <c r="V1380" s="28" t="s">
        <v>517</v>
      </c>
      <c r="W1380" s="28" t="s">
        <v>5460</v>
      </c>
      <c r="X1380" s="28" t="s">
        <v>670</v>
      </c>
      <c r="Z1380" s="118" t="s">
        <v>563</v>
      </c>
      <c r="AA1380" s="118"/>
      <c r="AB1380" s="73" t="s">
        <v>4506</v>
      </c>
      <c r="AD1380" s="28" t="s">
        <v>528</v>
      </c>
      <c r="AF1380" s="117" t="s">
        <v>5457</v>
      </c>
      <c r="AG1380" s="28" t="s">
        <v>529</v>
      </c>
      <c r="AK1380" s="60" t="s">
        <v>2927</v>
      </c>
      <c r="AL1380" s="117">
        <f>1/COUNTIF(Tableau6[LAT],B1380)</f>
        <v>1</v>
      </c>
      <c r="AM1380" s="60" t="b">
        <f t="shared" si="150"/>
        <v>0</v>
      </c>
      <c r="AN1380" s="60" t="b">
        <f t="shared" si="151"/>
        <v>0</v>
      </c>
      <c r="AO1380" s="60" t="b">
        <f t="shared" si="152"/>
        <v>0</v>
      </c>
      <c r="AP1380" s="60" t="b">
        <f t="shared" si="153"/>
        <v>0</v>
      </c>
      <c r="AQ1380" s="60" t="b">
        <f t="shared" si="154"/>
        <v>0</v>
      </c>
      <c r="AR1380" s="60" t="str">
        <f t="shared" si="155"/>
        <v>No</v>
      </c>
      <c r="AS1380" s="60" t="str">
        <f t="shared" si="156"/>
        <v>No</v>
      </c>
    </row>
    <row r="1381" spans="1:45" ht="15" hidden="1">
      <c r="A1381" s="103">
        <v>45244</v>
      </c>
      <c r="B1381" s="117" t="s">
        <v>5461</v>
      </c>
      <c r="C1381" s="28" t="s">
        <v>511</v>
      </c>
      <c r="D1381" s="28" t="s">
        <v>5462</v>
      </c>
      <c r="E1381" s="28" t="s">
        <v>2956</v>
      </c>
      <c r="F1381" s="28" t="s">
        <v>4461</v>
      </c>
      <c r="G1381" s="28" t="s">
        <v>1077</v>
      </c>
      <c r="H1381" s="28" t="s">
        <v>915</v>
      </c>
      <c r="I1381" s="28" t="s">
        <v>516</v>
      </c>
      <c r="J1381" s="28" t="s">
        <v>517</v>
      </c>
      <c r="K1381" s="28" t="s">
        <v>518</v>
      </c>
      <c r="L1381" s="28" t="s">
        <v>1269</v>
      </c>
      <c r="M1381" s="28" t="s">
        <v>535</v>
      </c>
      <c r="N1381" s="28" t="s">
        <v>2412</v>
      </c>
      <c r="O1381" s="28" t="s">
        <v>1637</v>
      </c>
      <c r="S1381" s="28" t="s">
        <v>803</v>
      </c>
      <c r="T1381" s="28" t="s">
        <v>896</v>
      </c>
      <c r="U1381" s="28" t="s">
        <v>1041</v>
      </c>
      <c r="V1381" s="28" t="s">
        <v>517</v>
      </c>
      <c r="W1381" s="28" t="s">
        <v>2959</v>
      </c>
      <c r="X1381" s="28" t="s">
        <v>670</v>
      </c>
      <c r="Z1381" s="118" t="s">
        <v>526</v>
      </c>
      <c r="AA1381" s="118"/>
      <c r="AB1381" s="118"/>
      <c r="AD1381" s="28" t="s">
        <v>954</v>
      </c>
      <c r="AF1381" s="117" t="s">
        <v>5462</v>
      </c>
      <c r="AG1381" s="28" t="s">
        <v>563</v>
      </c>
      <c r="AK1381" s="60" t="s">
        <v>2927</v>
      </c>
      <c r="AL1381" s="117">
        <f>1/COUNTIF(Tableau6[LAT],B1381)</f>
        <v>1</v>
      </c>
      <c r="AM1381" s="60" t="b">
        <f t="shared" si="150"/>
        <v>0</v>
      </c>
      <c r="AN1381" s="60" t="b">
        <f t="shared" si="151"/>
        <v>0</v>
      </c>
      <c r="AO1381" s="60" t="b">
        <f t="shared" si="152"/>
        <v>0</v>
      </c>
      <c r="AP1381" s="60" t="b">
        <f t="shared" si="153"/>
        <v>0</v>
      </c>
      <c r="AQ1381" s="60" t="b">
        <f t="shared" si="154"/>
        <v>0</v>
      </c>
      <c r="AR1381" s="60" t="str">
        <f t="shared" si="155"/>
        <v>No</v>
      </c>
      <c r="AS1381" s="60" t="str">
        <f t="shared" si="156"/>
        <v>No</v>
      </c>
    </row>
    <row r="1382" spans="1:45" ht="15" hidden="1">
      <c r="A1382" s="103">
        <v>45244</v>
      </c>
      <c r="B1382" s="117" t="s">
        <v>5463</v>
      </c>
      <c r="C1382" s="28" t="s">
        <v>511</v>
      </c>
      <c r="D1382" s="28" t="s">
        <v>5464</v>
      </c>
      <c r="E1382" s="28" t="s">
        <v>5465</v>
      </c>
      <c r="F1382" s="28" t="s">
        <v>5466</v>
      </c>
      <c r="G1382" s="28" t="s">
        <v>2675</v>
      </c>
      <c r="H1382" s="28" t="s">
        <v>1387</v>
      </c>
      <c r="I1382" s="28" t="s">
        <v>516</v>
      </c>
      <c r="J1382" s="28" t="s">
        <v>517</v>
      </c>
      <c r="K1382" s="28" t="s">
        <v>518</v>
      </c>
      <c r="L1382" s="28" t="s">
        <v>981</v>
      </c>
      <c r="M1382" s="28" t="s">
        <v>535</v>
      </c>
      <c r="N1382" s="28" t="s">
        <v>522</v>
      </c>
      <c r="S1382" s="28" t="s">
        <v>5467</v>
      </c>
      <c r="T1382" s="28" t="s">
        <v>982</v>
      </c>
      <c r="U1382" s="28" t="s">
        <v>982</v>
      </c>
      <c r="V1382" s="28" t="s">
        <v>517</v>
      </c>
      <c r="W1382" s="28" t="s">
        <v>3471</v>
      </c>
      <c r="X1382" s="28" t="s">
        <v>1913</v>
      </c>
      <c r="Z1382" s="118" t="s">
        <v>563</v>
      </c>
      <c r="AA1382" s="118"/>
      <c r="AB1382" s="73" t="s">
        <v>4506</v>
      </c>
      <c r="AD1382" s="28" t="s">
        <v>528</v>
      </c>
      <c r="AF1382" s="117" t="s">
        <v>5464</v>
      </c>
      <c r="AG1382" s="28" t="s">
        <v>529</v>
      </c>
      <c r="AK1382" s="60" t="s">
        <v>2927</v>
      </c>
      <c r="AL1382" s="117">
        <f>1/COUNTIF(Tableau6[LAT],B1382)</f>
        <v>1</v>
      </c>
      <c r="AM1382" s="60" t="b">
        <f t="shared" si="150"/>
        <v>0</v>
      </c>
      <c r="AN1382" s="60" t="b">
        <f t="shared" si="151"/>
        <v>0</v>
      </c>
      <c r="AO1382" s="60" t="b">
        <f t="shared" si="152"/>
        <v>0</v>
      </c>
      <c r="AP1382" s="60" t="b">
        <f t="shared" si="153"/>
        <v>0</v>
      </c>
      <c r="AQ1382" s="60" t="b">
        <f t="shared" si="154"/>
        <v>0</v>
      </c>
      <c r="AR1382" s="60" t="str">
        <f t="shared" si="155"/>
        <v>No</v>
      </c>
      <c r="AS1382" s="60" t="str">
        <f t="shared" si="156"/>
        <v>No</v>
      </c>
    </row>
    <row r="1383" spans="1:45" ht="15" hidden="1">
      <c r="A1383" s="103">
        <v>45244</v>
      </c>
      <c r="B1383" s="117" t="s">
        <v>5468</v>
      </c>
      <c r="C1383" s="28" t="s">
        <v>511</v>
      </c>
      <c r="D1383" s="28" t="s">
        <v>5469</v>
      </c>
      <c r="F1383" s="28" t="s">
        <v>5470</v>
      </c>
      <c r="G1383" s="28" t="s">
        <v>514</v>
      </c>
      <c r="H1383" s="28" t="s">
        <v>2732</v>
      </c>
      <c r="I1383" s="28" t="s">
        <v>516</v>
      </c>
      <c r="J1383" s="28" t="s">
        <v>517</v>
      </c>
      <c r="K1383" s="28" t="s">
        <v>518</v>
      </c>
      <c r="L1383" s="28" t="s">
        <v>2363</v>
      </c>
      <c r="M1383" s="28" t="s">
        <v>535</v>
      </c>
      <c r="N1383" s="28" t="s">
        <v>544</v>
      </c>
      <c r="S1383" s="28" t="s">
        <v>5417</v>
      </c>
      <c r="T1383" s="28" t="s">
        <v>2364</v>
      </c>
      <c r="U1383" s="28" t="s">
        <v>2364</v>
      </c>
      <c r="V1383" s="28" t="s">
        <v>517</v>
      </c>
      <c r="W1383" s="28" t="s">
        <v>5471</v>
      </c>
      <c r="Z1383" s="118" t="s">
        <v>526</v>
      </c>
      <c r="AA1383" s="118"/>
      <c r="AB1383" s="118"/>
      <c r="AD1383" s="28" t="s">
        <v>954</v>
      </c>
      <c r="AF1383" s="117" t="s">
        <v>5469</v>
      </c>
      <c r="AG1383" s="28" t="s">
        <v>563</v>
      </c>
      <c r="AK1383" s="60" t="s">
        <v>2927</v>
      </c>
      <c r="AL1383" s="117">
        <f>1/COUNTIF(Tableau6[LAT],B1383)</f>
        <v>1</v>
      </c>
      <c r="AM1383" s="60" t="b">
        <f t="shared" si="150"/>
        <v>0</v>
      </c>
      <c r="AN1383" s="60" t="b">
        <f t="shared" si="151"/>
        <v>0</v>
      </c>
      <c r="AO1383" s="60" t="b">
        <f t="shared" si="152"/>
        <v>0</v>
      </c>
      <c r="AP1383" s="60" t="b">
        <f t="shared" si="153"/>
        <v>0</v>
      </c>
      <c r="AQ1383" s="60" t="b">
        <f t="shared" si="154"/>
        <v>0</v>
      </c>
      <c r="AR1383" s="60" t="str">
        <f t="shared" si="155"/>
        <v>No</v>
      </c>
      <c r="AS1383" s="60" t="str">
        <f t="shared" si="156"/>
        <v>No</v>
      </c>
    </row>
    <row r="1384" spans="1:45" ht="15" hidden="1">
      <c r="A1384" s="103">
        <v>45244</v>
      </c>
      <c r="B1384" s="117" t="s">
        <v>5472</v>
      </c>
      <c r="C1384" s="28" t="s">
        <v>511</v>
      </c>
      <c r="D1384" s="28" t="s">
        <v>5473</v>
      </c>
      <c r="F1384" s="28" t="s">
        <v>2625</v>
      </c>
      <c r="G1384" s="28" t="s">
        <v>2895</v>
      </c>
      <c r="H1384" s="28" t="s">
        <v>515</v>
      </c>
      <c r="I1384" s="28" t="s">
        <v>516</v>
      </c>
      <c r="J1384" s="28" t="s">
        <v>517</v>
      </c>
      <c r="K1384" s="28" t="s">
        <v>518</v>
      </c>
      <c r="L1384" s="28" t="s">
        <v>1787</v>
      </c>
      <c r="M1384" s="28" t="s">
        <v>535</v>
      </c>
      <c r="S1384" s="28" t="s">
        <v>2909</v>
      </c>
      <c r="T1384" s="28" t="s">
        <v>581</v>
      </c>
      <c r="U1384" s="28" t="s">
        <v>581</v>
      </c>
      <c r="V1384" s="28" t="s">
        <v>517</v>
      </c>
      <c r="W1384" s="28" t="s">
        <v>1788</v>
      </c>
      <c r="Z1384" s="118" t="s">
        <v>563</v>
      </c>
      <c r="AA1384" s="118"/>
      <c r="AB1384" s="73" t="s">
        <v>4506</v>
      </c>
      <c r="AD1384" s="28" t="s">
        <v>528</v>
      </c>
      <c r="AF1384" s="117" t="s">
        <v>5473</v>
      </c>
      <c r="AG1384" s="28" t="s">
        <v>529</v>
      </c>
      <c r="AK1384" s="60" t="s">
        <v>2927</v>
      </c>
      <c r="AL1384" s="117">
        <f>1/COUNTIF(Tableau6[LAT],B1384)</f>
        <v>1</v>
      </c>
      <c r="AM1384" s="60" t="b">
        <f t="shared" si="150"/>
        <v>0</v>
      </c>
      <c r="AN1384" s="60" t="b">
        <f t="shared" si="151"/>
        <v>0</v>
      </c>
      <c r="AO1384" s="60" t="b">
        <f t="shared" si="152"/>
        <v>0</v>
      </c>
      <c r="AP1384" s="60" t="b">
        <f t="shared" si="153"/>
        <v>0</v>
      </c>
      <c r="AQ1384" s="60" t="b">
        <f t="shared" si="154"/>
        <v>0</v>
      </c>
      <c r="AR1384" s="60" t="str">
        <f t="shared" si="155"/>
        <v>No</v>
      </c>
      <c r="AS1384" s="60" t="str">
        <f t="shared" si="156"/>
        <v>No</v>
      </c>
    </row>
    <row r="1385" spans="1:45" ht="15" hidden="1">
      <c r="A1385" s="103">
        <v>45244</v>
      </c>
      <c r="B1385" s="117" t="s">
        <v>5474</v>
      </c>
      <c r="C1385" s="28" t="s">
        <v>511</v>
      </c>
      <c r="D1385" s="28" t="s">
        <v>5475</v>
      </c>
      <c r="F1385" s="28" t="s">
        <v>5476</v>
      </c>
      <c r="G1385" s="28" t="s">
        <v>1886</v>
      </c>
      <c r="H1385" s="28" t="s">
        <v>1360</v>
      </c>
      <c r="I1385" s="28" t="s">
        <v>516</v>
      </c>
      <c r="J1385" s="28" t="s">
        <v>517</v>
      </c>
      <c r="K1385" s="28" t="s">
        <v>518</v>
      </c>
      <c r="L1385" s="28" t="s">
        <v>717</v>
      </c>
      <c r="M1385" s="28" t="s">
        <v>535</v>
      </c>
      <c r="N1385" s="28" t="s">
        <v>559</v>
      </c>
      <c r="S1385" s="28" t="s">
        <v>606</v>
      </c>
      <c r="T1385" s="28" t="s">
        <v>719</v>
      </c>
      <c r="U1385" s="28" t="s">
        <v>719</v>
      </c>
      <c r="V1385" s="28" t="s">
        <v>517</v>
      </c>
      <c r="W1385" s="28" t="s">
        <v>5477</v>
      </c>
      <c r="Z1385" s="118" t="s">
        <v>526</v>
      </c>
      <c r="AA1385" s="118"/>
      <c r="AB1385" s="118"/>
      <c r="AD1385" s="28" t="s">
        <v>954</v>
      </c>
      <c r="AF1385" s="117" t="s">
        <v>5475</v>
      </c>
      <c r="AG1385" s="28" t="s">
        <v>563</v>
      </c>
      <c r="AK1385" s="60" t="s">
        <v>2927</v>
      </c>
      <c r="AL1385" s="117">
        <f>1/COUNTIF(Tableau6[LAT],B1385)</f>
        <v>0.5</v>
      </c>
      <c r="AM1385" s="60" t="b">
        <f t="shared" si="150"/>
        <v>0</v>
      </c>
      <c r="AN1385" s="60" t="b">
        <f t="shared" si="151"/>
        <v>0</v>
      </c>
      <c r="AO1385" s="60" t="b">
        <f t="shared" si="152"/>
        <v>0</v>
      </c>
      <c r="AP1385" s="60" t="b">
        <f t="shared" si="153"/>
        <v>0</v>
      </c>
      <c r="AQ1385" s="60" t="b">
        <f t="shared" si="154"/>
        <v>0</v>
      </c>
      <c r="AR1385" s="60" t="str">
        <f t="shared" si="155"/>
        <v>No</v>
      </c>
      <c r="AS1385" s="60" t="str">
        <f t="shared" si="156"/>
        <v>No</v>
      </c>
    </row>
    <row r="1386" spans="1:45" ht="15" hidden="1">
      <c r="A1386" s="103">
        <v>45244</v>
      </c>
      <c r="B1386" s="117" t="s">
        <v>5474</v>
      </c>
      <c r="C1386" s="28" t="s">
        <v>548</v>
      </c>
      <c r="D1386" s="28" t="s">
        <v>5478</v>
      </c>
      <c r="F1386" s="28" t="s">
        <v>5479</v>
      </c>
      <c r="G1386" s="28" t="s">
        <v>2675</v>
      </c>
      <c r="H1386" s="28" t="s">
        <v>1003</v>
      </c>
      <c r="I1386" s="28" t="s">
        <v>516</v>
      </c>
      <c r="J1386" s="28" t="s">
        <v>517</v>
      </c>
      <c r="K1386" s="28" t="s">
        <v>518</v>
      </c>
      <c r="L1386" s="28" t="s">
        <v>717</v>
      </c>
      <c r="M1386" s="28" t="s">
        <v>535</v>
      </c>
      <c r="N1386" s="28" t="s">
        <v>559</v>
      </c>
      <c r="S1386" s="28" t="s">
        <v>606</v>
      </c>
      <c r="T1386" s="28" t="s">
        <v>719</v>
      </c>
      <c r="U1386" s="28" t="s">
        <v>719</v>
      </c>
      <c r="V1386" s="28" t="s">
        <v>517</v>
      </c>
      <c r="W1386" s="28" t="s">
        <v>5480</v>
      </c>
      <c r="Z1386" s="118" t="s">
        <v>526</v>
      </c>
      <c r="AA1386" s="118"/>
      <c r="AB1386" s="118"/>
      <c r="AD1386" s="28" t="s">
        <v>954</v>
      </c>
      <c r="AF1386" s="117" t="s">
        <v>5478</v>
      </c>
      <c r="AG1386" s="28" t="s">
        <v>563</v>
      </c>
      <c r="AK1386" s="60" t="s">
        <v>2927</v>
      </c>
      <c r="AL1386" s="117">
        <f>1/COUNTIF(Tableau6[LAT],B1386)</f>
        <v>0.5</v>
      </c>
      <c r="AM1386" s="60" t="b">
        <f t="shared" si="150"/>
        <v>0</v>
      </c>
      <c r="AN1386" s="60" t="b">
        <f t="shared" si="151"/>
        <v>0</v>
      </c>
      <c r="AO1386" s="60" t="b">
        <f t="shared" si="152"/>
        <v>0</v>
      </c>
      <c r="AP1386" s="60" t="b">
        <f t="shared" si="153"/>
        <v>0</v>
      </c>
      <c r="AQ1386" s="60" t="b">
        <f t="shared" si="154"/>
        <v>0</v>
      </c>
      <c r="AR1386" s="60" t="str">
        <f t="shared" si="155"/>
        <v>No</v>
      </c>
      <c r="AS1386" s="60" t="str">
        <f t="shared" si="156"/>
        <v>No</v>
      </c>
    </row>
    <row r="1387" spans="1:45" ht="15" hidden="1">
      <c r="A1387" s="103">
        <v>45244</v>
      </c>
      <c r="B1387" s="117" t="s">
        <v>5481</v>
      </c>
      <c r="C1387" s="28" t="s">
        <v>511</v>
      </c>
      <c r="D1387" s="28" t="s">
        <v>5482</v>
      </c>
      <c r="E1387" s="28" t="s">
        <v>5483</v>
      </c>
      <c r="F1387" s="28" t="s">
        <v>5484</v>
      </c>
      <c r="G1387" s="28" t="s">
        <v>4089</v>
      </c>
      <c r="H1387" s="28" t="s">
        <v>5485</v>
      </c>
      <c r="I1387" s="28" t="s">
        <v>516</v>
      </c>
      <c r="J1387" s="28" t="s">
        <v>517</v>
      </c>
      <c r="K1387" s="28" t="s">
        <v>518</v>
      </c>
      <c r="L1387" s="28" t="s">
        <v>697</v>
      </c>
      <c r="M1387" s="28" t="s">
        <v>605</v>
      </c>
      <c r="N1387" s="28" t="s">
        <v>2412</v>
      </c>
      <c r="O1387" s="28" t="s">
        <v>1637</v>
      </c>
      <c r="S1387" s="28" t="s">
        <v>803</v>
      </c>
      <c r="T1387" s="28" t="s">
        <v>699</v>
      </c>
      <c r="U1387" s="28" t="s">
        <v>699</v>
      </c>
      <c r="V1387" s="28" t="s">
        <v>517</v>
      </c>
      <c r="W1387" s="28" t="s">
        <v>5486</v>
      </c>
      <c r="X1387" s="28" t="s">
        <v>670</v>
      </c>
      <c r="Z1387" s="118" t="s">
        <v>563</v>
      </c>
      <c r="AA1387" s="118"/>
      <c r="AB1387" s="73" t="s">
        <v>4506</v>
      </c>
      <c r="AD1387" s="28" t="s">
        <v>528</v>
      </c>
      <c r="AF1387" s="117" t="s">
        <v>5482</v>
      </c>
      <c r="AG1387" s="28" t="s">
        <v>529</v>
      </c>
      <c r="AK1387" s="60" t="s">
        <v>2927</v>
      </c>
      <c r="AL1387" s="117">
        <f>1/COUNTIF(Tableau6[LAT],B1387)</f>
        <v>1</v>
      </c>
      <c r="AM1387" s="60" t="b">
        <f t="shared" si="150"/>
        <v>0</v>
      </c>
      <c r="AN1387" s="60" t="b">
        <f t="shared" si="151"/>
        <v>0</v>
      </c>
      <c r="AO1387" s="60" t="b">
        <f t="shared" si="152"/>
        <v>0</v>
      </c>
      <c r="AP1387" s="60" t="b">
        <f t="shared" si="153"/>
        <v>0</v>
      </c>
      <c r="AQ1387" s="60" t="b">
        <f t="shared" si="154"/>
        <v>0</v>
      </c>
      <c r="AR1387" s="60" t="str">
        <f t="shared" si="155"/>
        <v>No</v>
      </c>
      <c r="AS1387" s="60" t="str">
        <f t="shared" si="156"/>
        <v>No</v>
      </c>
    </row>
    <row r="1388" spans="1:45" ht="15" hidden="1">
      <c r="A1388" s="103">
        <v>45244</v>
      </c>
      <c r="B1388" s="117" t="s">
        <v>5487</v>
      </c>
      <c r="C1388" s="28" t="s">
        <v>511</v>
      </c>
      <c r="D1388" s="28" t="s">
        <v>5488</v>
      </c>
      <c r="F1388" s="28" t="s">
        <v>3483</v>
      </c>
      <c r="G1388" s="28" t="s">
        <v>665</v>
      </c>
      <c r="H1388" s="28" t="s">
        <v>4398</v>
      </c>
      <c r="I1388" s="28" t="s">
        <v>516</v>
      </c>
      <c r="J1388" s="28" t="s">
        <v>517</v>
      </c>
      <c r="K1388" s="28" t="s">
        <v>518</v>
      </c>
      <c r="L1388" s="28" t="s">
        <v>697</v>
      </c>
      <c r="M1388" s="28" t="s">
        <v>1374</v>
      </c>
      <c r="N1388" s="28" t="s">
        <v>2412</v>
      </c>
      <c r="O1388" s="28" t="s">
        <v>1637</v>
      </c>
      <c r="S1388" s="28" t="s">
        <v>803</v>
      </c>
      <c r="T1388" s="28" t="s">
        <v>699</v>
      </c>
      <c r="U1388" s="28" t="s">
        <v>699</v>
      </c>
      <c r="V1388" s="28" t="s">
        <v>517</v>
      </c>
      <c r="W1388" s="28" t="s">
        <v>5489</v>
      </c>
      <c r="Z1388" s="118" t="s">
        <v>563</v>
      </c>
      <c r="AA1388" s="118"/>
      <c r="AB1388" s="73" t="s">
        <v>4506</v>
      </c>
      <c r="AD1388" s="28" t="s">
        <v>528</v>
      </c>
      <c r="AF1388" s="117" t="s">
        <v>5488</v>
      </c>
      <c r="AG1388" s="28" t="s">
        <v>529</v>
      </c>
      <c r="AK1388" s="60" t="s">
        <v>2927</v>
      </c>
      <c r="AL1388" s="117">
        <f>1/COUNTIF(Tableau6[LAT],B1388)</f>
        <v>1</v>
      </c>
      <c r="AM1388" s="60" t="b">
        <f t="shared" si="150"/>
        <v>0</v>
      </c>
      <c r="AN1388" s="60" t="b">
        <f t="shared" si="151"/>
        <v>0</v>
      </c>
      <c r="AO1388" s="60" t="b">
        <f t="shared" si="152"/>
        <v>0</v>
      </c>
      <c r="AP1388" s="60" t="b">
        <f t="shared" si="153"/>
        <v>0</v>
      </c>
      <c r="AQ1388" s="60" t="b">
        <f t="shared" si="154"/>
        <v>0</v>
      </c>
      <c r="AR1388" s="60" t="str">
        <f t="shared" si="155"/>
        <v>No</v>
      </c>
      <c r="AS1388" s="60" t="str">
        <f t="shared" si="156"/>
        <v>No</v>
      </c>
    </row>
    <row r="1389" spans="1:45" ht="15" hidden="1">
      <c r="A1389" s="103">
        <v>45244</v>
      </c>
      <c r="B1389" s="117" t="s">
        <v>5490</v>
      </c>
      <c r="C1389" s="28" t="s">
        <v>511</v>
      </c>
      <c r="D1389" s="28" t="s">
        <v>5491</v>
      </c>
      <c r="E1389" s="28" t="s">
        <v>5492</v>
      </c>
      <c r="F1389" s="28" t="s">
        <v>2055</v>
      </c>
      <c r="G1389" s="28" t="s">
        <v>5493</v>
      </c>
      <c r="H1389" s="28" t="s">
        <v>5494</v>
      </c>
      <c r="I1389" s="28" t="s">
        <v>516</v>
      </c>
      <c r="J1389" s="28" t="s">
        <v>517</v>
      </c>
      <c r="K1389" s="28" t="s">
        <v>518</v>
      </c>
      <c r="L1389" s="28" t="s">
        <v>739</v>
      </c>
      <c r="M1389" s="28" t="s">
        <v>535</v>
      </c>
      <c r="N1389" s="28" t="s">
        <v>2412</v>
      </c>
      <c r="O1389" s="28" t="s">
        <v>1637</v>
      </c>
      <c r="S1389" s="28" t="s">
        <v>803</v>
      </c>
      <c r="T1389" s="28" t="s">
        <v>741</v>
      </c>
      <c r="U1389" s="28" t="s">
        <v>741</v>
      </c>
      <c r="V1389" s="28" t="s">
        <v>517</v>
      </c>
      <c r="W1389" s="28" t="s">
        <v>5495</v>
      </c>
      <c r="X1389" s="28" t="s">
        <v>670</v>
      </c>
      <c r="Z1389" s="118" t="s">
        <v>526</v>
      </c>
      <c r="AA1389" s="118"/>
      <c r="AB1389" s="118"/>
      <c r="AD1389" s="28" t="s">
        <v>954</v>
      </c>
      <c r="AF1389" s="117" t="s">
        <v>5491</v>
      </c>
      <c r="AG1389" s="28" t="s">
        <v>563</v>
      </c>
      <c r="AK1389" s="60" t="s">
        <v>2927</v>
      </c>
      <c r="AL1389" s="117">
        <f>1/COUNTIF(Tableau6[LAT],B1389)</f>
        <v>1</v>
      </c>
      <c r="AM1389" s="60" t="b">
        <f t="shared" si="150"/>
        <v>0</v>
      </c>
      <c r="AN1389" s="60" t="b">
        <f t="shared" si="151"/>
        <v>0</v>
      </c>
      <c r="AO1389" s="60" t="b">
        <f t="shared" si="152"/>
        <v>0</v>
      </c>
      <c r="AP1389" s="60" t="b">
        <f t="shared" si="153"/>
        <v>0</v>
      </c>
      <c r="AQ1389" s="60" t="b">
        <f t="shared" si="154"/>
        <v>0</v>
      </c>
      <c r="AR1389" s="60" t="str">
        <f t="shared" si="155"/>
        <v>No</v>
      </c>
      <c r="AS1389" s="60" t="str">
        <f t="shared" si="156"/>
        <v>No</v>
      </c>
    </row>
    <row r="1390" spans="1:45" ht="15" hidden="1">
      <c r="A1390" s="103">
        <v>45244</v>
      </c>
      <c r="B1390" s="117" t="s">
        <v>5496</v>
      </c>
      <c r="C1390" s="28" t="s">
        <v>511</v>
      </c>
      <c r="D1390" s="28" t="s">
        <v>5497</v>
      </c>
      <c r="E1390" s="28" t="s">
        <v>2956</v>
      </c>
      <c r="F1390" s="28" t="s">
        <v>696</v>
      </c>
      <c r="G1390" s="28" t="s">
        <v>724</v>
      </c>
      <c r="H1390" s="28" t="s">
        <v>1156</v>
      </c>
      <c r="I1390" s="28" t="s">
        <v>516</v>
      </c>
      <c r="J1390" s="28" t="s">
        <v>517</v>
      </c>
      <c r="K1390" s="28" t="s">
        <v>518</v>
      </c>
      <c r="L1390" s="28" t="s">
        <v>1269</v>
      </c>
      <c r="M1390" s="28" t="s">
        <v>535</v>
      </c>
      <c r="N1390" s="28" t="s">
        <v>2412</v>
      </c>
      <c r="O1390" s="28" t="s">
        <v>1637</v>
      </c>
      <c r="S1390" s="28" t="s">
        <v>803</v>
      </c>
      <c r="T1390" s="28" t="s">
        <v>896</v>
      </c>
      <c r="U1390" s="28" t="s">
        <v>1041</v>
      </c>
      <c r="V1390" s="28" t="s">
        <v>517</v>
      </c>
      <c r="W1390" s="28" t="s">
        <v>2959</v>
      </c>
      <c r="X1390" s="28" t="s">
        <v>670</v>
      </c>
      <c r="Z1390" s="118" t="s">
        <v>526</v>
      </c>
      <c r="AA1390" s="118"/>
      <c r="AB1390" s="118"/>
      <c r="AD1390" s="28" t="s">
        <v>954</v>
      </c>
      <c r="AF1390" s="117" t="s">
        <v>5497</v>
      </c>
      <c r="AG1390" s="28" t="s">
        <v>563</v>
      </c>
      <c r="AK1390" s="60" t="s">
        <v>2927</v>
      </c>
      <c r="AL1390" s="117">
        <f>1/COUNTIF(Tableau6[LAT],B1390)</f>
        <v>1</v>
      </c>
      <c r="AM1390" s="60" t="b">
        <f t="shared" si="150"/>
        <v>0</v>
      </c>
      <c r="AN1390" s="60" t="b">
        <f t="shared" si="151"/>
        <v>0</v>
      </c>
      <c r="AO1390" s="60" t="b">
        <f t="shared" si="152"/>
        <v>0</v>
      </c>
      <c r="AP1390" s="60" t="b">
        <f t="shared" si="153"/>
        <v>0</v>
      </c>
      <c r="AQ1390" s="60" t="b">
        <f t="shared" si="154"/>
        <v>0</v>
      </c>
      <c r="AR1390" s="60" t="str">
        <f t="shared" si="155"/>
        <v>No</v>
      </c>
      <c r="AS1390" s="60" t="str">
        <f t="shared" si="156"/>
        <v>No</v>
      </c>
    </row>
    <row r="1391" spans="1:45" ht="15" hidden="1">
      <c r="A1391" s="103">
        <v>45244</v>
      </c>
      <c r="B1391" s="117" t="s">
        <v>5498</v>
      </c>
      <c r="C1391" s="28" t="s">
        <v>511</v>
      </c>
      <c r="D1391" s="28" t="s">
        <v>5499</v>
      </c>
      <c r="E1391" s="28" t="s">
        <v>5500</v>
      </c>
      <c r="F1391" s="28" t="s">
        <v>5501</v>
      </c>
      <c r="G1391" s="28" t="s">
        <v>724</v>
      </c>
      <c r="H1391" s="28" t="s">
        <v>5502</v>
      </c>
      <c r="I1391" s="28" t="s">
        <v>516</v>
      </c>
      <c r="J1391" s="28" t="s">
        <v>517</v>
      </c>
      <c r="K1391" s="28" t="s">
        <v>518</v>
      </c>
      <c r="L1391" s="28" t="s">
        <v>1536</v>
      </c>
      <c r="M1391" s="28" t="s">
        <v>802</v>
      </c>
      <c r="N1391" s="28" t="s">
        <v>1430</v>
      </c>
      <c r="O1391" s="28" t="s">
        <v>934</v>
      </c>
      <c r="P1391" s="28" t="s">
        <v>544</v>
      </c>
      <c r="Q1391" s="28" t="s">
        <v>522</v>
      </c>
      <c r="S1391" s="28" t="s">
        <v>606</v>
      </c>
      <c r="T1391" s="28" t="s">
        <v>1537</v>
      </c>
      <c r="U1391" s="28" t="s">
        <v>1537</v>
      </c>
      <c r="V1391" s="28" t="s">
        <v>517</v>
      </c>
      <c r="W1391" s="28" t="s">
        <v>5503</v>
      </c>
      <c r="X1391" s="28" t="s">
        <v>670</v>
      </c>
      <c r="Z1391" s="118" t="s">
        <v>526</v>
      </c>
      <c r="AA1391" s="118"/>
      <c r="AB1391" s="118"/>
      <c r="AD1391" s="28" t="s">
        <v>954</v>
      </c>
      <c r="AF1391" s="117" t="s">
        <v>5499</v>
      </c>
      <c r="AG1391" s="28" t="s">
        <v>563</v>
      </c>
      <c r="AK1391" s="60" t="s">
        <v>2927</v>
      </c>
      <c r="AL1391" s="117">
        <f>1/COUNTIF(Tableau6[LAT],B1391)</f>
        <v>1</v>
      </c>
      <c r="AM1391" s="60" t="b">
        <f t="shared" si="150"/>
        <v>0</v>
      </c>
      <c r="AN1391" s="60" t="b">
        <f t="shared" si="151"/>
        <v>0</v>
      </c>
      <c r="AO1391" s="60" t="b">
        <f t="shared" si="152"/>
        <v>0</v>
      </c>
      <c r="AP1391" s="60" t="b">
        <f t="shared" si="153"/>
        <v>0</v>
      </c>
      <c r="AQ1391" s="60" t="b">
        <f t="shared" si="154"/>
        <v>0</v>
      </c>
      <c r="AR1391" s="60" t="str">
        <f t="shared" si="155"/>
        <v>No</v>
      </c>
      <c r="AS1391" s="60" t="str">
        <f t="shared" si="156"/>
        <v>No</v>
      </c>
    </row>
    <row r="1392" spans="1:45" ht="15" hidden="1">
      <c r="A1392" s="103">
        <v>45244</v>
      </c>
      <c r="B1392" s="117" t="s">
        <v>5504</v>
      </c>
      <c r="C1392" s="28" t="s">
        <v>511</v>
      </c>
      <c r="D1392" s="28" t="s">
        <v>5505</v>
      </c>
      <c r="F1392" s="28" t="s">
        <v>5506</v>
      </c>
      <c r="G1392" s="28" t="s">
        <v>514</v>
      </c>
      <c r="H1392" s="28" t="s">
        <v>952</v>
      </c>
      <c r="I1392" s="28" t="s">
        <v>516</v>
      </c>
      <c r="J1392" s="28" t="s">
        <v>517</v>
      </c>
      <c r="K1392" s="28" t="s">
        <v>518</v>
      </c>
      <c r="L1392" s="28" t="s">
        <v>3639</v>
      </c>
      <c r="M1392" s="28" t="s">
        <v>535</v>
      </c>
      <c r="N1392" s="28" t="s">
        <v>1382</v>
      </c>
      <c r="O1392" s="28" t="s">
        <v>1383</v>
      </c>
      <c r="P1392" s="28" t="s">
        <v>521</v>
      </c>
      <c r="Q1392" s="28" t="s">
        <v>522</v>
      </c>
      <c r="S1392" s="28" t="s">
        <v>2199</v>
      </c>
      <c r="T1392" s="28" t="s">
        <v>3640</v>
      </c>
      <c r="U1392" s="28" t="s">
        <v>3640</v>
      </c>
      <c r="V1392" s="28" t="s">
        <v>517</v>
      </c>
      <c r="W1392" s="28" t="s">
        <v>5507</v>
      </c>
      <c r="Z1392" s="118" t="s">
        <v>563</v>
      </c>
      <c r="AA1392" s="118"/>
      <c r="AB1392" s="118" t="s">
        <v>527</v>
      </c>
      <c r="AD1392" s="28" t="s">
        <v>528</v>
      </c>
      <c r="AF1392" s="117" t="s">
        <v>5505</v>
      </c>
      <c r="AG1392" s="28" t="s">
        <v>529</v>
      </c>
      <c r="AK1392" s="60" t="s">
        <v>2927</v>
      </c>
      <c r="AL1392" s="117">
        <f>1/COUNTIF(Tableau6[LAT],B1392)</f>
        <v>1</v>
      </c>
      <c r="AM1392" s="60" t="b">
        <f t="shared" si="150"/>
        <v>0</v>
      </c>
      <c r="AN1392" s="60" t="b">
        <f t="shared" si="151"/>
        <v>0</v>
      </c>
      <c r="AO1392" s="60" t="b">
        <f t="shared" si="152"/>
        <v>0</v>
      </c>
      <c r="AP1392" s="60" t="b">
        <f t="shared" si="153"/>
        <v>0</v>
      </c>
      <c r="AQ1392" s="60" t="b">
        <f t="shared" si="154"/>
        <v>0</v>
      </c>
      <c r="AR1392" s="60" t="str">
        <f t="shared" si="155"/>
        <v>No</v>
      </c>
      <c r="AS1392" s="60" t="str">
        <f t="shared" si="156"/>
        <v>No</v>
      </c>
    </row>
    <row r="1393" spans="1:45" ht="15" hidden="1">
      <c r="A1393" s="103">
        <v>45244</v>
      </c>
      <c r="B1393" s="117" t="s">
        <v>5508</v>
      </c>
      <c r="C1393" s="28" t="s">
        <v>511</v>
      </c>
      <c r="D1393" s="28" t="s">
        <v>5509</v>
      </c>
      <c r="F1393" s="28" t="s">
        <v>3125</v>
      </c>
      <c r="G1393" s="28" t="s">
        <v>514</v>
      </c>
      <c r="H1393" s="28" t="s">
        <v>2679</v>
      </c>
      <c r="I1393" s="28" t="s">
        <v>516</v>
      </c>
      <c r="J1393" s="28" t="s">
        <v>517</v>
      </c>
      <c r="K1393" s="28" t="s">
        <v>518</v>
      </c>
      <c r="L1393" s="28" t="s">
        <v>751</v>
      </c>
      <c r="M1393" s="28" t="s">
        <v>605</v>
      </c>
      <c r="S1393" s="28" t="s">
        <v>5510</v>
      </c>
      <c r="T1393" s="28" t="s">
        <v>753</v>
      </c>
      <c r="U1393" s="28" t="s">
        <v>753</v>
      </c>
      <c r="V1393" s="28" t="s">
        <v>517</v>
      </c>
      <c r="W1393" s="28" t="s">
        <v>5511</v>
      </c>
      <c r="Z1393" s="118" t="s">
        <v>563</v>
      </c>
      <c r="AA1393" s="118"/>
      <c r="AB1393" s="73" t="s">
        <v>4506</v>
      </c>
      <c r="AD1393" s="28" t="s">
        <v>528</v>
      </c>
      <c r="AF1393" s="117" t="s">
        <v>5509</v>
      </c>
      <c r="AG1393" s="28" t="s">
        <v>529</v>
      </c>
      <c r="AK1393" s="60" t="s">
        <v>2927</v>
      </c>
      <c r="AL1393" s="117">
        <f>1/COUNTIF(Tableau6[LAT],B1393)</f>
        <v>1</v>
      </c>
      <c r="AM1393" s="60" t="b">
        <f t="shared" si="150"/>
        <v>0</v>
      </c>
      <c r="AN1393" s="60" t="b">
        <f t="shared" si="151"/>
        <v>0</v>
      </c>
      <c r="AO1393" s="60" t="b">
        <f t="shared" si="152"/>
        <v>0</v>
      </c>
      <c r="AP1393" s="60" t="b">
        <f t="shared" si="153"/>
        <v>0</v>
      </c>
      <c r="AQ1393" s="60" t="b">
        <f t="shared" si="154"/>
        <v>0</v>
      </c>
      <c r="AR1393" s="60" t="str">
        <f t="shared" si="155"/>
        <v>No</v>
      </c>
      <c r="AS1393" s="60" t="str">
        <f t="shared" si="156"/>
        <v>No</v>
      </c>
    </row>
    <row r="1394" spans="1:45" ht="15">
      <c r="A1394" s="103">
        <v>45244</v>
      </c>
      <c r="B1394" s="28" t="s">
        <v>5512</v>
      </c>
      <c r="C1394" s="28" t="s">
        <v>511</v>
      </c>
      <c r="D1394" s="28" t="s">
        <v>5513</v>
      </c>
      <c r="F1394" s="28" t="s">
        <v>3349</v>
      </c>
      <c r="G1394" s="28" t="s">
        <v>958</v>
      </c>
      <c r="H1394" s="28" t="s">
        <v>2964</v>
      </c>
      <c r="I1394" s="28" t="s">
        <v>517</v>
      </c>
      <c r="J1394" s="28" t="s">
        <v>517</v>
      </c>
      <c r="K1394" s="28" t="s">
        <v>682</v>
      </c>
      <c r="L1394" s="28" t="s">
        <v>683</v>
      </c>
      <c r="M1394" s="28" t="s">
        <v>535</v>
      </c>
      <c r="N1394" s="28" t="s">
        <v>626</v>
      </c>
      <c r="S1394" s="28" t="s">
        <v>573</v>
      </c>
      <c r="T1394" s="28" t="s">
        <v>545</v>
      </c>
      <c r="U1394" s="28" t="s">
        <v>545</v>
      </c>
      <c r="V1394" s="28" t="s">
        <v>517</v>
      </c>
      <c r="W1394" s="28" t="s">
        <v>5514</v>
      </c>
      <c r="Z1394" s="118" t="s">
        <v>563</v>
      </c>
      <c r="AA1394" s="118"/>
      <c r="AB1394" s="118" t="s">
        <v>4506</v>
      </c>
      <c r="AD1394" s="28" t="s">
        <v>528</v>
      </c>
      <c r="AF1394" s="117" t="s">
        <v>5513</v>
      </c>
      <c r="AG1394" s="28" t="s">
        <v>563</v>
      </c>
      <c r="AK1394" s="60" t="s">
        <v>5515</v>
      </c>
      <c r="AL1394" s="117">
        <f>1/COUNTIF(Tableau6[LAT],B1394)</f>
        <v>1</v>
      </c>
      <c r="AM1394" s="60" t="b">
        <f t="shared" ref="AM1394:AM1457" si="157">IF(N1394="ALM","Yes",IF(N1394="ALI","Yes",IF(N1394="CAO","Yes",IF(N1394="ICE","Yes",IF(N1394="MAG","Yes",IF(N1394="MAG","Yes",IF(N1394="RBI","Yes",IF(N1394="RBM","Yes",IF(N1394="RCL","Yes",IF(N1394="RCM","Yes",IF(N1394="RCX","Yes",IF(N1394="RDS","Yes",IF(N1394="REQ","Yes",IF(N1394="REX","Yes",IF(N1394="RFG","Yes",IF(N1394="RFL","Yes",IF(N1394="RFS","Yes",IF(N1394="RFW","Yes",IF(N1394="RGX","Yes",IF(N1394="RIS",IF(N1394="RLI","Yes",IF(N1394="RLM","Yes",IF(N1394="RMD","Yes",IF(N1394="RNG","Yes",IF(N1394="ROP","Yes",IF(N1394="ROX","Yes",IF(N1394="RPB","Yes",IF(N1394="RPG","Yes",IF(N1394="RRE","Yes",IF(N1394="RRW","Yes",IF(N1394="RRY","Yes",IF(N1394="RSB","Yes",IF(N1394="RSC","Yes",IF(N1394="RXB","Yes",IF(N1394="RXC","Yes",IF(N1394="RXD","Yes",IF(N1394="RXE","Yes",IF(N1394="RXG","Yes",IF(N1394="RXS","Yes",)))))))))))))))))))))))))))))))))))))))</f>
        <v>0</v>
      </c>
      <c r="AN1394" s="60" t="b">
        <f t="shared" ref="AN1394:AN1457" si="158">IF(O1394="ALM","Yes",IF(O1394="ALI","Yes",IF(O1394="CAO","Yes",IF(O1394="ICE","Yes",IF(O1394="MAG","Yes",IF(O1394="MAG","Yes",IF(O1394="RBI","Yes",IF(O1394="RBM","Yes",IF(O1394="RCL","Yes",IF(O1394="RCM","Yes",IF(O1394="RCX","Yes",IF(O1394="RDS","Yes",IF(O1394="REQ","Yes",IF(O1394="REX","Yes",IF(O1394="RFG","Yes",IF(O1394="RFL","Yes",IF(O1394="RFS","Yes",IF(O1394="RFW","Yes",IF(O1394="RGX","Yes",IF(O1394="RIS",IF(O1394="RLI","Yes",IF(O1394="RLM","Yes",IF(O1394="RMD","Yes",IF(O1394="RNG","Yes",IF(O1394="ROP","Yes",IF(O1394="ROX","Yes",IF(O1394="RPB","Yes",IF(O1394="RPG","Yes",IF(O1394="RRE","Yes",IF(O1394="RRW","Yes",IF(O1394="RRY","Yes",IF(O1394="RSB","Yes",IF(O1394="RSC","Yes",IF(O1394="RXB","Yes",IF(O1394="RXC","Yes",IF(O1394="RXD","Yes",IF(O1394="RXE","Yes",IF(O1394="RXG","Yes",IF(O1394="RXS","Yes",)))))))))))))))))))))))))))))))))))))))</f>
        <v>0</v>
      </c>
      <c r="AO1394" s="60" t="b">
        <f t="shared" ref="AO1394:AO1457" si="159">IF(P1394="ALM","Yes",IF(P1394="ALI","Yes",IF(P1394="CAO","Yes",IF(P1394="ICE","Yes",IF(P1394="MAG","Yes",IF(P1394="MAG","Yes",IF(P1394="RBI","Yes",IF(P1394="RBM","Yes",IF(P1394="RCL","Yes",IF(P1394="RCM","Yes",IF(P1394="RCX","Yes",IF(P1394="RDS","Yes",IF(P1394="REQ","Yes",IF(P1394="REX","Yes",IF(P1394="RFG","Yes",IF(P1394="RFL","Yes",IF(P1394="RFS","Yes",IF(P1394="RFW","Yes",IF(P1394="RGX","Yes",IF(P1394="RIS",IF(P1394="RLI","Yes",IF(P1394="RLM","Yes",IF(P1394="RMD","Yes",IF(P1394="RNG","Yes",IF(P1394="ROP","Yes",IF(P1394="ROX","Yes",IF(P1394="RPB","Yes",IF(P1394="RPG","Yes",IF(P1394="RRE","Yes",IF(P1394="RRW","Yes",IF(P1394="RRY","Yes",IF(P1394="RSB","Yes",IF(P1394="RSC","Yes",IF(P1394="RXB","Yes",IF(P1394="RXC","Yes",IF(P1394="RXD","Yes",IF(P1394="RXE","Yes",IF(P1394="RXG","Yes",IF(P1394="RXS","Yes",)))))))))))))))))))))))))))))))))))))))</f>
        <v>0</v>
      </c>
      <c r="AP1394" s="60" t="b">
        <f t="shared" ref="AP1394:AP1457" si="160">IF(Q1394="ALM","Yes",IF(Q1394="ALI","Yes",IF(Q1394="CAO","Yes",IF(Q1394="ICE","Yes",IF(Q1394="MAG","Yes",IF(Q1394="MAG","Yes",IF(Q1394="RBI","Yes",IF(Q1394="RBM","Yes",IF(Q1394="RCL","Yes",IF(Q1394="RCM","Yes",IF(Q1394="RCX","Yes",IF(Q1394="RDS","Yes",IF(Q1394="REQ","Yes",IF(Q1394="REX","Yes",IF(Q1394="RFG","Yes",IF(Q1394="RFL","Yes",IF(Q1394="RFS","Yes",IF(Q1394="RFW","Yes",IF(Q1394="RGX","Yes",IF(Q1394="RIS",IF(Q1394="RLI","Yes",IF(Q1394="RLM","Yes",IF(Q1394="RMD","Yes",IF(Q1394="RNG","Yes",IF(Q1394="ROP","Yes",IF(Q1394="ROX","Yes",IF(Q1394="RPB","Yes",IF(Q1394="RPG","Yes",IF(Q1394="RRE","Yes",IF(Q1394="RRW","Yes",IF(Q1394="RRY","Yes",IF(Q1394="RSB","Yes",IF(Q1394="RSC","Yes",IF(Q1394="RXB","Yes",IF(Q1394="RXC","Yes",IF(Q1394="RXD","Yes",IF(Q1394="RXE","Yes",IF(Q1394="RXG","Yes",IF(Q1394="RXS","Yes",)))))))))))))))))))))))))))))))))))))))</f>
        <v>0</v>
      </c>
      <c r="AQ1394" s="60" t="b">
        <f t="shared" ref="AQ1394:AQ1457" si="161">IF(R1394="ALM","Yes",IF(R1394="ALI","Yes",IF(R1394="CAO","Yes",IF(R1394="ICE","Yes",IF(R1394="MAG","Yes",IF(R1394="MAG","Yes",IF(R1394="RBI","Yes",IF(R1394="RBM","Yes",IF(R1394="RCL","Yes",IF(R1394="RCM","Yes",IF(R1394="RCX","Yes",IF(R1394="RDS","Yes",IF(R1394="REQ","Yes",IF(R1394="REX","Yes",IF(R1394="RFG","Yes",IF(R1394="RFL","Yes",IF(R1394="RFS","Yes",IF(R1394="RFW","Yes",IF(R1394="RGX","Yes",IF(R1394="RIS",IF(R1394="RLI","Yes",IF(R1394="RLM","Yes",IF(R1394="RMD","Yes",IF(R1394="RNG","Yes",IF(R1394="ROP","Yes",IF(R1394="ROX","Yes",IF(R1394="RPB","Yes",IF(R1394="RPG","Yes",IF(R1394="RRE","Yes",IF(R1394="RRW","Yes",IF(R1394="RRY","Yes",IF(R1394="RSB","Yes",IF(R1394="RSC","Yes",IF(R1394="RXB","Yes",IF(R1394="RXC","Yes",IF(R1394="RXD","Yes",IF(R1394="RXE","Yes",IF(R1394="RXG","Yes",IF(R1394="RXS","Yes",)))))))))))))))))))))))))))))))))))))))</f>
        <v>0</v>
      </c>
      <c r="AR1394" s="60" t="str">
        <f t="shared" ref="AR1394:AR1457" si="162">IF(AM1394="Yes","Yes",IF(AN1394="Yes","Yes",IF(AO1394="yes","Yes",IF(AP1394="Yes","Yes","No"))))</f>
        <v>No</v>
      </c>
      <c r="AS1394" s="60" t="str">
        <f t="shared" ref="AS1394:AS1457" si="163">IF(S1394="QFA","Yes",IF(S1394="LCJ","Yes",IF(S1394="CAJ","Yes",IF(S1394="WRO","Yes",IF(S1394="BEY","Yes",IF(S1394="TUN","Yes",IF(S1394="LFW","Yes",IF(S1394="DLA","Yes",IF(S1394="NSI","Yes",IF(S1394="OUA","Yes",IF(S1394="IAH","Yes",IF(S1394="LYS","Yes",IF(S1394="DSS","Yes",IF(S1394="BKO","Yes",IF(S1394="BZV","Yes",IF(S1394="COO","Yes",IF(S1394="EZE","Yes",IF(S1394="CKY","Yes",IF(S1394="PTP","Yes",IF(S1394="ORD","Yes",IF(S1394="CFE","Yes",IF(S1394="NKC","Yes",IF(S1394="FDF","Yes",IF(S1394="SDQ","Yes",IF(S1394="PNR","Yes",IF(S1394="ICAY","Yes",IF(S1394="DTW","Yes",IF(S1394="TNR","Yes",IF(S1394="RUN","Yes",IF(S1394="NIM","Yes","No"))))))))))))))))))))))))))))))</f>
        <v>No</v>
      </c>
    </row>
    <row r="1395" spans="1:45" ht="15">
      <c r="A1395" s="103">
        <v>45244</v>
      </c>
      <c r="B1395" s="28" t="s">
        <v>5516</v>
      </c>
      <c r="C1395" s="28" t="s">
        <v>511</v>
      </c>
      <c r="D1395" s="28" t="s">
        <v>5517</v>
      </c>
      <c r="F1395" s="28" t="s">
        <v>2641</v>
      </c>
      <c r="G1395" s="28" t="s">
        <v>514</v>
      </c>
      <c r="H1395" s="28" t="s">
        <v>5518</v>
      </c>
      <c r="I1395" s="28" t="s">
        <v>516</v>
      </c>
      <c r="J1395" s="28" t="s">
        <v>517</v>
      </c>
      <c r="K1395" s="28" t="s">
        <v>518</v>
      </c>
      <c r="L1395" s="28" t="s">
        <v>974</v>
      </c>
      <c r="M1395" s="28" t="s">
        <v>605</v>
      </c>
      <c r="N1395" s="28" t="s">
        <v>557</v>
      </c>
      <c r="O1395" s="28" t="s">
        <v>544</v>
      </c>
      <c r="P1395" s="28" t="s">
        <v>559</v>
      </c>
      <c r="S1395" s="28" t="s">
        <v>1318</v>
      </c>
      <c r="T1395" s="28" t="s">
        <v>897</v>
      </c>
      <c r="U1395" s="28" t="s">
        <v>897</v>
      </c>
      <c r="V1395" s="28" t="s">
        <v>517</v>
      </c>
      <c r="W1395" s="28" t="s">
        <v>835</v>
      </c>
      <c r="Z1395" s="118" t="s">
        <v>563</v>
      </c>
      <c r="AA1395" s="118"/>
      <c r="AB1395" s="118" t="s">
        <v>527</v>
      </c>
      <c r="AD1395" s="28" t="s">
        <v>528</v>
      </c>
      <c r="AF1395" s="117" t="s">
        <v>5517</v>
      </c>
      <c r="AG1395" s="28" t="s">
        <v>563</v>
      </c>
      <c r="AK1395" s="60" t="s">
        <v>5515</v>
      </c>
      <c r="AL1395" s="117">
        <f>1/COUNTIF(Tableau6[LAT],B1395)</f>
        <v>1</v>
      </c>
      <c r="AM1395" s="60" t="b">
        <f t="shared" si="157"/>
        <v>0</v>
      </c>
      <c r="AN1395" s="60" t="b">
        <f t="shared" si="158"/>
        <v>0</v>
      </c>
      <c r="AO1395" s="60" t="b">
        <f t="shared" si="159"/>
        <v>0</v>
      </c>
      <c r="AP1395" s="60" t="b">
        <f t="shared" si="160"/>
        <v>0</v>
      </c>
      <c r="AQ1395" s="60" t="b">
        <f t="shared" si="161"/>
        <v>0</v>
      </c>
      <c r="AR1395" s="60" t="str">
        <f t="shared" si="162"/>
        <v>No</v>
      </c>
      <c r="AS1395" s="60" t="str">
        <f t="shared" si="163"/>
        <v>No</v>
      </c>
    </row>
    <row r="1396" spans="1:45" ht="15">
      <c r="A1396" s="103">
        <v>45244</v>
      </c>
      <c r="B1396" s="28" t="s">
        <v>5519</v>
      </c>
      <c r="C1396" s="28" t="s">
        <v>511</v>
      </c>
      <c r="D1396" s="28" t="s">
        <v>5520</v>
      </c>
      <c r="F1396" s="28" t="s">
        <v>5521</v>
      </c>
      <c r="G1396" s="28" t="s">
        <v>514</v>
      </c>
      <c r="H1396" s="28" t="s">
        <v>2168</v>
      </c>
      <c r="I1396" s="28" t="s">
        <v>516</v>
      </c>
      <c r="J1396" s="28" t="s">
        <v>517</v>
      </c>
      <c r="K1396" s="28" t="s">
        <v>518</v>
      </c>
      <c r="L1396" s="28" t="s">
        <v>751</v>
      </c>
      <c r="M1396" s="28" t="s">
        <v>605</v>
      </c>
      <c r="N1396" s="28" t="s">
        <v>557</v>
      </c>
      <c r="O1396" s="28" t="s">
        <v>522</v>
      </c>
      <c r="S1396" s="28" t="s">
        <v>1150</v>
      </c>
      <c r="T1396" s="28" t="s">
        <v>753</v>
      </c>
      <c r="U1396" s="28" t="s">
        <v>753</v>
      </c>
      <c r="V1396" s="28" t="s">
        <v>517</v>
      </c>
      <c r="W1396" s="28" t="s">
        <v>5522</v>
      </c>
      <c r="Z1396" s="118" t="s">
        <v>526</v>
      </c>
      <c r="AA1396" s="118"/>
      <c r="AB1396" s="118"/>
      <c r="AD1396" s="28" t="s">
        <v>954</v>
      </c>
      <c r="AF1396" s="117" t="s">
        <v>5520</v>
      </c>
      <c r="AG1396" s="28" t="s">
        <v>563</v>
      </c>
      <c r="AK1396" s="60" t="s">
        <v>5515</v>
      </c>
      <c r="AL1396" s="117">
        <f>1/COUNTIF(Tableau6[LAT],B1396)</f>
        <v>0.33333333333333331</v>
      </c>
      <c r="AM1396" s="60" t="b">
        <f t="shared" si="157"/>
        <v>0</v>
      </c>
      <c r="AN1396" s="60" t="b">
        <f t="shared" si="158"/>
        <v>0</v>
      </c>
      <c r="AO1396" s="60" t="b">
        <f t="shared" si="159"/>
        <v>0</v>
      </c>
      <c r="AP1396" s="60" t="b">
        <f t="shared" si="160"/>
        <v>0</v>
      </c>
      <c r="AQ1396" s="60" t="b">
        <f t="shared" si="161"/>
        <v>0</v>
      </c>
      <c r="AR1396" s="60" t="str">
        <f t="shared" si="162"/>
        <v>No</v>
      </c>
      <c r="AS1396" s="60" t="str">
        <f t="shared" si="163"/>
        <v>Yes</v>
      </c>
    </row>
    <row r="1397" spans="1:45" ht="15">
      <c r="A1397" s="103">
        <v>45244</v>
      </c>
      <c r="B1397" s="28" t="s">
        <v>5519</v>
      </c>
      <c r="C1397" s="28" t="s">
        <v>548</v>
      </c>
      <c r="D1397" s="28" t="s">
        <v>5523</v>
      </c>
      <c r="F1397" s="28" t="s">
        <v>5521</v>
      </c>
      <c r="G1397" s="28" t="s">
        <v>514</v>
      </c>
      <c r="H1397" s="28" t="s">
        <v>2168</v>
      </c>
      <c r="I1397" s="28" t="s">
        <v>516</v>
      </c>
      <c r="J1397" s="28" t="s">
        <v>517</v>
      </c>
      <c r="K1397" s="28" t="s">
        <v>518</v>
      </c>
      <c r="L1397" s="28" t="s">
        <v>751</v>
      </c>
      <c r="M1397" s="28" t="s">
        <v>605</v>
      </c>
      <c r="N1397" s="28" t="s">
        <v>557</v>
      </c>
      <c r="O1397" s="28" t="s">
        <v>522</v>
      </c>
      <c r="S1397" s="28" t="s">
        <v>1150</v>
      </c>
      <c r="T1397" s="28" t="s">
        <v>753</v>
      </c>
      <c r="U1397" s="28" t="s">
        <v>753</v>
      </c>
      <c r="V1397" s="28" t="s">
        <v>517</v>
      </c>
      <c r="W1397" s="28" t="s">
        <v>5524</v>
      </c>
      <c r="Z1397" s="118" t="s">
        <v>526</v>
      </c>
      <c r="AA1397" s="118"/>
      <c r="AB1397" s="118"/>
      <c r="AD1397" s="28" t="s">
        <v>954</v>
      </c>
      <c r="AF1397" s="117" t="s">
        <v>5520</v>
      </c>
      <c r="AG1397" s="28" t="s">
        <v>563</v>
      </c>
      <c r="AK1397" s="60" t="s">
        <v>5515</v>
      </c>
      <c r="AL1397" s="117">
        <f>1/COUNTIF(Tableau6[LAT],B1397)</f>
        <v>0.33333333333333331</v>
      </c>
      <c r="AM1397" s="60" t="b">
        <f t="shared" si="157"/>
        <v>0</v>
      </c>
      <c r="AN1397" s="60" t="b">
        <f t="shared" si="158"/>
        <v>0</v>
      </c>
      <c r="AO1397" s="60" t="b">
        <f t="shared" si="159"/>
        <v>0</v>
      </c>
      <c r="AP1397" s="60" t="b">
        <f t="shared" si="160"/>
        <v>0</v>
      </c>
      <c r="AQ1397" s="60" t="b">
        <f t="shared" si="161"/>
        <v>0</v>
      </c>
      <c r="AR1397" s="60" t="str">
        <f t="shared" si="162"/>
        <v>No</v>
      </c>
      <c r="AS1397" s="60" t="str">
        <f t="shared" si="163"/>
        <v>Yes</v>
      </c>
    </row>
    <row r="1398" spans="1:45" ht="15">
      <c r="A1398" s="103">
        <v>45244</v>
      </c>
      <c r="B1398" s="28" t="s">
        <v>5519</v>
      </c>
      <c r="C1398" s="28" t="s">
        <v>612</v>
      </c>
      <c r="D1398" s="28" t="s">
        <v>5525</v>
      </c>
      <c r="F1398" s="28" t="s">
        <v>5521</v>
      </c>
      <c r="G1398" s="28" t="s">
        <v>514</v>
      </c>
      <c r="H1398" s="28" t="s">
        <v>2168</v>
      </c>
      <c r="I1398" s="28" t="s">
        <v>516</v>
      </c>
      <c r="J1398" s="28" t="s">
        <v>517</v>
      </c>
      <c r="K1398" s="28" t="s">
        <v>518</v>
      </c>
      <c r="L1398" s="28" t="s">
        <v>751</v>
      </c>
      <c r="M1398" s="28" t="s">
        <v>605</v>
      </c>
      <c r="N1398" s="28" t="s">
        <v>557</v>
      </c>
      <c r="O1398" s="28" t="s">
        <v>522</v>
      </c>
      <c r="S1398" s="28" t="s">
        <v>1150</v>
      </c>
      <c r="T1398" s="28" t="s">
        <v>753</v>
      </c>
      <c r="U1398" s="28" t="s">
        <v>753</v>
      </c>
      <c r="V1398" s="28" t="s">
        <v>517</v>
      </c>
      <c r="W1398" s="28" t="s">
        <v>5526</v>
      </c>
      <c r="Z1398" s="118" t="s">
        <v>526</v>
      </c>
      <c r="AA1398" s="118"/>
      <c r="AB1398" s="118"/>
      <c r="AD1398" s="28" t="s">
        <v>954</v>
      </c>
      <c r="AF1398" s="117" t="s">
        <v>5520</v>
      </c>
      <c r="AG1398" s="28" t="s">
        <v>563</v>
      </c>
      <c r="AK1398" s="60" t="s">
        <v>5515</v>
      </c>
      <c r="AL1398" s="117">
        <f>1/COUNTIF(Tableau6[LAT],B1398)</f>
        <v>0.33333333333333331</v>
      </c>
      <c r="AM1398" s="60" t="b">
        <f t="shared" si="157"/>
        <v>0</v>
      </c>
      <c r="AN1398" s="60" t="b">
        <f t="shared" si="158"/>
        <v>0</v>
      </c>
      <c r="AO1398" s="60" t="b">
        <f t="shared" si="159"/>
        <v>0</v>
      </c>
      <c r="AP1398" s="60" t="b">
        <f t="shared" si="160"/>
        <v>0</v>
      </c>
      <c r="AQ1398" s="60" t="b">
        <f t="shared" si="161"/>
        <v>0</v>
      </c>
      <c r="AR1398" s="60" t="str">
        <f t="shared" si="162"/>
        <v>No</v>
      </c>
      <c r="AS1398" s="60" t="str">
        <f t="shared" si="163"/>
        <v>Yes</v>
      </c>
    </row>
    <row r="1399" spans="1:45" ht="15">
      <c r="A1399" s="103">
        <v>45244</v>
      </c>
      <c r="B1399" s="28" t="s">
        <v>5527</v>
      </c>
      <c r="C1399" s="28" t="s">
        <v>511</v>
      </c>
      <c r="D1399" s="28" t="s">
        <v>5528</v>
      </c>
      <c r="E1399" s="28" t="s">
        <v>5529</v>
      </c>
      <c r="F1399" s="28" t="s">
        <v>5530</v>
      </c>
      <c r="G1399" s="28" t="s">
        <v>724</v>
      </c>
      <c r="H1399" s="28" t="s">
        <v>5531</v>
      </c>
      <c r="I1399" s="28" t="s">
        <v>516</v>
      </c>
      <c r="J1399" s="28" t="s">
        <v>517</v>
      </c>
      <c r="K1399" s="28" t="s">
        <v>518</v>
      </c>
      <c r="L1399" s="28" t="s">
        <v>739</v>
      </c>
      <c r="M1399" s="28" t="s">
        <v>535</v>
      </c>
      <c r="N1399" s="28" t="s">
        <v>557</v>
      </c>
      <c r="O1399" s="28" t="s">
        <v>544</v>
      </c>
      <c r="P1399" s="28" t="s">
        <v>559</v>
      </c>
      <c r="S1399" s="28" t="s">
        <v>1318</v>
      </c>
      <c r="T1399" s="28" t="s">
        <v>741</v>
      </c>
      <c r="U1399" s="28" t="s">
        <v>741</v>
      </c>
      <c r="V1399" s="28" t="s">
        <v>517</v>
      </c>
      <c r="W1399" s="28" t="s">
        <v>5532</v>
      </c>
      <c r="Z1399" s="118" t="s">
        <v>563</v>
      </c>
      <c r="AA1399" s="118"/>
      <c r="AB1399" s="118" t="s">
        <v>5533</v>
      </c>
      <c r="AF1399" s="117"/>
      <c r="AK1399" s="60" t="s">
        <v>5515</v>
      </c>
      <c r="AL1399" s="117">
        <f>1/COUNTIF(Tableau6[LAT],B1399)</f>
        <v>1</v>
      </c>
      <c r="AM1399" s="60" t="b">
        <f t="shared" si="157"/>
        <v>0</v>
      </c>
      <c r="AN1399" s="60" t="b">
        <f t="shared" si="158"/>
        <v>0</v>
      </c>
      <c r="AO1399" s="60" t="b">
        <f t="shared" si="159"/>
        <v>0</v>
      </c>
      <c r="AP1399" s="60" t="b">
        <f t="shared" si="160"/>
        <v>0</v>
      </c>
      <c r="AQ1399" s="60" t="b">
        <f t="shared" si="161"/>
        <v>0</v>
      </c>
      <c r="AR1399" s="60" t="str">
        <f t="shared" si="162"/>
        <v>No</v>
      </c>
      <c r="AS1399" s="60" t="str">
        <f t="shared" si="163"/>
        <v>No</v>
      </c>
    </row>
    <row r="1400" spans="1:45" ht="15">
      <c r="A1400" s="103">
        <v>45244</v>
      </c>
      <c r="B1400" s="28" t="s">
        <v>5534</v>
      </c>
      <c r="C1400" s="28" t="s">
        <v>511</v>
      </c>
      <c r="D1400" s="28" t="s">
        <v>5535</v>
      </c>
      <c r="F1400" s="28" t="s">
        <v>4616</v>
      </c>
      <c r="G1400" s="28" t="s">
        <v>514</v>
      </c>
      <c r="H1400" s="28" t="s">
        <v>1187</v>
      </c>
      <c r="I1400" s="28" t="s">
        <v>516</v>
      </c>
      <c r="J1400" s="28" t="s">
        <v>517</v>
      </c>
      <c r="K1400" s="28" t="s">
        <v>518</v>
      </c>
      <c r="L1400" s="28" t="s">
        <v>839</v>
      </c>
      <c r="M1400" s="28" t="s">
        <v>605</v>
      </c>
      <c r="N1400" s="28" t="s">
        <v>557</v>
      </c>
      <c r="O1400" s="28" t="s">
        <v>522</v>
      </c>
      <c r="P1400" s="28" t="s">
        <v>559</v>
      </c>
      <c r="S1400" s="28" t="s">
        <v>1318</v>
      </c>
      <c r="T1400" s="28" t="s">
        <v>840</v>
      </c>
      <c r="U1400" s="28" t="s">
        <v>840</v>
      </c>
      <c r="V1400" s="28" t="s">
        <v>517</v>
      </c>
      <c r="W1400" s="28" t="s">
        <v>5536</v>
      </c>
      <c r="Z1400" s="118" t="s">
        <v>563</v>
      </c>
      <c r="AA1400" s="118"/>
      <c r="AB1400" s="118" t="s">
        <v>527</v>
      </c>
      <c r="AD1400" s="28" t="s">
        <v>528</v>
      </c>
      <c r="AF1400" s="117" t="s">
        <v>5535</v>
      </c>
      <c r="AG1400" s="28" t="s">
        <v>563</v>
      </c>
      <c r="AK1400" s="60" t="s">
        <v>5515</v>
      </c>
      <c r="AL1400" s="117">
        <f>1/COUNTIF(Tableau6[LAT],B1400)</f>
        <v>1</v>
      </c>
      <c r="AM1400" s="60" t="b">
        <f t="shared" si="157"/>
        <v>0</v>
      </c>
      <c r="AN1400" s="60" t="b">
        <f t="shared" si="158"/>
        <v>0</v>
      </c>
      <c r="AO1400" s="60" t="b">
        <f t="shared" si="159"/>
        <v>0</v>
      </c>
      <c r="AP1400" s="60" t="b">
        <f t="shared" si="160"/>
        <v>0</v>
      </c>
      <c r="AQ1400" s="60" t="b">
        <f t="shared" si="161"/>
        <v>0</v>
      </c>
      <c r="AR1400" s="60" t="str">
        <f t="shared" si="162"/>
        <v>No</v>
      </c>
      <c r="AS1400" s="60" t="str">
        <f t="shared" si="163"/>
        <v>No</v>
      </c>
    </row>
    <row r="1401" spans="1:45" ht="15">
      <c r="A1401" s="103">
        <v>45244</v>
      </c>
      <c r="B1401" s="28" t="s">
        <v>5537</v>
      </c>
      <c r="C1401" s="28" t="s">
        <v>511</v>
      </c>
      <c r="D1401" s="28" t="s">
        <v>5538</v>
      </c>
      <c r="F1401" s="28" t="s">
        <v>5539</v>
      </c>
      <c r="G1401" s="28" t="s">
        <v>5540</v>
      </c>
      <c r="H1401" s="28" t="s">
        <v>5541</v>
      </c>
      <c r="I1401" s="28" t="s">
        <v>517</v>
      </c>
      <c r="J1401" s="28" t="s">
        <v>517</v>
      </c>
      <c r="K1401" s="28" t="s">
        <v>518</v>
      </c>
      <c r="L1401" s="28" t="s">
        <v>1032</v>
      </c>
      <c r="M1401" s="28" t="s">
        <v>535</v>
      </c>
      <c r="N1401" s="28" t="s">
        <v>557</v>
      </c>
      <c r="O1401" s="28" t="s">
        <v>522</v>
      </c>
      <c r="P1401" s="28" t="s">
        <v>627</v>
      </c>
      <c r="S1401" s="28" t="s">
        <v>573</v>
      </c>
      <c r="T1401" s="28" t="s">
        <v>545</v>
      </c>
      <c r="U1401" s="28" t="s">
        <v>545</v>
      </c>
      <c r="V1401" s="28" t="s">
        <v>517</v>
      </c>
      <c r="W1401" s="28" t="s">
        <v>1058</v>
      </c>
      <c r="Z1401" s="118" t="s">
        <v>563</v>
      </c>
      <c r="AA1401" s="118"/>
      <c r="AB1401" s="118" t="s">
        <v>4506</v>
      </c>
      <c r="AF1401" s="117"/>
      <c r="AK1401" s="60" t="s">
        <v>5515</v>
      </c>
      <c r="AL1401" s="117">
        <f>1/COUNTIF(Tableau6[LAT],B1401)</f>
        <v>1</v>
      </c>
      <c r="AM1401" s="60" t="b">
        <f t="shared" si="157"/>
        <v>0</v>
      </c>
      <c r="AN1401" s="60" t="b">
        <f t="shared" si="158"/>
        <v>0</v>
      </c>
      <c r="AO1401" s="60" t="b">
        <f t="shared" si="159"/>
        <v>0</v>
      </c>
      <c r="AP1401" s="60" t="b">
        <f t="shared" si="160"/>
        <v>0</v>
      </c>
      <c r="AQ1401" s="60" t="b">
        <f t="shared" si="161"/>
        <v>0</v>
      </c>
      <c r="AR1401" s="60" t="str">
        <f t="shared" si="162"/>
        <v>No</v>
      </c>
      <c r="AS1401" s="60" t="str">
        <f t="shared" si="163"/>
        <v>No</v>
      </c>
    </row>
    <row r="1402" spans="1:45" ht="15">
      <c r="A1402" s="103">
        <v>45244</v>
      </c>
      <c r="B1402" s="28" t="s">
        <v>5542</v>
      </c>
      <c r="C1402" s="28" t="s">
        <v>511</v>
      </c>
      <c r="D1402" s="28" t="s">
        <v>5543</v>
      </c>
      <c r="F1402" s="28" t="s">
        <v>5544</v>
      </c>
      <c r="G1402" s="28" t="s">
        <v>514</v>
      </c>
      <c r="H1402" s="28" t="s">
        <v>2832</v>
      </c>
      <c r="I1402" s="28" t="s">
        <v>517</v>
      </c>
      <c r="J1402" s="28" t="s">
        <v>517</v>
      </c>
      <c r="K1402" s="28" t="s">
        <v>518</v>
      </c>
      <c r="L1402" s="28" t="s">
        <v>5545</v>
      </c>
      <c r="M1402" s="28" t="s">
        <v>535</v>
      </c>
      <c r="N1402" s="28" t="s">
        <v>521</v>
      </c>
      <c r="O1402" s="28" t="s">
        <v>1523</v>
      </c>
      <c r="S1402" s="28" t="s">
        <v>573</v>
      </c>
      <c r="T1402" s="28" t="s">
        <v>3969</v>
      </c>
      <c r="U1402" s="28" t="s">
        <v>3969</v>
      </c>
      <c r="V1402" s="28" t="s">
        <v>517</v>
      </c>
      <c r="W1402" s="28" t="s">
        <v>1442</v>
      </c>
      <c r="Z1402" s="118" t="s">
        <v>563</v>
      </c>
      <c r="AA1402" s="118"/>
      <c r="AB1402" s="118" t="s">
        <v>527</v>
      </c>
      <c r="AD1402" s="28" t="s">
        <v>528</v>
      </c>
      <c r="AF1402" s="117" t="s">
        <v>5543</v>
      </c>
      <c r="AG1402" s="28" t="s">
        <v>563</v>
      </c>
      <c r="AK1402" s="60" t="s">
        <v>5515</v>
      </c>
      <c r="AL1402" s="117">
        <f>1/COUNTIF(Tableau6[LAT],B1402)</f>
        <v>1</v>
      </c>
      <c r="AM1402" s="60" t="b">
        <f t="shared" si="157"/>
        <v>0</v>
      </c>
      <c r="AN1402" s="60" t="b">
        <f t="shared" si="158"/>
        <v>0</v>
      </c>
      <c r="AO1402" s="60" t="b">
        <f t="shared" si="159"/>
        <v>0</v>
      </c>
      <c r="AP1402" s="60" t="b">
        <f t="shared" si="160"/>
        <v>0</v>
      </c>
      <c r="AQ1402" s="60" t="b">
        <f t="shared" si="161"/>
        <v>0</v>
      </c>
      <c r="AR1402" s="60" t="str">
        <f t="shared" si="162"/>
        <v>No</v>
      </c>
      <c r="AS1402" s="60" t="str">
        <f t="shared" si="163"/>
        <v>No</v>
      </c>
    </row>
    <row r="1403" spans="1:45" ht="15">
      <c r="A1403" s="103">
        <v>45244</v>
      </c>
      <c r="B1403" s="28" t="s">
        <v>5546</v>
      </c>
      <c r="C1403" s="28" t="s">
        <v>511</v>
      </c>
      <c r="D1403" s="28" t="s">
        <v>5547</v>
      </c>
      <c r="F1403" s="28" t="s">
        <v>5548</v>
      </c>
      <c r="G1403" s="28" t="s">
        <v>514</v>
      </c>
      <c r="H1403" s="28" t="s">
        <v>1091</v>
      </c>
      <c r="I1403" s="28" t="s">
        <v>517</v>
      </c>
      <c r="J1403" s="28" t="s">
        <v>517</v>
      </c>
      <c r="K1403" s="28" t="s">
        <v>518</v>
      </c>
      <c r="L1403" s="28" t="s">
        <v>809</v>
      </c>
      <c r="M1403" s="28" t="s">
        <v>535</v>
      </c>
      <c r="N1403" s="28" t="s">
        <v>557</v>
      </c>
      <c r="O1403" s="28" t="s">
        <v>934</v>
      </c>
      <c r="P1403" s="28" t="s">
        <v>522</v>
      </c>
      <c r="S1403" s="28" t="s">
        <v>573</v>
      </c>
      <c r="T1403" s="28" t="s">
        <v>811</v>
      </c>
      <c r="U1403" s="28" t="s">
        <v>811</v>
      </c>
      <c r="V1403" s="28" t="s">
        <v>517</v>
      </c>
      <c r="W1403" s="28" t="s">
        <v>5549</v>
      </c>
      <c r="Z1403" s="118" t="s">
        <v>563</v>
      </c>
      <c r="AA1403" s="118"/>
      <c r="AB1403" s="118" t="s">
        <v>4506</v>
      </c>
      <c r="AD1403" s="28" t="s">
        <v>528</v>
      </c>
      <c r="AF1403" s="117" t="s">
        <v>5547</v>
      </c>
      <c r="AG1403" s="28" t="s">
        <v>563</v>
      </c>
      <c r="AK1403" s="60" t="s">
        <v>5515</v>
      </c>
      <c r="AL1403" s="117">
        <f>1/COUNTIF(Tableau6[LAT],B1403)</f>
        <v>1</v>
      </c>
      <c r="AM1403" s="60" t="b">
        <f t="shared" si="157"/>
        <v>0</v>
      </c>
      <c r="AN1403" s="60" t="b">
        <f t="shared" si="158"/>
        <v>0</v>
      </c>
      <c r="AO1403" s="60" t="b">
        <f t="shared" si="159"/>
        <v>0</v>
      </c>
      <c r="AP1403" s="60" t="b">
        <f t="shared" si="160"/>
        <v>0</v>
      </c>
      <c r="AQ1403" s="60" t="b">
        <f t="shared" si="161"/>
        <v>0</v>
      </c>
      <c r="AR1403" s="60" t="str">
        <f t="shared" si="162"/>
        <v>No</v>
      </c>
      <c r="AS1403" s="60" t="str">
        <f t="shared" si="163"/>
        <v>No</v>
      </c>
    </row>
    <row r="1404" spans="1:45" ht="15">
      <c r="A1404" s="103">
        <v>45244</v>
      </c>
      <c r="B1404" s="28" t="s">
        <v>5550</v>
      </c>
      <c r="C1404" s="28" t="s">
        <v>511</v>
      </c>
      <c r="D1404" s="28" t="s">
        <v>5551</v>
      </c>
      <c r="F1404" s="28" t="s">
        <v>1290</v>
      </c>
      <c r="G1404" s="28" t="s">
        <v>665</v>
      </c>
      <c r="H1404" s="28" t="s">
        <v>904</v>
      </c>
      <c r="I1404" s="28" t="s">
        <v>517</v>
      </c>
      <c r="J1404" s="28" t="s">
        <v>517</v>
      </c>
      <c r="K1404" s="28" t="s">
        <v>518</v>
      </c>
      <c r="L1404" s="28" t="s">
        <v>2077</v>
      </c>
      <c r="M1404" s="28" t="s">
        <v>535</v>
      </c>
      <c r="N1404" s="28" t="s">
        <v>522</v>
      </c>
      <c r="S1404" s="28" t="s">
        <v>573</v>
      </c>
      <c r="T1404" s="28" t="s">
        <v>2078</v>
      </c>
      <c r="U1404" s="28" t="s">
        <v>2078</v>
      </c>
      <c r="V1404" s="28" t="s">
        <v>517</v>
      </c>
      <c r="W1404" s="28" t="s">
        <v>5552</v>
      </c>
      <c r="Z1404" s="118" t="s">
        <v>563</v>
      </c>
      <c r="AA1404" s="118"/>
      <c r="AB1404" s="118" t="s">
        <v>4506</v>
      </c>
      <c r="AF1404" s="117"/>
      <c r="AK1404" s="60" t="s">
        <v>5515</v>
      </c>
      <c r="AL1404" s="117">
        <f>1/COUNTIF(Tableau6[LAT],B1404)</f>
        <v>1</v>
      </c>
      <c r="AM1404" s="60" t="b">
        <f t="shared" si="157"/>
        <v>0</v>
      </c>
      <c r="AN1404" s="60" t="b">
        <f t="shared" si="158"/>
        <v>0</v>
      </c>
      <c r="AO1404" s="60" t="b">
        <f t="shared" si="159"/>
        <v>0</v>
      </c>
      <c r="AP1404" s="60" t="b">
        <f t="shared" si="160"/>
        <v>0</v>
      </c>
      <c r="AQ1404" s="60" t="b">
        <f t="shared" si="161"/>
        <v>0</v>
      </c>
      <c r="AR1404" s="60" t="str">
        <f t="shared" si="162"/>
        <v>No</v>
      </c>
      <c r="AS1404" s="60" t="str">
        <f t="shared" si="163"/>
        <v>No</v>
      </c>
    </row>
    <row r="1405" spans="1:45" ht="15">
      <c r="A1405" s="103">
        <v>45244</v>
      </c>
      <c r="B1405" s="28" t="s">
        <v>5553</v>
      </c>
      <c r="C1405" s="28" t="s">
        <v>511</v>
      </c>
      <c r="D1405" s="28" t="s">
        <v>5554</v>
      </c>
      <c r="F1405" s="28" t="s">
        <v>5555</v>
      </c>
      <c r="G1405" s="28" t="s">
        <v>665</v>
      </c>
      <c r="H1405" s="28" t="s">
        <v>3533</v>
      </c>
      <c r="I1405" s="28" t="s">
        <v>516</v>
      </c>
      <c r="J1405" s="28" t="s">
        <v>517</v>
      </c>
      <c r="K1405" s="28" t="s">
        <v>518</v>
      </c>
      <c r="L1405" s="28" t="s">
        <v>3553</v>
      </c>
      <c r="M1405" s="28" t="s">
        <v>535</v>
      </c>
      <c r="N1405" s="28" t="s">
        <v>521</v>
      </c>
      <c r="O1405" s="28" t="s">
        <v>544</v>
      </c>
      <c r="S1405" s="28" t="s">
        <v>905</v>
      </c>
      <c r="T1405" s="28" t="s">
        <v>1366</v>
      </c>
      <c r="U1405" s="28" t="s">
        <v>1366</v>
      </c>
      <c r="V1405" s="28" t="s">
        <v>517</v>
      </c>
      <c r="W1405" s="28" t="s">
        <v>5556</v>
      </c>
      <c r="Z1405" s="118" t="s">
        <v>563</v>
      </c>
      <c r="AA1405" s="118"/>
      <c r="AB1405" s="118" t="s">
        <v>4506</v>
      </c>
      <c r="AD1405" s="28" t="s">
        <v>528</v>
      </c>
      <c r="AF1405" s="117" t="s">
        <v>5554</v>
      </c>
      <c r="AG1405" s="28" t="s">
        <v>563</v>
      </c>
      <c r="AK1405" s="60" t="s">
        <v>5515</v>
      </c>
      <c r="AL1405" s="117">
        <f>1/COUNTIF(Tableau6[LAT],B1405)</f>
        <v>0.5</v>
      </c>
      <c r="AM1405" s="60" t="b">
        <f t="shared" si="157"/>
        <v>0</v>
      </c>
      <c r="AN1405" s="60" t="b">
        <f t="shared" si="158"/>
        <v>0</v>
      </c>
      <c r="AO1405" s="60" t="b">
        <f t="shared" si="159"/>
        <v>0</v>
      </c>
      <c r="AP1405" s="60" t="b">
        <f t="shared" si="160"/>
        <v>0</v>
      </c>
      <c r="AQ1405" s="60" t="b">
        <f t="shared" si="161"/>
        <v>0</v>
      </c>
      <c r="AR1405" s="60" t="str">
        <f t="shared" si="162"/>
        <v>No</v>
      </c>
      <c r="AS1405" s="60" t="str">
        <f t="shared" si="163"/>
        <v>No</v>
      </c>
    </row>
    <row r="1406" spans="1:45" ht="15">
      <c r="A1406" s="103">
        <v>45244</v>
      </c>
      <c r="B1406" s="28" t="s">
        <v>5553</v>
      </c>
      <c r="C1406" s="28" t="s">
        <v>548</v>
      </c>
      <c r="D1406" s="28" t="s">
        <v>5557</v>
      </c>
      <c r="F1406" s="28" t="s">
        <v>3354</v>
      </c>
      <c r="G1406" s="28" t="s">
        <v>514</v>
      </c>
      <c r="H1406" s="28" t="s">
        <v>1123</v>
      </c>
      <c r="I1406" s="28" t="s">
        <v>516</v>
      </c>
      <c r="J1406" s="28" t="s">
        <v>517</v>
      </c>
      <c r="K1406" s="28" t="s">
        <v>518</v>
      </c>
      <c r="L1406" s="28" t="s">
        <v>3553</v>
      </c>
      <c r="M1406" s="28" t="s">
        <v>535</v>
      </c>
      <c r="N1406" s="28" t="s">
        <v>521</v>
      </c>
      <c r="O1406" s="28" t="s">
        <v>544</v>
      </c>
      <c r="S1406" s="28" t="s">
        <v>905</v>
      </c>
      <c r="T1406" s="28" t="s">
        <v>1366</v>
      </c>
      <c r="U1406" s="28" t="s">
        <v>1366</v>
      </c>
      <c r="V1406" s="28" t="s">
        <v>517</v>
      </c>
      <c r="W1406" s="28" t="s">
        <v>5558</v>
      </c>
      <c r="Z1406" s="118" t="s">
        <v>563</v>
      </c>
      <c r="AA1406" s="118"/>
      <c r="AB1406" s="118" t="s">
        <v>4506</v>
      </c>
      <c r="AD1406" s="28" t="s">
        <v>528</v>
      </c>
      <c r="AF1406" s="117" t="s">
        <v>5557</v>
      </c>
      <c r="AG1406" s="28" t="s">
        <v>563</v>
      </c>
      <c r="AK1406" s="60" t="s">
        <v>5515</v>
      </c>
      <c r="AL1406" s="117">
        <f>1/COUNTIF(Tableau6[LAT],B1406)</f>
        <v>0.5</v>
      </c>
      <c r="AM1406" s="60" t="b">
        <f t="shared" si="157"/>
        <v>0</v>
      </c>
      <c r="AN1406" s="60" t="b">
        <f t="shared" si="158"/>
        <v>0</v>
      </c>
      <c r="AO1406" s="60" t="b">
        <f t="shared" si="159"/>
        <v>0</v>
      </c>
      <c r="AP1406" s="60" t="b">
        <f t="shared" si="160"/>
        <v>0</v>
      </c>
      <c r="AQ1406" s="60" t="b">
        <f t="shared" si="161"/>
        <v>0</v>
      </c>
      <c r="AR1406" s="60" t="str">
        <f t="shared" si="162"/>
        <v>No</v>
      </c>
      <c r="AS1406" s="60" t="str">
        <f t="shared" si="163"/>
        <v>No</v>
      </c>
    </row>
    <row r="1407" spans="1:45" ht="15">
      <c r="A1407" s="103">
        <v>45244</v>
      </c>
      <c r="B1407" s="28" t="s">
        <v>5559</v>
      </c>
      <c r="C1407" s="28" t="s">
        <v>511</v>
      </c>
      <c r="D1407" s="28" t="s">
        <v>5560</v>
      </c>
      <c r="F1407" s="28" t="s">
        <v>696</v>
      </c>
      <c r="G1407" s="28" t="s">
        <v>514</v>
      </c>
      <c r="H1407" s="28" t="s">
        <v>947</v>
      </c>
      <c r="I1407" s="28" t="s">
        <v>517</v>
      </c>
      <c r="J1407" s="28" t="s">
        <v>517</v>
      </c>
      <c r="K1407" s="28" t="s">
        <v>518</v>
      </c>
      <c r="L1407" s="28" t="s">
        <v>5279</v>
      </c>
      <c r="M1407" s="28" t="s">
        <v>535</v>
      </c>
      <c r="N1407" s="28" t="s">
        <v>521</v>
      </c>
      <c r="O1407" s="28" t="s">
        <v>522</v>
      </c>
      <c r="P1407" s="28" t="s">
        <v>627</v>
      </c>
      <c r="S1407" s="28" t="s">
        <v>573</v>
      </c>
      <c r="T1407" s="28" t="s">
        <v>5280</v>
      </c>
      <c r="U1407" s="28" t="s">
        <v>5280</v>
      </c>
      <c r="V1407" s="28" t="s">
        <v>517</v>
      </c>
      <c r="W1407" s="28" t="s">
        <v>5561</v>
      </c>
      <c r="Z1407" s="118" t="s">
        <v>563</v>
      </c>
      <c r="AA1407" s="118"/>
      <c r="AB1407" s="118" t="s">
        <v>4511</v>
      </c>
      <c r="AD1407" s="28" t="s">
        <v>954</v>
      </c>
      <c r="AF1407" s="117" t="s">
        <v>5560</v>
      </c>
      <c r="AG1407" s="28" t="s">
        <v>563</v>
      </c>
      <c r="AK1407" s="60" t="s">
        <v>5515</v>
      </c>
      <c r="AL1407" s="117">
        <f>1/COUNTIF(Tableau6[LAT],B1407)</f>
        <v>1</v>
      </c>
      <c r="AM1407" s="60" t="b">
        <f t="shared" si="157"/>
        <v>0</v>
      </c>
      <c r="AN1407" s="60" t="b">
        <f t="shared" si="158"/>
        <v>0</v>
      </c>
      <c r="AO1407" s="60" t="b">
        <f t="shared" si="159"/>
        <v>0</v>
      </c>
      <c r="AP1407" s="60" t="b">
        <f t="shared" si="160"/>
        <v>0</v>
      </c>
      <c r="AQ1407" s="60" t="b">
        <f t="shared" si="161"/>
        <v>0</v>
      </c>
      <c r="AR1407" s="60" t="str">
        <f t="shared" si="162"/>
        <v>No</v>
      </c>
      <c r="AS1407" s="60" t="str">
        <f t="shared" si="163"/>
        <v>No</v>
      </c>
    </row>
    <row r="1408" spans="1:45" ht="15">
      <c r="A1408" s="103">
        <v>45244</v>
      </c>
      <c r="B1408" s="28" t="s">
        <v>5562</v>
      </c>
      <c r="C1408" s="28" t="s">
        <v>511</v>
      </c>
      <c r="D1408" s="28" t="s">
        <v>5563</v>
      </c>
      <c r="F1408" s="28" t="s">
        <v>5564</v>
      </c>
      <c r="G1408" s="28" t="s">
        <v>514</v>
      </c>
      <c r="H1408" s="28" t="s">
        <v>2679</v>
      </c>
      <c r="I1408" s="28" t="s">
        <v>517</v>
      </c>
      <c r="J1408" s="28" t="s">
        <v>517</v>
      </c>
      <c r="K1408" s="28" t="s">
        <v>518</v>
      </c>
      <c r="L1408" s="28" t="s">
        <v>2363</v>
      </c>
      <c r="M1408" s="28" t="s">
        <v>535</v>
      </c>
      <c r="N1408" s="28" t="s">
        <v>557</v>
      </c>
      <c r="O1408" s="28" t="s">
        <v>544</v>
      </c>
      <c r="P1408" s="28" t="s">
        <v>522</v>
      </c>
      <c r="Q1408" s="28" t="s">
        <v>627</v>
      </c>
      <c r="S1408" s="28" t="s">
        <v>573</v>
      </c>
      <c r="T1408" s="28" t="s">
        <v>2364</v>
      </c>
      <c r="U1408" s="28" t="s">
        <v>2364</v>
      </c>
      <c r="V1408" s="28" t="s">
        <v>517</v>
      </c>
      <c r="W1408" s="28" t="s">
        <v>2750</v>
      </c>
      <c r="Z1408" s="118" t="s">
        <v>563</v>
      </c>
      <c r="AA1408" s="118"/>
      <c r="AB1408" s="118" t="s">
        <v>4511</v>
      </c>
      <c r="AD1408" s="28" t="s">
        <v>528</v>
      </c>
      <c r="AF1408" s="117" t="s">
        <v>5560</v>
      </c>
      <c r="AG1408" s="28" t="s">
        <v>563</v>
      </c>
      <c r="AK1408" s="60" t="s">
        <v>5515</v>
      </c>
      <c r="AL1408" s="117">
        <f>1/COUNTIF(Tableau6[LAT],B1408)</f>
        <v>1</v>
      </c>
      <c r="AM1408" s="60" t="b">
        <f t="shared" si="157"/>
        <v>0</v>
      </c>
      <c r="AN1408" s="60" t="b">
        <f t="shared" si="158"/>
        <v>0</v>
      </c>
      <c r="AO1408" s="60" t="b">
        <f t="shared" si="159"/>
        <v>0</v>
      </c>
      <c r="AP1408" s="60" t="b">
        <f t="shared" si="160"/>
        <v>0</v>
      </c>
      <c r="AQ1408" s="60" t="b">
        <f t="shared" si="161"/>
        <v>0</v>
      </c>
      <c r="AR1408" s="60" t="str">
        <f t="shared" si="162"/>
        <v>No</v>
      </c>
      <c r="AS1408" s="60" t="str">
        <f t="shared" si="163"/>
        <v>No</v>
      </c>
    </row>
    <row r="1409" spans="1:45" ht="15">
      <c r="A1409" s="103">
        <v>45244</v>
      </c>
      <c r="B1409" s="28" t="s">
        <v>5565</v>
      </c>
      <c r="C1409" s="28" t="s">
        <v>511</v>
      </c>
      <c r="D1409" s="28" t="s">
        <v>5566</v>
      </c>
      <c r="F1409" s="28" t="s">
        <v>1999</v>
      </c>
      <c r="G1409" s="28" t="s">
        <v>514</v>
      </c>
      <c r="H1409" s="28" t="s">
        <v>587</v>
      </c>
      <c r="I1409" s="28" t="s">
        <v>516</v>
      </c>
      <c r="J1409" s="28" t="s">
        <v>517</v>
      </c>
      <c r="K1409" s="28" t="s">
        <v>518</v>
      </c>
      <c r="L1409" s="28" t="s">
        <v>1787</v>
      </c>
      <c r="M1409" s="28" t="s">
        <v>535</v>
      </c>
      <c r="N1409" s="28" t="s">
        <v>1307</v>
      </c>
      <c r="O1409" s="28" t="s">
        <v>934</v>
      </c>
      <c r="P1409" s="28" t="s">
        <v>559</v>
      </c>
      <c r="S1409" s="28" t="s">
        <v>733</v>
      </c>
      <c r="T1409" s="28" t="s">
        <v>581</v>
      </c>
      <c r="U1409" s="28" t="s">
        <v>581</v>
      </c>
      <c r="V1409" s="28" t="s">
        <v>517</v>
      </c>
      <c r="W1409" s="28" t="s">
        <v>3686</v>
      </c>
      <c r="Z1409" s="118" t="s">
        <v>563</v>
      </c>
      <c r="AA1409" s="118"/>
      <c r="AB1409" s="118" t="s">
        <v>4506</v>
      </c>
      <c r="AD1409" s="28" t="s">
        <v>528</v>
      </c>
      <c r="AF1409" s="117"/>
      <c r="AG1409" s="28" t="s">
        <v>563</v>
      </c>
      <c r="AK1409" s="60" t="s">
        <v>5515</v>
      </c>
      <c r="AL1409" s="117">
        <f>1/COUNTIF(Tableau6[LAT],B1409)</f>
        <v>1</v>
      </c>
      <c r="AM1409" s="60" t="b">
        <f t="shared" si="157"/>
        <v>0</v>
      </c>
      <c r="AN1409" s="60" t="b">
        <f t="shared" si="158"/>
        <v>0</v>
      </c>
      <c r="AO1409" s="60" t="b">
        <f t="shared" si="159"/>
        <v>0</v>
      </c>
      <c r="AP1409" s="60" t="b">
        <f t="shared" si="160"/>
        <v>0</v>
      </c>
      <c r="AQ1409" s="60" t="b">
        <f t="shared" si="161"/>
        <v>0</v>
      </c>
      <c r="AR1409" s="60" t="str">
        <f t="shared" si="162"/>
        <v>No</v>
      </c>
      <c r="AS1409" s="60" t="str">
        <f t="shared" si="163"/>
        <v>Yes</v>
      </c>
    </row>
    <row r="1410" spans="1:45" ht="15">
      <c r="A1410" s="103">
        <v>45244</v>
      </c>
      <c r="B1410" s="28" t="s">
        <v>5567</v>
      </c>
      <c r="C1410" s="28" t="s">
        <v>511</v>
      </c>
      <c r="D1410" s="28" t="s">
        <v>5568</v>
      </c>
      <c r="F1410" s="28" t="s">
        <v>2984</v>
      </c>
      <c r="G1410" s="28" t="s">
        <v>665</v>
      </c>
      <c r="H1410" s="28" t="s">
        <v>808</v>
      </c>
      <c r="I1410" s="28" t="s">
        <v>516</v>
      </c>
      <c r="J1410" s="28" t="s">
        <v>517</v>
      </c>
      <c r="K1410" s="28" t="s">
        <v>518</v>
      </c>
      <c r="L1410" s="28" t="s">
        <v>2363</v>
      </c>
      <c r="M1410" s="28" t="s">
        <v>535</v>
      </c>
      <c r="S1410" s="28" t="s">
        <v>733</v>
      </c>
      <c r="T1410" s="28" t="s">
        <v>2364</v>
      </c>
      <c r="U1410" s="28" t="s">
        <v>2364</v>
      </c>
      <c r="V1410" s="28" t="s">
        <v>517</v>
      </c>
      <c r="W1410" s="28" t="s">
        <v>5569</v>
      </c>
      <c r="Z1410" s="118" t="s">
        <v>563</v>
      </c>
      <c r="AA1410" s="118"/>
      <c r="AB1410" s="118" t="s">
        <v>923</v>
      </c>
      <c r="AD1410" s="28" t="s">
        <v>528</v>
      </c>
      <c r="AF1410" s="117" t="s">
        <v>5568</v>
      </c>
      <c r="AG1410" s="28" t="s">
        <v>563</v>
      </c>
      <c r="AK1410" s="60" t="s">
        <v>5515</v>
      </c>
      <c r="AL1410" s="117">
        <f>1/COUNTIF(Tableau6[LAT],B1410)</f>
        <v>1</v>
      </c>
      <c r="AM1410" s="60" t="b">
        <f t="shared" si="157"/>
        <v>0</v>
      </c>
      <c r="AN1410" s="60" t="b">
        <f t="shared" si="158"/>
        <v>0</v>
      </c>
      <c r="AO1410" s="60" t="b">
        <f t="shared" si="159"/>
        <v>0</v>
      </c>
      <c r="AP1410" s="60" t="b">
        <f t="shared" si="160"/>
        <v>0</v>
      </c>
      <c r="AQ1410" s="60" t="b">
        <f t="shared" si="161"/>
        <v>0</v>
      </c>
      <c r="AR1410" s="60" t="str">
        <f t="shared" si="162"/>
        <v>No</v>
      </c>
      <c r="AS1410" s="60" t="str">
        <f t="shared" si="163"/>
        <v>Yes</v>
      </c>
    </row>
    <row r="1411" spans="1:45" ht="15">
      <c r="A1411" s="103">
        <v>45244</v>
      </c>
      <c r="B1411" s="28" t="s">
        <v>5570</v>
      </c>
      <c r="C1411" s="28" t="s">
        <v>511</v>
      </c>
      <c r="D1411" s="28" t="s">
        <v>5571</v>
      </c>
      <c r="F1411" s="28" t="s">
        <v>2249</v>
      </c>
      <c r="G1411" s="28" t="s">
        <v>514</v>
      </c>
      <c r="H1411" s="28" t="s">
        <v>5572</v>
      </c>
      <c r="I1411" s="28" t="s">
        <v>517</v>
      </c>
      <c r="J1411" s="28" t="s">
        <v>517</v>
      </c>
      <c r="K1411" s="28" t="s">
        <v>518</v>
      </c>
      <c r="L1411" s="28" t="s">
        <v>675</v>
      </c>
      <c r="M1411" s="28" t="s">
        <v>535</v>
      </c>
      <c r="N1411" s="28" t="s">
        <v>544</v>
      </c>
      <c r="S1411" s="28" t="s">
        <v>573</v>
      </c>
      <c r="T1411" s="28" t="s">
        <v>676</v>
      </c>
      <c r="U1411" s="28" t="s">
        <v>676</v>
      </c>
      <c r="V1411" s="28" t="s">
        <v>517</v>
      </c>
      <c r="W1411" s="28" t="s">
        <v>835</v>
      </c>
      <c r="Z1411" s="118" t="s">
        <v>563</v>
      </c>
      <c r="AA1411" s="118"/>
      <c r="AB1411" s="118" t="s">
        <v>4511</v>
      </c>
      <c r="AF1411" s="117"/>
      <c r="AK1411" s="60" t="s">
        <v>5515</v>
      </c>
      <c r="AL1411" s="117">
        <f>1/COUNTIF(Tableau6[LAT],B1411)</f>
        <v>1</v>
      </c>
      <c r="AM1411" s="60" t="b">
        <f t="shared" si="157"/>
        <v>0</v>
      </c>
      <c r="AN1411" s="60" t="b">
        <f t="shared" si="158"/>
        <v>0</v>
      </c>
      <c r="AO1411" s="60" t="b">
        <f t="shared" si="159"/>
        <v>0</v>
      </c>
      <c r="AP1411" s="60" t="b">
        <f t="shared" si="160"/>
        <v>0</v>
      </c>
      <c r="AQ1411" s="60" t="b">
        <f t="shared" si="161"/>
        <v>0</v>
      </c>
      <c r="AR1411" s="60" t="str">
        <f t="shared" si="162"/>
        <v>No</v>
      </c>
      <c r="AS1411" s="60" t="str">
        <f t="shared" si="163"/>
        <v>No</v>
      </c>
    </row>
    <row r="1412" spans="1:45" ht="15">
      <c r="A1412" s="103">
        <v>45244</v>
      </c>
      <c r="B1412" s="28" t="s">
        <v>5573</v>
      </c>
      <c r="C1412" s="28" t="s">
        <v>511</v>
      </c>
      <c r="D1412" s="28" t="s">
        <v>5574</v>
      </c>
      <c r="E1412" s="28" t="s">
        <v>5575</v>
      </c>
      <c r="F1412" s="28" t="s">
        <v>5576</v>
      </c>
      <c r="G1412" s="28" t="s">
        <v>4561</v>
      </c>
      <c r="H1412" s="28" t="s">
        <v>3000</v>
      </c>
      <c r="I1412" s="28" t="s">
        <v>516</v>
      </c>
      <c r="J1412" s="28" t="s">
        <v>517</v>
      </c>
      <c r="K1412" s="28" t="s">
        <v>518</v>
      </c>
      <c r="L1412" s="28" t="s">
        <v>675</v>
      </c>
      <c r="M1412" s="28" t="s">
        <v>535</v>
      </c>
      <c r="N1412" s="28" t="s">
        <v>522</v>
      </c>
      <c r="S1412" s="28" t="s">
        <v>718</v>
      </c>
      <c r="T1412" s="28" t="s">
        <v>676</v>
      </c>
      <c r="U1412" s="28" t="s">
        <v>676</v>
      </c>
      <c r="V1412" s="28" t="s">
        <v>517</v>
      </c>
      <c r="W1412" s="28" t="s">
        <v>5577</v>
      </c>
      <c r="Z1412" s="118" t="s">
        <v>526</v>
      </c>
      <c r="AA1412" s="118"/>
      <c r="AB1412" s="118"/>
      <c r="AD1412" s="28" t="s">
        <v>528</v>
      </c>
      <c r="AF1412" s="117" t="s">
        <v>5574</v>
      </c>
      <c r="AG1412" s="28" t="s">
        <v>529</v>
      </c>
      <c r="AK1412" s="60" t="s">
        <v>5515</v>
      </c>
      <c r="AL1412" s="117">
        <f>1/COUNTIF(Tableau6[LAT],B1412)</f>
        <v>1</v>
      </c>
      <c r="AM1412" s="60" t="b">
        <f t="shared" si="157"/>
        <v>0</v>
      </c>
      <c r="AN1412" s="60" t="b">
        <f t="shared" si="158"/>
        <v>0</v>
      </c>
      <c r="AO1412" s="60" t="b">
        <f t="shared" si="159"/>
        <v>0</v>
      </c>
      <c r="AP1412" s="60" t="b">
        <f t="shared" si="160"/>
        <v>0</v>
      </c>
      <c r="AQ1412" s="60" t="b">
        <f t="shared" si="161"/>
        <v>0</v>
      </c>
      <c r="AR1412" s="60" t="str">
        <f t="shared" si="162"/>
        <v>No</v>
      </c>
      <c r="AS1412" s="60" t="str">
        <f t="shared" si="163"/>
        <v>No</v>
      </c>
    </row>
    <row r="1413" spans="1:45" ht="15">
      <c r="A1413" s="103">
        <v>45244</v>
      </c>
      <c r="B1413" s="28" t="s">
        <v>5578</v>
      </c>
      <c r="C1413" s="28" t="s">
        <v>511</v>
      </c>
      <c r="D1413" s="28" t="s">
        <v>5579</v>
      </c>
      <c r="F1413" s="28" t="s">
        <v>5452</v>
      </c>
      <c r="G1413" s="28" t="s">
        <v>514</v>
      </c>
      <c r="H1413" s="28" t="s">
        <v>4438</v>
      </c>
      <c r="I1413" s="28" t="s">
        <v>517</v>
      </c>
      <c r="J1413" s="28" t="s">
        <v>517</v>
      </c>
      <c r="K1413" s="28" t="s">
        <v>518</v>
      </c>
      <c r="L1413" s="28" t="s">
        <v>4394</v>
      </c>
      <c r="M1413" s="28" t="s">
        <v>535</v>
      </c>
      <c r="N1413" s="28" t="s">
        <v>544</v>
      </c>
      <c r="O1413" s="28" t="s">
        <v>1107</v>
      </c>
      <c r="S1413" s="28" t="s">
        <v>573</v>
      </c>
      <c r="T1413" s="28" t="s">
        <v>659</v>
      </c>
      <c r="U1413" s="28" t="s">
        <v>659</v>
      </c>
      <c r="V1413" s="28" t="s">
        <v>517</v>
      </c>
      <c r="W1413" s="28" t="s">
        <v>4252</v>
      </c>
      <c r="Z1413" s="118" t="s">
        <v>563</v>
      </c>
      <c r="AA1413" s="118"/>
      <c r="AB1413" s="118" t="s">
        <v>4506</v>
      </c>
      <c r="AD1413" s="28" t="s">
        <v>528</v>
      </c>
      <c r="AF1413" s="117" t="s">
        <v>5579</v>
      </c>
      <c r="AG1413" s="28" t="s">
        <v>563</v>
      </c>
      <c r="AK1413" s="60" t="s">
        <v>5515</v>
      </c>
      <c r="AL1413" s="117">
        <f>1/COUNTIF(Tableau6[LAT],B1413)</f>
        <v>1</v>
      </c>
      <c r="AM1413" s="60" t="b">
        <f t="shared" si="157"/>
        <v>0</v>
      </c>
      <c r="AN1413" s="60" t="b">
        <f t="shared" si="158"/>
        <v>0</v>
      </c>
      <c r="AO1413" s="60" t="b">
        <f t="shared" si="159"/>
        <v>0</v>
      </c>
      <c r="AP1413" s="60" t="b">
        <f t="shared" si="160"/>
        <v>0</v>
      </c>
      <c r="AQ1413" s="60" t="b">
        <f t="shared" si="161"/>
        <v>0</v>
      </c>
      <c r="AR1413" s="60" t="str">
        <f t="shared" si="162"/>
        <v>No</v>
      </c>
      <c r="AS1413" s="60" t="str">
        <f t="shared" si="163"/>
        <v>No</v>
      </c>
    </row>
    <row r="1414" spans="1:45" ht="15">
      <c r="A1414" s="103">
        <v>45244</v>
      </c>
      <c r="B1414" s="28" t="s">
        <v>5580</v>
      </c>
      <c r="C1414" s="28" t="s">
        <v>511</v>
      </c>
      <c r="D1414" s="28" t="s">
        <v>5581</v>
      </c>
      <c r="F1414" s="28" t="s">
        <v>5582</v>
      </c>
      <c r="G1414" s="28" t="s">
        <v>514</v>
      </c>
      <c r="H1414" s="28" t="s">
        <v>3732</v>
      </c>
      <c r="I1414" s="28" t="s">
        <v>516</v>
      </c>
      <c r="J1414" s="28" t="s">
        <v>517</v>
      </c>
      <c r="K1414" s="28" t="s">
        <v>518</v>
      </c>
      <c r="L1414" s="28" t="s">
        <v>751</v>
      </c>
      <c r="M1414" s="28" t="s">
        <v>520</v>
      </c>
      <c r="N1414" s="28" t="s">
        <v>544</v>
      </c>
      <c r="O1414" s="28" t="s">
        <v>559</v>
      </c>
      <c r="S1414" s="28" t="s">
        <v>1918</v>
      </c>
      <c r="T1414" s="28" t="s">
        <v>753</v>
      </c>
      <c r="U1414" s="28" t="s">
        <v>753</v>
      </c>
      <c r="V1414" s="28" t="s">
        <v>517</v>
      </c>
      <c r="W1414" s="28" t="s">
        <v>5583</v>
      </c>
      <c r="Z1414" s="118" t="s">
        <v>563</v>
      </c>
      <c r="AA1414" s="118"/>
      <c r="AB1414" s="118" t="s">
        <v>527</v>
      </c>
      <c r="AD1414" s="28" t="s">
        <v>954</v>
      </c>
      <c r="AF1414" s="117" t="s">
        <v>5581</v>
      </c>
      <c r="AG1414" s="28" t="s">
        <v>563</v>
      </c>
      <c r="AK1414" s="60" t="s">
        <v>5515</v>
      </c>
      <c r="AL1414" s="117">
        <f>1/COUNTIF(Tableau6[LAT],B1414)</f>
        <v>0.5</v>
      </c>
      <c r="AM1414" s="60" t="b">
        <f t="shared" si="157"/>
        <v>0</v>
      </c>
      <c r="AN1414" s="60" t="b">
        <f t="shared" si="158"/>
        <v>0</v>
      </c>
      <c r="AO1414" s="60" t="b">
        <f t="shared" si="159"/>
        <v>0</v>
      </c>
      <c r="AP1414" s="60" t="b">
        <f t="shared" si="160"/>
        <v>0</v>
      </c>
      <c r="AQ1414" s="60" t="b">
        <f t="shared" si="161"/>
        <v>0</v>
      </c>
      <c r="AR1414" s="60" t="str">
        <f t="shared" si="162"/>
        <v>No</v>
      </c>
      <c r="AS1414" s="60" t="str">
        <f t="shared" si="163"/>
        <v>No</v>
      </c>
    </row>
    <row r="1415" spans="1:45" ht="15">
      <c r="A1415" s="103">
        <v>45244</v>
      </c>
      <c r="B1415" s="28" t="s">
        <v>5580</v>
      </c>
      <c r="C1415" s="28" t="s">
        <v>548</v>
      </c>
      <c r="D1415" s="28" t="s">
        <v>5584</v>
      </c>
      <c r="F1415" s="28" t="s">
        <v>5582</v>
      </c>
      <c r="G1415" s="28" t="s">
        <v>514</v>
      </c>
      <c r="H1415" s="28" t="s">
        <v>3732</v>
      </c>
      <c r="I1415" s="28" t="s">
        <v>516</v>
      </c>
      <c r="J1415" s="28" t="s">
        <v>517</v>
      </c>
      <c r="K1415" s="28" t="s">
        <v>518</v>
      </c>
      <c r="L1415" s="28" t="s">
        <v>751</v>
      </c>
      <c r="M1415" s="28" t="s">
        <v>520</v>
      </c>
      <c r="N1415" s="28" t="s">
        <v>544</v>
      </c>
      <c r="O1415" s="28" t="s">
        <v>559</v>
      </c>
      <c r="S1415" s="28" t="s">
        <v>1918</v>
      </c>
      <c r="T1415" s="28" t="s">
        <v>753</v>
      </c>
      <c r="U1415" s="28" t="s">
        <v>753</v>
      </c>
      <c r="V1415" s="28" t="s">
        <v>517</v>
      </c>
      <c r="W1415" s="28" t="s">
        <v>5585</v>
      </c>
      <c r="Z1415" s="118" t="s">
        <v>563</v>
      </c>
      <c r="AA1415" s="118"/>
      <c r="AB1415" s="118" t="s">
        <v>527</v>
      </c>
      <c r="AD1415" s="28" t="s">
        <v>954</v>
      </c>
      <c r="AF1415" s="117" t="s">
        <v>5581</v>
      </c>
      <c r="AG1415" s="28" t="s">
        <v>563</v>
      </c>
      <c r="AK1415" s="60" t="s">
        <v>5515</v>
      </c>
      <c r="AL1415" s="117">
        <f>1/COUNTIF(Tableau6[LAT],B1415)</f>
        <v>0.5</v>
      </c>
      <c r="AM1415" s="60" t="b">
        <f t="shared" si="157"/>
        <v>0</v>
      </c>
      <c r="AN1415" s="60" t="b">
        <f t="shared" si="158"/>
        <v>0</v>
      </c>
      <c r="AO1415" s="60" t="b">
        <f t="shared" si="159"/>
        <v>0</v>
      </c>
      <c r="AP1415" s="60" t="b">
        <f t="shared" si="160"/>
        <v>0</v>
      </c>
      <c r="AQ1415" s="60" t="b">
        <f t="shared" si="161"/>
        <v>0</v>
      </c>
      <c r="AR1415" s="60" t="str">
        <f t="shared" si="162"/>
        <v>No</v>
      </c>
      <c r="AS1415" s="60" t="str">
        <f t="shared" si="163"/>
        <v>No</v>
      </c>
    </row>
    <row r="1416" spans="1:45" ht="15">
      <c r="A1416" s="103">
        <v>45244</v>
      </c>
      <c r="B1416" s="28" t="s">
        <v>5586</v>
      </c>
      <c r="C1416" s="28" t="s">
        <v>511</v>
      </c>
      <c r="D1416" s="28" t="s">
        <v>5587</v>
      </c>
      <c r="F1416" s="28" t="s">
        <v>5588</v>
      </c>
      <c r="G1416" s="28" t="s">
        <v>514</v>
      </c>
      <c r="H1416" s="28" t="s">
        <v>921</v>
      </c>
      <c r="I1416" s="28" t="s">
        <v>516</v>
      </c>
      <c r="J1416" s="28" t="s">
        <v>517</v>
      </c>
      <c r="K1416" s="28" t="s">
        <v>518</v>
      </c>
      <c r="L1416" s="28" t="s">
        <v>849</v>
      </c>
      <c r="M1416" s="28" t="s">
        <v>605</v>
      </c>
      <c r="N1416" s="28" t="s">
        <v>557</v>
      </c>
      <c r="O1416" s="28" t="s">
        <v>544</v>
      </c>
      <c r="P1416" s="28" t="s">
        <v>559</v>
      </c>
      <c r="S1416" s="28" t="s">
        <v>733</v>
      </c>
      <c r="T1416" s="28" t="s">
        <v>850</v>
      </c>
      <c r="U1416" s="28" t="s">
        <v>850</v>
      </c>
      <c r="V1416" s="28" t="s">
        <v>517</v>
      </c>
      <c r="W1416" s="28" t="s">
        <v>5589</v>
      </c>
      <c r="Z1416" s="118" t="s">
        <v>563</v>
      </c>
      <c r="AA1416" s="118"/>
      <c r="AB1416" s="118" t="s">
        <v>527</v>
      </c>
      <c r="AD1416" s="28" t="s">
        <v>528</v>
      </c>
      <c r="AF1416" s="117" t="s">
        <v>5587</v>
      </c>
      <c r="AG1416" s="28" t="s">
        <v>563</v>
      </c>
      <c r="AK1416" s="60" t="s">
        <v>5515</v>
      </c>
      <c r="AL1416" s="117">
        <f>1/COUNTIF(Tableau6[LAT],B1416)</f>
        <v>1</v>
      </c>
      <c r="AM1416" s="60" t="b">
        <f t="shared" si="157"/>
        <v>0</v>
      </c>
      <c r="AN1416" s="60" t="b">
        <f t="shared" si="158"/>
        <v>0</v>
      </c>
      <c r="AO1416" s="60" t="b">
        <f t="shared" si="159"/>
        <v>0</v>
      </c>
      <c r="AP1416" s="60" t="b">
        <f t="shared" si="160"/>
        <v>0</v>
      </c>
      <c r="AQ1416" s="60" t="b">
        <f t="shared" si="161"/>
        <v>0</v>
      </c>
      <c r="AR1416" s="60" t="str">
        <f t="shared" si="162"/>
        <v>No</v>
      </c>
      <c r="AS1416" s="60" t="str">
        <f t="shared" si="163"/>
        <v>Yes</v>
      </c>
    </row>
    <row r="1417" spans="1:45" ht="15">
      <c r="A1417" s="103">
        <v>45244</v>
      </c>
      <c r="B1417" s="28" t="s">
        <v>5590</v>
      </c>
      <c r="C1417" s="28" t="s">
        <v>511</v>
      </c>
      <c r="D1417" s="28" t="s">
        <v>5591</v>
      </c>
      <c r="F1417" s="28" t="s">
        <v>3764</v>
      </c>
      <c r="G1417" s="28" t="s">
        <v>514</v>
      </c>
      <c r="H1417" s="28" t="s">
        <v>4132</v>
      </c>
      <c r="I1417" s="28" t="s">
        <v>517</v>
      </c>
      <c r="J1417" s="28" t="s">
        <v>517</v>
      </c>
      <c r="K1417" s="28" t="s">
        <v>518</v>
      </c>
      <c r="L1417" s="28" t="s">
        <v>534</v>
      </c>
      <c r="M1417" s="28" t="s">
        <v>535</v>
      </c>
      <c r="N1417" s="28" t="s">
        <v>1140</v>
      </c>
      <c r="O1417" s="28" t="s">
        <v>521</v>
      </c>
      <c r="P1417" s="28" t="s">
        <v>1523</v>
      </c>
      <c r="Q1417" s="28" t="s">
        <v>522</v>
      </c>
      <c r="S1417" s="28" t="s">
        <v>573</v>
      </c>
      <c r="T1417" s="28" t="s">
        <v>537</v>
      </c>
      <c r="U1417" s="28" t="s">
        <v>537</v>
      </c>
      <c r="V1417" s="28" t="s">
        <v>517</v>
      </c>
      <c r="W1417" s="28" t="s">
        <v>5592</v>
      </c>
      <c r="Z1417" s="118" t="s">
        <v>563</v>
      </c>
      <c r="AA1417" s="118"/>
      <c r="AB1417" s="118" t="s">
        <v>4511</v>
      </c>
      <c r="AD1417" s="28" t="s">
        <v>954</v>
      </c>
      <c r="AF1417" s="117" t="s">
        <v>5591</v>
      </c>
      <c r="AG1417" s="28" t="s">
        <v>563</v>
      </c>
      <c r="AK1417" s="60" t="s">
        <v>5515</v>
      </c>
      <c r="AL1417" s="117">
        <f>1/COUNTIF(Tableau6[LAT],B1417)</f>
        <v>1</v>
      </c>
      <c r="AM1417" s="60" t="b">
        <f t="shared" si="157"/>
        <v>0</v>
      </c>
      <c r="AN1417" s="60" t="b">
        <f t="shared" si="158"/>
        <v>0</v>
      </c>
      <c r="AO1417" s="60" t="b">
        <f t="shared" si="159"/>
        <v>0</v>
      </c>
      <c r="AP1417" s="60" t="b">
        <f t="shared" si="160"/>
        <v>0</v>
      </c>
      <c r="AQ1417" s="60" t="b">
        <f t="shared" si="161"/>
        <v>0</v>
      </c>
      <c r="AR1417" s="60" t="str">
        <f t="shared" si="162"/>
        <v>No</v>
      </c>
      <c r="AS1417" s="60" t="str">
        <f t="shared" si="163"/>
        <v>No</v>
      </c>
    </row>
    <row r="1418" spans="1:45" ht="15">
      <c r="A1418" s="103">
        <v>45244</v>
      </c>
      <c r="B1418" s="28" t="s">
        <v>5593</v>
      </c>
      <c r="C1418" s="28" t="s">
        <v>511</v>
      </c>
      <c r="D1418" s="28" t="s">
        <v>5594</v>
      </c>
      <c r="F1418" s="28" t="s">
        <v>5595</v>
      </c>
      <c r="G1418" s="28" t="s">
        <v>514</v>
      </c>
      <c r="H1418" s="28" t="s">
        <v>1701</v>
      </c>
      <c r="I1418" s="28" t="s">
        <v>517</v>
      </c>
      <c r="J1418" s="28" t="s">
        <v>517</v>
      </c>
      <c r="K1418" s="28" t="s">
        <v>518</v>
      </c>
      <c r="L1418" s="28" t="s">
        <v>675</v>
      </c>
      <c r="M1418" s="28" t="s">
        <v>605</v>
      </c>
      <c r="N1418" s="28" t="s">
        <v>1835</v>
      </c>
      <c r="O1418" s="28" t="s">
        <v>521</v>
      </c>
      <c r="P1418" s="28" t="s">
        <v>544</v>
      </c>
      <c r="Q1418" s="28" t="s">
        <v>522</v>
      </c>
      <c r="S1418" s="28" t="s">
        <v>573</v>
      </c>
      <c r="T1418" s="28" t="s">
        <v>676</v>
      </c>
      <c r="U1418" s="28" t="s">
        <v>676</v>
      </c>
      <c r="V1418" s="28" t="s">
        <v>517</v>
      </c>
      <c r="W1418" s="28" t="s">
        <v>5596</v>
      </c>
      <c r="Z1418" s="118" t="s">
        <v>563</v>
      </c>
      <c r="AA1418" s="118"/>
      <c r="AB1418" s="118" t="s">
        <v>4511</v>
      </c>
      <c r="AD1418" s="28" t="s">
        <v>954</v>
      </c>
      <c r="AF1418" s="117" t="s">
        <v>5594</v>
      </c>
      <c r="AG1418" s="28" t="s">
        <v>563</v>
      </c>
      <c r="AK1418" s="60" t="s">
        <v>5515</v>
      </c>
      <c r="AL1418" s="117">
        <f>1/COUNTIF(Tableau6[LAT],B1418)</f>
        <v>0.25</v>
      </c>
      <c r="AM1418" s="60" t="b">
        <f t="shared" si="157"/>
        <v>0</v>
      </c>
      <c r="AN1418" s="60" t="b">
        <f t="shared" si="158"/>
        <v>0</v>
      </c>
      <c r="AO1418" s="60" t="b">
        <f t="shared" si="159"/>
        <v>0</v>
      </c>
      <c r="AP1418" s="60" t="b">
        <f t="shared" si="160"/>
        <v>0</v>
      </c>
      <c r="AQ1418" s="60" t="b">
        <f t="shared" si="161"/>
        <v>0</v>
      </c>
      <c r="AR1418" s="60" t="str">
        <f t="shared" si="162"/>
        <v>No</v>
      </c>
      <c r="AS1418" s="60" t="str">
        <f t="shared" si="163"/>
        <v>No</v>
      </c>
    </row>
    <row r="1419" spans="1:45" ht="15">
      <c r="A1419" s="103">
        <v>45244</v>
      </c>
      <c r="B1419" s="28" t="s">
        <v>5597</v>
      </c>
      <c r="C1419" s="28" t="s">
        <v>511</v>
      </c>
      <c r="D1419" s="28" t="s">
        <v>5598</v>
      </c>
      <c r="F1419" s="28" t="s">
        <v>5599</v>
      </c>
      <c r="G1419" s="28" t="s">
        <v>514</v>
      </c>
      <c r="H1419" s="28" t="s">
        <v>1554</v>
      </c>
      <c r="I1419" s="28" t="s">
        <v>517</v>
      </c>
      <c r="J1419" s="28" t="s">
        <v>517</v>
      </c>
      <c r="K1419" s="28" t="s">
        <v>518</v>
      </c>
      <c r="L1419" s="28" t="s">
        <v>596</v>
      </c>
      <c r="M1419" s="28" t="s">
        <v>535</v>
      </c>
      <c r="N1419" s="28" t="s">
        <v>934</v>
      </c>
      <c r="S1419" s="28" t="s">
        <v>573</v>
      </c>
      <c r="T1419" s="28" t="s">
        <v>597</v>
      </c>
      <c r="U1419" s="28" t="s">
        <v>597</v>
      </c>
      <c r="V1419" s="28" t="s">
        <v>517</v>
      </c>
      <c r="W1419" s="28" t="s">
        <v>5600</v>
      </c>
      <c r="Z1419" s="118" t="s">
        <v>563</v>
      </c>
      <c r="AA1419" s="118"/>
      <c r="AB1419" s="118" t="s">
        <v>4506</v>
      </c>
      <c r="AD1419" s="28" t="s">
        <v>954</v>
      </c>
      <c r="AF1419" s="117" t="s">
        <v>5598</v>
      </c>
      <c r="AG1419" s="28" t="s">
        <v>563</v>
      </c>
      <c r="AK1419" s="60" t="s">
        <v>5515</v>
      </c>
      <c r="AL1419" s="117">
        <f>1/COUNTIF(Tableau6[LAT],B1419)</f>
        <v>1</v>
      </c>
      <c r="AM1419" s="60" t="b">
        <f t="shared" si="157"/>
        <v>0</v>
      </c>
      <c r="AN1419" s="60" t="b">
        <f t="shared" si="158"/>
        <v>0</v>
      </c>
      <c r="AO1419" s="60" t="b">
        <f t="shared" si="159"/>
        <v>0</v>
      </c>
      <c r="AP1419" s="60" t="b">
        <f t="shared" si="160"/>
        <v>0</v>
      </c>
      <c r="AQ1419" s="60" t="b">
        <f t="shared" si="161"/>
        <v>0</v>
      </c>
      <c r="AR1419" s="60" t="str">
        <f t="shared" si="162"/>
        <v>No</v>
      </c>
      <c r="AS1419" s="60" t="str">
        <f t="shared" si="163"/>
        <v>No</v>
      </c>
    </row>
    <row r="1420" spans="1:45" ht="15">
      <c r="A1420" s="103">
        <v>45244</v>
      </c>
      <c r="B1420" s="28" t="s">
        <v>5601</v>
      </c>
      <c r="C1420" s="28" t="s">
        <v>511</v>
      </c>
      <c r="D1420" s="28" t="s">
        <v>5602</v>
      </c>
      <c r="F1420" s="28" t="s">
        <v>5603</v>
      </c>
      <c r="G1420" s="28" t="s">
        <v>514</v>
      </c>
      <c r="H1420" s="28" t="s">
        <v>3667</v>
      </c>
      <c r="I1420" s="28" t="s">
        <v>516</v>
      </c>
      <c r="J1420" s="28" t="s">
        <v>517</v>
      </c>
      <c r="K1420" s="28" t="s">
        <v>518</v>
      </c>
      <c r="L1420" s="28" t="s">
        <v>739</v>
      </c>
      <c r="M1420" s="28" t="s">
        <v>535</v>
      </c>
      <c r="N1420" s="28" t="s">
        <v>1107</v>
      </c>
      <c r="S1420" s="28" t="s">
        <v>928</v>
      </c>
      <c r="T1420" s="28" t="s">
        <v>741</v>
      </c>
      <c r="U1420" s="28" t="s">
        <v>741</v>
      </c>
      <c r="V1420" s="28" t="s">
        <v>517</v>
      </c>
      <c r="W1420" s="28" t="s">
        <v>5604</v>
      </c>
      <c r="Z1420" s="118" t="s">
        <v>526</v>
      </c>
      <c r="AA1420" s="118"/>
      <c r="AB1420" s="118"/>
      <c r="AD1420" s="28" t="s">
        <v>528</v>
      </c>
      <c r="AF1420" s="117" t="s">
        <v>5602</v>
      </c>
      <c r="AG1420" s="28" t="s">
        <v>563</v>
      </c>
      <c r="AK1420" s="60" t="s">
        <v>5515</v>
      </c>
      <c r="AL1420" s="117">
        <f>1/COUNTIF(Tableau6[LAT],B1420)</f>
        <v>1</v>
      </c>
      <c r="AM1420" s="60" t="b">
        <f t="shared" si="157"/>
        <v>0</v>
      </c>
      <c r="AN1420" s="60" t="b">
        <f t="shared" si="158"/>
        <v>0</v>
      </c>
      <c r="AO1420" s="60" t="b">
        <f t="shared" si="159"/>
        <v>0</v>
      </c>
      <c r="AP1420" s="60" t="b">
        <f t="shared" si="160"/>
        <v>0</v>
      </c>
      <c r="AQ1420" s="60" t="b">
        <f t="shared" si="161"/>
        <v>0</v>
      </c>
      <c r="AR1420" s="60" t="str">
        <f t="shared" si="162"/>
        <v>No</v>
      </c>
      <c r="AS1420" s="60" t="str">
        <f t="shared" si="163"/>
        <v>No</v>
      </c>
    </row>
    <row r="1421" spans="1:45" ht="15">
      <c r="A1421" s="103">
        <v>45244</v>
      </c>
      <c r="B1421" s="28" t="s">
        <v>5605</v>
      </c>
      <c r="C1421" s="28" t="s">
        <v>511</v>
      </c>
      <c r="D1421" s="28" t="s">
        <v>5606</v>
      </c>
      <c r="F1421" s="28" t="s">
        <v>5252</v>
      </c>
      <c r="G1421" s="28" t="s">
        <v>514</v>
      </c>
      <c r="H1421" s="28" t="s">
        <v>1187</v>
      </c>
      <c r="I1421" s="28" t="s">
        <v>516</v>
      </c>
      <c r="J1421" s="28" t="s">
        <v>517</v>
      </c>
      <c r="K1421" s="28" t="s">
        <v>518</v>
      </c>
      <c r="L1421" s="28" t="s">
        <v>739</v>
      </c>
      <c r="M1421" s="28" t="s">
        <v>535</v>
      </c>
      <c r="N1421" s="28" t="s">
        <v>544</v>
      </c>
      <c r="S1421" s="28" t="s">
        <v>928</v>
      </c>
      <c r="T1421" s="28" t="s">
        <v>741</v>
      </c>
      <c r="U1421" s="28" t="s">
        <v>741</v>
      </c>
      <c r="V1421" s="28" t="s">
        <v>517</v>
      </c>
      <c r="W1421" s="28" t="s">
        <v>5607</v>
      </c>
      <c r="Z1421" s="118" t="s">
        <v>526</v>
      </c>
      <c r="AA1421" s="118"/>
      <c r="AB1421" s="118"/>
      <c r="AD1421" s="28" t="s">
        <v>528</v>
      </c>
      <c r="AF1421" s="117" t="s">
        <v>5606</v>
      </c>
      <c r="AG1421" s="28" t="s">
        <v>529</v>
      </c>
      <c r="AK1421" s="60" t="s">
        <v>5515</v>
      </c>
      <c r="AL1421" s="117">
        <f>1/COUNTIF(Tableau6[LAT],B1421)</f>
        <v>0.33333333333333331</v>
      </c>
      <c r="AM1421" s="60" t="b">
        <f t="shared" si="157"/>
        <v>0</v>
      </c>
      <c r="AN1421" s="60" t="b">
        <f t="shared" si="158"/>
        <v>0</v>
      </c>
      <c r="AO1421" s="60" t="b">
        <f t="shared" si="159"/>
        <v>0</v>
      </c>
      <c r="AP1421" s="60" t="b">
        <f t="shared" si="160"/>
        <v>0</v>
      </c>
      <c r="AQ1421" s="60" t="b">
        <f t="shared" si="161"/>
        <v>0</v>
      </c>
      <c r="AR1421" s="60" t="str">
        <f t="shared" si="162"/>
        <v>No</v>
      </c>
      <c r="AS1421" s="60" t="str">
        <f t="shared" si="163"/>
        <v>No</v>
      </c>
    </row>
    <row r="1422" spans="1:45" ht="15">
      <c r="A1422" s="103">
        <v>45244</v>
      </c>
      <c r="B1422" s="28" t="s">
        <v>5605</v>
      </c>
      <c r="C1422" s="28" t="s">
        <v>548</v>
      </c>
      <c r="D1422" s="28" t="s">
        <v>5608</v>
      </c>
      <c r="F1422" s="28" t="s">
        <v>5252</v>
      </c>
      <c r="G1422" s="28" t="s">
        <v>514</v>
      </c>
      <c r="H1422" s="28" t="s">
        <v>1187</v>
      </c>
      <c r="I1422" s="28" t="s">
        <v>516</v>
      </c>
      <c r="J1422" s="28" t="s">
        <v>517</v>
      </c>
      <c r="K1422" s="28" t="s">
        <v>518</v>
      </c>
      <c r="L1422" s="28" t="s">
        <v>739</v>
      </c>
      <c r="M1422" s="28" t="s">
        <v>535</v>
      </c>
      <c r="N1422" s="28" t="s">
        <v>544</v>
      </c>
      <c r="S1422" s="28" t="s">
        <v>928</v>
      </c>
      <c r="T1422" s="28" t="s">
        <v>741</v>
      </c>
      <c r="U1422" s="28" t="s">
        <v>741</v>
      </c>
      <c r="V1422" s="28" t="s">
        <v>517</v>
      </c>
      <c r="W1422" s="28" t="s">
        <v>5173</v>
      </c>
      <c r="Z1422" s="118" t="s">
        <v>526</v>
      </c>
      <c r="AA1422" s="118"/>
      <c r="AB1422" s="118"/>
      <c r="AD1422" s="28" t="s">
        <v>528</v>
      </c>
      <c r="AF1422" s="117" t="s">
        <v>5606</v>
      </c>
      <c r="AG1422" s="28" t="s">
        <v>529</v>
      </c>
      <c r="AK1422" s="60" t="s">
        <v>5515</v>
      </c>
      <c r="AL1422" s="117">
        <f>1/COUNTIF(Tableau6[LAT],B1422)</f>
        <v>0.33333333333333331</v>
      </c>
      <c r="AM1422" s="60" t="b">
        <f t="shared" si="157"/>
        <v>0</v>
      </c>
      <c r="AN1422" s="60" t="b">
        <f t="shared" si="158"/>
        <v>0</v>
      </c>
      <c r="AO1422" s="60" t="b">
        <f t="shared" si="159"/>
        <v>0</v>
      </c>
      <c r="AP1422" s="60" t="b">
        <f t="shared" si="160"/>
        <v>0</v>
      </c>
      <c r="AQ1422" s="60" t="b">
        <f t="shared" si="161"/>
        <v>0</v>
      </c>
      <c r="AR1422" s="60" t="str">
        <f t="shared" si="162"/>
        <v>No</v>
      </c>
      <c r="AS1422" s="60" t="str">
        <f t="shared" si="163"/>
        <v>No</v>
      </c>
    </row>
    <row r="1423" spans="1:45" ht="15">
      <c r="A1423" s="103">
        <v>45244</v>
      </c>
      <c r="B1423" s="28" t="s">
        <v>5605</v>
      </c>
      <c r="C1423" s="28" t="s">
        <v>612</v>
      </c>
      <c r="D1423" s="28" t="s">
        <v>5609</v>
      </c>
      <c r="F1423" s="28" t="s">
        <v>5252</v>
      </c>
      <c r="G1423" s="28" t="s">
        <v>514</v>
      </c>
      <c r="H1423" s="28" t="s">
        <v>1187</v>
      </c>
      <c r="I1423" s="28" t="s">
        <v>516</v>
      </c>
      <c r="J1423" s="28" t="s">
        <v>517</v>
      </c>
      <c r="K1423" s="28" t="s">
        <v>518</v>
      </c>
      <c r="L1423" s="28" t="s">
        <v>739</v>
      </c>
      <c r="M1423" s="28" t="s">
        <v>535</v>
      </c>
      <c r="N1423" s="28" t="s">
        <v>544</v>
      </c>
      <c r="S1423" s="28" t="s">
        <v>928</v>
      </c>
      <c r="T1423" s="28" t="s">
        <v>741</v>
      </c>
      <c r="U1423" s="28" t="s">
        <v>741</v>
      </c>
      <c r="V1423" s="28" t="s">
        <v>517</v>
      </c>
      <c r="W1423" s="28" t="s">
        <v>835</v>
      </c>
      <c r="Z1423" s="118" t="s">
        <v>526</v>
      </c>
      <c r="AA1423" s="118"/>
      <c r="AB1423" s="118"/>
      <c r="AD1423" s="28" t="s">
        <v>528</v>
      </c>
      <c r="AF1423" s="117" t="s">
        <v>5606</v>
      </c>
      <c r="AG1423" s="28" t="s">
        <v>529</v>
      </c>
      <c r="AK1423" s="60" t="s">
        <v>5515</v>
      </c>
      <c r="AL1423" s="117">
        <f>1/COUNTIF(Tableau6[LAT],B1423)</f>
        <v>0.33333333333333331</v>
      </c>
      <c r="AM1423" s="60" t="b">
        <f t="shared" si="157"/>
        <v>0</v>
      </c>
      <c r="AN1423" s="60" t="b">
        <f t="shared" si="158"/>
        <v>0</v>
      </c>
      <c r="AO1423" s="60" t="b">
        <f t="shared" si="159"/>
        <v>0</v>
      </c>
      <c r="AP1423" s="60" t="b">
        <f t="shared" si="160"/>
        <v>0</v>
      </c>
      <c r="AQ1423" s="60" t="b">
        <f t="shared" si="161"/>
        <v>0</v>
      </c>
      <c r="AR1423" s="60" t="str">
        <f t="shared" si="162"/>
        <v>No</v>
      </c>
      <c r="AS1423" s="60" t="str">
        <f t="shared" si="163"/>
        <v>No</v>
      </c>
    </row>
    <row r="1424" spans="1:45" ht="15">
      <c r="A1424" s="103">
        <v>45244</v>
      </c>
      <c r="B1424" s="28" t="s">
        <v>5610</v>
      </c>
      <c r="C1424" s="28" t="s">
        <v>511</v>
      </c>
      <c r="D1424" s="28" t="s">
        <v>5611</v>
      </c>
      <c r="F1424" s="28" t="s">
        <v>5612</v>
      </c>
      <c r="G1424" s="28" t="s">
        <v>514</v>
      </c>
      <c r="H1424" s="28" t="s">
        <v>3158</v>
      </c>
      <c r="I1424" s="28" t="s">
        <v>516</v>
      </c>
      <c r="J1424" s="28" t="s">
        <v>517</v>
      </c>
      <c r="K1424" s="28" t="s">
        <v>518</v>
      </c>
      <c r="L1424" s="28" t="s">
        <v>849</v>
      </c>
      <c r="M1424" s="28" t="s">
        <v>605</v>
      </c>
      <c r="N1424" s="28" t="s">
        <v>557</v>
      </c>
      <c r="O1424" s="28" t="s">
        <v>544</v>
      </c>
      <c r="S1424" s="28" t="s">
        <v>786</v>
      </c>
      <c r="T1424" s="28" t="s">
        <v>850</v>
      </c>
      <c r="U1424" s="28" t="s">
        <v>850</v>
      </c>
      <c r="V1424" s="28" t="s">
        <v>517</v>
      </c>
      <c r="W1424" s="28" t="s">
        <v>5613</v>
      </c>
      <c r="Z1424" s="118" t="s">
        <v>563</v>
      </c>
      <c r="AA1424" s="118"/>
      <c r="AB1424" s="118" t="s">
        <v>527</v>
      </c>
      <c r="AD1424" s="28" t="s">
        <v>528</v>
      </c>
      <c r="AF1424" s="117" t="s">
        <v>5611</v>
      </c>
      <c r="AG1424" s="28" t="s">
        <v>563</v>
      </c>
      <c r="AK1424" s="60" t="s">
        <v>5515</v>
      </c>
      <c r="AL1424" s="117">
        <f>1/COUNTIF(Tableau6[LAT],B1424)</f>
        <v>1</v>
      </c>
      <c r="AM1424" s="60" t="b">
        <f t="shared" si="157"/>
        <v>0</v>
      </c>
      <c r="AN1424" s="60" t="b">
        <f t="shared" si="158"/>
        <v>0</v>
      </c>
      <c r="AO1424" s="60" t="b">
        <f t="shared" si="159"/>
        <v>0</v>
      </c>
      <c r="AP1424" s="60" t="b">
        <f t="shared" si="160"/>
        <v>0</v>
      </c>
      <c r="AQ1424" s="60" t="b">
        <f t="shared" si="161"/>
        <v>0</v>
      </c>
      <c r="AR1424" s="60" t="str">
        <f t="shared" si="162"/>
        <v>No</v>
      </c>
      <c r="AS1424" s="60" t="str">
        <f t="shared" si="163"/>
        <v>No</v>
      </c>
    </row>
    <row r="1425" spans="1:45" ht="15">
      <c r="A1425" s="103">
        <v>45244</v>
      </c>
      <c r="B1425" s="28" t="s">
        <v>5614</v>
      </c>
      <c r="C1425" s="28" t="s">
        <v>511</v>
      </c>
      <c r="D1425" s="28" t="s">
        <v>5615</v>
      </c>
      <c r="E1425" s="28" t="s">
        <v>5616</v>
      </c>
      <c r="F1425" s="28" t="s">
        <v>5617</v>
      </c>
      <c r="G1425" s="28" t="s">
        <v>1077</v>
      </c>
      <c r="H1425" s="28" t="s">
        <v>1063</v>
      </c>
      <c r="I1425" s="28" t="s">
        <v>516</v>
      </c>
      <c r="J1425" s="28" t="s">
        <v>517</v>
      </c>
      <c r="K1425" s="28" t="s">
        <v>518</v>
      </c>
      <c r="L1425" s="28" t="s">
        <v>596</v>
      </c>
      <c r="M1425" s="28" t="s">
        <v>535</v>
      </c>
      <c r="N1425" s="28" t="s">
        <v>557</v>
      </c>
      <c r="O1425" s="28" t="s">
        <v>544</v>
      </c>
      <c r="P1425" s="28" t="s">
        <v>522</v>
      </c>
      <c r="S1425" s="28" t="s">
        <v>1366</v>
      </c>
      <c r="T1425" s="28" t="s">
        <v>597</v>
      </c>
      <c r="U1425" s="28" t="s">
        <v>597</v>
      </c>
      <c r="V1425" s="28" t="s">
        <v>517</v>
      </c>
      <c r="W1425" s="28" t="s">
        <v>5618</v>
      </c>
      <c r="Z1425" s="118" t="s">
        <v>563</v>
      </c>
      <c r="AA1425" s="118"/>
      <c r="AB1425" s="118" t="s">
        <v>4506</v>
      </c>
      <c r="AD1425" s="28" t="s">
        <v>528</v>
      </c>
      <c r="AF1425" s="117" t="s">
        <v>5615</v>
      </c>
      <c r="AG1425" s="28" t="s">
        <v>563</v>
      </c>
      <c r="AK1425" s="60" t="s">
        <v>5515</v>
      </c>
      <c r="AL1425" s="117">
        <f>1/COUNTIF(Tableau6[LAT],B1425)</f>
        <v>1</v>
      </c>
      <c r="AM1425" s="60" t="b">
        <f t="shared" si="157"/>
        <v>0</v>
      </c>
      <c r="AN1425" s="60" t="b">
        <f t="shared" si="158"/>
        <v>0</v>
      </c>
      <c r="AO1425" s="60" t="b">
        <f t="shared" si="159"/>
        <v>0</v>
      </c>
      <c r="AP1425" s="60" t="b">
        <f t="shared" si="160"/>
        <v>0</v>
      </c>
      <c r="AQ1425" s="60" t="b">
        <f t="shared" si="161"/>
        <v>0</v>
      </c>
      <c r="AR1425" s="60" t="str">
        <f t="shared" si="162"/>
        <v>No</v>
      </c>
      <c r="AS1425" s="60" t="str">
        <f t="shared" si="163"/>
        <v>No</v>
      </c>
    </row>
    <row r="1426" spans="1:45" ht="15">
      <c r="A1426" s="103">
        <v>45244</v>
      </c>
      <c r="B1426" s="28" t="s">
        <v>5619</v>
      </c>
      <c r="C1426" s="28" t="s">
        <v>548</v>
      </c>
      <c r="D1426" s="28" t="s">
        <v>5620</v>
      </c>
      <c r="F1426" s="28" t="s">
        <v>5621</v>
      </c>
      <c r="G1426" s="28" t="s">
        <v>514</v>
      </c>
      <c r="H1426" s="28" t="s">
        <v>2809</v>
      </c>
      <c r="I1426" s="28" t="s">
        <v>516</v>
      </c>
      <c r="J1426" s="28" t="s">
        <v>517</v>
      </c>
      <c r="K1426" s="28" t="s">
        <v>518</v>
      </c>
      <c r="L1426" s="28" t="s">
        <v>596</v>
      </c>
      <c r="M1426" s="28" t="s">
        <v>535</v>
      </c>
      <c r="N1426" s="28" t="s">
        <v>557</v>
      </c>
      <c r="O1426" s="28" t="s">
        <v>544</v>
      </c>
      <c r="S1426" s="28" t="s">
        <v>581</v>
      </c>
      <c r="T1426" s="28" t="s">
        <v>597</v>
      </c>
      <c r="U1426" s="28" t="s">
        <v>597</v>
      </c>
      <c r="V1426" s="28" t="s">
        <v>517</v>
      </c>
      <c r="W1426" s="28" t="s">
        <v>5622</v>
      </c>
      <c r="Z1426" s="118" t="s">
        <v>563</v>
      </c>
      <c r="AA1426" s="118"/>
      <c r="AB1426" s="118" t="s">
        <v>527</v>
      </c>
      <c r="AD1426" s="28" t="s">
        <v>528</v>
      </c>
      <c r="AF1426" s="117" t="s">
        <v>5623</v>
      </c>
      <c r="AG1426" s="28" t="s">
        <v>563</v>
      </c>
      <c r="AK1426" s="60" t="s">
        <v>5515</v>
      </c>
      <c r="AL1426" s="117">
        <f>1/COUNTIF(Tableau6[LAT],B1426)</f>
        <v>0.5</v>
      </c>
      <c r="AM1426" s="60" t="b">
        <f t="shared" si="157"/>
        <v>0</v>
      </c>
      <c r="AN1426" s="60" t="b">
        <f t="shared" si="158"/>
        <v>0</v>
      </c>
      <c r="AO1426" s="60" t="b">
        <f t="shared" si="159"/>
        <v>0</v>
      </c>
      <c r="AP1426" s="60" t="b">
        <f t="shared" si="160"/>
        <v>0</v>
      </c>
      <c r="AQ1426" s="60" t="b">
        <f t="shared" si="161"/>
        <v>0</v>
      </c>
      <c r="AR1426" s="60" t="str">
        <f t="shared" si="162"/>
        <v>No</v>
      </c>
      <c r="AS1426" s="60" t="str">
        <f t="shared" si="163"/>
        <v>No</v>
      </c>
    </row>
    <row r="1427" spans="1:45" ht="15">
      <c r="A1427" s="103">
        <v>45244</v>
      </c>
      <c r="B1427" s="28" t="s">
        <v>5619</v>
      </c>
      <c r="C1427" s="28" t="s">
        <v>612</v>
      </c>
      <c r="D1427" s="28" t="s">
        <v>5624</v>
      </c>
      <c r="F1427" s="28" t="s">
        <v>5621</v>
      </c>
      <c r="G1427" s="28" t="s">
        <v>514</v>
      </c>
      <c r="H1427" s="28" t="s">
        <v>2809</v>
      </c>
      <c r="I1427" s="28" t="s">
        <v>516</v>
      </c>
      <c r="J1427" s="28" t="s">
        <v>517</v>
      </c>
      <c r="K1427" s="28" t="s">
        <v>518</v>
      </c>
      <c r="L1427" s="28" t="s">
        <v>596</v>
      </c>
      <c r="M1427" s="28" t="s">
        <v>535</v>
      </c>
      <c r="N1427" s="28" t="s">
        <v>557</v>
      </c>
      <c r="O1427" s="28" t="s">
        <v>544</v>
      </c>
      <c r="S1427" s="28" t="s">
        <v>581</v>
      </c>
      <c r="T1427" s="28" t="s">
        <v>597</v>
      </c>
      <c r="U1427" s="28" t="s">
        <v>597</v>
      </c>
      <c r="V1427" s="28" t="s">
        <v>517</v>
      </c>
      <c r="W1427" s="28" t="s">
        <v>5625</v>
      </c>
      <c r="Z1427" s="118" t="s">
        <v>563</v>
      </c>
      <c r="AA1427" s="118"/>
      <c r="AB1427" s="118" t="s">
        <v>527</v>
      </c>
      <c r="AD1427" s="28" t="s">
        <v>528</v>
      </c>
      <c r="AF1427" s="117" t="s">
        <v>5623</v>
      </c>
      <c r="AG1427" s="28" t="s">
        <v>563</v>
      </c>
      <c r="AK1427" s="60" t="s">
        <v>5515</v>
      </c>
      <c r="AL1427" s="117">
        <f>1/COUNTIF(Tableau6[LAT],B1427)</f>
        <v>0.5</v>
      </c>
      <c r="AM1427" s="60" t="b">
        <f t="shared" si="157"/>
        <v>0</v>
      </c>
      <c r="AN1427" s="60" t="b">
        <f t="shared" si="158"/>
        <v>0</v>
      </c>
      <c r="AO1427" s="60" t="b">
        <f t="shared" si="159"/>
        <v>0</v>
      </c>
      <c r="AP1427" s="60" t="b">
        <f t="shared" si="160"/>
        <v>0</v>
      </c>
      <c r="AQ1427" s="60" t="b">
        <f t="shared" si="161"/>
        <v>0</v>
      </c>
      <c r="AR1427" s="60" t="str">
        <f t="shared" si="162"/>
        <v>No</v>
      </c>
      <c r="AS1427" s="60" t="str">
        <f t="shared" si="163"/>
        <v>No</v>
      </c>
    </row>
    <row r="1428" spans="1:45" ht="15">
      <c r="A1428" s="103">
        <v>45244</v>
      </c>
      <c r="B1428" s="28" t="s">
        <v>5626</v>
      </c>
      <c r="C1428" s="28" t="s">
        <v>511</v>
      </c>
      <c r="D1428" s="28" t="s">
        <v>5627</v>
      </c>
      <c r="F1428" s="28" t="s">
        <v>2090</v>
      </c>
      <c r="G1428" s="28" t="s">
        <v>514</v>
      </c>
      <c r="H1428" s="28" t="s">
        <v>1187</v>
      </c>
      <c r="I1428" s="28" t="s">
        <v>517</v>
      </c>
      <c r="J1428" s="28" t="s">
        <v>517</v>
      </c>
      <c r="K1428" s="28" t="s">
        <v>518</v>
      </c>
      <c r="L1428" s="28" t="s">
        <v>4394</v>
      </c>
      <c r="M1428" s="28" t="s">
        <v>535</v>
      </c>
      <c r="N1428" s="28" t="s">
        <v>521</v>
      </c>
      <c r="O1428" s="28" t="s">
        <v>559</v>
      </c>
      <c r="S1428" s="28" t="s">
        <v>573</v>
      </c>
      <c r="T1428" s="28" t="s">
        <v>659</v>
      </c>
      <c r="U1428" s="28" t="s">
        <v>659</v>
      </c>
      <c r="V1428" s="28" t="s">
        <v>517</v>
      </c>
      <c r="W1428" s="28" t="s">
        <v>591</v>
      </c>
      <c r="Z1428" s="118" t="s">
        <v>563</v>
      </c>
      <c r="AA1428" s="118"/>
      <c r="AB1428" s="118" t="s">
        <v>830</v>
      </c>
      <c r="AF1428" s="117" t="s">
        <v>1083</v>
      </c>
      <c r="AK1428" s="60" t="s">
        <v>5515</v>
      </c>
      <c r="AL1428" s="117">
        <f>1/COUNTIF(Tableau6[LAT],B1428)</f>
        <v>1</v>
      </c>
      <c r="AM1428" s="60" t="b">
        <f t="shared" si="157"/>
        <v>0</v>
      </c>
      <c r="AN1428" s="60" t="b">
        <f t="shared" si="158"/>
        <v>0</v>
      </c>
      <c r="AO1428" s="60" t="b">
        <f t="shared" si="159"/>
        <v>0</v>
      </c>
      <c r="AP1428" s="60" t="b">
        <f t="shared" si="160"/>
        <v>0</v>
      </c>
      <c r="AQ1428" s="60" t="b">
        <f t="shared" si="161"/>
        <v>0</v>
      </c>
      <c r="AR1428" s="60" t="str">
        <f t="shared" si="162"/>
        <v>No</v>
      </c>
      <c r="AS1428" s="60" t="str">
        <f t="shared" si="163"/>
        <v>No</v>
      </c>
    </row>
    <row r="1429" spans="1:45" ht="15">
      <c r="A1429" s="103">
        <v>45244</v>
      </c>
      <c r="B1429" s="28" t="s">
        <v>5628</v>
      </c>
      <c r="C1429" s="28" t="s">
        <v>511</v>
      </c>
      <c r="D1429" s="28" t="s">
        <v>5629</v>
      </c>
      <c r="F1429" s="28" t="s">
        <v>1353</v>
      </c>
      <c r="G1429" s="28" t="s">
        <v>514</v>
      </c>
      <c r="H1429" s="28" t="s">
        <v>3516</v>
      </c>
      <c r="I1429" s="28" t="s">
        <v>517</v>
      </c>
      <c r="J1429" s="28" t="s">
        <v>517</v>
      </c>
      <c r="K1429" s="28" t="s">
        <v>518</v>
      </c>
      <c r="L1429" s="28" t="s">
        <v>731</v>
      </c>
      <c r="M1429" s="28" t="s">
        <v>535</v>
      </c>
      <c r="N1429" s="28" t="s">
        <v>544</v>
      </c>
      <c r="S1429" s="28" t="s">
        <v>573</v>
      </c>
      <c r="T1429" s="28" t="s">
        <v>733</v>
      </c>
      <c r="U1429" s="28" t="s">
        <v>733</v>
      </c>
      <c r="V1429" s="28" t="s">
        <v>517</v>
      </c>
      <c r="W1429" s="28" t="s">
        <v>5630</v>
      </c>
      <c r="Z1429" s="118" t="s">
        <v>563</v>
      </c>
      <c r="AA1429" s="118"/>
      <c r="AB1429" s="118" t="s">
        <v>4506</v>
      </c>
      <c r="AD1429" s="28" t="s">
        <v>954</v>
      </c>
      <c r="AF1429" s="117" t="s">
        <v>5629</v>
      </c>
      <c r="AG1429" s="28" t="s">
        <v>563</v>
      </c>
      <c r="AK1429" s="60" t="s">
        <v>5515</v>
      </c>
      <c r="AL1429" s="117">
        <f>1/COUNTIF(Tableau6[LAT],B1429)</f>
        <v>0.5</v>
      </c>
      <c r="AM1429" s="60" t="b">
        <f t="shared" si="157"/>
        <v>0</v>
      </c>
      <c r="AN1429" s="60" t="b">
        <f t="shared" si="158"/>
        <v>0</v>
      </c>
      <c r="AO1429" s="60" t="b">
        <f t="shared" si="159"/>
        <v>0</v>
      </c>
      <c r="AP1429" s="60" t="b">
        <f t="shared" si="160"/>
        <v>0</v>
      </c>
      <c r="AQ1429" s="60" t="b">
        <f t="shared" si="161"/>
        <v>0</v>
      </c>
      <c r="AR1429" s="60" t="str">
        <f t="shared" si="162"/>
        <v>No</v>
      </c>
      <c r="AS1429" s="60" t="str">
        <f t="shared" si="163"/>
        <v>No</v>
      </c>
    </row>
    <row r="1430" spans="1:45" ht="15">
      <c r="A1430" s="103">
        <v>45244</v>
      </c>
      <c r="B1430" s="28" t="s">
        <v>5628</v>
      </c>
      <c r="C1430" s="28" t="s">
        <v>548</v>
      </c>
      <c r="D1430" s="28" t="s">
        <v>5631</v>
      </c>
      <c r="F1430" s="28" t="s">
        <v>1353</v>
      </c>
      <c r="G1430" s="28" t="s">
        <v>514</v>
      </c>
      <c r="H1430" s="28" t="s">
        <v>3516</v>
      </c>
      <c r="I1430" s="28" t="s">
        <v>517</v>
      </c>
      <c r="J1430" s="28" t="s">
        <v>517</v>
      </c>
      <c r="K1430" s="28" t="s">
        <v>518</v>
      </c>
      <c r="L1430" s="28" t="s">
        <v>731</v>
      </c>
      <c r="M1430" s="28" t="s">
        <v>535</v>
      </c>
      <c r="N1430" s="28" t="s">
        <v>544</v>
      </c>
      <c r="S1430" s="28" t="s">
        <v>573</v>
      </c>
      <c r="T1430" s="28" t="s">
        <v>733</v>
      </c>
      <c r="U1430" s="28" t="s">
        <v>733</v>
      </c>
      <c r="V1430" s="28" t="s">
        <v>517</v>
      </c>
      <c r="W1430" s="28" t="s">
        <v>5630</v>
      </c>
      <c r="Z1430" s="118" t="s">
        <v>563</v>
      </c>
      <c r="AA1430" s="118"/>
      <c r="AB1430" s="118" t="s">
        <v>4506</v>
      </c>
      <c r="AD1430" s="28" t="s">
        <v>954</v>
      </c>
      <c r="AF1430" s="117" t="s">
        <v>5629</v>
      </c>
      <c r="AG1430" s="28" t="s">
        <v>563</v>
      </c>
      <c r="AK1430" s="60" t="s">
        <v>5515</v>
      </c>
      <c r="AL1430" s="117">
        <f>1/COUNTIF(Tableau6[LAT],B1430)</f>
        <v>0.5</v>
      </c>
      <c r="AM1430" s="60" t="b">
        <f t="shared" si="157"/>
        <v>0</v>
      </c>
      <c r="AN1430" s="60" t="b">
        <f t="shared" si="158"/>
        <v>0</v>
      </c>
      <c r="AO1430" s="60" t="b">
        <f t="shared" si="159"/>
        <v>0</v>
      </c>
      <c r="AP1430" s="60" t="b">
        <f t="shared" si="160"/>
        <v>0</v>
      </c>
      <c r="AQ1430" s="60" t="b">
        <f t="shared" si="161"/>
        <v>0</v>
      </c>
      <c r="AR1430" s="60" t="str">
        <f t="shared" si="162"/>
        <v>No</v>
      </c>
      <c r="AS1430" s="60" t="str">
        <f t="shared" si="163"/>
        <v>No</v>
      </c>
    </row>
    <row r="1431" spans="1:45" ht="15">
      <c r="A1431" s="103">
        <v>45244</v>
      </c>
      <c r="B1431" s="28" t="s">
        <v>5632</v>
      </c>
      <c r="C1431" s="28" t="s">
        <v>511</v>
      </c>
      <c r="D1431" s="28" t="s">
        <v>5633</v>
      </c>
      <c r="F1431" s="28" t="s">
        <v>2114</v>
      </c>
      <c r="G1431" s="28" t="s">
        <v>514</v>
      </c>
      <c r="H1431" s="28" t="s">
        <v>1138</v>
      </c>
      <c r="I1431" s="28" t="s">
        <v>517</v>
      </c>
      <c r="J1431" s="28" t="s">
        <v>517</v>
      </c>
      <c r="K1431" s="28" t="s">
        <v>518</v>
      </c>
      <c r="L1431" s="28" t="s">
        <v>5279</v>
      </c>
      <c r="M1431" s="28" t="s">
        <v>535</v>
      </c>
      <c r="N1431" s="28" t="s">
        <v>1124</v>
      </c>
      <c r="O1431" s="28" t="s">
        <v>544</v>
      </c>
      <c r="S1431" s="28" t="s">
        <v>573</v>
      </c>
      <c r="T1431" s="28" t="s">
        <v>5280</v>
      </c>
      <c r="U1431" s="28" t="s">
        <v>5280</v>
      </c>
      <c r="V1431" s="28" t="s">
        <v>517</v>
      </c>
      <c r="W1431" s="28" t="s">
        <v>5634</v>
      </c>
      <c r="Z1431" s="118" t="s">
        <v>563</v>
      </c>
      <c r="AA1431" s="118"/>
      <c r="AB1431" s="118" t="s">
        <v>4506</v>
      </c>
      <c r="AD1431" s="28" t="s">
        <v>954</v>
      </c>
      <c r="AF1431" s="117" t="s">
        <v>5633</v>
      </c>
      <c r="AG1431" s="28" t="s">
        <v>563</v>
      </c>
      <c r="AK1431" s="60" t="s">
        <v>5515</v>
      </c>
      <c r="AL1431" s="117">
        <f>1/COUNTIF(Tableau6[LAT],B1431)</f>
        <v>1</v>
      </c>
      <c r="AM1431" s="60" t="b">
        <f t="shared" si="157"/>
        <v>0</v>
      </c>
      <c r="AN1431" s="60" t="b">
        <f t="shared" si="158"/>
        <v>0</v>
      </c>
      <c r="AO1431" s="60" t="b">
        <f t="shared" si="159"/>
        <v>0</v>
      </c>
      <c r="AP1431" s="60" t="b">
        <f t="shared" si="160"/>
        <v>0</v>
      </c>
      <c r="AQ1431" s="60" t="b">
        <f t="shared" si="161"/>
        <v>0</v>
      </c>
      <c r="AR1431" s="60" t="str">
        <f t="shared" si="162"/>
        <v>No</v>
      </c>
      <c r="AS1431" s="60" t="str">
        <f t="shared" si="163"/>
        <v>No</v>
      </c>
    </row>
    <row r="1432" spans="1:45" ht="15">
      <c r="A1432" s="103">
        <v>45244</v>
      </c>
      <c r="B1432" s="28" t="s">
        <v>5635</v>
      </c>
      <c r="C1432" s="28" t="s">
        <v>511</v>
      </c>
      <c r="D1432" s="28" t="s">
        <v>5636</v>
      </c>
      <c r="F1432" s="28" t="s">
        <v>5637</v>
      </c>
      <c r="G1432" s="28" t="s">
        <v>514</v>
      </c>
      <c r="H1432" s="28" t="s">
        <v>1091</v>
      </c>
      <c r="I1432" s="28" t="s">
        <v>516</v>
      </c>
      <c r="J1432" s="28" t="s">
        <v>517</v>
      </c>
      <c r="K1432" s="28" t="s">
        <v>518</v>
      </c>
      <c r="L1432" s="28" t="s">
        <v>751</v>
      </c>
      <c r="M1432" s="28" t="s">
        <v>520</v>
      </c>
      <c r="N1432" s="28" t="s">
        <v>557</v>
      </c>
      <c r="O1432" s="28" t="s">
        <v>559</v>
      </c>
      <c r="S1432" s="28" t="s">
        <v>741</v>
      </c>
      <c r="T1432" s="28" t="s">
        <v>753</v>
      </c>
      <c r="U1432" s="28" t="s">
        <v>753</v>
      </c>
      <c r="V1432" s="28" t="s">
        <v>517</v>
      </c>
      <c r="W1432" s="28" t="s">
        <v>5638</v>
      </c>
      <c r="Z1432" s="118" t="s">
        <v>563</v>
      </c>
      <c r="AA1432" s="118"/>
      <c r="AB1432" s="118" t="s">
        <v>4506</v>
      </c>
      <c r="AD1432" s="28" t="s">
        <v>528</v>
      </c>
      <c r="AF1432" s="117"/>
      <c r="AG1432" s="28" t="s">
        <v>563</v>
      </c>
      <c r="AK1432" s="60" t="s">
        <v>5515</v>
      </c>
      <c r="AL1432" s="117">
        <f>1/COUNTIF(Tableau6[LAT],B1432)</f>
        <v>1</v>
      </c>
      <c r="AM1432" s="60" t="b">
        <f t="shared" si="157"/>
        <v>0</v>
      </c>
      <c r="AN1432" s="60" t="b">
        <f t="shared" si="158"/>
        <v>0</v>
      </c>
      <c r="AO1432" s="60" t="b">
        <f t="shared" si="159"/>
        <v>0</v>
      </c>
      <c r="AP1432" s="60" t="b">
        <f t="shared" si="160"/>
        <v>0</v>
      </c>
      <c r="AQ1432" s="60" t="b">
        <f t="shared" si="161"/>
        <v>0</v>
      </c>
      <c r="AR1432" s="60" t="str">
        <f t="shared" si="162"/>
        <v>No</v>
      </c>
      <c r="AS1432" s="60" t="str">
        <f t="shared" si="163"/>
        <v>Yes</v>
      </c>
    </row>
    <row r="1433" spans="1:45" ht="15">
      <c r="A1433" s="103">
        <v>45244</v>
      </c>
      <c r="B1433" s="28" t="s">
        <v>5639</v>
      </c>
      <c r="C1433" s="28" t="s">
        <v>548</v>
      </c>
      <c r="D1433" s="28" t="s">
        <v>5640</v>
      </c>
      <c r="F1433" s="28" t="s">
        <v>5641</v>
      </c>
      <c r="G1433" s="28" t="s">
        <v>514</v>
      </c>
      <c r="H1433" s="28" t="s">
        <v>3158</v>
      </c>
      <c r="I1433" s="28" t="s">
        <v>516</v>
      </c>
      <c r="J1433" s="28" t="s">
        <v>517</v>
      </c>
      <c r="K1433" s="28" t="s">
        <v>518</v>
      </c>
      <c r="L1433" s="28" t="s">
        <v>751</v>
      </c>
      <c r="M1433" s="28" t="s">
        <v>520</v>
      </c>
      <c r="N1433" s="28" t="s">
        <v>544</v>
      </c>
      <c r="O1433" s="28" t="s">
        <v>522</v>
      </c>
      <c r="S1433" s="28" t="s">
        <v>590</v>
      </c>
      <c r="T1433" s="28" t="s">
        <v>753</v>
      </c>
      <c r="U1433" s="28" t="s">
        <v>753</v>
      </c>
      <c r="V1433" s="28" t="s">
        <v>517</v>
      </c>
      <c r="W1433" s="28" t="s">
        <v>5642</v>
      </c>
      <c r="Z1433" s="118" t="s">
        <v>526</v>
      </c>
      <c r="AA1433" s="118"/>
      <c r="AB1433" s="118"/>
      <c r="AD1433" s="28" t="s">
        <v>954</v>
      </c>
      <c r="AF1433" s="117" t="s">
        <v>5643</v>
      </c>
      <c r="AG1433" s="28" t="s">
        <v>563</v>
      </c>
      <c r="AK1433" s="60" t="s">
        <v>5515</v>
      </c>
      <c r="AL1433" s="117">
        <f>1/COUNTIF(Tableau6[LAT],B1433)</f>
        <v>1</v>
      </c>
      <c r="AM1433" s="60" t="b">
        <f t="shared" si="157"/>
        <v>0</v>
      </c>
      <c r="AN1433" s="60" t="b">
        <f t="shared" si="158"/>
        <v>0</v>
      </c>
      <c r="AO1433" s="60" t="b">
        <f t="shared" si="159"/>
        <v>0</v>
      </c>
      <c r="AP1433" s="60" t="b">
        <f t="shared" si="160"/>
        <v>0</v>
      </c>
      <c r="AQ1433" s="60" t="b">
        <f t="shared" si="161"/>
        <v>0</v>
      </c>
      <c r="AR1433" s="60" t="str">
        <f t="shared" si="162"/>
        <v>No</v>
      </c>
      <c r="AS1433" s="60" t="str">
        <f t="shared" si="163"/>
        <v>No</v>
      </c>
    </row>
    <row r="1434" spans="1:45" ht="15">
      <c r="A1434" s="103">
        <v>45244</v>
      </c>
      <c r="B1434" s="28" t="s">
        <v>5644</v>
      </c>
      <c r="C1434" s="28" t="s">
        <v>511</v>
      </c>
      <c r="D1434" s="28" t="s">
        <v>5645</v>
      </c>
      <c r="F1434" s="28" t="s">
        <v>5646</v>
      </c>
      <c r="G1434" s="28" t="s">
        <v>514</v>
      </c>
      <c r="H1434" s="28" t="s">
        <v>2119</v>
      </c>
      <c r="I1434" s="28" t="s">
        <v>516</v>
      </c>
      <c r="J1434" s="28" t="s">
        <v>517</v>
      </c>
      <c r="K1434" s="28" t="s">
        <v>518</v>
      </c>
      <c r="L1434" s="28" t="s">
        <v>849</v>
      </c>
      <c r="M1434" s="28" t="s">
        <v>605</v>
      </c>
      <c r="N1434" s="28" t="s">
        <v>557</v>
      </c>
      <c r="O1434" s="28" t="s">
        <v>544</v>
      </c>
      <c r="P1434" s="28" t="s">
        <v>559</v>
      </c>
      <c r="S1434" s="28" t="s">
        <v>733</v>
      </c>
      <c r="T1434" s="28" t="s">
        <v>850</v>
      </c>
      <c r="U1434" s="28" t="s">
        <v>850</v>
      </c>
      <c r="V1434" s="28" t="s">
        <v>517</v>
      </c>
      <c r="W1434" s="28" t="s">
        <v>5647</v>
      </c>
      <c r="Z1434" s="118" t="s">
        <v>563</v>
      </c>
      <c r="AA1434" s="118"/>
      <c r="AB1434" s="118" t="s">
        <v>527</v>
      </c>
      <c r="AD1434" s="28" t="s">
        <v>528</v>
      </c>
      <c r="AF1434" s="117" t="s">
        <v>5645</v>
      </c>
      <c r="AG1434" s="28" t="s">
        <v>563</v>
      </c>
      <c r="AK1434" s="60" t="s">
        <v>5515</v>
      </c>
      <c r="AL1434" s="117">
        <f>1/COUNTIF(Tableau6[LAT],B1434)</f>
        <v>1</v>
      </c>
      <c r="AM1434" s="60" t="b">
        <f t="shared" si="157"/>
        <v>0</v>
      </c>
      <c r="AN1434" s="60" t="b">
        <f t="shared" si="158"/>
        <v>0</v>
      </c>
      <c r="AO1434" s="60" t="b">
        <f t="shared" si="159"/>
        <v>0</v>
      </c>
      <c r="AP1434" s="60" t="b">
        <f t="shared" si="160"/>
        <v>0</v>
      </c>
      <c r="AQ1434" s="60" t="b">
        <f t="shared" si="161"/>
        <v>0</v>
      </c>
      <c r="AR1434" s="60" t="str">
        <f t="shared" si="162"/>
        <v>No</v>
      </c>
      <c r="AS1434" s="60" t="str">
        <f t="shared" si="163"/>
        <v>Yes</v>
      </c>
    </row>
    <row r="1435" spans="1:45" ht="15">
      <c r="A1435" s="103">
        <v>45244</v>
      </c>
      <c r="B1435" s="28" t="s">
        <v>5648</v>
      </c>
      <c r="C1435" s="28" t="s">
        <v>511</v>
      </c>
      <c r="D1435" s="28" t="s">
        <v>5649</v>
      </c>
      <c r="F1435" s="28" t="s">
        <v>5650</v>
      </c>
      <c r="G1435" s="28" t="s">
        <v>514</v>
      </c>
      <c r="H1435" s="28" t="s">
        <v>1605</v>
      </c>
      <c r="I1435" s="28" t="s">
        <v>516</v>
      </c>
      <c r="J1435" s="28" t="s">
        <v>517</v>
      </c>
      <c r="K1435" s="28" t="s">
        <v>518</v>
      </c>
      <c r="L1435" s="28" t="s">
        <v>751</v>
      </c>
      <c r="M1435" s="28" t="s">
        <v>605</v>
      </c>
      <c r="N1435" s="28" t="s">
        <v>557</v>
      </c>
      <c r="O1435" s="28" t="s">
        <v>544</v>
      </c>
      <c r="P1435" s="28" t="s">
        <v>559</v>
      </c>
      <c r="S1435" s="28" t="s">
        <v>1098</v>
      </c>
      <c r="T1435" s="28" t="s">
        <v>753</v>
      </c>
      <c r="U1435" s="28" t="s">
        <v>753</v>
      </c>
      <c r="V1435" s="28" t="s">
        <v>517</v>
      </c>
      <c r="W1435" s="28" t="s">
        <v>5651</v>
      </c>
      <c r="Z1435" s="118" t="s">
        <v>563</v>
      </c>
      <c r="AA1435" s="118"/>
      <c r="AB1435" s="118" t="s">
        <v>527</v>
      </c>
      <c r="AD1435" s="28" t="s">
        <v>528</v>
      </c>
      <c r="AF1435" s="117" t="s">
        <v>5649</v>
      </c>
      <c r="AG1435" s="28" t="s">
        <v>563</v>
      </c>
      <c r="AK1435" s="60" t="s">
        <v>5515</v>
      </c>
      <c r="AL1435" s="117">
        <f>1/COUNTIF(Tableau6[LAT],B1435)</f>
        <v>0.5</v>
      </c>
      <c r="AM1435" s="60" t="b">
        <f t="shared" si="157"/>
        <v>0</v>
      </c>
      <c r="AN1435" s="60" t="b">
        <f t="shared" si="158"/>
        <v>0</v>
      </c>
      <c r="AO1435" s="60" t="b">
        <f t="shared" si="159"/>
        <v>0</v>
      </c>
      <c r="AP1435" s="60" t="b">
        <f t="shared" si="160"/>
        <v>0</v>
      </c>
      <c r="AQ1435" s="60" t="b">
        <f t="shared" si="161"/>
        <v>0</v>
      </c>
      <c r="AR1435" s="60" t="str">
        <f t="shared" si="162"/>
        <v>No</v>
      </c>
      <c r="AS1435" s="60" t="str">
        <f t="shared" si="163"/>
        <v>No</v>
      </c>
    </row>
    <row r="1436" spans="1:45" ht="15">
      <c r="A1436" s="103">
        <v>45244</v>
      </c>
      <c r="B1436" s="28" t="s">
        <v>5648</v>
      </c>
      <c r="C1436" s="28" t="s">
        <v>548</v>
      </c>
      <c r="D1436" s="28" t="s">
        <v>5652</v>
      </c>
      <c r="F1436" s="28" t="s">
        <v>5650</v>
      </c>
      <c r="G1436" s="28" t="s">
        <v>514</v>
      </c>
      <c r="H1436" s="28" t="s">
        <v>848</v>
      </c>
      <c r="I1436" s="28" t="s">
        <v>516</v>
      </c>
      <c r="J1436" s="28" t="s">
        <v>517</v>
      </c>
      <c r="K1436" s="28" t="s">
        <v>518</v>
      </c>
      <c r="L1436" s="28" t="s">
        <v>751</v>
      </c>
      <c r="M1436" s="28" t="s">
        <v>605</v>
      </c>
      <c r="N1436" s="28" t="s">
        <v>557</v>
      </c>
      <c r="O1436" s="28" t="s">
        <v>544</v>
      </c>
      <c r="P1436" s="28" t="s">
        <v>559</v>
      </c>
      <c r="S1436" s="28" t="s">
        <v>1098</v>
      </c>
      <c r="T1436" s="28" t="s">
        <v>753</v>
      </c>
      <c r="U1436" s="28" t="s">
        <v>753</v>
      </c>
      <c r="V1436" s="28" t="s">
        <v>517</v>
      </c>
      <c r="W1436" s="28" t="s">
        <v>5653</v>
      </c>
      <c r="Z1436" s="118" t="s">
        <v>563</v>
      </c>
      <c r="AA1436" s="118"/>
      <c r="AB1436" s="118" t="s">
        <v>527</v>
      </c>
      <c r="AD1436" s="28" t="s">
        <v>528</v>
      </c>
      <c r="AF1436" s="117" t="s">
        <v>5649</v>
      </c>
      <c r="AG1436" s="28" t="s">
        <v>563</v>
      </c>
      <c r="AK1436" s="60" t="s">
        <v>5515</v>
      </c>
      <c r="AL1436" s="117">
        <f>1/COUNTIF(Tableau6[LAT],B1436)</f>
        <v>0.5</v>
      </c>
      <c r="AM1436" s="60" t="b">
        <f t="shared" si="157"/>
        <v>0</v>
      </c>
      <c r="AN1436" s="60" t="b">
        <f t="shared" si="158"/>
        <v>0</v>
      </c>
      <c r="AO1436" s="60" t="b">
        <f t="shared" si="159"/>
        <v>0</v>
      </c>
      <c r="AP1436" s="60" t="b">
        <f t="shared" si="160"/>
        <v>0</v>
      </c>
      <c r="AQ1436" s="60" t="b">
        <f t="shared" si="161"/>
        <v>0</v>
      </c>
      <c r="AR1436" s="60" t="str">
        <f t="shared" si="162"/>
        <v>No</v>
      </c>
      <c r="AS1436" s="60" t="str">
        <f t="shared" si="163"/>
        <v>No</v>
      </c>
    </row>
    <row r="1437" spans="1:45" ht="15">
      <c r="A1437" s="103">
        <v>45244</v>
      </c>
      <c r="B1437" s="28" t="s">
        <v>5654</v>
      </c>
      <c r="C1437" s="28" t="s">
        <v>511</v>
      </c>
      <c r="D1437" s="28" t="s">
        <v>5655</v>
      </c>
      <c r="F1437" s="28" t="s">
        <v>5656</v>
      </c>
      <c r="G1437" s="28" t="s">
        <v>514</v>
      </c>
      <c r="H1437" s="28" t="s">
        <v>2637</v>
      </c>
      <c r="I1437" s="28" t="s">
        <v>516</v>
      </c>
      <c r="J1437" s="28" t="s">
        <v>517</v>
      </c>
      <c r="K1437" s="28" t="s">
        <v>518</v>
      </c>
      <c r="L1437" s="28" t="s">
        <v>739</v>
      </c>
      <c r="M1437" s="28" t="s">
        <v>535</v>
      </c>
      <c r="S1437" s="28" t="s">
        <v>3958</v>
      </c>
      <c r="T1437" s="28" t="s">
        <v>741</v>
      </c>
      <c r="U1437" s="28" t="s">
        <v>741</v>
      </c>
      <c r="V1437" s="28" t="s">
        <v>517</v>
      </c>
      <c r="W1437" s="28" t="s">
        <v>835</v>
      </c>
      <c r="Z1437" s="118" t="s">
        <v>526</v>
      </c>
      <c r="AA1437" s="118"/>
      <c r="AB1437" s="118" t="s">
        <v>5657</v>
      </c>
      <c r="AD1437" s="28" t="s">
        <v>954</v>
      </c>
      <c r="AF1437" s="117" t="s">
        <v>5655</v>
      </c>
      <c r="AG1437" s="28" t="s">
        <v>563</v>
      </c>
      <c r="AK1437" s="60" t="s">
        <v>5515</v>
      </c>
      <c r="AL1437" s="117">
        <f>1/COUNTIF(Tableau6[LAT],B1437)</f>
        <v>0.5</v>
      </c>
      <c r="AM1437" s="60" t="b">
        <f t="shared" si="157"/>
        <v>0</v>
      </c>
      <c r="AN1437" s="60" t="b">
        <f t="shared" si="158"/>
        <v>0</v>
      </c>
      <c r="AO1437" s="60" t="b">
        <f t="shared" si="159"/>
        <v>0</v>
      </c>
      <c r="AP1437" s="60" t="b">
        <f t="shared" si="160"/>
        <v>0</v>
      </c>
      <c r="AQ1437" s="60" t="b">
        <f t="shared" si="161"/>
        <v>0</v>
      </c>
      <c r="AR1437" s="60" t="str">
        <f t="shared" si="162"/>
        <v>No</v>
      </c>
      <c r="AS1437" s="60" t="str">
        <f t="shared" si="163"/>
        <v>No</v>
      </c>
    </row>
    <row r="1438" spans="1:45" ht="15">
      <c r="A1438" s="103">
        <v>45244</v>
      </c>
      <c r="B1438" s="28" t="s">
        <v>5654</v>
      </c>
      <c r="C1438" s="28" t="s">
        <v>548</v>
      </c>
      <c r="D1438" s="28" t="s">
        <v>5658</v>
      </c>
      <c r="F1438" s="28" t="s">
        <v>5659</v>
      </c>
      <c r="G1438" s="28" t="s">
        <v>514</v>
      </c>
      <c r="H1438" s="28" t="s">
        <v>2637</v>
      </c>
      <c r="I1438" s="28" t="s">
        <v>516</v>
      </c>
      <c r="J1438" s="28" t="s">
        <v>517</v>
      </c>
      <c r="K1438" s="28" t="s">
        <v>518</v>
      </c>
      <c r="L1438" s="28" t="s">
        <v>739</v>
      </c>
      <c r="M1438" s="28" t="s">
        <v>535</v>
      </c>
      <c r="S1438" s="28" t="s">
        <v>3958</v>
      </c>
      <c r="T1438" s="28" t="s">
        <v>741</v>
      </c>
      <c r="U1438" s="28" t="s">
        <v>741</v>
      </c>
      <c r="V1438" s="28" t="s">
        <v>517</v>
      </c>
      <c r="W1438" s="28" t="s">
        <v>2935</v>
      </c>
      <c r="Z1438" s="118" t="s">
        <v>526</v>
      </c>
      <c r="AA1438" s="118"/>
      <c r="AB1438" s="118" t="s">
        <v>5657</v>
      </c>
      <c r="AD1438" s="28" t="s">
        <v>954</v>
      </c>
      <c r="AF1438" s="117" t="s">
        <v>5658</v>
      </c>
      <c r="AG1438" s="28" t="s">
        <v>563</v>
      </c>
      <c r="AK1438" s="60" t="s">
        <v>5515</v>
      </c>
      <c r="AL1438" s="117">
        <f>1/COUNTIF(Tableau6[LAT],B1438)</f>
        <v>0.5</v>
      </c>
      <c r="AM1438" s="60" t="b">
        <f t="shared" si="157"/>
        <v>0</v>
      </c>
      <c r="AN1438" s="60" t="b">
        <f t="shared" si="158"/>
        <v>0</v>
      </c>
      <c r="AO1438" s="60" t="b">
        <f t="shared" si="159"/>
        <v>0</v>
      </c>
      <c r="AP1438" s="60" t="b">
        <f t="shared" si="160"/>
        <v>0</v>
      </c>
      <c r="AQ1438" s="60" t="b">
        <f t="shared" si="161"/>
        <v>0</v>
      </c>
      <c r="AR1438" s="60" t="str">
        <f t="shared" si="162"/>
        <v>No</v>
      </c>
      <c r="AS1438" s="60" t="str">
        <f t="shared" si="163"/>
        <v>No</v>
      </c>
    </row>
    <row r="1439" spans="1:45" ht="15">
      <c r="A1439" s="103">
        <v>45244</v>
      </c>
      <c r="B1439" s="28" t="s">
        <v>5660</v>
      </c>
      <c r="C1439" s="28" t="s">
        <v>511</v>
      </c>
      <c r="D1439" s="28" t="s">
        <v>5661</v>
      </c>
      <c r="F1439" s="28" t="s">
        <v>1137</v>
      </c>
      <c r="G1439" s="28" t="s">
        <v>514</v>
      </c>
      <c r="H1439" s="28" t="s">
        <v>2135</v>
      </c>
      <c r="I1439" s="28" t="s">
        <v>516</v>
      </c>
      <c r="J1439" s="28" t="s">
        <v>517</v>
      </c>
      <c r="K1439" s="28" t="s">
        <v>518</v>
      </c>
      <c r="L1439" s="28" t="s">
        <v>2363</v>
      </c>
      <c r="M1439" s="28" t="s">
        <v>535</v>
      </c>
      <c r="N1439" s="28" t="s">
        <v>557</v>
      </c>
      <c r="O1439" s="28" t="s">
        <v>522</v>
      </c>
      <c r="S1439" s="28" t="s">
        <v>940</v>
      </c>
      <c r="T1439" s="28" t="s">
        <v>2364</v>
      </c>
      <c r="U1439" s="28" t="s">
        <v>2364</v>
      </c>
      <c r="V1439" s="28" t="s">
        <v>517</v>
      </c>
      <c r="W1439" s="28" t="s">
        <v>5662</v>
      </c>
      <c r="Z1439" s="118" t="s">
        <v>526</v>
      </c>
      <c r="AA1439" s="118"/>
      <c r="AB1439" s="118"/>
      <c r="AD1439" s="28" t="s">
        <v>528</v>
      </c>
      <c r="AF1439" s="117" t="s">
        <v>5661</v>
      </c>
      <c r="AG1439" s="28" t="s">
        <v>563</v>
      </c>
      <c r="AK1439" s="60" t="s">
        <v>5515</v>
      </c>
      <c r="AL1439" s="117">
        <f>1/COUNTIF(Tableau6[LAT],B1439)</f>
        <v>1</v>
      </c>
      <c r="AM1439" s="60" t="b">
        <f t="shared" si="157"/>
        <v>0</v>
      </c>
      <c r="AN1439" s="60" t="b">
        <f t="shared" si="158"/>
        <v>0</v>
      </c>
      <c r="AO1439" s="60" t="b">
        <f t="shared" si="159"/>
        <v>0</v>
      </c>
      <c r="AP1439" s="60" t="b">
        <f t="shared" si="160"/>
        <v>0</v>
      </c>
      <c r="AQ1439" s="60" t="b">
        <f t="shared" si="161"/>
        <v>0</v>
      </c>
      <c r="AR1439" s="60" t="str">
        <f t="shared" si="162"/>
        <v>No</v>
      </c>
      <c r="AS1439" s="60" t="str">
        <f t="shared" si="163"/>
        <v>No</v>
      </c>
    </row>
    <row r="1440" spans="1:45" ht="15">
      <c r="A1440" s="103">
        <v>45244</v>
      </c>
      <c r="B1440" s="28" t="s">
        <v>5663</v>
      </c>
      <c r="C1440" s="28" t="s">
        <v>511</v>
      </c>
      <c r="D1440" s="28" t="s">
        <v>5664</v>
      </c>
      <c r="F1440" s="28" t="s">
        <v>5665</v>
      </c>
      <c r="G1440" s="28" t="s">
        <v>514</v>
      </c>
      <c r="H1440" s="28" t="s">
        <v>568</v>
      </c>
      <c r="I1440" s="28" t="s">
        <v>516</v>
      </c>
      <c r="J1440" s="28" t="s">
        <v>517</v>
      </c>
      <c r="K1440" s="28" t="s">
        <v>682</v>
      </c>
      <c r="L1440" s="28" t="s">
        <v>1626</v>
      </c>
      <c r="M1440" s="28" t="s">
        <v>605</v>
      </c>
      <c r="N1440" s="28" t="s">
        <v>557</v>
      </c>
      <c r="O1440" s="28" t="s">
        <v>544</v>
      </c>
      <c r="P1440" s="28" t="s">
        <v>522</v>
      </c>
      <c r="S1440" s="28" t="s">
        <v>1226</v>
      </c>
      <c r="T1440" s="28" t="s">
        <v>545</v>
      </c>
      <c r="U1440" s="28" t="s">
        <v>545</v>
      </c>
      <c r="V1440" s="28" t="s">
        <v>517</v>
      </c>
      <c r="W1440" s="28" t="s">
        <v>5666</v>
      </c>
      <c r="Z1440" s="118" t="s">
        <v>563</v>
      </c>
      <c r="AA1440" s="118"/>
      <c r="AB1440" s="118" t="s">
        <v>527</v>
      </c>
      <c r="AD1440" s="28" t="s">
        <v>528</v>
      </c>
      <c r="AF1440" s="117" t="s">
        <v>5664</v>
      </c>
      <c r="AG1440" s="28" t="s">
        <v>563</v>
      </c>
      <c r="AK1440" s="60" t="s">
        <v>5515</v>
      </c>
      <c r="AL1440" s="117">
        <f>1/COUNTIF(Tableau6[LAT],B1440)</f>
        <v>1</v>
      </c>
      <c r="AM1440" s="60" t="b">
        <f t="shared" si="157"/>
        <v>0</v>
      </c>
      <c r="AN1440" s="60" t="b">
        <f t="shared" si="158"/>
        <v>0</v>
      </c>
      <c r="AO1440" s="60" t="b">
        <f t="shared" si="159"/>
        <v>0</v>
      </c>
      <c r="AP1440" s="60" t="b">
        <f t="shared" si="160"/>
        <v>0</v>
      </c>
      <c r="AQ1440" s="60" t="b">
        <f t="shared" si="161"/>
        <v>0</v>
      </c>
      <c r="AR1440" s="60" t="str">
        <f t="shared" si="162"/>
        <v>No</v>
      </c>
      <c r="AS1440" s="60" t="str">
        <f t="shared" si="163"/>
        <v>No</v>
      </c>
    </row>
    <row r="1441" spans="1:45" ht="15">
      <c r="A1441" s="103">
        <v>45244</v>
      </c>
      <c r="B1441" s="28" t="s">
        <v>5667</v>
      </c>
      <c r="C1441" s="28" t="s">
        <v>511</v>
      </c>
      <c r="D1441" s="28" t="s">
        <v>5668</v>
      </c>
      <c r="F1441" s="28" t="s">
        <v>5669</v>
      </c>
      <c r="G1441" s="28" t="s">
        <v>514</v>
      </c>
      <c r="H1441" s="28" t="s">
        <v>1164</v>
      </c>
      <c r="I1441" s="28" t="s">
        <v>516</v>
      </c>
      <c r="J1441" s="28" t="s">
        <v>517</v>
      </c>
      <c r="K1441" s="28" t="s">
        <v>518</v>
      </c>
      <c r="L1441" s="28" t="s">
        <v>1879</v>
      </c>
      <c r="M1441" s="28" t="s">
        <v>535</v>
      </c>
      <c r="N1441" s="28" t="s">
        <v>557</v>
      </c>
      <c r="O1441" s="28" t="s">
        <v>522</v>
      </c>
      <c r="S1441" s="28" t="s">
        <v>896</v>
      </c>
      <c r="T1441" s="28" t="s">
        <v>1712</v>
      </c>
      <c r="U1441" s="28" t="s">
        <v>1712</v>
      </c>
      <c r="V1441" s="28" t="s">
        <v>517</v>
      </c>
      <c r="W1441" s="28" t="s">
        <v>5670</v>
      </c>
      <c r="Z1441" s="118" t="s">
        <v>563</v>
      </c>
      <c r="AA1441" s="118"/>
      <c r="AB1441" s="118" t="s">
        <v>527</v>
      </c>
      <c r="AD1441" s="28" t="s">
        <v>954</v>
      </c>
      <c r="AF1441" s="117" t="s">
        <v>5668</v>
      </c>
      <c r="AG1441" s="28" t="s">
        <v>563</v>
      </c>
      <c r="AK1441" s="60" t="s">
        <v>5515</v>
      </c>
      <c r="AL1441" s="117">
        <f>1/COUNTIF(Tableau6[LAT],B1441)</f>
        <v>0.33333333333333331</v>
      </c>
      <c r="AM1441" s="60" t="b">
        <f t="shared" si="157"/>
        <v>0</v>
      </c>
      <c r="AN1441" s="60" t="b">
        <f t="shared" si="158"/>
        <v>0</v>
      </c>
      <c r="AO1441" s="60" t="b">
        <f t="shared" si="159"/>
        <v>0</v>
      </c>
      <c r="AP1441" s="60" t="b">
        <f t="shared" si="160"/>
        <v>0</v>
      </c>
      <c r="AQ1441" s="60" t="b">
        <f t="shared" si="161"/>
        <v>0</v>
      </c>
      <c r="AR1441" s="60" t="str">
        <f t="shared" si="162"/>
        <v>No</v>
      </c>
      <c r="AS1441" s="60" t="str">
        <f t="shared" si="163"/>
        <v>No</v>
      </c>
    </row>
    <row r="1442" spans="1:45" ht="15">
      <c r="A1442" s="103">
        <v>45244</v>
      </c>
      <c r="B1442" s="28" t="s">
        <v>5667</v>
      </c>
      <c r="C1442" s="28" t="s">
        <v>548</v>
      </c>
      <c r="D1442" s="28" t="s">
        <v>5671</v>
      </c>
      <c r="F1442" s="28" t="s">
        <v>5669</v>
      </c>
      <c r="G1442" s="28" t="s">
        <v>514</v>
      </c>
      <c r="H1442" s="28" t="s">
        <v>1164</v>
      </c>
      <c r="I1442" s="28" t="s">
        <v>516</v>
      </c>
      <c r="J1442" s="28" t="s">
        <v>517</v>
      </c>
      <c r="K1442" s="28" t="s">
        <v>518</v>
      </c>
      <c r="L1442" s="28" t="s">
        <v>1879</v>
      </c>
      <c r="M1442" s="28" t="s">
        <v>535</v>
      </c>
      <c r="N1442" s="28" t="s">
        <v>557</v>
      </c>
      <c r="O1442" s="28" t="s">
        <v>522</v>
      </c>
      <c r="S1442" s="28" t="s">
        <v>896</v>
      </c>
      <c r="T1442" s="28" t="s">
        <v>1712</v>
      </c>
      <c r="U1442" s="28" t="s">
        <v>1712</v>
      </c>
      <c r="V1442" s="28" t="s">
        <v>517</v>
      </c>
      <c r="W1442" s="28" t="s">
        <v>5672</v>
      </c>
      <c r="Z1442" s="118" t="s">
        <v>563</v>
      </c>
      <c r="AA1442" s="118"/>
      <c r="AB1442" s="118" t="s">
        <v>527</v>
      </c>
      <c r="AF1442" s="117"/>
      <c r="AK1442" s="60" t="s">
        <v>5515</v>
      </c>
      <c r="AL1442" s="117">
        <f>1/COUNTIF(Tableau6[LAT],B1442)</f>
        <v>0.33333333333333331</v>
      </c>
      <c r="AM1442" s="60" t="b">
        <f t="shared" si="157"/>
        <v>0</v>
      </c>
      <c r="AN1442" s="60" t="b">
        <f t="shared" si="158"/>
        <v>0</v>
      </c>
      <c r="AO1442" s="60" t="b">
        <f t="shared" si="159"/>
        <v>0</v>
      </c>
      <c r="AP1442" s="60" t="b">
        <f t="shared" si="160"/>
        <v>0</v>
      </c>
      <c r="AQ1442" s="60" t="b">
        <f t="shared" si="161"/>
        <v>0</v>
      </c>
      <c r="AR1442" s="60" t="str">
        <f t="shared" si="162"/>
        <v>No</v>
      </c>
      <c r="AS1442" s="60" t="str">
        <f t="shared" si="163"/>
        <v>No</v>
      </c>
    </row>
    <row r="1443" spans="1:45" ht="15">
      <c r="A1443" s="103">
        <v>45244</v>
      </c>
      <c r="B1443" s="28" t="s">
        <v>5667</v>
      </c>
      <c r="C1443" s="28" t="s">
        <v>612</v>
      </c>
      <c r="D1443" s="28" t="s">
        <v>5673</v>
      </c>
      <c r="F1443" s="28" t="s">
        <v>5674</v>
      </c>
      <c r="G1443" s="28" t="s">
        <v>514</v>
      </c>
      <c r="H1443" s="28" t="s">
        <v>5675</v>
      </c>
      <c r="I1443" s="28" t="s">
        <v>516</v>
      </c>
      <c r="J1443" s="28" t="s">
        <v>517</v>
      </c>
      <c r="K1443" s="28" t="s">
        <v>518</v>
      </c>
      <c r="L1443" s="28" t="s">
        <v>1879</v>
      </c>
      <c r="M1443" s="28" t="s">
        <v>535</v>
      </c>
      <c r="N1443" s="28" t="s">
        <v>557</v>
      </c>
      <c r="O1443" s="28" t="s">
        <v>522</v>
      </c>
      <c r="S1443" s="28" t="s">
        <v>896</v>
      </c>
      <c r="T1443" s="28" t="s">
        <v>1712</v>
      </c>
      <c r="U1443" s="28" t="s">
        <v>1712</v>
      </c>
      <c r="V1443" s="28" t="s">
        <v>517</v>
      </c>
      <c r="W1443" s="28" t="s">
        <v>5676</v>
      </c>
      <c r="Z1443" s="118" t="s">
        <v>563</v>
      </c>
      <c r="AA1443" s="118"/>
      <c r="AB1443" s="118" t="s">
        <v>527</v>
      </c>
      <c r="AF1443" s="117"/>
      <c r="AK1443" s="60" t="s">
        <v>5515</v>
      </c>
      <c r="AL1443" s="117">
        <f>1/COUNTIF(Tableau6[LAT],B1443)</f>
        <v>0.33333333333333331</v>
      </c>
      <c r="AM1443" s="60" t="b">
        <f t="shared" si="157"/>
        <v>0</v>
      </c>
      <c r="AN1443" s="60" t="b">
        <f t="shared" si="158"/>
        <v>0</v>
      </c>
      <c r="AO1443" s="60" t="b">
        <f t="shared" si="159"/>
        <v>0</v>
      </c>
      <c r="AP1443" s="60" t="b">
        <f t="shared" si="160"/>
        <v>0</v>
      </c>
      <c r="AQ1443" s="60" t="b">
        <f t="shared" si="161"/>
        <v>0</v>
      </c>
      <c r="AR1443" s="60" t="str">
        <f t="shared" si="162"/>
        <v>No</v>
      </c>
      <c r="AS1443" s="60" t="str">
        <f t="shared" si="163"/>
        <v>No</v>
      </c>
    </row>
    <row r="1444" spans="1:45" ht="15">
      <c r="A1444" s="103">
        <v>45244</v>
      </c>
      <c r="B1444" s="28" t="s">
        <v>5677</v>
      </c>
      <c r="C1444" s="28" t="s">
        <v>511</v>
      </c>
      <c r="D1444" s="28" t="s">
        <v>5678</v>
      </c>
      <c r="E1444" s="28" t="s">
        <v>5679</v>
      </c>
      <c r="F1444" s="28" t="s">
        <v>3250</v>
      </c>
      <c r="G1444" s="28" t="s">
        <v>514</v>
      </c>
      <c r="H1444" s="28" t="s">
        <v>1619</v>
      </c>
      <c r="I1444" s="28" t="s">
        <v>516</v>
      </c>
      <c r="J1444" s="28" t="s">
        <v>517</v>
      </c>
      <c r="K1444" s="28" t="s">
        <v>682</v>
      </c>
      <c r="L1444" s="28" t="s">
        <v>5680</v>
      </c>
      <c r="M1444" s="28" t="s">
        <v>535</v>
      </c>
      <c r="N1444" s="28" t="s">
        <v>557</v>
      </c>
      <c r="O1444" s="28" t="s">
        <v>559</v>
      </c>
      <c r="S1444" s="28" t="s">
        <v>732</v>
      </c>
      <c r="T1444" s="28" t="s">
        <v>1918</v>
      </c>
      <c r="U1444" s="28" t="s">
        <v>1918</v>
      </c>
      <c r="V1444" s="28" t="s">
        <v>517</v>
      </c>
      <c r="W1444" s="28" t="s">
        <v>5681</v>
      </c>
      <c r="Z1444" s="118" t="s">
        <v>563</v>
      </c>
      <c r="AA1444" s="118"/>
      <c r="AB1444" s="118" t="s">
        <v>527</v>
      </c>
      <c r="AD1444" s="28" t="s">
        <v>528</v>
      </c>
      <c r="AF1444" s="117" t="s">
        <v>5678</v>
      </c>
      <c r="AG1444" s="28" t="s">
        <v>563</v>
      </c>
      <c r="AK1444" s="60" t="s">
        <v>5515</v>
      </c>
      <c r="AL1444" s="117">
        <f>1/COUNTIF(Tableau6[LAT],B1444)</f>
        <v>1</v>
      </c>
      <c r="AM1444" s="60" t="b">
        <f t="shared" si="157"/>
        <v>0</v>
      </c>
      <c r="AN1444" s="60" t="b">
        <f t="shared" si="158"/>
        <v>0</v>
      </c>
      <c r="AO1444" s="60" t="b">
        <f t="shared" si="159"/>
        <v>0</v>
      </c>
      <c r="AP1444" s="60" t="b">
        <f t="shared" si="160"/>
        <v>0</v>
      </c>
      <c r="AQ1444" s="60" t="b">
        <f t="shared" si="161"/>
        <v>0</v>
      </c>
      <c r="AR1444" s="60" t="str">
        <f t="shared" si="162"/>
        <v>No</v>
      </c>
      <c r="AS1444" s="60" t="str">
        <f t="shared" si="163"/>
        <v>No</v>
      </c>
    </row>
    <row r="1445" spans="1:45" ht="15">
      <c r="A1445" s="103">
        <v>45244</v>
      </c>
      <c r="B1445" s="28" t="s">
        <v>5682</v>
      </c>
      <c r="C1445" s="28" t="s">
        <v>511</v>
      </c>
      <c r="D1445" s="28" t="s">
        <v>5683</v>
      </c>
      <c r="F1445" s="28" t="s">
        <v>5684</v>
      </c>
      <c r="G1445" s="28" t="s">
        <v>514</v>
      </c>
      <c r="H1445" s="28" t="s">
        <v>915</v>
      </c>
      <c r="I1445" s="28" t="s">
        <v>516</v>
      </c>
      <c r="J1445" s="28" t="s">
        <v>517</v>
      </c>
      <c r="K1445" s="28" t="s">
        <v>518</v>
      </c>
      <c r="L1445" s="28" t="s">
        <v>739</v>
      </c>
      <c r="M1445" s="28" t="s">
        <v>535</v>
      </c>
      <c r="N1445" s="28" t="s">
        <v>544</v>
      </c>
      <c r="S1445" s="28" t="s">
        <v>2364</v>
      </c>
      <c r="T1445" s="28" t="s">
        <v>741</v>
      </c>
      <c r="U1445" s="28" t="s">
        <v>741</v>
      </c>
      <c r="V1445" s="28" t="s">
        <v>517</v>
      </c>
      <c r="W1445" s="28" t="s">
        <v>5685</v>
      </c>
      <c r="Z1445" s="118" t="s">
        <v>526</v>
      </c>
      <c r="AA1445" s="118"/>
      <c r="AB1445" s="118"/>
      <c r="AD1445" s="28" t="s">
        <v>954</v>
      </c>
      <c r="AF1445" s="117" t="s">
        <v>5683</v>
      </c>
      <c r="AG1445" s="28" t="s">
        <v>563</v>
      </c>
      <c r="AK1445" s="60" t="s">
        <v>5515</v>
      </c>
      <c r="AL1445" s="117">
        <f>1/COUNTIF(Tableau6[LAT],B1445)</f>
        <v>1</v>
      </c>
      <c r="AM1445" s="60" t="b">
        <f t="shared" si="157"/>
        <v>0</v>
      </c>
      <c r="AN1445" s="60" t="b">
        <f t="shared" si="158"/>
        <v>0</v>
      </c>
      <c r="AO1445" s="60" t="b">
        <f t="shared" si="159"/>
        <v>0</v>
      </c>
      <c r="AP1445" s="60" t="b">
        <f t="shared" si="160"/>
        <v>0</v>
      </c>
      <c r="AQ1445" s="60" t="b">
        <f t="shared" si="161"/>
        <v>0</v>
      </c>
      <c r="AR1445" s="60" t="str">
        <f t="shared" si="162"/>
        <v>No</v>
      </c>
      <c r="AS1445" s="60" t="str">
        <f t="shared" si="163"/>
        <v>Yes</v>
      </c>
    </row>
    <row r="1446" spans="1:45" ht="15">
      <c r="A1446" s="103">
        <v>45244</v>
      </c>
      <c r="B1446" s="28" t="s">
        <v>5686</v>
      </c>
      <c r="C1446" s="28" t="s">
        <v>511</v>
      </c>
      <c r="D1446" s="28" t="s">
        <v>5687</v>
      </c>
      <c r="F1446" s="28" t="s">
        <v>5688</v>
      </c>
      <c r="G1446" s="28" t="s">
        <v>514</v>
      </c>
      <c r="H1446" s="28" t="s">
        <v>1768</v>
      </c>
      <c r="I1446" s="28" t="s">
        <v>517</v>
      </c>
      <c r="J1446" s="28" t="s">
        <v>517</v>
      </c>
      <c r="K1446" s="28" t="s">
        <v>518</v>
      </c>
      <c r="L1446" s="28" t="s">
        <v>3639</v>
      </c>
      <c r="M1446" s="28" t="s">
        <v>535</v>
      </c>
      <c r="N1446" s="28" t="s">
        <v>544</v>
      </c>
      <c r="S1446" s="28" t="s">
        <v>573</v>
      </c>
      <c r="T1446" s="28" t="s">
        <v>3640</v>
      </c>
      <c r="U1446" s="28" t="s">
        <v>3640</v>
      </c>
      <c r="V1446" s="28" t="s">
        <v>517</v>
      </c>
      <c r="W1446" s="28" t="s">
        <v>835</v>
      </c>
      <c r="Z1446" s="118" t="s">
        <v>563</v>
      </c>
      <c r="AA1446" s="118"/>
      <c r="AB1446" s="118" t="s">
        <v>4506</v>
      </c>
      <c r="AD1446" s="28" t="s">
        <v>954</v>
      </c>
      <c r="AF1446" s="117" t="s">
        <v>5687</v>
      </c>
      <c r="AG1446" s="28" t="s">
        <v>563</v>
      </c>
      <c r="AK1446" s="60" t="s">
        <v>5515</v>
      </c>
      <c r="AL1446" s="117">
        <f>1/COUNTIF(Tableau6[LAT],B1446)</f>
        <v>0.5</v>
      </c>
      <c r="AM1446" s="60" t="b">
        <f t="shared" si="157"/>
        <v>0</v>
      </c>
      <c r="AN1446" s="60" t="b">
        <f t="shared" si="158"/>
        <v>0</v>
      </c>
      <c r="AO1446" s="60" t="b">
        <f t="shared" si="159"/>
        <v>0</v>
      </c>
      <c r="AP1446" s="60" t="b">
        <f t="shared" si="160"/>
        <v>0</v>
      </c>
      <c r="AQ1446" s="60" t="b">
        <f t="shared" si="161"/>
        <v>0</v>
      </c>
      <c r="AR1446" s="60" t="str">
        <f t="shared" si="162"/>
        <v>No</v>
      </c>
      <c r="AS1446" s="60" t="str">
        <f t="shared" si="163"/>
        <v>No</v>
      </c>
    </row>
    <row r="1447" spans="1:45" ht="15">
      <c r="A1447" s="103">
        <v>45244</v>
      </c>
      <c r="B1447" s="28" t="s">
        <v>5686</v>
      </c>
      <c r="C1447" s="28" t="s">
        <v>548</v>
      </c>
      <c r="D1447" s="28" t="s">
        <v>5689</v>
      </c>
      <c r="F1447" s="28" t="s">
        <v>5688</v>
      </c>
      <c r="G1447" s="28" t="s">
        <v>514</v>
      </c>
      <c r="H1447" s="28" t="s">
        <v>1768</v>
      </c>
      <c r="I1447" s="28" t="s">
        <v>517</v>
      </c>
      <c r="J1447" s="28" t="s">
        <v>517</v>
      </c>
      <c r="K1447" s="28" t="s">
        <v>518</v>
      </c>
      <c r="L1447" s="28" t="s">
        <v>3639</v>
      </c>
      <c r="M1447" s="28" t="s">
        <v>535</v>
      </c>
      <c r="N1447" s="28" t="s">
        <v>544</v>
      </c>
      <c r="S1447" s="28" t="s">
        <v>573</v>
      </c>
      <c r="T1447" s="28" t="s">
        <v>3640</v>
      </c>
      <c r="U1447" s="28" t="s">
        <v>3640</v>
      </c>
      <c r="V1447" s="28" t="s">
        <v>517</v>
      </c>
      <c r="W1447" s="28" t="s">
        <v>922</v>
      </c>
      <c r="Z1447" s="118" t="s">
        <v>563</v>
      </c>
      <c r="AA1447" s="118"/>
      <c r="AB1447" s="118" t="s">
        <v>4506</v>
      </c>
      <c r="AD1447" s="28" t="s">
        <v>954</v>
      </c>
      <c r="AF1447" s="117" t="s">
        <v>5687</v>
      </c>
      <c r="AG1447" s="28" t="s">
        <v>563</v>
      </c>
      <c r="AK1447" s="60" t="s">
        <v>5515</v>
      </c>
      <c r="AL1447" s="117">
        <f>1/COUNTIF(Tableau6[LAT],B1447)</f>
        <v>0.5</v>
      </c>
      <c r="AM1447" s="60" t="b">
        <f t="shared" si="157"/>
        <v>0</v>
      </c>
      <c r="AN1447" s="60" t="b">
        <f t="shared" si="158"/>
        <v>0</v>
      </c>
      <c r="AO1447" s="60" t="b">
        <f t="shared" si="159"/>
        <v>0</v>
      </c>
      <c r="AP1447" s="60" t="b">
        <f t="shared" si="160"/>
        <v>0</v>
      </c>
      <c r="AQ1447" s="60" t="b">
        <f t="shared" si="161"/>
        <v>0</v>
      </c>
      <c r="AR1447" s="60" t="str">
        <f t="shared" si="162"/>
        <v>No</v>
      </c>
      <c r="AS1447" s="60" t="str">
        <f t="shared" si="163"/>
        <v>No</v>
      </c>
    </row>
    <row r="1448" spans="1:45" ht="15">
      <c r="A1448" s="103">
        <v>45244</v>
      </c>
      <c r="B1448" s="28" t="s">
        <v>5690</v>
      </c>
      <c r="C1448" s="28" t="s">
        <v>511</v>
      </c>
      <c r="D1448" s="28" t="s">
        <v>5691</v>
      </c>
      <c r="F1448" s="28" t="s">
        <v>5692</v>
      </c>
      <c r="G1448" s="28" t="s">
        <v>514</v>
      </c>
      <c r="H1448" s="28" t="s">
        <v>5693</v>
      </c>
      <c r="I1448" s="28" t="s">
        <v>516</v>
      </c>
      <c r="J1448" s="28" t="s">
        <v>517</v>
      </c>
      <c r="K1448" s="28" t="s">
        <v>518</v>
      </c>
      <c r="L1448" s="28" t="s">
        <v>895</v>
      </c>
      <c r="M1448" s="28" t="s">
        <v>1374</v>
      </c>
      <c r="N1448" s="28" t="s">
        <v>557</v>
      </c>
      <c r="O1448" s="28" t="s">
        <v>544</v>
      </c>
      <c r="S1448" s="28" t="s">
        <v>1263</v>
      </c>
      <c r="T1448" s="28" t="s">
        <v>699</v>
      </c>
      <c r="U1448" s="28" t="s">
        <v>897</v>
      </c>
      <c r="V1448" s="28" t="s">
        <v>517</v>
      </c>
      <c r="W1448" s="28" t="s">
        <v>4248</v>
      </c>
      <c r="Z1448" s="118" t="s">
        <v>563</v>
      </c>
      <c r="AA1448" s="118"/>
      <c r="AB1448" s="118" t="s">
        <v>527</v>
      </c>
      <c r="AD1448" s="28" t="s">
        <v>528</v>
      </c>
      <c r="AF1448" s="117" t="s">
        <v>5691</v>
      </c>
      <c r="AG1448" s="28" t="s">
        <v>563</v>
      </c>
      <c r="AK1448" s="60" t="s">
        <v>5515</v>
      </c>
      <c r="AL1448" s="117">
        <f>1/COUNTIF(Tableau6[LAT],B1448)</f>
        <v>0.5</v>
      </c>
      <c r="AM1448" s="60" t="b">
        <f t="shared" si="157"/>
        <v>0</v>
      </c>
      <c r="AN1448" s="60" t="b">
        <f t="shared" si="158"/>
        <v>0</v>
      </c>
      <c r="AO1448" s="60" t="b">
        <f t="shared" si="159"/>
        <v>0</v>
      </c>
      <c r="AP1448" s="60" t="b">
        <f t="shared" si="160"/>
        <v>0</v>
      </c>
      <c r="AQ1448" s="60" t="b">
        <f t="shared" si="161"/>
        <v>0</v>
      </c>
      <c r="AR1448" s="60" t="str">
        <f t="shared" si="162"/>
        <v>No</v>
      </c>
      <c r="AS1448" s="60" t="str">
        <f t="shared" si="163"/>
        <v>No</v>
      </c>
    </row>
    <row r="1449" spans="1:45" ht="15">
      <c r="A1449" s="103">
        <v>45244</v>
      </c>
      <c r="B1449" s="28" t="s">
        <v>5690</v>
      </c>
      <c r="C1449" s="28" t="s">
        <v>548</v>
      </c>
      <c r="D1449" s="28" t="s">
        <v>5694</v>
      </c>
      <c r="F1449" s="28" t="s">
        <v>5692</v>
      </c>
      <c r="G1449" s="28" t="s">
        <v>514</v>
      </c>
      <c r="H1449" s="28" t="s">
        <v>5693</v>
      </c>
      <c r="I1449" s="28" t="s">
        <v>516</v>
      </c>
      <c r="J1449" s="28" t="s">
        <v>517</v>
      </c>
      <c r="K1449" s="28" t="s">
        <v>518</v>
      </c>
      <c r="L1449" s="28" t="s">
        <v>895</v>
      </c>
      <c r="M1449" s="28" t="s">
        <v>1374</v>
      </c>
      <c r="N1449" s="28" t="s">
        <v>557</v>
      </c>
      <c r="O1449" s="28" t="s">
        <v>544</v>
      </c>
      <c r="S1449" s="28" t="s">
        <v>1263</v>
      </c>
      <c r="T1449" s="28" t="s">
        <v>699</v>
      </c>
      <c r="U1449" s="28" t="s">
        <v>897</v>
      </c>
      <c r="V1449" s="28" t="s">
        <v>517</v>
      </c>
      <c r="W1449" s="28" t="s">
        <v>5695</v>
      </c>
      <c r="Z1449" s="118" t="s">
        <v>563</v>
      </c>
      <c r="AA1449" s="118"/>
      <c r="AB1449" s="118" t="s">
        <v>527</v>
      </c>
      <c r="AF1449" s="117" t="s">
        <v>5691</v>
      </c>
      <c r="AK1449" s="60" t="s">
        <v>5515</v>
      </c>
      <c r="AL1449" s="117">
        <f>1/COUNTIF(Tableau6[LAT],B1449)</f>
        <v>0.5</v>
      </c>
      <c r="AM1449" s="60" t="b">
        <f t="shared" si="157"/>
        <v>0</v>
      </c>
      <c r="AN1449" s="60" t="b">
        <f t="shared" si="158"/>
        <v>0</v>
      </c>
      <c r="AO1449" s="60" t="b">
        <f t="shared" si="159"/>
        <v>0</v>
      </c>
      <c r="AP1449" s="60" t="b">
        <f t="shared" si="160"/>
        <v>0</v>
      </c>
      <c r="AQ1449" s="60" t="b">
        <f t="shared" si="161"/>
        <v>0</v>
      </c>
      <c r="AR1449" s="60" t="str">
        <f t="shared" si="162"/>
        <v>No</v>
      </c>
      <c r="AS1449" s="60" t="str">
        <f t="shared" si="163"/>
        <v>No</v>
      </c>
    </row>
    <row r="1450" spans="1:45" ht="15">
      <c r="A1450" s="103">
        <v>45244</v>
      </c>
      <c r="B1450" s="28" t="s">
        <v>5696</v>
      </c>
      <c r="C1450" s="28" t="s">
        <v>511</v>
      </c>
      <c r="D1450" s="28" t="s">
        <v>5697</v>
      </c>
      <c r="F1450" s="28" t="s">
        <v>5698</v>
      </c>
      <c r="G1450" s="28" t="s">
        <v>514</v>
      </c>
      <c r="H1450" s="28" t="s">
        <v>2146</v>
      </c>
      <c r="I1450" s="28" t="s">
        <v>517</v>
      </c>
      <c r="J1450" s="28" t="s">
        <v>517</v>
      </c>
      <c r="K1450" s="28" t="s">
        <v>518</v>
      </c>
      <c r="L1450" s="28" t="s">
        <v>739</v>
      </c>
      <c r="M1450" s="28" t="s">
        <v>520</v>
      </c>
      <c r="N1450" s="28" t="s">
        <v>544</v>
      </c>
      <c r="S1450" s="28" t="s">
        <v>573</v>
      </c>
      <c r="T1450" s="28" t="s">
        <v>741</v>
      </c>
      <c r="U1450" s="28" t="s">
        <v>741</v>
      </c>
      <c r="V1450" s="28" t="s">
        <v>517</v>
      </c>
      <c r="W1450" s="28" t="s">
        <v>922</v>
      </c>
      <c r="Z1450" s="118" t="s">
        <v>563</v>
      </c>
      <c r="AA1450" s="118"/>
      <c r="AB1450" s="118" t="s">
        <v>4506</v>
      </c>
      <c r="AD1450" s="28" t="s">
        <v>954</v>
      </c>
      <c r="AF1450" s="117" t="s">
        <v>5697</v>
      </c>
      <c r="AG1450" s="28" t="s">
        <v>563</v>
      </c>
      <c r="AK1450" s="60" t="s">
        <v>5515</v>
      </c>
      <c r="AL1450" s="117">
        <f>1/COUNTIF(Tableau6[LAT],B1450)</f>
        <v>1</v>
      </c>
      <c r="AM1450" s="60" t="b">
        <f t="shared" si="157"/>
        <v>0</v>
      </c>
      <c r="AN1450" s="60" t="b">
        <f t="shared" si="158"/>
        <v>0</v>
      </c>
      <c r="AO1450" s="60" t="b">
        <f t="shared" si="159"/>
        <v>0</v>
      </c>
      <c r="AP1450" s="60" t="b">
        <f t="shared" si="160"/>
        <v>0</v>
      </c>
      <c r="AQ1450" s="60" t="b">
        <f t="shared" si="161"/>
        <v>0</v>
      </c>
      <c r="AR1450" s="60" t="str">
        <f t="shared" si="162"/>
        <v>No</v>
      </c>
      <c r="AS1450" s="60" t="str">
        <f t="shared" si="163"/>
        <v>No</v>
      </c>
    </row>
    <row r="1451" spans="1:45" ht="15">
      <c r="A1451" s="103">
        <v>45244</v>
      </c>
      <c r="B1451" s="28" t="s">
        <v>5699</v>
      </c>
      <c r="C1451" s="28" t="s">
        <v>511</v>
      </c>
      <c r="D1451" s="28" t="s">
        <v>5700</v>
      </c>
      <c r="F1451" s="28" t="s">
        <v>1391</v>
      </c>
      <c r="G1451" s="28" t="s">
        <v>514</v>
      </c>
      <c r="H1451" s="28" t="s">
        <v>1134</v>
      </c>
      <c r="I1451" s="28" t="s">
        <v>516</v>
      </c>
      <c r="J1451" s="28" t="s">
        <v>517</v>
      </c>
      <c r="K1451" s="28" t="s">
        <v>518</v>
      </c>
      <c r="L1451" s="28" t="s">
        <v>675</v>
      </c>
      <c r="M1451" s="28" t="s">
        <v>520</v>
      </c>
      <c r="N1451" s="28" t="s">
        <v>521</v>
      </c>
      <c r="S1451" s="28" t="s">
        <v>732</v>
      </c>
      <c r="T1451" s="28" t="s">
        <v>676</v>
      </c>
      <c r="U1451" s="28" t="s">
        <v>676</v>
      </c>
      <c r="V1451" s="28" t="s">
        <v>517</v>
      </c>
      <c r="W1451" s="28" t="s">
        <v>5701</v>
      </c>
      <c r="Z1451" s="118" t="s">
        <v>526</v>
      </c>
      <c r="AA1451" s="118"/>
      <c r="AB1451" s="118"/>
      <c r="AD1451" s="28" t="s">
        <v>528</v>
      </c>
      <c r="AF1451" s="117" t="s">
        <v>5700</v>
      </c>
      <c r="AG1451" s="28" t="s">
        <v>563</v>
      </c>
      <c r="AK1451" s="60" t="s">
        <v>5515</v>
      </c>
      <c r="AL1451" s="117">
        <f>1/COUNTIF(Tableau6[LAT],B1451)</f>
        <v>0.5</v>
      </c>
      <c r="AM1451" s="60" t="b">
        <f t="shared" si="157"/>
        <v>0</v>
      </c>
      <c r="AN1451" s="60" t="b">
        <f t="shared" si="158"/>
        <v>0</v>
      </c>
      <c r="AO1451" s="60" t="b">
        <f t="shared" si="159"/>
        <v>0</v>
      </c>
      <c r="AP1451" s="60" t="b">
        <f t="shared" si="160"/>
        <v>0</v>
      </c>
      <c r="AQ1451" s="60" t="b">
        <f t="shared" si="161"/>
        <v>0</v>
      </c>
      <c r="AR1451" s="60" t="str">
        <f t="shared" si="162"/>
        <v>No</v>
      </c>
      <c r="AS1451" s="60" t="str">
        <f t="shared" si="163"/>
        <v>No</v>
      </c>
    </row>
    <row r="1452" spans="1:45" ht="15">
      <c r="A1452" s="103">
        <v>45244</v>
      </c>
      <c r="B1452" s="28" t="s">
        <v>5699</v>
      </c>
      <c r="C1452" s="28" t="s">
        <v>548</v>
      </c>
      <c r="D1452" s="28" t="s">
        <v>5702</v>
      </c>
      <c r="F1452" s="28" t="s">
        <v>1391</v>
      </c>
      <c r="G1452" s="28" t="s">
        <v>514</v>
      </c>
      <c r="H1452" s="28" t="s">
        <v>658</v>
      </c>
      <c r="I1452" s="28" t="s">
        <v>516</v>
      </c>
      <c r="J1452" s="28" t="s">
        <v>517</v>
      </c>
      <c r="K1452" s="28" t="s">
        <v>518</v>
      </c>
      <c r="L1452" s="28" t="s">
        <v>675</v>
      </c>
      <c r="M1452" s="28" t="s">
        <v>520</v>
      </c>
      <c r="N1452" s="28" t="s">
        <v>521</v>
      </c>
      <c r="S1452" s="28" t="s">
        <v>732</v>
      </c>
      <c r="T1452" s="28" t="s">
        <v>676</v>
      </c>
      <c r="U1452" s="28" t="s">
        <v>676</v>
      </c>
      <c r="V1452" s="28" t="s">
        <v>517</v>
      </c>
      <c r="W1452" s="28" t="s">
        <v>5703</v>
      </c>
      <c r="Z1452" s="118" t="s">
        <v>526</v>
      </c>
      <c r="AA1452" s="118"/>
      <c r="AB1452" s="118"/>
      <c r="AD1452" s="28" t="s">
        <v>528</v>
      </c>
      <c r="AF1452" s="117" t="s">
        <v>5700</v>
      </c>
      <c r="AG1452" s="28" t="s">
        <v>563</v>
      </c>
      <c r="AK1452" s="60" t="s">
        <v>5515</v>
      </c>
      <c r="AL1452" s="117">
        <f>1/COUNTIF(Tableau6[LAT],B1452)</f>
        <v>0.5</v>
      </c>
      <c r="AM1452" s="60" t="b">
        <f t="shared" si="157"/>
        <v>0</v>
      </c>
      <c r="AN1452" s="60" t="b">
        <f t="shared" si="158"/>
        <v>0</v>
      </c>
      <c r="AO1452" s="60" t="b">
        <f t="shared" si="159"/>
        <v>0</v>
      </c>
      <c r="AP1452" s="60" t="b">
        <f t="shared" si="160"/>
        <v>0</v>
      </c>
      <c r="AQ1452" s="60" t="b">
        <f t="shared" si="161"/>
        <v>0</v>
      </c>
      <c r="AR1452" s="60" t="str">
        <f t="shared" si="162"/>
        <v>No</v>
      </c>
      <c r="AS1452" s="60" t="str">
        <f t="shared" si="163"/>
        <v>No</v>
      </c>
    </row>
    <row r="1453" spans="1:45" ht="15">
      <c r="A1453" s="103">
        <v>45244</v>
      </c>
      <c r="B1453" s="28" t="s">
        <v>5704</v>
      </c>
      <c r="C1453" s="28" t="s">
        <v>511</v>
      </c>
      <c r="D1453" s="28" t="s">
        <v>5705</v>
      </c>
      <c r="F1453" s="28" t="s">
        <v>5548</v>
      </c>
      <c r="G1453" s="28" t="s">
        <v>514</v>
      </c>
      <c r="H1453" s="28" t="s">
        <v>658</v>
      </c>
      <c r="I1453" s="28" t="s">
        <v>516</v>
      </c>
      <c r="J1453" s="28" t="s">
        <v>517</v>
      </c>
      <c r="K1453" s="28" t="s">
        <v>518</v>
      </c>
      <c r="L1453" s="28" t="s">
        <v>2363</v>
      </c>
      <c r="M1453" s="28" t="s">
        <v>535</v>
      </c>
      <c r="N1453" s="28" t="s">
        <v>557</v>
      </c>
      <c r="S1453" s="28" t="s">
        <v>581</v>
      </c>
      <c r="T1453" s="28" t="s">
        <v>2364</v>
      </c>
      <c r="U1453" s="28" t="s">
        <v>2364</v>
      </c>
      <c r="V1453" s="28" t="s">
        <v>517</v>
      </c>
      <c r="W1453" s="28" t="s">
        <v>5706</v>
      </c>
      <c r="Z1453" s="118" t="s">
        <v>526</v>
      </c>
      <c r="AA1453" s="118"/>
      <c r="AB1453" s="118"/>
      <c r="AD1453" s="28" t="s">
        <v>528</v>
      </c>
      <c r="AF1453" s="117" t="s">
        <v>5705</v>
      </c>
      <c r="AG1453" s="28" t="s">
        <v>563</v>
      </c>
      <c r="AK1453" s="60" t="s">
        <v>5515</v>
      </c>
      <c r="AL1453" s="117">
        <f>1/COUNTIF(Tableau6[LAT],B1453)</f>
        <v>1</v>
      </c>
      <c r="AM1453" s="60" t="b">
        <f t="shared" si="157"/>
        <v>0</v>
      </c>
      <c r="AN1453" s="60" t="b">
        <f t="shared" si="158"/>
        <v>0</v>
      </c>
      <c r="AO1453" s="60" t="b">
        <f t="shared" si="159"/>
        <v>0</v>
      </c>
      <c r="AP1453" s="60" t="b">
        <f t="shared" si="160"/>
        <v>0</v>
      </c>
      <c r="AQ1453" s="60" t="b">
        <f t="shared" si="161"/>
        <v>0</v>
      </c>
      <c r="AR1453" s="60" t="str">
        <f t="shared" si="162"/>
        <v>No</v>
      </c>
      <c r="AS1453" s="60" t="str">
        <f t="shared" si="163"/>
        <v>No</v>
      </c>
    </row>
    <row r="1454" spans="1:45" ht="15">
      <c r="A1454" s="103">
        <v>45244</v>
      </c>
      <c r="B1454" s="28" t="s">
        <v>5707</v>
      </c>
      <c r="C1454" s="28" t="s">
        <v>511</v>
      </c>
      <c r="D1454" s="28" t="s">
        <v>5708</v>
      </c>
      <c r="F1454" s="28" t="s">
        <v>5709</v>
      </c>
      <c r="G1454" s="28" t="s">
        <v>514</v>
      </c>
      <c r="H1454" s="28" t="s">
        <v>658</v>
      </c>
      <c r="I1454" s="28" t="s">
        <v>516</v>
      </c>
      <c r="J1454" s="28" t="s">
        <v>517</v>
      </c>
      <c r="K1454" s="28" t="s">
        <v>518</v>
      </c>
      <c r="L1454" s="28" t="s">
        <v>2363</v>
      </c>
      <c r="M1454" s="28" t="s">
        <v>535</v>
      </c>
      <c r="S1454" s="28" t="s">
        <v>581</v>
      </c>
      <c r="T1454" s="28" t="s">
        <v>2364</v>
      </c>
      <c r="U1454" s="28" t="s">
        <v>2364</v>
      </c>
      <c r="V1454" s="28" t="s">
        <v>517</v>
      </c>
      <c r="W1454" s="28" t="s">
        <v>5710</v>
      </c>
      <c r="Z1454" s="118" t="s">
        <v>526</v>
      </c>
      <c r="AA1454" s="118"/>
      <c r="AB1454" s="118"/>
      <c r="AF1454" s="117"/>
      <c r="AK1454" s="60" t="s">
        <v>5515</v>
      </c>
      <c r="AL1454" s="117">
        <f>1/COUNTIF(Tableau6[LAT],B1454)</f>
        <v>1</v>
      </c>
      <c r="AM1454" s="60" t="b">
        <f t="shared" si="157"/>
        <v>0</v>
      </c>
      <c r="AN1454" s="60" t="b">
        <f t="shared" si="158"/>
        <v>0</v>
      </c>
      <c r="AO1454" s="60" t="b">
        <f t="shared" si="159"/>
        <v>0</v>
      </c>
      <c r="AP1454" s="60" t="b">
        <f t="shared" si="160"/>
        <v>0</v>
      </c>
      <c r="AQ1454" s="60" t="b">
        <f t="shared" si="161"/>
        <v>0</v>
      </c>
      <c r="AR1454" s="60" t="str">
        <f t="shared" si="162"/>
        <v>No</v>
      </c>
      <c r="AS1454" s="60" t="str">
        <f t="shared" si="163"/>
        <v>No</v>
      </c>
    </row>
    <row r="1455" spans="1:45" ht="15">
      <c r="A1455" s="103">
        <v>45244</v>
      </c>
      <c r="B1455" s="28" t="s">
        <v>5711</v>
      </c>
      <c r="C1455" s="28" t="s">
        <v>511</v>
      </c>
      <c r="D1455" s="28" t="s">
        <v>5712</v>
      </c>
      <c r="F1455" s="28" t="s">
        <v>5713</v>
      </c>
      <c r="G1455" s="28" t="s">
        <v>514</v>
      </c>
      <c r="H1455" s="28" t="s">
        <v>933</v>
      </c>
      <c r="I1455" s="28" t="s">
        <v>516</v>
      </c>
      <c r="J1455" s="28" t="s">
        <v>517</v>
      </c>
      <c r="K1455" s="28" t="s">
        <v>518</v>
      </c>
      <c r="L1455" s="28" t="s">
        <v>1879</v>
      </c>
      <c r="M1455" s="28" t="s">
        <v>535</v>
      </c>
      <c r="N1455" s="28" t="s">
        <v>557</v>
      </c>
      <c r="O1455" s="28" t="s">
        <v>544</v>
      </c>
      <c r="P1455" s="28" t="s">
        <v>1107</v>
      </c>
      <c r="S1455" s="28" t="s">
        <v>1958</v>
      </c>
      <c r="T1455" s="28" t="s">
        <v>1712</v>
      </c>
      <c r="U1455" s="28" t="s">
        <v>1712</v>
      </c>
      <c r="V1455" s="28" t="s">
        <v>517</v>
      </c>
      <c r="W1455" s="28" t="s">
        <v>4472</v>
      </c>
      <c r="Z1455" s="118" t="s">
        <v>563</v>
      </c>
      <c r="AA1455" s="118"/>
      <c r="AB1455" s="118" t="s">
        <v>527</v>
      </c>
      <c r="AD1455" s="28" t="s">
        <v>528</v>
      </c>
      <c r="AF1455" s="117" t="s">
        <v>5712</v>
      </c>
      <c r="AG1455" s="28" t="s">
        <v>563</v>
      </c>
      <c r="AK1455" s="60" t="s">
        <v>5515</v>
      </c>
      <c r="AL1455" s="117">
        <f>1/COUNTIF(Tableau6[LAT],B1455)</f>
        <v>1</v>
      </c>
      <c r="AM1455" s="60" t="b">
        <f t="shared" si="157"/>
        <v>0</v>
      </c>
      <c r="AN1455" s="60" t="b">
        <f t="shared" si="158"/>
        <v>0</v>
      </c>
      <c r="AO1455" s="60" t="b">
        <f t="shared" si="159"/>
        <v>0</v>
      </c>
      <c r="AP1455" s="60" t="b">
        <f t="shared" si="160"/>
        <v>0</v>
      </c>
      <c r="AQ1455" s="60" t="b">
        <f t="shared" si="161"/>
        <v>0</v>
      </c>
      <c r="AR1455" s="60" t="str">
        <f t="shared" si="162"/>
        <v>No</v>
      </c>
      <c r="AS1455" s="60" t="str">
        <f t="shared" si="163"/>
        <v>No</v>
      </c>
    </row>
    <row r="1456" spans="1:45" ht="15">
      <c r="A1456" s="103">
        <v>45244</v>
      </c>
      <c r="B1456" s="28" t="s">
        <v>5714</v>
      </c>
      <c r="C1456" s="28" t="s">
        <v>511</v>
      </c>
      <c r="D1456" s="28" t="s">
        <v>5715</v>
      </c>
      <c r="E1456" s="28" t="s">
        <v>5716</v>
      </c>
      <c r="F1456" s="28" t="s">
        <v>3246</v>
      </c>
      <c r="G1456" s="28" t="s">
        <v>514</v>
      </c>
      <c r="H1456" s="28" t="s">
        <v>1605</v>
      </c>
      <c r="I1456" s="28" t="s">
        <v>516</v>
      </c>
      <c r="J1456" s="28" t="s">
        <v>517</v>
      </c>
      <c r="K1456" s="28" t="s">
        <v>682</v>
      </c>
      <c r="L1456" s="28" t="s">
        <v>5680</v>
      </c>
      <c r="M1456" s="28" t="s">
        <v>535</v>
      </c>
      <c r="N1456" s="28" t="s">
        <v>557</v>
      </c>
      <c r="S1456" s="28" t="s">
        <v>1041</v>
      </c>
      <c r="T1456" s="28" t="s">
        <v>1918</v>
      </c>
      <c r="U1456" s="28" t="s">
        <v>1918</v>
      </c>
      <c r="V1456" s="28" t="s">
        <v>517</v>
      </c>
      <c r="W1456" s="28" t="s">
        <v>5717</v>
      </c>
      <c r="Z1456" s="118" t="s">
        <v>563</v>
      </c>
      <c r="AA1456" s="118"/>
      <c r="AB1456" s="118" t="s">
        <v>527</v>
      </c>
      <c r="AD1456" s="28" t="s">
        <v>528</v>
      </c>
      <c r="AF1456" s="117" t="s">
        <v>5715</v>
      </c>
      <c r="AG1456" s="28" t="s">
        <v>563</v>
      </c>
      <c r="AK1456" s="60" t="s">
        <v>5515</v>
      </c>
      <c r="AL1456" s="117">
        <f>1/COUNTIF(Tableau6[LAT],B1456)</f>
        <v>0.5</v>
      </c>
      <c r="AM1456" s="60" t="b">
        <f t="shared" si="157"/>
        <v>0</v>
      </c>
      <c r="AN1456" s="60" t="b">
        <f t="shared" si="158"/>
        <v>0</v>
      </c>
      <c r="AO1456" s="60" t="b">
        <f t="shared" si="159"/>
        <v>0</v>
      </c>
      <c r="AP1456" s="60" t="b">
        <f t="shared" si="160"/>
        <v>0</v>
      </c>
      <c r="AQ1456" s="60" t="b">
        <f t="shared" si="161"/>
        <v>0</v>
      </c>
      <c r="AR1456" s="60" t="str">
        <f t="shared" si="162"/>
        <v>No</v>
      </c>
      <c r="AS1456" s="60" t="str">
        <f t="shared" si="163"/>
        <v>No</v>
      </c>
    </row>
    <row r="1457" spans="1:45" ht="15">
      <c r="A1457" s="103">
        <v>45244</v>
      </c>
      <c r="B1457" s="28" t="s">
        <v>5714</v>
      </c>
      <c r="C1457" s="28" t="s">
        <v>548</v>
      </c>
      <c r="D1457" s="28" t="s">
        <v>5718</v>
      </c>
      <c r="E1457" s="28" t="s">
        <v>5716</v>
      </c>
      <c r="F1457" s="28" t="s">
        <v>3246</v>
      </c>
      <c r="G1457" s="28" t="s">
        <v>514</v>
      </c>
      <c r="H1457" s="28" t="s">
        <v>848</v>
      </c>
      <c r="I1457" s="28" t="s">
        <v>516</v>
      </c>
      <c r="J1457" s="28" t="s">
        <v>517</v>
      </c>
      <c r="K1457" s="28" t="s">
        <v>682</v>
      </c>
      <c r="L1457" s="28" t="s">
        <v>5680</v>
      </c>
      <c r="M1457" s="28" t="s">
        <v>535</v>
      </c>
      <c r="N1457" s="28" t="s">
        <v>557</v>
      </c>
      <c r="S1457" s="28" t="s">
        <v>1041</v>
      </c>
      <c r="T1457" s="28" t="s">
        <v>1918</v>
      </c>
      <c r="U1457" s="28" t="s">
        <v>1918</v>
      </c>
      <c r="V1457" s="28" t="s">
        <v>517</v>
      </c>
      <c r="W1457" s="28" t="s">
        <v>5717</v>
      </c>
      <c r="Z1457" s="118" t="s">
        <v>563</v>
      </c>
      <c r="AA1457" s="118"/>
      <c r="AB1457" s="118" t="s">
        <v>527</v>
      </c>
      <c r="AD1457" s="28" t="s">
        <v>528</v>
      </c>
      <c r="AF1457" s="117" t="s">
        <v>5715</v>
      </c>
      <c r="AG1457" s="28" t="s">
        <v>563</v>
      </c>
      <c r="AK1457" s="60" t="s">
        <v>5515</v>
      </c>
      <c r="AL1457" s="117">
        <f>1/COUNTIF(Tableau6[LAT],B1457)</f>
        <v>0.5</v>
      </c>
      <c r="AM1457" s="60" t="b">
        <f t="shared" si="157"/>
        <v>0</v>
      </c>
      <c r="AN1457" s="60" t="b">
        <f t="shared" si="158"/>
        <v>0</v>
      </c>
      <c r="AO1457" s="60" t="b">
        <f t="shared" si="159"/>
        <v>0</v>
      </c>
      <c r="AP1457" s="60" t="b">
        <f t="shared" si="160"/>
        <v>0</v>
      </c>
      <c r="AQ1457" s="60" t="b">
        <f t="shared" si="161"/>
        <v>0</v>
      </c>
      <c r="AR1457" s="60" t="str">
        <f t="shared" si="162"/>
        <v>No</v>
      </c>
      <c r="AS1457" s="60" t="str">
        <f t="shared" si="163"/>
        <v>No</v>
      </c>
    </row>
    <row r="1458" spans="1:45" ht="15">
      <c r="A1458" s="103">
        <v>45244</v>
      </c>
      <c r="B1458" s="28" t="s">
        <v>5719</v>
      </c>
      <c r="C1458" s="28" t="s">
        <v>511</v>
      </c>
      <c r="D1458" s="28" t="s">
        <v>5720</v>
      </c>
      <c r="F1458" s="28" t="s">
        <v>5721</v>
      </c>
      <c r="G1458" s="28" t="s">
        <v>514</v>
      </c>
      <c r="H1458" s="28" t="s">
        <v>1512</v>
      </c>
      <c r="I1458" s="28" t="s">
        <v>516</v>
      </c>
      <c r="J1458" s="28" t="s">
        <v>517</v>
      </c>
      <c r="K1458" s="28" t="s">
        <v>518</v>
      </c>
      <c r="L1458" s="28" t="s">
        <v>2272</v>
      </c>
      <c r="M1458" s="28" t="s">
        <v>535</v>
      </c>
      <c r="N1458" s="28" t="s">
        <v>557</v>
      </c>
      <c r="O1458" s="28" t="s">
        <v>522</v>
      </c>
      <c r="S1458" s="28" t="s">
        <v>1226</v>
      </c>
      <c r="T1458" s="28" t="s">
        <v>733</v>
      </c>
      <c r="U1458" s="28" t="s">
        <v>733</v>
      </c>
      <c r="V1458" s="28" t="s">
        <v>517</v>
      </c>
      <c r="W1458" s="28" t="s">
        <v>5722</v>
      </c>
      <c r="Z1458" s="118" t="s">
        <v>563</v>
      </c>
      <c r="AA1458" s="118"/>
      <c r="AB1458" s="118" t="s">
        <v>4506</v>
      </c>
      <c r="AD1458" s="28" t="s">
        <v>528</v>
      </c>
      <c r="AF1458" s="117" t="s">
        <v>5720</v>
      </c>
      <c r="AG1458" s="28" t="s">
        <v>563</v>
      </c>
      <c r="AK1458" s="60" t="s">
        <v>5515</v>
      </c>
      <c r="AL1458" s="117">
        <f>1/COUNTIF(Tableau6[LAT],B1458)</f>
        <v>1</v>
      </c>
      <c r="AM1458" s="60" t="b">
        <f t="shared" ref="AM1458:AM1521" si="164">IF(N1458="ALM","Yes",IF(N1458="ALI","Yes",IF(N1458="CAO","Yes",IF(N1458="ICE","Yes",IF(N1458="MAG","Yes",IF(N1458="MAG","Yes",IF(N1458="RBI","Yes",IF(N1458="RBM","Yes",IF(N1458="RCL","Yes",IF(N1458="RCM","Yes",IF(N1458="RCX","Yes",IF(N1458="RDS","Yes",IF(N1458="REQ","Yes",IF(N1458="REX","Yes",IF(N1458="RFG","Yes",IF(N1458="RFL","Yes",IF(N1458="RFS","Yes",IF(N1458="RFW","Yes",IF(N1458="RGX","Yes",IF(N1458="RIS",IF(N1458="RLI","Yes",IF(N1458="RLM","Yes",IF(N1458="RMD","Yes",IF(N1458="RNG","Yes",IF(N1458="ROP","Yes",IF(N1458="ROX","Yes",IF(N1458="RPB","Yes",IF(N1458="RPG","Yes",IF(N1458="RRE","Yes",IF(N1458="RRW","Yes",IF(N1458="RRY","Yes",IF(N1458="RSB","Yes",IF(N1458="RSC","Yes",IF(N1458="RXB","Yes",IF(N1458="RXC","Yes",IF(N1458="RXD","Yes",IF(N1458="RXE","Yes",IF(N1458="RXG","Yes",IF(N1458="RXS","Yes",)))))))))))))))))))))))))))))))))))))))</f>
        <v>0</v>
      </c>
      <c r="AN1458" s="60" t="b">
        <f t="shared" ref="AN1458:AN1521" si="165">IF(O1458="ALM","Yes",IF(O1458="ALI","Yes",IF(O1458="CAO","Yes",IF(O1458="ICE","Yes",IF(O1458="MAG","Yes",IF(O1458="MAG","Yes",IF(O1458="RBI","Yes",IF(O1458="RBM","Yes",IF(O1458="RCL","Yes",IF(O1458="RCM","Yes",IF(O1458="RCX","Yes",IF(O1458="RDS","Yes",IF(O1458="REQ","Yes",IF(O1458="REX","Yes",IF(O1458="RFG","Yes",IF(O1458="RFL","Yes",IF(O1458="RFS","Yes",IF(O1458="RFW","Yes",IF(O1458="RGX","Yes",IF(O1458="RIS",IF(O1458="RLI","Yes",IF(O1458="RLM","Yes",IF(O1458="RMD","Yes",IF(O1458="RNG","Yes",IF(O1458="ROP","Yes",IF(O1458="ROX","Yes",IF(O1458="RPB","Yes",IF(O1458="RPG","Yes",IF(O1458="RRE","Yes",IF(O1458="RRW","Yes",IF(O1458="RRY","Yes",IF(O1458="RSB","Yes",IF(O1458="RSC","Yes",IF(O1458="RXB","Yes",IF(O1458="RXC","Yes",IF(O1458="RXD","Yes",IF(O1458="RXE","Yes",IF(O1458="RXG","Yes",IF(O1458="RXS","Yes",)))))))))))))))))))))))))))))))))))))))</f>
        <v>0</v>
      </c>
      <c r="AO1458" s="60" t="b">
        <f t="shared" ref="AO1458:AO1521" si="166">IF(P1458="ALM","Yes",IF(P1458="ALI","Yes",IF(P1458="CAO","Yes",IF(P1458="ICE","Yes",IF(P1458="MAG","Yes",IF(P1458="MAG","Yes",IF(P1458="RBI","Yes",IF(P1458="RBM","Yes",IF(P1458="RCL","Yes",IF(P1458="RCM","Yes",IF(P1458="RCX","Yes",IF(P1458="RDS","Yes",IF(P1458="REQ","Yes",IF(P1458="REX","Yes",IF(P1458="RFG","Yes",IF(P1458="RFL","Yes",IF(P1458="RFS","Yes",IF(P1458="RFW","Yes",IF(P1458="RGX","Yes",IF(P1458="RIS",IF(P1458="RLI","Yes",IF(P1458="RLM","Yes",IF(P1458="RMD","Yes",IF(P1458="RNG","Yes",IF(P1458="ROP","Yes",IF(P1458="ROX","Yes",IF(P1458="RPB","Yes",IF(P1458="RPG","Yes",IF(P1458="RRE","Yes",IF(P1458="RRW","Yes",IF(P1458="RRY","Yes",IF(P1458="RSB","Yes",IF(P1458="RSC","Yes",IF(P1458="RXB","Yes",IF(P1458="RXC","Yes",IF(P1458="RXD","Yes",IF(P1458="RXE","Yes",IF(P1458="RXG","Yes",IF(P1458="RXS","Yes",)))))))))))))))))))))))))))))))))))))))</f>
        <v>0</v>
      </c>
      <c r="AP1458" s="60" t="b">
        <f t="shared" ref="AP1458:AP1521" si="167">IF(Q1458="ALM","Yes",IF(Q1458="ALI","Yes",IF(Q1458="CAO","Yes",IF(Q1458="ICE","Yes",IF(Q1458="MAG","Yes",IF(Q1458="MAG","Yes",IF(Q1458="RBI","Yes",IF(Q1458="RBM","Yes",IF(Q1458="RCL","Yes",IF(Q1458="RCM","Yes",IF(Q1458="RCX","Yes",IF(Q1458="RDS","Yes",IF(Q1458="REQ","Yes",IF(Q1458="REX","Yes",IF(Q1458="RFG","Yes",IF(Q1458="RFL","Yes",IF(Q1458="RFS","Yes",IF(Q1458="RFW","Yes",IF(Q1458="RGX","Yes",IF(Q1458="RIS",IF(Q1458="RLI","Yes",IF(Q1458="RLM","Yes",IF(Q1458="RMD","Yes",IF(Q1458="RNG","Yes",IF(Q1458="ROP","Yes",IF(Q1458="ROX","Yes",IF(Q1458="RPB","Yes",IF(Q1458="RPG","Yes",IF(Q1458="RRE","Yes",IF(Q1458="RRW","Yes",IF(Q1458="RRY","Yes",IF(Q1458="RSB","Yes",IF(Q1458="RSC","Yes",IF(Q1458="RXB","Yes",IF(Q1458="RXC","Yes",IF(Q1458="RXD","Yes",IF(Q1458="RXE","Yes",IF(Q1458="RXG","Yes",IF(Q1458="RXS","Yes",)))))))))))))))))))))))))))))))))))))))</f>
        <v>0</v>
      </c>
      <c r="AQ1458" s="60" t="b">
        <f t="shared" ref="AQ1458:AQ1521" si="168">IF(R1458="ALM","Yes",IF(R1458="ALI","Yes",IF(R1458="CAO","Yes",IF(R1458="ICE","Yes",IF(R1458="MAG","Yes",IF(R1458="MAG","Yes",IF(R1458="RBI","Yes",IF(R1458="RBM","Yes",IF(R1458="RCL","Yes",IF(R1458="RCM","Yes",IF(R1458="RCX","Yes",IF(R1458="RDS","Yes",IF(R1458="REQ","Yes",IF(R1458="REX","Yes",IF(R1458="RFG","Yes",IF(R1458="RFL","Yes",IF(R1458="RFS","Yes",IF(R1458="RFW","Yes",IF(R1458="RGX","Yes",IF(R1458="RIS",IF(R1458="RLI","Yes",IF(R1458="RLM","Yes",IF(R1458="RMD","Yes",IF(R1458="RNG","Yes",IF(R1458="ROP","Yes",IF(R1458="ROX","Yes",IF(R1458="RPB","Yes",IF(R1458="RPG","Yes",IF(R1458="RRE","Yes",IF(R1458="RRW","Yes",IF(R1458="RRY","Yes",IF(R1458="RSB","Yes",IF(R1458="RSC","Yes",IF(R1458="RXB","Yes",IF(R1458="RXC","Yes",IF(R1458="RXD","Yes",IF(R1458="RXE","Yes",IF(R1458="RXG","Yes",IF(R1458="RXS","Yes",)))))))))))))))))))))))))))))))))))))))</f>
        <v>0</v>
      </c>
      <c r="AR1458" s="60" t="str">
        <f t="shared" ref="AR1458:AR1521" si="169">IF(AM1458="Yes","Yes",IF(AN1458="Yes","Yes",IF(AO1458="yes","Yes",IF(AP1458="Yes","Yes","No"))))</f>
        <v>No</v>
      </c>
      <c r="AS1458" s="60" t="str">
        <f t="shared" ref="AS1458:AS1521" si="170">IF(S1458="QFA","Yes",IF(S1458="LCJ","Yes",IF(S1458="CAJ","Yes",IF(S1458="WRO","Yes",IF(S1458="BEY","Yes",IF(S1458="TUN","Yes",IF(S1458="LFW","Yes",IF(S1458="DLA","Yes",IF(S1458="NSI","Yes",IF(S1458="OUA","Yes",IF(S1458="IAH","Yes",IF(S1458="LYS","Yes",IF(S1458="DSS","Yes",IF(S1458="BKO","Yes",IF(S1458="BZV","Yes",IF(S1458="COO","Yes",IF(S1458="EZE","Yes",IF(S1458="CKY","Yes",IF(S1458="PTP","Yes",IF(S1458="ORD","Yes",IF(S1458="CFE","Yes",IF(S1458="NKC","Yes",IF(S1458="FDF","Yes",IF(S1458="SDQ","Yes",IF(S1458="PNR","Yes",IF(S1458="ICAY","Yes",IF(S1458="DTW","Yes",IF(S1458="TNR","Yes",IF(S1458="RUN","Yes",IF(S1458="NIM","Yes","No"))))))))))))))))))))))))))))))</f>
        <v>No</v>
      </c>
    </row>
    <row r="1459" spans="1:45" ht="15">
      <c r="A1459" s="103">
        <v>45244</v>
      </c>
      <c r="B1459" s="28" t="s">
        <v>5723</v>
      </c>
      <c r="C1459" s="28" t="s">
        <v>511</v>
      </c>
      <c r="D1459" s="28" t="s">
        <v>5724</v>
      </c>
      <c r="F1459" s="28" t="s">
        <v>5725</v>
      </c>
      <c r="G1459" s="28" t="s">
        <v>514</v>
      </c>
      <c r="H1459" s="28" t="s">
        <v>5310</v>
      </c>
      <c r="I1459" s="28" t="s">
        <v>516</v>
      </c>
      <c r="J1459" s="28" t="s">
        <v>517</v>
      </c>
      <c r="K1459" s="28" t="s">
        <v>518</v>
      </c>
      <c r="L1459" s="28" t="s">
        <v>2100</v>
      </c>
      <c r="M1459" s="28" t="s">
        <v>535</v>
      </c>
      <c r="N1459" s="28" t="s">
        <v>557</v>
      </c>
      <c r="O1459" s="28" t="s">
        <v>544</v>
      </c>
      <c r="P1459" s="28" t="s">
        <v>522</v>
      </c>
      <c r="S1459" s="28" t="s">
        <v>1366</v>
      </c>
      <c r="T1459" s="28" t="s">
        <v>1918</v>
      </c>
      <c r="U1459" s="28" t="s">
        <v>1918</v>
      </c>
      <c r="V1459" s="28" t="s">
        <v>517</v>
      </c>
      <c r="W1459" s="28" t="s">
        <v>5726</v>
      </c>
      <c r="Z1459" s="118" t="s">
        <v>563</v>
      </c>
      <c r="AA1459" s="118"/>
      <c r="AB1459" s="118" t="s">
        <v>4506</v>
      </c>
      <c r="AD1459" s="28" t="s">
        <v>528</v>
      </c>
      <c r="AF1459" s="117" t="s">
        <v>5724</v>
      </c>
      <c r="AG1459" s="28" t="s">
        <v>563</v>
      </c>
      <c r="AK1459" s="60" t="s">
        <v>5515</v>
      </c>
      <c r="AL1459" s="117">
        <f>1/COUNTIF(Tableau6[LAT],B1459)</f>
        <v>0.33333333333333331</v>
      </c>
      <c r="AM1459" s="60" t="b">
        <f t="shared" si="164"/>
        <v>0</v>
      </c>
      <c r="AN1459" s="60" t="b">
        <f t="shared" si="165"/>
        <v>0</v>
      </c>
      <c r="AO1459" s="60" t="b">
        <f t="shared" si="166"/>
        <v>0</v>
      </c>
      <c r="AP1459" s="60" t="b">
        <f t="shared" si="167"/>
        <v>0</v>
      </c>
      <c r="AQ1459" s="60" t="b">
        <f t="shared" si="168"/>
        <v>0</v>
      </c>
      <c r="AR1459" s="60" t="str">
        <f t="shared" si="169"/>
        <v>No</v>
      </c>
      <c r="AS1459" s="60" t="str">
        <f t="shared" si="170"/>
        <v>No</v>
      </c>
    </row>
    <row r="1460" spans="1:45" ht="15">
      <c r="A1460" s="103">
        <v>45244</v>
      </c>
      <c r="B1460" s="28" t="s">
        <v>5723</v>
      </c>
      <c r="C1460" s="28" t="s">
        <v>548</v>
      </c>
      <c r="D1460" s="28" t="s">
        <v>5727</v>
      </c>
      <c r="F1460" s="28" t="s">
        <v>5725</v>
      </c>
      <c r="G1460" s="28" t="s">
        <v>514</v>
      </c>
      <c r="H1460" s="28" t="s">
        <v>5310</v>
      </c>
      <c r="I1460" s="28" t="s">
        <v>516</v>
      </c>
      <c r="J1460" s="28" t="s">
        <v>517</v>
      </c>
      <c r="K1460" s="28" t="s">
        <v>518</v>
      </c>
      <c r="L1460" s="28" t="s">
        <v>2100</v>
      </c>
      <c r="M1460" s="28" t="s">
        <v>535</v>
      </c>
      <c r="N1460" s="28" t="s">
        <v>557</v>
      </c>
      <c r="O1460" s="28" t="s">
        <v>544</v>
      </c>
      <c r="P1460" s="28" t="s">
        <v>522</v>
      </c>
      <c r="S1460" s="28" t="s">
        <v>1366</v>
      </c>
      <c r="T1460" s="28" t="s">
        <v>1918</v>
      </c>
      <c r="U1460" s="28" t="s">
        <v>1918</v>
      </c>
      <c r="V1460" s="28" t="s">
        <v>517</v>
      </c>
      <c r="W1460" s="28" t="s">
        <v>5726</v>
      </c>
      <c r="Z1460" s="118" t="s">
        <v>563</v>
      </c>
      <c r="AA1460" s="118"/>
      <c r="AB1460" s="118" t="s">
        <v>4506</v>
      </c>
      <c r="AD1460" s="28" t="s">
        <v>528</v>
      </c>
      <c r="AF1460" s="117" t="s">
        <v>5724</v>
      </c>
      <c r="AG1460" s="28" t="s">
        <v>563</v>
      </c>
      <c r="AK1460" s="60" t="s">
        <v>5515</v>
      </c>
      <c r="AL1460" s="117">
        <f>1/COUNTIF(Tableau6[LAT],B1460)</f>
        <v>0.33333333333333331</v>
      </c>
      <c r="AM1460" s="60" t="b">
        <f t="shared" si="164"/>
        <v>0</v>
      </c>
      <c r="AN1460" s="60" t="b">
        <f t="shared" si="165"/>
        <v>0</v>
      </c>
      <c r="AO1460" s="60" t="b">
        <f t="shared" si="166"/>
        <v>0</v>
      </c>
      <c r="AP1460" s="60" t="b">
        <f t="shared" si="167"/>
        <v>0</v>
      </c>
      <c r="AQ1460" s="60" t="b">
        <f t="shared" si="168"/>
        <v>0</v>
      </c>
      <c r="AR1460" s="60" t="str">
        <f t="shared" si="169"/>
        <v>No</v>
      </c>
      <c r="AS1460" s="60" t="str">
        <f t="shared" si="170"/>
        <v>No</v>
      </c>
    </row>
    <row r="1461" spans="1:45" ht="15">
      <c r="A1461" s="103">
        <v>45244</v>
      </c>
      <c r="B1461" s="28" t="s">
        <v>5723</v>
      </c>
      <c r="C1461" s="28" t="s">
        <v>612</v>
      </c>
      <c r="D1461" s="28" t="s">
        <v>5728</v>
      </c>
      <c r="F1461" s="28" t="s">
        <v>5725</v>
      </c>
      <c r="G1461" s="28" t="s">
        <v>514</v>
      </c>
      <c r="H1461" s="28" t="s">
        <v>5310</v>
      </c>
      <c r="I1461" s="28" t="s">
        <v>516</v>
      </c>
      <c r="J1461" s="28" t="s">
        <v>517</v>
      </c>
      <c r="K1461" s="28" t="s">
        <v>518</v>
      </c>
      <c r="L1461" s="28" t="s">
        <v>2100</v>
      </c>
      <c r="M1461" s="28" t="s">
        <v>535</v>
      </c>
      <c r="N1461" s="28" t="s">
        <v>557</v>
      </c>
      <c r="O1461" s="28" t="s">
        <v>544</v>
      </c>
      <c r="P1461" s="28" t="s">
        <v>522</v>
      </c>
      <c r="S1461" s="28" t="s">
        <v>1366</v>
      </c>
      <c r="T1461" s="28" t="s">
        <v>1918</v>
      </c>
      <c r="U1461" s="28" t="s">
        <v>1918</v>
      </c>
      <c r="V1461" s="28" t="s">
        <v>517</v>
      </c>
      <c r="W1461" s="28" t="s">
        <v>5726</v>
      </c>
      <c r="Z1461" s="118" t="s">
        <v>563</v>
      </c>
      <c r="AA1461" s="118"/>
      <c r="AB1461" s="118" t="s">
        <v>4506</v>
      </c>
      <c r="AD1461" s="28" t="s">
        <v>528</v>
      </c>
      <c r="AF1461" s="117" t="s">
        <v>5724</v>
      </c>
      <c r="AG1461" s="28" t="s">
        <v>563</v>
      </c>
      <c r="AK1461" s="60" t="s">
        <v>5515</v>
      </c>
      <c r="AL1461" s="117">
        <f>1/COUNTIF(Tableau6[LAT],B1461)</f>
        <v>0.33333333333333331</v>
      </c>
      <c r="AM1461" s="60" t="b">
        <f t="shared" si="164"/>
        <v>0</v>
      </c>
      <c r="AN1461" s="60" t="b">
        <f t="shared" si="165"/>
        <v>0</v>
      </c>
      <c r="AO1461" s="60" t="b">
        <f t="shared" si="166"/>
        <v>0</v>
      </c>
      <c r="AP1461" s="60" t="b">
        <f t="shared" si="167"/>
        <v>0</v>
      </c>
      <c r="AQ1461" s="60" t="b">
        <f t="shared" si="168"/>
        <v>0</v>
      </c>
      <c r="AR1461" s="60" t="str">
        <f t="shared" si="169"/>
        <v>No</v>
      </c>
      <c r="AS1461" s="60" t="str">
        <f t="shared" si="170"/>
        <v>No</v>
      </c>
    </row>
    <row r="1462" spans="1:45" ht="15">
      <c r="A1462" s="103">
        <v>45244</v>
      </c>
      <c r="B1462" s="28" t="s">
        <v>5729</v>
      </c>
      <c r="C1462" s="28" t="s">
        <v>511</v>
      </c>
      <c r="D1462" s="28" t="s">
        <v>5730</v>
      </c>
      <c r="F1462" s="28" t="s">
        <v>5731</v>
      </c>
      <c r="G1462" s="28" t="s">
        <v>514</v>
      </c>
      <c r="H1462" s="28" t="s">
        <v>568</v>
      </c>
      <c r="I1462" s="28" t="s">
        <v>516</v>
      </c>
      <c r="J1462" s="28" t="s">
        <v>517</v>
      </c>
      <c r="K1462" s="28" t="s">
        <v>518</v>
      </c>
      <c r="L1462" s="28" t="s">
        <v>1491</v>
      </c>
      <c r="M1462" s="28" t="s">
        <v>520</v>
      </c>
      <c r="N1462" s="28" t="s">
        <v>1124</v>
      </c>
      <c r="O1462" s="28" t="s">
        <v>557</v>
      </c>
      <c r="P1462" s="28" t="s">
        <v>522</v>
      </c>
      <c r="S1462" s="28" t="s">
        <v>1226</v>
      </c>
      <c r="T1462" s="28" t="s">
        <v>1494</v>
      </c>
      <c r="U1462" s="28" t="s">
        <v>1494</v>
      </c>
      <c r="V1462" s="28" t="s">
        <v>517</v>
      </c>
      <c r="W1462" s="28" t="s">
        <v>3013</v>
      </c>
      <c r="Z1462" s="118" t="s">
        <v>526</v>
      </c>
      <c r="AA1462" s="118"/>
      <c r="AB1462" s="118"/>
      <c r="AD1462" s="28" t="s">
        <v>528</v>
      </c>
      <c r="AF1462" s="117" t="s">
        <v>5730</v>
      </c>
      <c r="AG1462" s="28" t="s">
        <v>529</v>
      </c>
      <c r="AK1462" s="60" t="s">
        <v>5515</v>
      </c>
      <c r="AL1462" s="117">
        <f>1/COUNTIF(Tableau6[LAT],B1462)</f>
        <v>0.2</v>
      </c>
      <c r="AM1462" s="60" t="b">
        <f t="shared" si="164"/>
        <v>0</v>
      </c>
      <c r="AN1462" s="60" t="b">
        <f t="shared" si="165"/>
        <v>0</v>
      </c>
      <c r="AO1462" s="60" t="b">
        <f t="shared" si="166"/>
        <v>0</v>
      </c>
      <c r="AP1462" s="60" t="b">
        <f t="shared" si="167"/>
        <v>0</v>
      </c>
      <c r="AQ1462" s="60" t="b">
        <f t="shared" si="168"/>
        <v>0</v>
      </c>
      <c r="AR1462" s="60" t="str">
        <f t="shared" si="169"/>
        <v>No</v>
      </c>
      <c r="AS1462" s="60" t="str">
        <f t="shared" si="170"/>
        <v>No</v>
      </c>
    </row>
    <row r="1463" spans="1:45" ht="15">
      <c r="A1463" s="103">
        <v>45244</v>
      </c>
      <c r="B1463" s="28" t="s">
        <v>5729</v>
      </c>
      <c r="C1463" s="28" t="s">
        <v>548</v>
      </c>
      <c r="D1463" s="28" t="s">
        <v>5732</v>
      </c>
      <c r="F1463" s="28" t="s">
        <v>5733</v>
      </c>
      <c r="G1463" s="28" t="s">
        <v>514</v>
      </c>
      <c r="H1463" s="28" t="s">
        <v>2072</v>
      </c>
      <c r="I1463" s="28" t="s">
        <v>516</v>
      </c>
      <c r="J1463" s="28" t="s">
        <v>517</v>
      </c>
      <c r="K1463" s="28" t="s">
        <v>518</v>
      </c>
      <c r="L1463" s="28" t="s">
        <v>1491</v>
      </c>
      <c r="M1463" s="28" t="s">
        <v>520</v>
      </c>
      <c r="N1463" s="28" t="s">
        <v>1415</v>
      </c>
      <c r="O1463" s="28" t="s">
        <v>557</v>
      </c>
      <c r="P1463" s="28" t="s">
        <v>522</v>
      </c>
      <c r="S1463" s="28" t="s">
        <v>1226</v>
      </c>
      <c r="T1463" s="28" t="s">
        <v>1494</v>
      </c>
      <c r="U1463" s="28" t="s">
        <v>1494</v>
      </c>
      <c r="V1463" s="28" t="s">
        <v>517</v>
      </c>
      <c r="W1463" s="28" t="s">
        <v>1620</v>
      </c>
      <c r="Z1463" s="118" t="s">
        <v>526</v>
      </c>
      <c r="AA1463" s="118"/>
      <c r="AB1463" s="118"/>
      <c r="AD1463" s="28" t="s">
        <v>528</v>
      </c>
      <c r="AF1463" s="117" t="s">
        <v>5732</v>
      </c>
      <c r="AG1463" s="28" t="s">
        <v>529</v>
      </c>
      <c r="AK1463" s="60" t="s">
        <v>5515</v>
      </c>
      <c r="AL1463" s="117">
        <f>1/COUNTIF(Tableau6[LAT],B1463)</f>
        <v>0.2</v>
      </c>
      <c r="AM1463" s="60" t="str">
        <f t="shared" si="164"/>
        <v>Yes</v>
      </c>
      <c r="AN1463" s="60" t="b">
        <f t="shared" si="165"/>
        <v>0</v>
      </c>
      <c r="AO1463" s="60" t="b">
        <f t="shared" si="166"/>
        <v>0</v>
      </c>
      <c r="AP1463" s="60" t="b">
        <f t="shared" si="167"/>
        <v>0</v>
      </c>
      <c r="AQ1463" s="60" t="b">
        <f t="shared" si="168"/>
        <v>0</v>
      </c>
      <c r="AR1463" s="60" t="str">
        <f t="shared" si="169"/>
        <v>Yes</v>
      </c>
      <c r="AS1463" s="60" t="str">
        <f t="shared" si="170"/>
        <v>No</v>
      </c>
    </row>
    <row r="1464" spans="1:45" ht="15">
      <c r="A1464" s="103">
        <v>45244</v>
      </c>
      <c r="B1464" s="28" t="s">
        <v>5729</v>
      </c>
      <c r="C1464" s="28" t="s">
        <v>612</v>
      </c>
      <c r="D1464" s="28" t="s">
        <v>5734</v>
      </c>
      <c r="F1464" s="28" t="s">
        <v>5731</v>
      </c>
      <c r="G1464" s="28" t="s">
        <v>514</v>
      </c>
      <c r="H1464" s="28" t="s">
        <v>568</v>
      </c>
      <c r="I1464" s="28" t="s">
        <v>516</v>
      </c>
      <c r="J1464" s="28" t="s">
        <v>517</v>
      </c>
      <c r="K1464" s="28" t="s">
        <v>518</v>
      </c>
      <c r="L1464" s="28" t="s">
        <v>1491</v>
      </c>
      <c r="M1464" s="28" t="s">
        <v>520</v>
      </c>
      <c r="N1464" s="28" t="s">
        <v>1124</v>
      </c>
      <c r="O1464" s="28" t="s">
        <v>557</v>
      </c>
      <c r="P1464" s="28" t="s">
        <v>522</v>
      </c>
      <c r="S1464" s="28" t="s">
        <v>1226</v>
      </c>
      <c r="T1464" s="28" t="s">
        <v>1494</v>
      </c>
      <c r="U1464" s="28" t="s">
        <v>1494</v>
      </c>
      <c r="V1464" s="28" t="s">
        <v>517</v>
      </c>
      <c r="W1464" s="28" t="s">
        <v>3013</v>
      </c>
      <c r="Z1464" s="118" t="s">
        <v>526</v>
      </c>
      <c r="AA1464" s="118"/>
      <c r="AB1464" s="118"/>
      <c r="AD1464" s="28" t="s">
        <v>528</v>
      </c>
      <c r="AF1464" s="117" t="s">
        <v>5734</v>
      </c>
      <c r="AG1464" s="28" t="s">
        <v>529</v>
      </c>
      <c r="AK1464" s="60" t="s">
        <v>5515</v>
      </c>
      <c r="AL1464" s="117">
        <f>1/COUNTIF(Tableau6[LAT],B1464)</f>
        <v>0.2</v>
      </c>
      <c r="AM1464" s="60" t="b">
        <f t="shared" si="164"/>
        <v>0</v>
      </c>
      <c r="AN1464" s="60" t="b">
        <f t="shared" si="165"/>
        <v>0</v>
      </c>
      <c r="AO1464" s="60" t="b">
        <f t="shared" si="166"/>
        <v>0</v>
      </c>
      <c r="AP1464" s="60" t="b">
        <f t="shared" si="167"/>
        <v>0</v>
      </c>
      <c r="AQ1464" s="60" t="b">
        <f t="shared" si="168"/>
        <v>0</v>
      </c>
      <c r="AR1464" s="60" t="str">
        <f t="shared" si="169"/>
        <v>No</v>
      </c>
      <c r="AS1464" s="60" t="str">
        <f t="shared" si="170"/>
        <v>No</v>
      </c>
    </row>
    <row r="1465" spans="1:45" ht="15">
      <c r="A1465" s="103">
        <v>45244</v>
      </c>
      <c r="B1465" s="28" t="s">
        <v>5729</v>
      </c>
      <c r="C1465" s="28" t="s">
        <v>691</v>
      </c>
      <c r="D1465" s="28" t="s">
        <v>5735</v>
      </c>
      <c r="F1465" s="28" t="s">
        <v>5731</v>
      </c>
      <c r="G1465" s="28" t="s">
        <v>514</v>
      </c>
      <c r="H1465" s="28" t="s">
        <v>568</v>
      </c>
      <c r="I1465" s="28" t="s">
        <v>516</v>
      </c>
      <c r="J1465" s="28" t="s">
        <v>517</v>
      </c>
      <c r="K1465" s="28" t="s">
        <v>518</v>
      </c>
      <c r="L1465" s="28" t="s">
        <v>1491</v>
      </c>
      <c r="M1465" s="28" t="s">
        <v>520</v>
      </c>
      <c r="N1465" s="28" t="s">
        <v>557</v>
      </c>
      <c r="O1465" s="28" t="s">
        <v>522</v>
      </c>
      <c r="S1465" s="28" t="s">
        <v>1226</v>
      </c>
      <c r="T1465" s="28" t="s">
        <v>1494</v>
      </c>
      <c r="U1465" s="28" t="s">
        <v>1494</v>
      </c>
      <c r="V1465" s="28" t="s">
        <v>517</v>
      </c>
      <c r="W1465" s="28" t="s">
        <v>5736</v>
      </c>
      <c r="Z1465" s="118" t="s">
        <v>526</v>
      </c>
      <c r="AA1465" s="118"/>
      <c r="AB1465" s="118"/>
      <c r="AD1465" s="28" t="s">
        <v>528</v>
      </c>
      <c r="AF1465" s="117" t="s">
        <v>5735</v>
      </c>
      <c r="AG1465" s="28" t="s">
        <v>529</v>
      </c>
      <c r="AK1465" s="60" t="s">
        <v>5515</v>
      </c>
      <c r="AL1465" s="117">
        <f>1/COUNTIF(Tableau6[LAT],B1465)</f>
        <v>0.2</v>
      </c>
      <c r="AM1465" s="60" t="b">
        <f t="shared" si="164"/>
        <v>0</v>
      </c>
      <c r="AN1465" s="60" t="b">
        <f t="shared" si="165"/>
        <v>0</v>
      </c>
      <c r="AO1465" s="60" t="b">
        <f t="shared" si="166"/>
        <v>0</v>
      </c>
      <c r="AP1465" s="60" t="b">
        <f t="shared" si="167"/>
        <v>0</v>
      </c>
      <c r="AQ1465" s="60" t="b">
        <f t="shared" si="168"/>
        <v>0</v>
      </c>
      <c r="AR1465" s="60" t="str">
        <f t="shared" si="169"/>
        <v>No</v>
      </c>
      <c r="AS1465" s="60" t="str">
        <f t="shared" si="170"/>
        <v>No</v>
      </c>
    </row>
    <row r="1466" spans="1:45" ht="15">
      <c r="A1466" s="103">
        <v>45244</v>
      </c>
      <c r="B1466" s="28">
        <v>5705323916</v>
      </c>
      <c r="C1466" s="28" t="s">
        <v>859</v>
      </c>
      <c r="D1466" s="28" t="s">
        <v>5737</v>
      </c>
      <c r="F1466" s="28" t="s">
        <v>5731</v>
      </c>
      <c r="G1466" s="28" t="s">
        <v>514</v>
      </c>
      <c r="H1466" s="28" t="s">
        <v>568</v>
      </c>
      <c r="I1466" s="28" t="s">
        <v>516</v>
      </c>
      <c r="J1466" s="28" t="s">
        <v>517</v>
      </c>
      <c r="K1466" s="28" t="s">
        <v>518</v>
      </c>
      <c r="L1466" s="28" t="s">
        <v>1491</v>
      </c>
      <c r="M1466" s="28" t="s">
        <v>520</v>
      </c>
      <c r="N1466" s="28" t="s">
        <v>1415</v>
      </c>
      <c r="O1466" s="28" t="s">
        <v>557</v>
      </c>
      <c r="P1466" s="28" t="s">
        <v>522</v>
      </c>
      <c r="S1466" s="28" t="s">
        <v>1226</v>
      </c>
      <c r="T1466" s="28" t="s">
        <v>1494</v>
      </c>
      <c r="U1466" s="28" t="s">
        <v>1494</v>
      </c>
      <c r="V1466" s="28" t="s">
        <v>517</v>
      </c>
      <c r="W1466" s="28" t="s">
        <v>5738</v>
      </c>
      <c r="Z1466" s="118" t="s">
        <v>526</v>
      </c>
      <c r="AA1466" s="118"/>
      <c r="AB1466" s="118"/>
      <c r="AF1466" s="117" t="s">
        <v>1504</v>
      </c>
      <c r="AK1466" s="60" t="s">
        <v>5515</v>
      </c>
      <c r="AL1466" s="117">
        <f>1/COUNTIF(Tableau6[LAT],B1466)</f>
        <v>0.2</v>
      </c>
      <c r="AM1466" s="60" t="str">
        <f t="shared" si="164"/>
        <v>Yes</v>
      </c>
      <c r="AN1466" s="60" t="b">
        <f t="shared" si="165"/>
        <v>0</v>
      </c>
      <c r="AO1466" s="60" t="b">
        <f t="shared" si="166"/>
        <v>0</v>
      </c>
      <c r="AP1466" s="60" t="b">
        <f t="shared" si="167"/>
        <v>0</v>
      </c>
      <c r="AQ1466" s="60" t="b">
        <f t="shared" si="168"/>
        <v>0</v>
      </c>
      <c r="AR1466" s="60" t="str">
        <f t="shared" si="169"/>
        <v>Yes</v>
      </c>
      <c r="AS1466" s="60" t="str">
        <f t="shared" si="170"/>
        <v>No</v>
      </c>
    </row>
    <row r="1467" spans="1:45" ht="15">
      <c r="A1467" s="103">
        <v>45244</v>
      </c>
      <c r="B1467" s="28" t="s">
        <v>5739</v>
      </c>
      <c r="C1467" s="28" t="s">
        <v>511</v>
      </c>
      <c r="D1467" s="28" t="s">
        <v>5740</v>
      </c>
      <c r="F1467" s="28" t="s">
        <v>5741</v>
      </c>
      <c r="G1467" s="28" t="s">
        <v>665</v>
      </c>
      <c r="H1467" s="28" t="s">
        <v>1051</v>
      </c>
      <c r="I1467" s="28" t="s">
        <v>517</v>
      </c>
      <c r="J1467" s="28" t="s">
        <v>517</v>
      </c>
      <c r="K1467" s="28" t="s">
        <v>518</v>
      </c>
      <c r="L1467" s="28" t="s">
        <v>717</v>
      </c>
      <c r="M1467" s="28" t="s">
        <v>605</v>
      </c>
      <c r="N1467" s="28" t="s">
        <v>521</v>
      </c>
      <c r="O1467" s="28" t="s">
        <v>522</v>
      </c>
      <c r="P1467" s="28" t="s">
        <v>627</v>
      </c>
      <c r="S1467" s="28" t="s">
        <v>573</v>
      </c>
      <c r="T1467" s="28" t="s">
        <v>719</v>
      </c>
      <c r="U1467" s="28" t="s">
        <v>719</v>
      </c>
      <c r="V1467" s="28" t="s">
        <v>517</v>
      </c>
      <c r="W1467" s="28" t="s">
        <v>5742</v>
      </c>
      <c r="Z1467" s="118" t="s">
        <v>563</v>
      </c>
      <c r="AA1467" s="118"/>
      <c r="AB1467" s="118" t="s">
        <v>4511</v>
      </c>
      <c r="AD1467" s="28" t="s">
        <v>954</v>
      </c>
      <c r="AF1467" s="117" t="s">
        <v>5740</v>
      </c>
      <c r="AG1467" s="28" t="s">
        <v>563</v>
      </c>
      <c r="AK1467" s="60" t="s">
        <v>5515</v>
      </c>
      <c r="AL1467" s="117">
        <f>1/COUNTIF(Tableau6[LAT],B1467)</f>
        <v>0.5</v>
      </c>
      <c r="AM1467" s="60" t="b">
        <f t="shared" si="164"/>
        <v>0</v>
      </c>
      <c r="AN1467" s="60" t="b">
        <f t="shared" si="165"/>
        <v>0</v>
      </c>
      <c r="AO1467" s="60" t="b">
        <f t="shared" si="166"/>
        <v>0</v>
      </c>
      <c r="AP1467" s="60" t="b">
        <f t="shared" si="167"/>
        <v>0</v>
      </c>
      <c r="AQ1467" s="60" t="b">
        <f t="shared" si="168"/>
        <v>0</v>
      </c>
      <c r="AR1467" s="60" t="str">
        <f t="shared" si="169"/>
        <v>No</v>
      </c>
      <c r="AS1467" s="60" t="str">
        <f t="shared" si="170"/>
        <v>No</v>
      </c>
    </row>
    <row r="1468" spans="1:45" ht="15">
      <c r="A1468" s="103">
        <v>45244</v>
      </c>
      <c r="B1468" s="28" t="s">
        <v>5739</v>
      </c>
      <c r="C1468" s="28" t="s">
        <v>548</v>
      </c>
      <c r="D1468" s="28" t="s">
        <v>5743</v>
      </c>
      <c r="F1468" s="28" t="s">
        <v>5744</v>
      </c>
      <c r="G1468" s="28" t="s">
        <v>657</v>
      </c>
      <c r="H1468" s="28" t="s">
        <v>1091</v>
      </c>
      <c r="I1468" s="28" t="s">
        <v>517</v>
      </c>
      <c r="J1468" s="28" t="s">
        <v>517</v>
      </c>
      <c r="K1468" s="28" t="s">
        <v>518</v>
      </c>
      <c r="L1468" s="28" t="s">
        <v>717</v>
      </c>
      <c r="M1468" s="28" t="s">
        <v>605</v>
      </c>
      <c r="N1468" s="28" t="s">
        <v>521</v>
      </c>
      <c r="O1468" s="28" t="s">
        <v>522</v>
      </c>
      <c r="P1468" s="28" t="s">
        <v>627</v>
      </c>
      <c r="S1468" s="28" t="s">
        <v>573</v>
      </c>
      <c r="T1468" s="28" t="s">
        <v>719</v>
      </c>
      <c r="U1468" s="28" t="s">
        <v>719</v>
      </c>
      <c r="V1468" s="28" t="s">
        <v>517</v>
      </c>
      <c r="W1468" s="28" t="s">
        <v>5745</v>
      </c>
      <c r="Z1468" s="118" t="s">
        <v>563</v>
      </c>
      <c r="AA1468" s="118"/>
      <c r="AB1468" s="118" t="s">
        <v>4511</v>
      </c>
      <c r="AF1468" s="117"/>
      <c r="AK1468" s="60" t="s">
        <v>5515</v>
      </c>
      <c r="AL1468" s="117">
        <f>1/COUNTIF(Tableau6[LAT],B1468)</f>
        <v>0.5</v>
      </c>
      <c r="AM1468" s="60" t="b">
        <f t="shared" si="164"/>
        <v>0</v>
      </c>
      <c r="AN1468" s="60" t="b">
        <f t="shared" si="165"/>
        <v>0</v>
      </c>
      <c r="AO1468" s="60" t="b">
        <f t="shared" si="166"/>
        <v>0</v>
      </c>
      <c r="AP1468" s="60" t="b">
        <f t="shared" si="167"/>
        <v>0</v>
      </c>
      <c r="AQ1468" s="60" t="b">
        <f t="shared" si="168"/>
        <v>0</v>
      </c>
      <c r="AR1468" s="60" t="str">
        <f t="shared" si="169"/>
        <v>No</v>
      </c>
      <c r="AS1468" s="60" t="str">
        <f t="shared" si="170"/>
        <v>No</v>
      </c>
    </row>
    <row r="1469" spans="1:45" ht="15">
      <c r="A1469" s="103">
        <v>45244</v>
      </c>
      <c r="B1469" s="28" t="s">
        <v>5746</v>
      </c>
      <c r="C1469" s="28" t="s">
        <v>548</v>
      </c>
      <c r="D1469" s="28" t="s">
        <v>5747</v>
      </c>
      <c r="F1469" s="28" t="s">
        <v>2603</v>
      </c>
      <c r="G1469" s="28" t="s">
        <v>514</v>
      </c>
      <c r="H1469" s="28" t="s">
        <v>1996</v>
      </c>
      <c r="I1469" s="28" t="s">
        <v>516</v>
      </c>
      <c r="J1469" s="28" t="s">
        <v>517</v>
      </c>
      <c r="K1469" s="28" t="s">
        <v>518</v>
      </c>
      <c r="L1469" s="28" t="s">
        <v>3553</v>
      </c>
      <c r="M1469" s="28" t="s">
        <v>535</v>
      </c>
      <c r="S1469" s="28" t="s">
        <v>733</v>
      </c>
      <c r="T1469" s="28" t="s">
        <v>1366</v>
      </c>
      <c r="U1469" s="28" t="s">
        <v>1366</v>
      </c>
      <c r="V1469" s="28" t="s">
        <v>517</v>
      </c>
      <c r="W1469" s="28" t="s">
        <v>5748</v>
      </c>
      <c r="Z1469" s="118" t="s">
        <v>563</v>
      </c>
      <c r="AA1469" s="118"/>
      <c r="AB1469" s="118" t="s">
        <v>4506</v>
      </c>
      <c r="AD1469" s="28" t="s">
        <v>528</v>
      </c>
      <c r="AF1469" s="117" t="s">
        <v>5749</v>
      </c>
      <c r="AG1469" s="28" t="s">
        <v>563</v>
      </c>
      <c r="AK1469" s="60" t="s">
        <v>5515</v>
      </c>
      <c r="AL1469" s="117">
        <f>1/COUNTIF(Tableau6[LAT],B1469)</f>
        <v>1</v>
      </c>
      <c r="AM1469" s="60" t="b">
        <f t="shared" si="164"/>
        <v>0</v>
      </c>
      <c r="AN1469" s="60" t="b">
        <f t="shared" si="165"/>
        <v>0</v>
      </c>
      <c r="AO1469" s="60" t="b">
        <f t="shared" si="166"/>
        <v>0</v>
      </c>
      <c r="AP1469" s="60" t="b">
        <f t="shared" si="167"/>
        <v>0</v>
      </c>
      <c r="AQ1469" s="60" t="b">
        <f t="shared" si="168"/>
        <v>0</v>
      </c>
      <c r="AR1469" s="60" t="str">
        <f t="shared" si="169"/>
        <v>No</v>
      </c>
      <c r="AS1469" s="60" t="str">
        <f t="shared" si="170"/>
        <v>Yes</v>
      </c>
    </row>
    <row r="1470" spans="1:45" ht="15">
      <c r="A1470" s="103">
        <v>45244</v>
      </c>
      <c r="B1470" s="28" t="s">
        <v>5750</v>
      </c>
      <c r="C1470" s="28" t="s">
        <v>511</v>
      </c>
      <c r="D1470" s="28" t="s">
        <v>5751</v>
      </c>
      <c r="F1470" s="28" t="s">
        <v>4524</v>
      </c>
      <c r="G1470" s="28" t="s">
        <v>514</v>
      </c>
      <c r="H1470" s="28" t="s">
        <v>1413</v>
      </c>
      <c r="I1470" s="28" t="s">
        <v>517</v>
      </c>
      <c r="J1470" s="28" t="s">
        <v>517</v>
      </c>
      <c r="K1470" s="28" t="s">
        <v>518</v>
      </c>
      <c r="L1470" s="28" t="s">
        <v>717</v>
      </c>
      <c r="M1470" s="28" t="s">
        <v>535</v>
      </c>
      <c r="N1470" s="28" t="s">
        <v>619</v>
      </c>
      <c r="O1470" s="28" t="s">
        <v>521</v>
      </c>
      <c r="P1470" s="28" t="s">
        <v>934</v>
      </c>
      <c r="Q1470" s="28" t="s">
        <v>522</v>
      </c>
      <c r="S1470" s="28" t="s">
        <v>573</v>
      </c>
      <c r="T1470" s="28" t="s">
        <v>719</v>
      </c>
      <c r="U1470" s="28" t="s">
        <v>719</v>
      </c>
      <c r="V1470" s="28" t="s">
        <v>517</v>
      </c>
      <c r="W1470" s="28" t="s">
        <v>5752</v>
      </c>
      <c r="Z1470" s="118" t="s">
        <v>563</v>
      </c>
      <c r="AA1470" s="118"/>
      <c r="AB1470" s="118" t="s">
        <v>4506</v>
      </c>
      <c r="AD1470" s="28" t="s">
        <v>954</v>
      </c>
      <c r="AF1470" s="117" t="s">
        <v>5751</v>
      </c>
      <c r="AG1470" s="28" t="s">
        <v>563</v>
      </c>
      <c r="AK1470" s="60" t="s">
        <v>5515</v>
      </c>
      <c r="AL1470" s="117">
        <f>1/COUNTIF(Tableau6[LAT],B1470)</f>
        <v>1</v>
      </c>
      <c r="AM1470" s="60" t="b">
        <f t="shared" si="164"/>
        <v>0</v>
      </c>
      <c r="AN1470" s="60" t="b">
        <f t="shared" si="165"/>
        <v>0</v>
      </c>
      <c r="AO1470" s="60" t="b">
        <f t="shared" si="166"/>
        <v>0</v>
      </c>
      <c r="AP1470" s="60" t="b">
        <f t="shared" si="167"/>
        <v>0</v>
      </c>
      <c r="AQ1470" s="60" t="b">
        <f t="shared" si="168"/>
        <v>0</v>
      </c>
      <c r="AR1470" s="60" t="str">
        <f t="shared" si="169"/>
        <v>No</v>
      </c>
      <c r="AS1470" s="60" t="str">
        <f t="shared" si="170"/>
        <v>No</v>
      </c>
    </row>
    <row r="1471" spans="1:45" ht="15">
      <c r="A1471" s="103">
        <v>45244</v>
      </c>
      <c r="B1471" s="28" t="s">
        <v>5753</v>
      </c>
      <c r="C1471" s="28" t="s">
        <v>511</v>
      </c>
      <c r="D1471" s="28" t="s">
        <v>5754</v>
      </c>
      <c r="F1471" s="28" t="s">
        <v>5755</v>
      </c>
      <c r="G1471" s="28" t="s">
        <v>665</v>
      </c>
      <c r="H1471" s="28" t="s">
        <v>1330</v>
      </c>
      <c r="I1471" s="28" t="s">
        <v>517</v>
      </c>
      <c r="J1471" s="28" t="s">
        <v>517</v>
      </c>
      <c r="K1471" s="28" t="s">
        <v>682</v>
      </c>
      <c r="L1471" s="28" t="s">
        <v>1262</v>
      </c>
      <c r="M1471" s="28" t="s">
        <v>520</v>
      </c>
      <c r="N1471" s="28" t="s">
        <v>522</v>
      </c>
      <c r="S1471" s="28" t="s">
        <v>573</v>
      </c>
      <c r="T1471" s="28" t="s">
        <v>733</v>
      </c>
      <c r="U1471" s="28" t="s">
        <v>1264</v>
      </c>
      <c r="V1471" s="28" t="s">
        <v>517</v>
      </c>
      <c r="W1471" s="28" t="s">
        <v>1033</v>
      </c>
      <c r="Z1471" s="118" t="s">
        <v>563</v>
      </c>
      <c r="AA1471" s="118"/>
      <c r="AB1471" s="118" t="s">
        <v>527</v>
      </c>
      <c r="AD1471" s="28" t="s">
        <v>954</v>
      </c>
      <c r="AF1471" s="117" t="s">
        <v>5754</v>
      </c>
      <c r="AG1471" s="28" t="s">
        <v>563</v>
      </c>
      <c r="AK1471" s="60" t="s">
        <v>5515</v>
      </c>
      <c r="AL1471" s="117">
        <f>1/COUNTIF(Tableau6[LAT],B1471)</f>
        <v>1</v>
      </c>
      <c r="AM1471" s="60" t="b">
        <f t="shared" si="164"/>
        <v>0</v>
      </c>
      <c r="AN1471" s="60" t="b">
        <f t="shared" si="165"/>
        <v>0</v>
      </c>
      <c r="AO1471" s="60" t="b">
        <f t="shared" si="166"/>
        <v>0</v>
      </c>
      <c r="AP1471" s="60" t="b">
        <f t="shared" si="167"/>
        <v>0</v>
      </c>
      <c r="AQ1471" s="60" t="b">
        <f t="shared" si="168"/>
        <v>0</v>
      </c>
      <c r="AR1471" s="60" t="str">
        <f t="shared" si="169"/>
        <v>No</v>
      </c>
      <c r="AS1471" s="60" t="str">
        <f t="shared" si="170"/>
        <v>No</v>
      </c>
    </row>
    <row r="1472" spans="1:45" ht="15">
      <c r="A1472" s="103">
        <v>45244</v>
      </c>
      <c r="B1472" s="28" t="s">
        <v>5756</v>
      </c>
      <c r="C1472" s="28" t="s">
        <v>511</v>
      </c>
      <c r="D1472" s="28" t="s">
        <v>5757</v>
      </c>
      <c r="F1472" s="28" t="s">
        <v>5758</v>
      </c>
      <c r="G1472" s="28" t="s">
        <v>514</v>
      </c>
      <c r="H1472" s="28" t="s">
        <v>1413</v>
      </c>
      <c r="I1472" s="28" t="s">
        <v>517</v>
      </c>
      <c r="J1472" s="28" t="s">
        <v>517</v>
      </c>
      <c r="K1472" s="28" t="s">
        <v>518</v>
      </c>
      <c r="L1472" s="28" t="s">
        <v>675</v>
      </c>
      <c r="M1472" s="28" t="s">
        <v>535</v>
      </c>
      <c r="N1472" s="28" t="s">
        <v>521</v>
      </c>
      <c r="O1472" s="28" t="s">
        <v>1523</v>
      </c>
      <c r="P1472" s="28" t="s">
        <v>559</v>
      </c>
      <c r="S1472" s="28" t="s">
        <v>573</v>
      </c>
      <c r="T1472" s="28" t="s">
        <v>676</v>
      </c>
      <c r="U1472" s="28" t="s">
        <v>676</v>
      </c>
      <c r="V1472" s="28" t="s">
        <v>517</v>
      </c>
      <c r="W1472" s="28" t="s">
        <v>3181</v>
      </c>
      <c r="Z1472" s="118" t="s">
        <v>563</v>
      </c>
      <c r="AA1472" s="118"/>
      <c r="AB1472" s="118" t="s">
        <v>4506</v>
      </c>
      <c r="AD1472" s="28" t="s">
        <v>528</v>
      </c>
      <c r="AF1472" s="117"/>
      <c r="AG1472" s="28" t="s">
        <v>563</v>
      </c>
      <c r="AK1472" s="60" t="s">
        <v>5515</v>
      </c>
      <c r="AL1472" s="117">
        <f>1/COUNTIF(Tableau6[LAT],B1472)</f>
        <v>1</v>
      </c>
      <c r="AM1472" s="60" t="b">
        <f t="shared" si="164"/>
        <v>0</v>
      </c>
      <c r="AN1472" s="60" t="b">
        <f t="shared" si="165"/>
        <v>0</v>
      </c>
      <c r="AO1472" s="60" t="b">
        <f t="shared" si="166"/>
        <v>0</v>
      </c>
      <c r="AP1472" s="60" t="b">
        <f t="shared" si="167"/>
        <v>0</v>
      </c>
      <c r="AQ1472" s="60" t="b">
        <f t="shared" si="168"/>
        <v>0</v>
      </c>
      <c r="AR1472" s="60" t="str">
        <f t="shared" si="169"/>
        <v>No</v>
      </c>
      <c r="AS1472" s="60" t="str">
        <f t="shared" si="170"/>
        <v>No</v>
      </c>
    </row>
    <row r="1473" spans="1:45" ht="15">
      <c r="A1473" s="103">
        <v>45244</v>
      </c>
      <c r="B1473" s="28" t="s">
        <v>5759</v>
      </c>
      <c r="C1473" s="28" t="s">
        <v>511</v>
      </c>
      <c r="D1473" s="28" t="s">
        <v>5760</v>
      </c>
      <c r="F1473" s="28" t="s">
        <v>5761</v>
      </c>
      <c r="G1473" s="28" t="s">
        <v>514</v>
      </c>
      <c r="H1473" s="28" t="s">
        <v>4132</v>
      </c>
      <c r="I1473" s="28" t="s">
        <v>517</v>
      </c>
      <c r="J1473" s="28" t="s">
        <v>517</v>
      </c>
      <c r="K1473" s="28" t="s">
        <v>682</v>
      </c>
      <c r="L1473" s="28" t="s">
        <v>5762</v>
      </c>
      <c r="M1473" s="28" t="s">
        <v>535</v>
      </c>
      <c r="N1473" s="28" t="s">
        <v>557</v>
      </c>
      <c r="O1473" s="28" t="s">
        <v>1523</v>
      </c>
      <c r="P1473" s="28" t="s">
        <v>522</v>
      </c>
      <c r="S1473" s="28" t="s">
        <v>573</v>
      </c>
      <c r="T1473" s="28" t="s">
        <v>4866</v>
      </c>
      <c r="U1473" s="28" t="s">
        <v>4866</v>
      </c>
      <c r="V1473" s="28" t="s">
        <v>517</v>
      </c>
      <c r="W1473" s="28" t="s">
        <v>3181</v>
      </c>
      <c r="Z1473" s="118" t="s">
        <v>563</v>
      </c>
      <c r="AA1473" s="118"/>
      <c r="AB1473" s="118" t="s">
        <v>4506</v>
      </c>
      <c r="AD1473" s="28" t="s">
        <v>954</v>
      </c>
      <c r="AF1473" s="117" t="s">
        <v>5760</v>
      </c>
      <c r="AG1473" s="28" t="s">
        <v>563</v>
      </c>
      <c r="AK1473" s="60" t="s">
        <v>5515</v>
      </c>
      <c r="AL1473" s="117">
        <f>1/COUNTIF(Tableau6[LAT],B1473)</f>
        <v>1</v>
      </c>
      <c r="AM1473" s="60" t="b">
        <f t="shared" si="164"/>
        <v>0</v>
      </c>
      <c r="AN1473" s="60" t="b">
        <f t="shared" si="165"/>
        <v>0</v>
      </c>
      <c r="AO1473" s="60" t="b">
        <f t="shared" si="166"/>
        <v>0</v>
      </c>
      <c r="AP1473" s="60" t="b">
        <f t="shared" si="167"/>
        <v>0</v>
      </c>
      <c r="AQ1473" s="60" t="b">
        <f t="shared" si="168"/>
        <v>0</v>
      </c>
      <c r="AR1473" s="60" t="str">
        <f t="shared" si="169"/>
        <v>No</v>
      </c>
      <c r="AS1473" s="60" t="str">
        <f t="shared" si="170"/>
        <v>No</v>
      </c>
    </row>
    <row r="1474" spans="1:45" ht="15">
      <c r="A1474" s="103">
        <v>45244</v>
      </c>
      <c r="B1474" s="28" t="s">
        <v>5763</v>
      </c>
      <c r="C1474" s="28" t="s">
        <v>511</v>
      </c>
      <c r="D1474" s="28" t="s">
        <v>5764</v>
      </c>
      <c r="F1474" s="28" t="s">
        <v>3180</v>
      </c>
      <c r="G1474" s="28" t="s">
        <v>514</v>
      </c>
      <c r="H1474" s="28" t="s">
        <v>1413</v>
      </c>
      <c r="I1474" s="28" t="s">
        <v>517</v>
      </c>
      <c r="J1474" s="28" t="s">
        <v>517</v>
      </c>
      <c r="K1474" s="28" t="s">
        <v>518</v>
      </c>
      <c r="L1474" s="28" t="s">
        <v>1879</v>
      </c>
      <c r="M1474" s="28" t="s">
        <v>535</v>
      </c>
      <c r="N1474" s="28" t="s">
        <v>557</v>
      </c>
      <c r="O1474" s="28" t="s">
        <v>1523</v>
      </c>
      <c r="P1474" s="28" t="s">
        <v>522</v>
      </c>
      <c r="S1474" s="28" t="s">
        <v>573</v>
      </c>
      <c r="T1474" s="28" t="s">
        <v>1712</v>
      </c>
      <c r="U1474" s="28" t="s">
        <v>1712</v>
      </c>
      <c r="V1474" s="28" t="s">
        <v>517</v>
      </c>
      <c r="W1474" s="28" t="s">
        <v>3181</v>
      </c>
      <c r="Z1474" s="118" t="s">
        <v>563</v>
      </c>
      <c r="AA1474" s="118"/>
      <c r="AB1474" s="118" t="s">
        <v>4506</v>
      </c>
      <c r="AD1474" s="28" t="s">
        <v>528</v>
      </c>
      <c r="AF1474" s="117"/>
      <c r="AG1474" s="28" t="s">
        <v>563</v>
      </c>
      <c r="AK1474" s="60" t="s">
        <v>5515</v>
      </c>
      <c r="AL1474" s="117">
        <f>1/COUNTIF(Tableau6[LAT],B1474)</f>
        <v>1</v>
      </c>
      <c r="AM1474" s="60" t="b">
        <f t="shared" si="164"/>
        <v>0</v>
      </c>
      <c r="AN1474" s="60" t="b">
        <f t="shared" si="165"/>
        <v>0</v>
      </c>
      <c r="AO1474" s="60" t="b">
        <f t="shared" si="166"/>
        <v>0</v>
      </c>
      <c r="AP1474" s="60" t="b">
        <f t="shared" si="167"/>
        <v>0</v>
      </c>
      <c r="AQ1474" s="60" t="b">
        <f t="shared" si="168"/>
        <v>0</v>
      </c>
      <c r="AR1474" s="60" t="str">
        <f t="shared" si="169"/>
        <v>No</v>
      </c>
      <c r="AS1474" s="60" t="str">
        <f t="shared" si="170"/>
        <v>No</v>
      </c>
    </row>
    <row r="1475" spans="1:45" ht="15">
      <c r="A1475" s="103">
        <v>45244</v>
      </c>
      <c r="B1475" s="28" t="s">
        <v>5765</v>
      </c>
      <c r="C1475" s="28" t="s">
        <v>511</v>
      </c>
      <c r="D1475" s="28" t="s">
        <v>5766</v>
      </c>
      <c r="F1475" s="28" t="s">
        <v>3260</v>
      </c>
      <c r="G1475" s="28" t="s">
        <v>514</v>
      </c>
      <c r="H1475" s="28" t="s">
        <v>894</v>
      </c>
      <c r="I1475" s="28" t="s">
        <v>516</v>
      </c>
      <c r="J1475" s="28" t="s">
        <v>517</v>
      </c>
      <c r="K1475" s="28" t="s">
        <v>518</v>
      </c>
      <c r="L1475" s="28" t="s">
        <v>1502</v>
      </c>
      <c r="M1475" s="28" t="s">
        <v>535</v>
      </c>
      <c r="N1475" s="28" t="s">
        <v>557</v>
      </c>
      <c r="O1475" s="28" t="s">
        <v>544</v>
      </c>
      <c r="P1475" s="28" t="s">
        <v>522</v>
      </c>
      <c r="S1475" s="28" t="s">
        <v>589</v>
      </c>
      <c r="T1475" s="28" t="s">
        <v>811</v>
      </c>
      <c r="U1475" s="28" t="s">
        <v>811</v>
      </c>
      <c r="V1475" s="28" t="s">
        <v>517</v>
      </c>
      <c r="W1475" s="28" t="s">
        <v>5767</v>
      </c>
      <c r="Z1475" s="118" t="s">
        <v>563</v>
      </c>
      <c r="AA1475" s="118"/>
      <c r="AB1475" s="118" t="s">
        <v>4506</v>
      </c>
      <c r="AD1475" s="28" t="s">
        <v>528</v>
      </c>
      <c r="AF1475" s="117" t="s">
        <v>5766</v>
      </c>
      <c r="AG1475" s="28" t="s">
        <v>563</v>
      </c>
      <c r="AK1475" s="60" t="s">
        <v>5515</v>
      </c>
      <c r="AL1475" s="117">
        <f>1/COUNTIF(Tableau6[LAT],B1475)</f>
        <v>1</v>
      </c>
      <c r="AM1475" s="60" t="b">
        <f t="shared" si="164"/>
        <v>0</v>
      </c>
      <c r="AN1475" s="60" t="b">
        <f t="shared" si="165"/>
        <v>0</v>
      </c>
      <c r="AO1475" s="60" t="b">
        <f t="shared" si="166"/>
        <v>0</v>
      </c>
      <c r="AP1475" s="60" t="b">
        <f t="shared" si="167"/>
        <v>0</v>
      </c>
      <c r="AQ1475" s="60" t="b">
        <f t="shared" si="168"/>
        <v>0</v>
      </c>
      <c r="AR1475" s="60" t="str">
        <f t="shared" si="169"/>
        <v>No</v>
      </c>
      <c r="AS1475" s="60" t="str">
        <f t="shared" si="170"/>
        <v>No</v>
      </c>
    </row>
    <row r="1476" spans="1:45" ht="15">
      <c r="A1476" s="103">
        <v>45244</v>
      </c>
      <c r="B1476" s="28" t="s">
        <v>5768</v>
      </c>
      <c r="C1476" s="28" t="s">
        <v>511</v>
      </c>
      <c r="D1476" s="28" t="s">
        <v>5769</v>
      </c>
      <c r="F1476" s="28" t="s">
        <v>3623</v>
      </c>
      <c r="G1476" s="28" t="s">
        <v>514</v>
      </c>
      <c r="H1476" s="28" t="s">
        <v>1966</v>
      </c>
      <c r="I1476" s="28" t="s">
        <v>516</v>
      </c>
      <c r="J1476" s="28" t="s">
        <v>517</v>
      </c>
      <c r="K1476" s="28" t="s">
        <v>518</v>
      </c>
      <c r="L1476" s="28" t="s">
        <v>2363</v>
      </c>
      <c r="M1476" s="28" t="s">
        <v>535</v>
      </c>
      <c r="S1476" s="28" t="s">
        <v>795</v>
      </c>
      <c r="T1476" s="28" t="s">
        <v>2364</v>
      </c>
      <c r="U1476" s="28" t="s">
        <v>2364</v>
      </c>
      <c r="V1476" s="28" t="s">
        <v>517</v>
      </c>
      <c r="W1476" s="28" t="s">
        <v>5770</v>
      </c>
      <c r="Z1476" s="118" t="s">
        <v>526</v>
      </c>
      <c r="AA1476" s="118"/>
      <c r="AB1476" s="118"/>
      <c r="AD1476" s="28" t="s">
        <v>528</v>
      </c>
      <c r="AF1476" s="117" t="s">
        <v>5769</v>
      </c>
      <c r="AG1476" s="28" t="s">
        <v>563</v>
      </c>
      <c r="AK1476" s="60" t="s">
        <v>5515</v>
      </c>
      <c r="AL1476" s="117">
        <f>1/COUNTIF(Tableau6[LAT],B1476)</f>
        <v>0.5</v>
      </c>
      <c r="AM1476" s="60" t="b">
        <f t="shared" si="164"/>
        <v>0</v>
      </c>
      <c r="AN1476" s="60" t="b">
        <f t="shared" si="165"/>
        <v>0</v>
      </c>
      <c r="AO1476" s="60" t="b">
        <f t="shared" si="166"/>
        <v>0</v>
      </c>
      <c r="AP1476" s="60" t="b">
        <f t="shared" si="167"/>
        <v>0</v>
      </c>
      <c r="AQ1476" s="60" t="b">
        <f t="shared" si="168"/>
        <v>0</v>
      </c>
      <c r="AR1476" s="60" t="str">
        <f t="shared" si="169"/>
        <v>No</v>
      </c>
      <c r="AS1476" s="60" t="str">
        <f t="shared" si="170"/>
        <v>No</v>
      </c>
    </row>
    <row r="1477" spans="1:45" ht="15">
      <c r="A1477" s="103">
        <v>45244</v>
      </c>
      <c r="B1477" s="28" t="s">
        <v>5768</v>
      </c>
      <c r="C1477" s="28" t="s">
        <v>548</v>
      </c>
      <c r="D1477" s="28" t="s">
        <v>5771</v>
      </c>
      <c r="F1477" s="28" t="s">
        <v>3623</v>
      </c>
      <c r="G1477" s="28" t="s">
        <v>514</v>
      </c>
      <c r="H1477" s="28" t="s">
        <v>1966</v>
      </c>
      <c r="I1477" s="28" t="s">
        <v>516</v>
      </c>
      <c r="J1477" s="28" t="s">
        <v>517</v>
      </c>
      <c r="K1477" s="28" t="s">
        <v>518</v>
      </c>
      <c r="L1477" s="28" t="s">
        <v>2363</v>
      </c>
      <c r="M1477" s="28" t="s">
        <v>535</v>
      </c>
      <c r="S1477" s="28" t="s">
        <v>795</v>
      </c>
      <c r="T1477" s="28" t="s">
        <v>2364</v>
      </c>
      <c r="U1477" s="28" t="s">
        <v>2364</v>
      </c>
      <c r="V1477" s="28" t="s">
        <v>517</v>
      </c>
      <c r="W1477" s="28" t="s">
        <v>5772</v>
      </c>
      <c r="Z1477" s="118" t="s">
        <v>526</v>
      </c>
      <c r="AA1477" s="118"/>
      <c r="AB1477" s="118"/>
      <c r="AD1477" s="28" t="s">
        <v>528</v>
      </c>
      <c r="AF1477" s="117" t="s">
        <v>5769</v>
      </c>
      <c r="AG1477" s="28" t="s">
        <v>563</v>
      </c>
      <c r="AK1477" s="60" t="s">
        <v>5515</v>
      </c>
      <c r="AL1477" s="117">
        <f>1/COUNTIF(Tableau6[LAT],B1477)</f>
        <v>0.5</v>
      </c>
      <c r="AM1477" s="60" t="b">
        <f t="shared" si="164"/>
        <v>0</v>
      </c>
      <c r="AN1477" s="60" t="b">
        <f t="shared" si="165"/>
        <v>0</v>
      </c>
      <c r="AO1477" s="60" t="b">
        <f t="shared" si="166"/>
        <v>0</v>
      </c>
      <c r="AP1477" s="60" t="b">
        <f t="shared" si="167"/>
        <v>0</v>
      </c>
      <c r="AQ1477" s="60" t="b">
        <f t="shared" si="168"/>
        <v>0</v>
      </c>
      <c r="AR1477" s="60" t="str">
        <f t="shared" si="169"/>
        <v>No</v>
      </c>
      <c r="AS1477" s="60" t="str">
        <f t="shared" si="170"/>
        <v>No</v>
      </c>
    </row>
    <row r="1478" spans="1:45" ht="15">
      <c r="A1478" s="103">
        <v>45244</v>
      </c>
      <c r="B1478" s="28" t="s">
        <v>5773</v>
      </c>
      <c r="C1478" s="28" t="s">
        <v>511</v>
      </c>
      <c r="D1478" s="28" t="s">
        <v>5774</v>
      </c>
      <c r="F1478" s="28" t="s">
        <v>1516</v>
      </c>
      <c r="G1478" s="28" t="s">
        <v>4612</v>
      </c>
      <c r="H1478" s="28" t="s">
        <v>773</v>
      </c>
      <c r="I1478" s="28" t="s">
        <v>516</v>
      </c>
      <c r="J1478" s="28" t="s">
        <v>517</v>
      </c>
      <c r="K1478" s="28" t="s">
        <v>518</v>
      </c>
      <c r="L1478" s="28" t="s">
        <v>3034</v>
      </c>
      <c r="M1478" s="28" t="s">
        <v>605</v>
      </c>
      <c r="S1478" s="28" t="s">
        <v>589</v>
      </c>
      <c r="T1478" s="28" t="s">
        <v>3035</v>
      </c>
      <c r="U1478" s="28" t="s">
        <v>3035</v>
      </c>
      <c r="V1478" s="28" t="s">
        <v>517</v>
      </c>
      <c r="W1478" s="28" t="s">
        <v>5775</v>
      </c>
      <c r="Z1478" s="118" t="s">
        <v>563</v>
      </c>
      <c r="AA1478" s="118"/>
      <c r="AB1478" s="118" t="s">
        <v>4506</v>
      </c>
      <c r="AF1478" s="117" t="s">
        <v>1083</v>
      </c>
      <c r="AK1478" s="60" t="s">
        <v>5515</v>
      </c>
      <c r="AL1478" s="117">
        <f>1/COUNTIF(Tableau6[LAT],B1478)</f>
        <v>1</v>
      </c>
      <c r="AM1478" s="60" t="b">
        <f t="shared" si="164"/>
        <v>0</v>
      </c>
      <c r="AN1478" s="60" t="b">
        <f t="shared" si="165"/>
        <v>0</v>
      </c>
      <c r="AO1478" s="60" t="b">
        <f t="shared" si="166"/>
        <v>0</v>
      </c>
      <c r="AP1478" s="60" t="b">
        <f t="shared" si="167"/>
        <v>0</v>
      </c>
      <c r="AQ1478" s="60" t="b">
        <f t="shared" si="168"/>
        <v>0</v>
      </c>
      <c r="AR1478" s="60" t="str">
        <f t="shared" si="169"/>
        <v>No</v>
      </c>
      <c r="AS1478" s="60" t="str">
        <f t="shared" si="170"/>
        <v>No</v>
      </c>
    </row>
    <row r="1479" spans="1:45" ht="15">
      <c r="A1479" s="103">
        <v>45244</v>
      </c>
      <c r="B1479" s="28" t="s">
        <v>5776</v>
      </c>
      <c r="C1479" s="28" t="s">
        <v>511</v>
      </c>
      <c r="D1479" s="28" t="s">
        <v>5777</v>
      </c>
      <c r="F1479" s="28" t="s">
        <v>5778</v>
      </c>
      <c r="G1479" s="28" t="s">
        <v>514</v>
      </c>
      <c r="H1479" s="28" t="s">
        <v>4848</v>
      </c>
      <c r="I1479" s="28" t="s">
        <v>516</v>
      </c>
      <c r="J1479" s="28" t="s">
        <v>517</v>
      </c>
      <c r="K1479" s="28" t="s">
        <v>518</v>
      </c>
      <c r="L1479" s="28" t="s">
        <v>751</v>
      </c>
      <c r="M1479" s="28" t="s">
        <v>520</v>
      </c>
      <c r="N1479" s="28" t="s">
        <v>559</v>
      </c>
      <c r="S1479" s="28" t="s">
        <v>545</v>
      </c>
      <c r="T1479" s="28" t="s">
        <v>753</v>
      </c>
      <c r="U1479" s="28" t="s">
        <v>753</v>
      </c>
      <c r="V1479" s="28" t="s">
        <v>517</v>
      </c>
      <c r="W1479" s="28" t="s">
        <v>5779</v>
      </c>
      <c r="Z1479" s="118" t="s">
        <v>563</v>
      </c>
      <c r="AA1479" s="118"/>
      <c r="AB1479" s="118" t="s">
        <v>4506</v>
      </c>
      <c r="AD1479" s="28" t="s">
        <v>528</v>
      </c>
      <c r="AF1479" s="117" t="s">
        <v>5777</v>
      </c>
      <c r="AG1479" s="28" t="s">
        <v>563</v>
      </c>
      <c r="AK1479" s="60" t="s">
        <v>5515</v>
      </c>
      <c r="AL1479" s="117">
        <f>1/COUNTIF(Tableau6[LAT],B1479)</f>
        <v>1</v>
      </c>
      <c r="AM1479" s="60" t="b">
        <f t="shared" si="164"/>
        <v>0</v>
      </c>
      <c r="AN1479" s="60" t="b">
        <f t="shared" si="165"/>
        <v>0</v>
      </c>
      <c r="AO1479" s="60" t="b">
        <f t="shared" si="166"/>
        <v>0</v>
      </c>
      <c r="AP1479" s="60" t="b">
        <f t="shared" si="167"/>
        <v>0</v>
      </c>
      <c r="AQ1479" s="60" t="b">
        <f t="shared" si="168"/>
        <v>0</v>
      </c>
      <c r="AR1479" s="60" t="str">
        <f t="shared" si="169"/>
        <v>No</v>
      </c>
      <c r="AS1479" s="60" t="str">
        <f t="shared" si="170"/>
        <v>No</v>
      </c>
    </row>
    <row r="1480" spans="1:45" ht="15">
      <c r="A1480" s="103">
        <v>45244</v>
      </c>
      <c r="B1480" s="28" t="s">
        <v>5780</v>
      </c>
      <c r="C1480" s="28" t="s">
        <v>511</v>
      </c>
      <c r="D1480" s="28" t="s">
        <v>5781</v>
      </c>
      <c r="F1480" s="28" t="s">
        <v>5782</v>
      </c>
      <c r="G1480" s="28" t="s">
        <v>514</v>
      </c>
      <c r="H1480" s="28" t="s">
        <v>1236</v>
      </c>
      <c r="I1480" s="28" t="s">
        <v>516</v>
      </c>
      <c r="J1480" s="28" t="s">
        <v>517</v>
      </c>
      <c r="K1480" s="28" t="s">
        <v>518</v>
      </c>
      <c r="L1480" s="28" t="s">
        <v>2363</v>
      </c>
      <c r="M1480" s="28" t="s">
        <v>535</v>
      </c>
      <c r="N1480" s="28" t="s">
        <v>557</v>
      </c>
      <c r="O1480" s="28" t="s">
        <v>559</v>
      </c>
      <c r="S1480" s="28" t="s">
        <v>718</v>
      </c>
      <c r="T1480" s="28" t="s">
        <v>2364</v>
      </c>
      <c r="U1480" s="28" t="s">
        <v>2364</v>
      </c>
      <c r="V1480" s="28" t="s">
        <v>517</v>
      </c>
      <c r="W1480" s="28" t="s">
        <v>1285</v>
      </c>
      <c r="Z1480" s="118" t="s">
        <v>526</v>
      </c>
      <c r="AA1480" s="118"/>
      <c r="AB1480" s="118"/>
      <c r="AD1480" s="28" t="s">
        <v>954</v>
      </c>
      <c r="AF1480" s="117" t="s">
        <v>5781</v>
      </c>
      <c r="AG1480" s="28" t="s">
        <v>563</v>
      </c>
      <c r="AK1480" s="60" t="s">
        <v>5515</v>
      </c>
      <c r="AL1480" s="117">
        <f>1/COUNTIF(Tableau6[LAT],B1480)</f>
        <v>1</v>
      </c>
      <c r="AM1480" s="60" t="b">
        <f t="shared" si="164"/>
        <v>0</v>
      </c>
      <c r="AN1480" s="60" t="b">
        <f t="shared" si="165"/>
        <v>0</v>
      </c>
      <c r="AO1480" s="60" t="b">
        <f t="shared" si="166"/>
        <v>0</v>
      </c>
      <c r="AP1480" s="60" t="b">
        <f t="shared" si="167"/>
        <v>0</v>
      </c>
      <c r="AQ1480" s="60" t="b">
        <f t="shared" si="168"/>
        <v>0</v>
      </c>
      <c r="AR1480" s="60" t="str">
        <f t="shared" si="169"/>
        <v>No</v>
      </c>
      <c r="AS1480" s="60" t="str">
        <f t="shared" si="170"/>
        <v>No</v>
      </c>
    </row>
    <row r="1481" spans="1:45" ht="15">
      <c r="A1481" s="103">
        <v>45244</v>
      </c>
      <c r="B1481" s="28" t="s">
        <v>5783</v>
      </c>
      <c r="C1481" s="28" t="s">
        <v>511</v>
      </c>
      <c r="D1481" s="28" t="s">
        <v>5784</v>
      </c>
      <c r="E1481" s="28" t="s">
        <v>5785</v>
      </c>
      <c r="F1481" s="28" t="s">
        <v>5786</v>
      </c>
      <c r="G1481" s="28" t="s">
        <v>514</v>
      </c>
      <c r="H1481" s="28" t="s">
        <v>1701</v>
      </c>
      <c r="I1481" s="28" t="s">
        <v>516</v>
      </c>
      <c r="J1481" s="28" t="s">
        <v>517</v>
      </c>
      <c r="K1481" s="28" t="s">
        <v>682</v>
      </c>
      <c r="L1481" s="28" t="s">
        <v>5680</v>
      </c>
      <c r="M1481" s="28" t="s">
        <v>535</v>
      </c>
      <c r="N1481" s="28" t="s">
        <v>572</v>
      </c>
      <c r="O1481" s="28" t="s">
        <v>557</v>
      </c>
      <c r="P1481" s="28" t="s">
        <v>522</v>
      </c>
      <c r="S1481" s="28" t="s">
        <v>718</v>
      </c>
      <c r="T1481" s="28" t="s">
        <v>1918</v>
      </c>
      <c r="U1481" s="28" t="s">
        <v>1918</v>
      </c>
      <c r="V1481" s="28" t="s">
        <v>517</v>
      </c>
      <c r="W1481" s="28" t="s">
        <v>5787</v>
      </c>
      <c r="Z1481" s="118" t="s">
        <v>526</v>
      </c>
      <c r="AA1481" s="118"/>
      <c r="AB1481" s="118"/>
      <c r="AD1481" s="28" t="s">
        <v>954</v>
      </c>
      <c r="AF1481" s="117" t="s">
        <v>5784</v>
      </c>
      <c r="AG1481" s="28" t="s">
        <v>563</v>
      </c>
      <c r="AK1481" s="60" t="s">
        <v>5515</v>
      </c>
      <c r="AL1481" s="117">
        <f>1/COUNTIF(Tableau6[LAT],B1481)</f>
        <v>0.5</v>
      </c>
      <c r="AM1481" s="60" t="b">
        <f t="shared" si="164"/>
        <v>0</v>
      </c>
      <c r="AN1481" s="60" t="b">
        <f t="shared" si="165"/>
        <v>0</v>
      </c>
      <c r="AO1481" s="60" t="b">
        <f t="shared" si="166"/>
        <v>0</v>
      </c>
      <c r="AP1481" s="60" t="b">
        <f t="shared" si="167"/>
        <v>0</v>
      </c>
      <c r="AQ1481" s="60" t="b">
        <f t="shared" si="168"/>
        <v>0</v>
      </c>
      <c r="AR1481" s="60" t="str">
        <f t="shared" si="169"/>
        <v>No</v>
      </c>
      <c r="AS1481" s="60" t="str">
        <f t="shared" si="170"/>
        <v>No</v>
      </c>
    </row>
    <row r="1482" spans="1:45" ht="15">
      <c r="A1482" s="103">
        <v>45244</v>
      </c>
      <c r="B1482" s="28" t="s">
        <v>5783</v>
      </c>
      <c r="C1482" s="28" t="s">
        <v>548</v>
      </c>
      <c r="D1482" s="28" t="s">
        <v>5788</v>
      </c>
      <c r="E1482" s="28" t="s">
        <v>5785</v>
      </c>
      <c r="F1482" s="28" t="s">
        <v>5786</v>
      </c>
      <c r="G1482" s="28" t="s">
        <v>514</v>
      </c>
      <c r="H1482" s="28" t="s">
        <v>1701</v>
      </c>
      <c r="I1482" s="28" t="s">
        <v>516</v>
      </c>
      <c r="J1482" s="28" t="s">
        <v>517</v>
      </c>
      <c r="K1482" s="28" t="s">
        <v>682</v>
      </c>
      <c r="L1482" s="28" t="s">
        <v>5680</v>
      </c>
      <c r="M1482" s="28" t="s">
        <v>535</v>
      </c>
      <c r="N1482" s="28" t="s">
        <v>572</v>
      </c>
      <c r="O1482" s="28" t="s">
        <v>557</v>
      </c>
      <c r="P1482" s="28" t="s">
        <v>522</v>
      </c>
      <c r="S1482" s="28" t="s">
        <v>718</v>
      </c>
      <c r="T1482" s="28" t="s">
        <v>1918</v>
      </c>
      <c r="U1482" s="28" t="s">
        <v>1918</v>
      </c>
      <c r="V1482" s="28" t="s">
        <v>517</v>
      </c>
      <c r="W1482" s="28" t="s">
        <v>5787</v>
      </c>
      <c r="Z1482" s="118" t="s">
        <v>526</v>
      </c>
      <c r="AA1482" s="118"/>
      <c r="AB1482" s="118"/>
      <c r="AD1482" s="28" t="s">
        <v>954</v>
      </c>
      <c r="AF1482" s="117" t="s">
        <v>5784</v>
      </c>
      <c r="AG1482" s="28" t="s">
        <v>563</v>
      </c>
      <c r="AK1482" s="60" t="s">
        <v>5515</v>
      </c>
      <c r="AL1482" s="117">
        <f>1/COUNTIF(Tableau6[LAT],B1482)</f>
        <v>0.5</v>
      </c>
      <c r="AM1482" s="60" t="b">
        <f t="shared" si="164"/>
        <v>0</v>
      </c>
      <c r="AN1482" s="60" t="b">
        <f t="shared" si="165"/>
        <v>0</v>
      </c>
      <c r="AO1482" s="60" t="b">
        <f t="shared" si="166"/>
        <v>0</v>
      </c>
      <c r="AP1482" s="60" t="b">
        <f t="shared" si="167"/>
        <v>0</v>
      </c>
      <c r="AQ1482" s="60" t="b">
        <f t="shared" si="168"/>
        <v>0</v>
      </c>
      <c r="AR1482" s="60" t="str">
        <f t="shared" si="169"/>
        <v>No</v>
      </c>
      <c r="AS1482" s="60" t="str">
        <f t="shared" si="170"/>
        <v>No</v>
      </c>
    </row>
    <row r="1483" spans="1:45" ht="15">
      <c r="A1483" s="103">
        <v>45244</v>
      </c>
      <c r="B1483" s="28" t="s">
        <v>1447</v>
      </c>
      <c r="C1483" s="28" t="s">
        <v>864</v>
      </c>
      <c r="D1483" s="28" t="s">
        <v>5789</v>
      </c>
      <c r="E1483" s="28" t="s">
        <v>3043</v>
      </c>
      <c r="F1483" s="28" t="s">
        <v>1452</v>
      </c>
      <c r="G1483" s="28" t="s">
        <v>724</v>
      </c>
      <c r="H1483" s="28" t="s">
        <v>1463</v>
      </c>
      <c r="I1483" s="28" t="s">
        <v>516</v>
      </c>
      <c r="J1483" s="28" t="s">
        <v>517</v>
      </c>
      <c r="K1483" s="28" t="s">
        <v>518</v>
      </c>
      <c r="L1483" s="28" t="s">
        <v>801</v>
      </c>
      <c r="M1483" s="28" t="s">
        <v>535</v>
      </c>
      <c r="S1483" s="28" t="s">
        <v>1211</v>
      </c>
      <c r="T1483" s="28" t="s">
        <v>803</v>
      </c>
      <c r="U1483" s="28" t="s">
        <v>803</v>
      </c>
      <c r="V1483" s="28" t="s">
        <v>517</v>
      </c>
      <c r="W1483" s="28" t="s">
        <v>5790</v>
      </c>
      <c r="Z1483" s="118" t="s">
        <v>526</v>
      </c>
      <c r="AA1483" s="118"/>
      <c r="AB1483" s="118"/>
      <c r="AF1483" s="117" t="s">
        <v>1451</v>
      </c>
      <c r="AK1483" s="60" t="s">
        <v>5515</v>
      </c>
      <c r="AL1483" s="117">
        <f>1/COUNTIF(Tableau6[LAT],B1483)</f>
        <v>0.1111111111111111</v>
      </c>
      <c r="AM1483" s="60" t="b">
        <f t="shared" si="164"/>
        <v>0</v>
      </c>
      <c r="AN1483" s="60" t="b">
        <f t="shared" si="165"/>
        <v>0</v>
      </c>
      <c r="AO1483" s="60" t="b">
        <f t="shared" si="166"/>
        <v>0</v>
      </c>
      <c r="AP1483" s="60" t="b">
        <f t="shared" si="167"/>
        <v>0</v>
      </c>
      <c r="AQ1483" s="60" t="b">
        <f t="shared" si="168"/>
        <v>0</v>
      </c>
      <c r="AR1483" s="60" t="str">
        <f t="shared" si="169"/>
        <v>No</v>
      </c>
      <c r="AS1483" s="60" t="str">
        <f t="shared" si="170"/>
        <v>No</v>
      </c>
    </row>
    <row r="1484" spans="1:45" ht="15">
      <c r="A1484" s="103">
        <v>45244</v>
      </c>
      <c r="B1484" s="28" t="s">
        <v>1447</v>
      </c>
      <c r="C1484" s="28" t="s">
        <v>866</v>
      </c>
      <c r="D1484" s="28" t="s">
        <v>5791</v>
      </c>
      <c r="E1484" s="28" t="s">
        <v>5792</v>
      </c>
      <c r="F1484" s="28" t="s">
        <v>5793</v>
      </c>
      <c r="G1484" s="28" t="s">
        <v>979</v>
      </c>
      <c r="H1484" s="28" t="s">
        <v>2985</v>
      </c>
      <c r="I1484" s="28" t="s">
        <v>516</v>
      </c>
      <c r="J1484" s="28" t="s">
        <v>517</v>
      </c>
      <c r="K1484" s="28" t="s">
        <v>518</v>
      </c>
      <c r="L1484" s="28" t="s">
        <v>801</v>
      </c>
      <c r="M1484" s="28" t="s">
        <v>535</v>
      </c>
      <c r="S1484" s="28" t="s">
        <v>1211</v>
      </c>
      <c r="T1484" s="28" t="s">
        <v>803</v>
      </c>
      <c r="U1484" s="28" t="s">
        <v>803</v>
      </c>
      <c r="V1484" s="28" t="s">
        <v>517</v>
      </c>
      <c r="W1484" s="28" t="s">
        <v>5794</v>
      </c>
      <c r="Z1484" s="118" t="s">
        <v>526</v>
      </c>
      <c r="AA1484" s="118"/>
      <c r="AB1484" s="118"/>
      <c r="AF1484" s="117"/>
      <c r="AK1484" s="60" t="s">
        <v>5515</v>
      </c>
      <c r="AL1484" s="117">
        <f>1/COUNTIF(Tableau6[LAT],B1484)</f>
        <v>0.1111111111111111</v>
      </c>
      <c r="AM1484" s="60" t="b">
        <f t="shared" si="164"/>
        <v>0</v>
      </c>
      <c r="AN1484" s="60" t="b">
        <f t="shared" si="165"/>
        <v>0</v>
      </c>
      <c r="AO1484" s="60" t="b">
        <f t="shared" si="166"/>
        <v>0</v>
      </c>
      <c r="AP1484" s="60" t="b">
        <f t="shared" si="167"/>
        <v>0</v>
      </c>
      <c r="AQ1484" s="60" t="b">
        <f t="shared" si="168"/>
        <v>0</v>
      </c>
      <c r="AR1484" s="60" t="str">
        <f t="shared" si="169"/>
        <v>No</v>
      </c>
      <c r="AS1484" s="60" t="str">
        <f t="shared" si="170"/>
        <v>No</v>
      </c>
    </row>
    <row r="1485" spans="1:45" ht="15">
      <c r="A1485" s="103">
        <v>45244</v>
      </c>
      <c r="B1485" s="28" t="s">
        <v>5795</v>
      </c>
      <c r="C1485" s="28" t="s">
        <v>511</v>
      </c>
      <c r="D1485" s="28" t="s">
        <v>5796</v>
      </c>
      <c r="F1485" s="28" t="s">
        <v>5797</v>
      </c>
      <c r="G1485" s="28" t="s">
        <v>514</v>
      </c>
      <c r="H1485" s="28" t="s">
        <v>1091</v>
      </c>
      <c r="I1485" s="28" t="s">
        <v>516</v>
      </c>
      <c r="J1485" s="28" t="s">
        <v>517</v>
      </c>
      <c r="K1485" s="28" t="s">
        <v>518</v>
      </c>
      <c r="L1485" s="28" t="s">
        <v>2272</v>
      </c>
      <c r="M1485" s="28" t="s">
        <v>535</v>
      </c>
      <c r="N1485" s="28" t="s">
        <v>557</v>
      </c>
      <c r="O1485" s="28" t="s">
        <v>522</v>
      </c>
      <c r="S1485" s="28" t="s">
        <v>1226</v>
      </c>
      <c r="T1485" s="28" t="s">
        <v>733</v>
      </c>
      <c r="U1485" s="28" t="s">
        <v>733</v>
      </c>
      <c r="V1485" s="28" t="s">
        <v>517</v>
      </c>
      <c r="W1485" s="28" t="s">
        <v>5798</v>
      </c>
      <c r="Z1485" s="118" t="s">
        <v>563</v>
      </c>
      <c r="AA1485" s="118"/>
      <c r="AB1485" s="118" t="s">
        <v>527</v>
      </c>
      <c r="AD1485" s="28" t="s">
        <v>528</v>
      </c>
      <c r="AF1485" s="117" t="s">
        <v>5796</v>
      </c>
      <c r="AG1485" s="28" t="s">
        <v>563</v>
      </c>
      <c r="AK1485" s="60" t="s">
        <v>5515</v>
      </c>
      <c r="AL1485" s="117">
        <f>1/COUNTIF(Tableau6[LAT],B1485)</f>
        <v>1</v>
      </c>
      <c r="AM1485" s="60" t="b">
        <f t="shared" si="164"/>
        <v>0</v>
      </c>
      <c r="AN1485" s="60" t="b">
        <f t="shared" si="165"/>
        <v>0</v>
      </c>
      <c r="AO1485" s="60" t="b">
        <f t="shared" si="166"/>
        <v>0</v>
      </c>
      <c r="AP1485" s="60" t="b">
        <f t="shared" si="167"/>
        <v>0</v>
      </c>
      <c r="AQ1485" s="60" t="b">
        <f t="shared" si="168"/>
        <v>0</v>
      </c>
      <c r="AR1485" s="60" t="str">
        <f t="shared" si="169"/>
        <v>No</v>
      </c>
      <c r="AS1485" s="60" t="str">
        <f t="shared" si="170"/>
        <v>No</v>
      </c>
    </row>
    <row r="1486" spans="1:45" ht="15">
      <c r="A1486" s="103">
        <v>45244</v>
      </c>
      <c r="B1486" s="28" t="s">
        <v>5799</v>
      </c>
      <c r="C1486" s="28" t="s">
        <v>511</v>
      </c>
      <c r="D1486" s="28">
        <v>5712835233001</v>
      </c>
      <c r="F1486" s="28" t="s">
        <v>932</v>
      </c>
      <c r="G1486" s="28" t="s">
        <v>514</v>
      </c>
      <c r="H1486" s="28" t="s">
        <v>5800</v>
      </c>
      <c r="I1486" s="28" t="s">
        <v>517</v>
      </c>
      <c r="J1486" s="28" t="s">
        <v>517</v>
      </c>
      <c r="K1486" s="28" t="s">
        <v>518</v>
      </c>
      <c r="L1486" s="28" t="s">
        <v>916</v>
      </c>
      <c r="M1486" s="28" t="s">
        <v>535</v>
      </c>
      <c r="N1486" s="28" t="s">
        <v>2616</v>
      </c>
      <c r="O1486" s="28" t="s">
        <v>2617</v>
      </c>
      <c r="S1486" s="28" t="s">
        <v>573</v>
      </c>
      <c r="T1486" s="28" t="s">
        <v>917</v>
      </c>
      <c r="U1486" s="28" t="s">
        <v>917</v>
      </c>
      <c r="V1486" s="28" t="s">
        <v>517</v>
      </c>
      <c r="W1486" s="28" t="s">
        <v>5801</v>
      </c>
      <c r="Z1486" s="118" t="s">
        <v>563</v>
      </c>
      <c r="AA1486" s="118"/>
      <c r="AB1486" s="118" t="s">
        <v>4506</v>
      </c>
      <c r="AD1486" s="28" t="s">
        <v>954</v>
      </c>
      <c r="AF1486" s="117" t="s">
        <v>5802</v>
      </c>
      <c r="AG1486" s="28" t="s">
        <v>563</v>
      </c>
      <c r="AK1486" s="60" t="s">
        <v>5515</v>
      </c>
      <c r="AL1486" s="117">
        <f>1/COUNTIF(Tableau6[LAT],B1486)</f>
        <v>1</v>
      </c>
      <c r="AM1486" s="60" t="str">
        <f t="shared" si="164"/>
        <v>Yes</v>
      </c>
      <c r="AN1486" s="60" t="str">
        <f t="shared" si="165"/>
        <v>Yes</v>
      </c>
      <c r="AO1486" s="60" t="b">
        <f t="shared" si="166"/>
        <v>0</v>
      </c>
      <c r="AP1486" s="60" t="b">
        <f t="shared" si="167"/>
        <v>0</v>
      </c>
      <c r="AQ1486" s="60" t="b">
        <f t="shared" si="168"/>
        <v>0</v>
      </c>
      <c r="AR1486" s="60" t="str">
        <f t="shared" si="169"/>
        <v>Yes</v>
      </c>
      <c r="AS1486" s="60" t="str">
        <f t="shared" si="170"/>
        <v>No</v>
      </c>
    </row>
    <row r="1487" spans="1:45" ht="15">
      <c r="A1487" s="103">
        <v>45244</v>
      </c>
      <c r="B1487" s="28" t="s">
        <v>5803</v>
      </c>
      <c r="C1487" s="28" t="s">
        <v>511</v>
      </c>
      <c r="D1487" s="28" t="s">
        <v>5804</v>
      </c>
      <c r="F1487" s="28" t="s">
        <v>5805</v>
      </c>
      <c r="G1487" s="28" t="s">
        <v>514</v>
      </c>
      <c r="H1487" s="28" t="s">
        <v>2832</v>
      </c>
      <c r="I1487" s="28" t="s">
        <v>517</v>
      </c>
      <c r="J1487" s="28" t="s">
        <v>517</v>
      </c>
      <c r="K1487" s="28" t="s">
        <v>518</v>
      </c>
      <c r="L1487" s="28" t="s">
        <v>5806</v>
      </c>
      <c r="M1487" s="28" t="s">
        <v>535</v>
      </c>
      <c r="N1487" s="28" t="s">
        <v>2359</v>
      </c>
      <c r="O1487" s="28" t="s">
        <v>521</v>
      </c>
      <c r="P1487" s="28" t="s">
        <v>522</v>
      </c>
      <c r="S1487" s="28" t="s">
        <v>573</v>
      </c>
      <c r="T1487" s="28" t="s">
        <v>5807</v>
      </c>
      <c r="U1487" s="28" t="s">
        <v>5807</v>
      </c>
      <c r="V1487" s="28" t="s">
        <v>517</v>
      </c>
      <c r="W1487" s="28" t="s">
        <v>4133</v>
      </c>
      <c r="Z1487" s="118" t="s">
        <v>563</v>
      </c>
      <c r="AA1487" s="118"/>
      <c r="AB1487" s="118" t="s">
        <v>4506</v>
      </c>
      <c r="AD1487" s="28" t="s">
        <v>954</v>
      </c>
      <c r="AF1487" s="117" t="s">
        <v>5804</v>
      </c>
      <c r="AG1487" s="28" t="s">
        <v>563</v>
      </c>
      <c r="AK1487" s="60" t="s">
        <v>5515</v>
      </c>
      <c r="AL1487" s="117">
        <f>1/COUNTIF(Tableau6[LAT],B1487)</f>
        <v>1</v>
      </c>
      <c r="AM1487" s="60" t="b">
        <f t="shared" si="164"/>
        <v>0</v>
      </c>
      <c r="AN1487" s="60" t="b">
        <f t="shared" si="165"/>
        <v>0</v>
      </c>
      <c r="AO1487" s="60" t="b">
        <f t="shared" si="166"/>
        <v>0</v>
      </c>
      <c r="AP1487" s="60" t="b">
        <f t="shared" si="167"/>
        <v>0</v>
      </c>
      <c r="AQ1487" s="60" t="b">
        <f t="shared" si="168"/>
        <v>0</v>
      </c>
      <c r="AR1487" s="60" t="str">
        <f t="shared" si="169"/>
        <v>No</v>
      </c>
      <c r="AS1487" s="60" t="str">
        <f t="shared" si="170"/>
        <v>No</v>
      </c>
    </row>
    <row r="1488" spans="1:45" ht="15">
      <c r="A1488" s="103">
        <v>45244</v>
      </c>
      <c r="B1488" s="28" t="s">
        <v>5808</v>
      </c>
      <c r="C1488" s="28" t="s">
        <v>511</v>
      </c>
      <c r="D1488" s="28" t="s">
        <v>5809</v>
      </c>
      <c r="F1488" s="28" t="s">
        <v>2636</v>
      </c>
      <c r="G1488" s="28" t="s">
        <v>514</v>
      </c>
      <c r="H1488" s="28" t="s">
        <v>1275</v>
      </c>
      <c r="I1488" s="28" t="s">
        <v>516</v>
      </c>
      <c r="J1488" s="28" t="s">
        <v>517</v>
      </c>
      <c r="K1488" s="28" t="s">
        <v>518</v>
      </c>
      <c r="L1488" s="28" t="s">
        <v>751</v>
      </c>
      <c r="M1488" s="28" t="s">
        <v>605</v>
      </c>
      <c r="N1488" s="28" t="s">
        <v>557</v>
      </c>
      <c r="O1488" s="28" t="s">
        <v>522</v>
      </c>
      <c r="S1488" s="28" t="s">
        <v>668</v>
      </c>
      <c r="T1488" s="28" t="s">
        <v>753</v>
      </c>
      <c r="U1488" s="28" t="s">
        <v>753</v>
      </c>
      <c r="V1488" s="28" t="s">
        <v>517</v>
      </c>
      <c r="W1488" s="28" t="s">
        <v>5810</v>
      </c>
      <c r="Z1488" s="118" t="s">
        <v>563</v>
      </c>
      <c r="AA1488" s="118"/>
      <c r="AB1488" s="118" t="s">
        <v>527</v>
      </c>
      <c r="AD1488" s="28" t="s">
        <v>954</v>
      </c>
      <c r="AF1488" s="117" t="s">
        <v>5809</v>
      </c>
      <c r="AG1488" s="28" t="s">
        <v>563</v>
      </c>
      <c r="AK1488" s="60" t="s">
        <v>5515</v>
      </c>
      <c r="AL1488" s="117">
        <f>1/COUNTIF(Tableau6[LAT],B1488)</f>
        <v>0.25</v>
      </c>
      <c r="AM1488" s="60" t="b">
        <f t="shared" si="164"/>
        <v>0</v>
      </c>
      <c r="AN1488" s="60" t="b">
        <f t="shared" si="165"/>
        <v>0</v>
      </c>
      <c r="AO1488" s="60" t="b">
        <f t="shared" si="166"/>
        <v>0</v>
      </c>
      <c r="AP1488" s="60" t="b">
        <f t="shared" si="167"/>
        <v>0</v>
      </c>
      <c r="AQ1488" s="60" t="b">
        <f t="shared" si="168"/>
        <v>0</v>
      </c>
      <c r="AR1488" s="60" t="str">
        <f t="shared" si="169"/>
        <v>No</v>
      </c>
      <c r="AS1488" s="60" t="str">
        <f t="shared" si="170"/>
        <v>No</v>
      </c>
    </row>
    <row r="1489" spans="1:45" ht="15">
      <c r="A1489" s="103">
        <v>45244</v>
      </c>
      <c r="B1489" s="28" t="s">
        <v>5808</v>
      </c>
      <c r="C1489" s="28" t="s">
        <v>548</v>
      </c>
      <c r="D1489" s="28" t="s">
        <v>5811</v>
      </c>
      <c r="F1489" s="28" t="s">
        <v>2636</v>
      </c>
      <c r="G1489" s="28" t="s">
        <v>514</v>
      </c>
      <c r="H1489" s="28" t="s">
        <v>1241</v>
      </c>
      <c r="I1489" s="28" t="s">
        <v>516</v>
      </c>
      <c r="J1489" s="28" t="s">
        <v>517</v>
      </c>
      <c r="K1489" s="28" t="s">
        <v>518</v>
      </c>
      <c r="L1489" s="28" t="s">
        <v>751</v>
      </c>
      <c r="M1489" s="28" t="s">
        <v>605</v>
      </c>
      <c r="N1489" s="28" t="s">
        <v>557</v>
      </c>
      <c r="O1489" s="28" t="s">
        <v>522</v>
      </c>
      <c r="S1489" s="28" t="s">
        <v>668</v>
      </c>
      <c r="T1489" s="28" t="s">
        <v>753</v>
      </c>
      <c r="U1489" s="28" t="s">
        <v>753</v>
      </c>
      <c r="V1489" s="28" t="s">
        <v>517</v>
      </c>
      <c r="W1489" s="28" t="s">
        <v>5812</v>
      </c>
      <c r="Z1489" s="118" t="s">
        <v>563</v>
      </c>
      <c r="AA1489" s="118"/>
      <c r="AB1489" s="118" t="s">
        <v>527</v>
      </c>
      <c r="AD1489" s="28" t="s">
        <v>954</v>
      </c>
      <c r="AF1489" s="117" t="s">
        <v>5809</v>
      </c>
      <c r="AG1489" s="28" t="s">
        <v>563</v>
      </c>
      <c r="AK1489" s="60" t="s">
        <v>5515</v>
      </c>
      <c r="AL1489" s="117">
        <f>1/COUNTIF(Tableau6[LAT],B1489)</f>
        <v>0.25</v>
      </c>
      <c r="AM1489" s="60" t="b">
        <f t="shared" si="164"/>
        <v>0</v>
      </c>
      <c r="AN1489" s="60" t="b">
        <f t="shared" si="165"/>
        <v>0</v>
      </c>
      <c r="AO1489" s="60" t="b">
        <f t="shared" si="166"/>
        <v>0</v>
      </c>
      <c r="AP1489" s="60" t="b">
        <f t="shared" si="167"/>
        <v>0</v>
      </c>
      <c r="AQ1489" s="60" t="b">
        <f t="shared" si="168"/>
        <v>0</v>
      </c>
      <c r="AR1489" s="60" t="str">
        <f t="shared" si="169"/>
        <v>No</v>
      </c>
      <c r="AS1489" s="60" t="str">
        <f t="shared" si="170"/>
        <v>No</v>
      </c>
    </row>
    <row r="1490" spans="1:45" ht="15">
      <c r="A1490" s="103">
        <v>45244</v>
      </c>
      <c r="B1490" s="28" t="s">
        <v>5808</v>
      </c>
      <c r="C1490" s="28" t="s">
        <v>612</v>
      </c>
      <c r="D1490" s="28" t="s">
        <v>5813</v>
      </c>
      <c r="F1490" s="28" t="s">
        <v>2636</v>
      </c>
      <c r="G1490" s="28" t="s">
        <v>514</v>
      </c>
      <c r="H1490" s="28" t="s">
        <v>1241</v>
      </c>
      <c r="I1490" s="28" t="s">
        <v>516</v>
      </c>
      <c r="J1490" s="28" t="s">
        <v>517</v>
      </c>
      <c r="K1490" s="28" t="s">
        <v>518</v>
      </c>
      <c r="L1490" s="28" t="s">
        <v>751</v>
      </c>
      <c r="M1490" s="28" t="s">
        <v>605</v>
      </c>
      <c r="N1490" s="28" t="s">
        <v>557</v>
      </c>
      <c r="O1490" s="28" t="s">
        <v>522</v>
      </c>
      <c r="S1490" s="28" t="s">
        <v>668</v>
      </c>
      <c r="T1490" s="28" t="s">
        <v>753</v>
      </c>
      <c r="U1490" s="28" t="s">
        <v>753</v>
      </c>
      <c r="V1490" s="28" t="s">
        <v>517</v>
      </c>
      <c r="W1490" s="28" t="s">
        <v>5814</v>
      </c>
      <c r="Z1490" s="118" t="s">
        <v>563</v>
      </c>
      <c r="AA1490" s="118"/>
      <c r="AB1490" s="118" t="s">
        <v>527</v>
      </c>
      <c r="AD1490" s="28" t="s">
        <v>954</v>
      </c>
      <c r="AF1490" s="117" t="s">
        <v>5809</v>
      </c>
      <c r="AG1490" s="28" t="s">
        <v>563</v>
      </c>
      <c r="AK1490" s="60" t="s">
        <v>5515</v>
      </c>
      <c r="AL1490" s="117">
        <f>1/COUNTIF(Tableau6[LAT],B1490)</f>
        <v>0.25</v>
      </c>
      <c r="AM1490" s="60" t="b">
        <f t="shared" si="164"/>
        <v>0</v>
      </c>
      <c r="AN1490" s="60" t="b">
        <f t="shared" si="165"/>
        <v>0</v>
      </c>
      <c r="AO1490" s="60" t="b">
        <f t="shared" si="166"/>
        <v>0</v>
      </c>
      <c r="AP1490" s="60" t="b">
        <f t="shared" si="167"/>
        <v>0</v>
      </c>
      <c r="AQ1490" s="60" t="b">
        <f t="shared" si="168"/>
        <v>0</v>
      </c>
      <c r="AR1490" s="60" t="str">
        <f t="shared" si="169"/>
        <v>No</v>
      </c>
      <c r="AS1490" s="60" t="str">
        <f t="shared" si="170"/>
        <v>No</v>
      </c>
    </row>
    <row r="1491" spans="1:45" ht="15">
      <c r="A1491" s="103">
        <v>45244</v>
      </c>
      <c r="B1491" s="28" t="s">
        <v>5808</v>
      </c>
      <c r="C1491" s="28" t="s">
        <v>691</v>
      </c>
      <c r="D1491" s="28" t="s">
        <v>5815</v>
      </c>
      <c r="F1491" s="28" t="s">
        <v>2636</v>
      </c>
      <c r="G1491" s="28" t="s">
        <v>514</v>
      </c>
      <c r="H1491" s="28" t="s">
        <v>1241</v>
      </c>
      <c r="I1491" s="28" t="s">
        <v>516</v>
      </c>
      <c r="J1491" s="28" t="s">
        <v>517</v>
      </c>
      <c r="K1491" s="28" t="s">
        <v>518</v>
      </c>
      <c r="L1491" s="28" t="s">
        <v>751</v>
      </c>
      <c r="M1491" s="28" t="s">
        <v>605</v>
      </c>
      <c r="N1491" s="28" t="s">
        <v>557</v>
      </c>
      <c r="O1491" s="28" t="s">
        <v>522</v>
      </c>
      <c r="S1491" s="28" t="s">
        <v>668</v>
      </c>
      <c r="T1491" s="28" t="s">
        <v>753</v>
      </c>
      <c r="U1491" s="28" t="s">
        <v>753</v>
      </c>
      <c r="V1491" s="28" t="s">
        <v>517</v>
      </c>
      <c r="W1491" s="28" t="s">
        <v>5816</v>
      </c>
      <c r="Z1491" s="118" t="s">
        <v>563</v>
      </c>
      <c r="AA1491" s="118"/>
      <c r="AB1491" s="118" t="s">
        <v>527</v>
      </c>
      <c r="AD1491" s="28" t="s">
        <v>954</v>
      </c>
      <c r="AF1491" s="117" t="s">
        <v>5809</v>
      </c>
      <c r="AG1491" s="28" t="s">
        <v>563</v>
      </c>
      <c r="AK1491" s="60" t="s">
        <v>5515</v>
      </c>
      <c r="AL1491" s="117">
        <f>1/COUNTIF(Tableau6[LAT],B1491)</f>
        <v>0.25</v>
      </c>
      <c r="AM1491" s="60" t="b">
        <f t="shared" si="164"/>
        <v>0</v>
      </c>
      <c r="AN1491" s="60" t="b">
        <f t="shared" si="165"/>
        <v>0</v>
      </c>
      <c r="AO1491" s="60" t="b">
        <f t="shared" si="166"/>
        <v>0</v>
      </c>
      <c r="AP1491" s="60" t="b">
        <f t="shared" si="167"/>
        <v>0</v>
      </c>
      <c r="AQ1491" s="60" t="b">
        <f t="shared" si="168"/>
        <v>0</v>
      </c>
      <c r="AR1491" s="60" t="str">
        <f t="shared" si="169"/>
        <v>No</v>
      </c>
      <c r="AS1491" s="60" t="str">
        <f t="shared" si="170"/>
        <v>No</v>
      </c>
    </row>
    <row r="1492" spans="1:45" ht="15">
      <c r="A1492" s="103">
        <v>45244</v>
      </c>
      <c r="B1492" s="28" t="s">
        <v>3530</v>
      </c>
      <c r="C1492" s="28" t="s">
        <v>511</v>
      </c>
      <c r="D1492" s="28" t="s">
        <v>3535</v>
      </c>
      <c r="F1492" s="28" t="s">
        <v>3532</v>
      </c>
      <c r="G1492" s="28" t="s">
        <v>514</v>
      </c>
      <c r="H1492" s="28" t="s">
        <v>3533</v>
      </c>
      <c r="I1492" s="28" t="s">
        <v>516</v>
      </c>
      <c r="J1492" s="28" t="s">
        <v>517</v>
      </c>
      <c r="K1492" s="28" t="s">
        <v>518</v>
      </c>
      <c r="L1492" s="28" t="s">
        <v>751</v>
      </c>
      <c r="M1492" s="28" t="s">
        <v>520</v>
      </c>
      <c r="N1492" s="28" t="s">
        <v>557</v>
      </c>
      <c r="O1492" s="28" t="s">
        <v>544</v>
      </c>
      <c r="S1492" s="28" t="s">
        <v>733</v>
      </c>
      <c r="T1492" s="28" t="s">
        <v>753</v>
      </c>
      <c r="U1492" s="28" t="s">
        <v>753</v>
      </c>
      <c r="V1492" s="28" t="s">
        <v>517</v>
      </c>
      <c r="W1492" s="28" t="s">
        <v>5817</v>
      </c>
      <c r="Z1492" s="118" t="s">
        <v>526</v>
      </c>
      <c r="AA1492" s="118"/>
      <c r="AB1492" s="118"/>
      <c r="AD1492" s="28" t="s">
        <v>528</v>
      </c>
      <c r="AF1492" s="117" t="s">
        <v>3535</v>
      </c>
      <c r="AG1492" s="28" t="s">
        <v>563</v>
      </c>
      <c r="AK1492" s="60" t="s">
        <v>5515</v>
      </c>
      <c r="AL1492" s="117">
        <f>1/COUNTIF(Tableau6[LAT],B1492)</f>
        <v>0.5</v>
      </c>
      <c r="AM1492" s="60" t="b">
        <f t="shared" si="164"/>
        <v>0</v>
      </c>
      <c r="AN1492" s="60" t="b">
        <f t="shared" si="165"/>
        <v>0</v>
      </c>
      <c r="AO1492" s="60" t="b">
        <f t="shared" si="166"/>
        <v>0</v>
      </c>
      <c r="AP1492" s="60" t="b">
        <f t="shared" si="167"/>
        <v>0</v>
      </c>
      <c r="AQ1492" s="60" t="b">
        <f t="shared" si="168"/>
        <v>0</v>
      </c>
      <c r="AR1492" s="60" t="str">
        <f t="shared" si="169"/>
        <v>No</v>
      </c>
      <c r="AS1492" s="60" t="str">
        <f t="shared" si="170"/>
        <v>Yes</v>
      </c>
    </row>
    <row r="1493" spans="1:45" ht="15">
      <c r="A1493" s="103">
        <v>45244</v>
      </c>
      <c r="B1493" s="28" t="s">
        <v>5818</v>
      </c>
      <c r="C1493" s="28" t="s">
        <v>511</v>
      </c>
      <c r="D1493" s="28" t="s">
        <v>5819</v>
      </c>
      <c r="F1493" s="28" t="s">
        <v>5820</v>
      </c>
      <c r="G1493" s="28" t="s">
        <v>514</v>
      </c>
      <c r="H1493" s="28" t="s">
        <v>1953</v>
      </c>
      <c r="I1493" s="28" t="s">
        <v>516</v>
      </c>
      <c r="J1493" s="28" t="s">
        <v>517</v>
      </c>
      <c r="K1493" s="28" t="s">
        <v>518</v>
      </c>
      <c r="L1493" s="28" t="s">
        <v>4077</v>
      </c>
      <c r="M1493" s="28" t="s">
        <v>535</v>
      </c>
      <c r="N1493" s="28" t="s">
        <v>557</v>
      </c>
      <c r="O1493" s="28" t="s">
        <v>544</v>
      </c>
      <c r="S1493" s="28" t="s">
        <v>589</v>
      </c>
      <c r="T1493" s="28" t="s">
        <v>1918</v>
      </c>
      <c r="U1493" s="28" t="s">
        <v>1918</v>
      </c>
      <c r="V1493" s="28" t="s">
        <v>517</v>
      </c>
      <c r="W1493" s="28" t="s">
        <v>2350</v>
      </c>
      <c r="Z1493" s="118" t="s">
        <v>563</v>
      </c>
      <c r="AA1493" s="118"/>
      <c r="AB1493" s="118" t="s">
        <v>527</v>
      </c>
      <c r="AD1493" s="28" t="s">
        <v>528</v>
      </c>
      <c r="AF1493" s="117" t="s">
        <v>5819</v>
      </c>
      <c r="AG1493" s="28" t="s">
        <v>563</v>
      </c>
      <c r="AK1493" s="60" t="s">
        <v>5515</v>
      </c>
      <c r="AL1493" s="117">
        <f>1/COUNTIF(Tableau6[LAT],B1493)</f>
        <v>0.33333333333333331</v>
      </c>
      <c r="AM1493" s="60" t="b">
        <f t="shared" si="164"/>
        <v>0</v>
      </c>
      <c r="AN1493" s="60" t="b">
        <f t="shared" si="165"/>
        <v>0</v>
      </c>
      <c r="AO1493" s="60" t="b">
        <f t="shared" si="166"/>
        <v>0</v>
      </c>
      <c r="AP1493" s="60" t="b">
        <f t="shared" si="167"/>
        <v>0</v>
      </c>
      <c r="AQ1493" s="60" t="b">
        <f t="shared" si="168"/>
        <v>0</v>
      </c>
      <c r="AR1493" s="60" t="str">
        <f t="shared" si="169"/>
        <v>No</v>
      </c>
      <c r="AS1493" s="60" t="str">
        <f t="shared" si="170"/>
        <v>No</v>
      </c>
    </row>
    <row r="1494" spans="1:45" ht="15">
      <c r="A1494" s="103">
        <v>45244</v>
      </c>
      <c r="B1494" s="28" t="s">
        <v>5818</v>
      </c>
      <c r="C1494" s="28" t="s">
        <v>548</v>
      </c>
      <c r="D1494" s="28" t="s">
        <v>5821</v>
      </c>
      <c r="F1494" s="28" t="s">
        <v>5820</v>
      </c>
      <c r="G1494" s="28" t="s">
        <v>514</v>
      </c>
      <c r="H1494" s="28" t="s">
        <v>1953</v>
      </c>
      <c r="I1494" s="28" t="s">
        <v>516</v>
      </c>
      <c r="J1494" s="28" t="s">
        <v>517</v>
      </c>
      <c r="K1494" s="28" t="s">
        <v>518</v>
      </c>
      <c r="L1494" s="28" t="s">
        <v>4077</v>
      </c>
      <c r="M1494" s="28" t="s">
        <v>535</v>
      </c>
      <c r="N1494" s="28" t="s">
        <v>557</v>
      </c>
      <c r="O1494" s="28" t="s">
        <v>544</v>
      </c>
      <c r="S1494" s="28" t="s">
        <v>589</v>
      </c>
      <c r="T1494" s="28" t="s">
        <v>1918</v>
      </c>
      <c r="U1494" s="28" t="s">
        <v>1918</v>
      </c>
      <c r="V1494" s="28" t="s">
        <v>517</v>
      </c>
      <c r="W1494" s="28" t="s">
        <v>5822</v>
      </c>
      <c r="Z1494" s="118" t="s">
        <v>563</v>
      </c>
      <c r="AA1494" s="118"/>
      <c r="AB1494" s="118" t="s">
        <v>527</v>
      </c>
      <c r="AD1494" s="28" t="s">
        <v>528</v>
      </c>
      <c r="AF1494" s="117" t="s">
        <v>5819</v>
      </c>
      <c r="AG1494" s="28" t="s">
        <v>563</v>
      </c>
      <c r="AK1494" s="60" t="s">
        <v>5515</v>
      </c>
      <c r="AL1494" s="117">
        <f>1/COUNTIF(Tableau6[LAT],B1494)</f>
        <v>0.33333333333333331</v>
      </c>
      <c r="AM1494" s="60" t="b">
        <f t="shared" si="164"/>
        <v>0</v>
      </c>
      <c r="AN1494" s="60" t="b">
        <f t="shared" si="165"/>
        <v>0</v>
      </c>
      <c r="AO1494" s="60" t="b">
        <f t="shared" si="166"/>
        <v>0</v>
      </c>
      <c r="AP1494" s="60" t="b">
        <f t="shared" si="167"/>
        <v>0</v>
      </c>
      <c r="AQ1494" s="60" t="b">
        <f t="shared" si="168"/>
        <v>0</v>
      </c>
      <c r="AR1494" s="60" t="str">
        <f t="shared" si="169"/>
        <v>No</v>
      </c>
      <c r="AS1494" s="60" t="str">
        <f t="shared" si="170"/>
        <v>No</v>
      </c>
    </row>
    <row r="1495" spans="1:45" ht="15">
      <c r="A1495" s="103">
        <v>45244</v>
      </c>
      <c r="B1495" s="28" t="s">
        <v>5818</v>
      </c>
      <c r="C1495" s="28" t="s">
        <v>612</v>
      </c>
      <c r="D1495" s="28" t="s">
        <v>5823</v>
      </c>
      <c r="F1495" s="28" t="s">
        <v>5820</v>
      </c>
      <c r="G1495" s="28" t="s">
        <v>514</v>
      </c>
      <c r="H1495" s="28" t="s">
        <v>1953</v>
      </c>
      <c r="I1495" s="28" t="s">
        <v>516</v>
      </c>
      <c r="J1495" s="28" t="s">
        <v>517</v>
      </c>
      <c r="K1495" s="28" t="s">
        <v>518</v>
      </c>
      <c r="L1495" s="28" t="s">
        <v>4077</v>
      </c>
      <c r="M1495" s="28" t="s">
        <v>535</v>
      </c>
      <c r="N1495" s="28" t="s">
        <v>557</v>
      </c>
      <c r="O1495" s="28" t="s">
        <v>544</v>
      </c>
      <c r="S1495" s="28" t="s">
        <v>589</v>
      </c>
      <c r="T1495" s="28" t="s">
        <v>1918</v>
      </c>
      <c r="U1495" s="28" t="s">
        <v>1918</v>
      </c>
      <c r="V1495" s="28" t="s">
        <v>517</v>
      </c>
      <c r="W1495" s="28" t="s">
        <v>5824</v>
      </c>
      <c r="Z1495" s="118" t="s">
        <v>563</v>
      </c>
      <c r="AA1495" s="118"/>
      <c r="AB1495" s="118" t="s">
        <v>527</v>
      </c>
      <c r="AF1495" s="117" t="s">
        <v>5819</v>
      </c>
      <c r="AK1495" s="60" t="s">
        <v>5515</v>
      </c>
      <c r="AL1495" s="117">
        <f>1/COUNTIF(Tableau6[LAT],B1495)</f>
        <v>0.33333333333333331</v>
      </c>
      <c r="AM1495" s="60" t="b">
        <f t="shared" si="164"/>
        <v>0</v>
      </c>
      <c r="AN1495" s="60" t="b">
        <f t="shared" si="165"/>
        <v>0</v>
      </c>
      <c r="AO1495" s="60" t="b">
        <f t="shared" si="166"/>
        <v>0</v>
      </c>
      <c r="AP1495" s="60" t="b">
        <f t="shared" si="167"/>
        <v>0</v>
      </c>
      <c r="AQ1495" s="60" t="b">
        <f t="shared" si="168"/>
        <v>0</v>
      </c>
      <c r="AR1495" s="60" t="str">
        <f t="shared" si="169"/>
        <v>No</v>
      </c>
      <c r="AS1495" s="60" t="str">
        <f t="shared" si="170"/>
        <v>No</v>
      </c>
    </row>
    <row r="1496" spans="1:45" ht="15">
      <c r="A1496" s="103">
        <v>45244</v>
      </c>
      <c r="B1496" s="28" t="s">
        <v>5825</v>
      </c>
      <c r="C1496" s="28" t="s">
        <v>511</v>
      </c>
      <c r="D1496" s="28" t="s">
        <v>5826</v>
      </c>
      <c r="F1496" s="28" t="s">
        <v>5827</v>
      </c>
      <c r="G1496" s="28" t="s">
        <v>514</v>
      </c>
      <c r="H1496" s="28" t="s">
        <v>1482</v>
      </c>
      <c r="I1496" s="28" t="s">
        <v>516</v>
      </c>
      <c r="J1496" s="28" t="s">
        <v>517</v>
      </c>
      <c r="K1496" s="28" t="s">
        <v>518</v>
      </c>
      <c r="L1496" s="28" t="s">
        <v>2272</v>
      </c>
      <c r="M1496" s="28" t="s">
        <v>605</v>
      </c>
      <c r="N1496" s="28" t="s">
        <v>557</v>
      </c>
      <c r="O1496" s="28" t="s">
        <v>544</v>
      </c>
      <c r="P1496" s="28" t="s">
        <v>522</v>
      </c>
      <c r="S1496" s="28" t="s">
        <v>1494</v>
      </c>
      <c r="T1496" s="28" t="s">
        <v>733</v>
      </c>
      <c r="U1496" s="28" t="s">
        <v>733</v>
      </c>
      <c r="V1496" s="28" t="s">
        <v>517</v>
      </c>
      <c r="W1496" s="28" t="s">
        <v>5828</v>
      </c>
      <c r="Z1496" s="118" t="s">
        <v>563</v>
      </c>
      <c r="AA1496" s="118"/>
      <c r="AB1496" s="118" t="s">
        <v>527</v>
      </c>
      <c r="AD1496" s="28" t="s">
        <v>528</v>
      </c>
      <c r="AF1496" s="117" t="s">
        <v>5826</v>
      </c>
      <c r="AG1496" s="28" t="s">
        <v>563</v>
      </c>
      <c r="AK1496" s="60" t="s">
        <v>5515</v>
      </c>
      <c r="AL1496" s="117">
        <f>1/COUNTIF(Tableau6[LAT],B1496)</f>
        <v>1</v>
      </c>
      <c r="AM1496" s="60" t="b">
        <f t="shared" si="164"/>
        <v>0</v>
      </c>
      <c r="AN1496" s="60" t="b">
        <f t="shared" si="165"/>
        <v>0</v>
      </c>
      <c r="AO1496" s="60" t="b">
        <f t="shared" si="166"/>
        <v>0</v>
      </c>
      <c r="AP1496" s="60" t="b">
        <f t="shared" si="167"/>
        <v>0</v>
      </c>
      <c r="AQ1496" s="60" t="b">
        <f t="shared" si="168"/>
        <v>0</v>
      </c>
      <c r="AR1496" s="60" t="str">
        <f t="shared" si="169"/>
        <v>No</v>
      </c>
      <c r="AS1496" s="60" t="str">
        <f t="shared" si="170"/>
        <v>No</v>
      </c>
    </row>
    <row r="1497" spans="1:45" ht="15">
      <c r="A1497" s="103">
        <v>45244</v>
      </c>
      <c r="B1497" s="28" t="s">
        <v>5829</v>
      </c>
      <c r="C1497" s="28" t="s">
        <v>511</v>
      </c>
      <c r="D1497" s="28" t="s">
        <v>5830</v>
      </c>
      <c r="E1497" s="28" t="s">
        <v>5831</v>
      </c>
      <c r="F1497" s="28" t="s">
        <v>1391</v>
      </c>
      <c r="G1497" s="28" t="s">
        <v>514</v>
      </c>
      <c r="H1497" s="28" t="s">
        <v>1372</v>
      </c>
      <c r="I1497" s="28" t="s">
        <v>516</v>
      </c>
      <c r="J1497" s="28" t="s">
        <v>517</v>
      </c>
      <c r="K1497" s="28" t="s">
        <v>682</v>
      </c>
      <c r="L1497" s="28" t="s">
        <v>5680</v>
      </c>
      <c r="M1497" s="28" t="s">
        <v>535</v>
      </c>
      <c r="N1497" s="28" t="s">
        <v>557</v>
      </c>
      <c r="S1497" s="28" t="s">
        <v>1589</v>
      </c>
      <c r="T1497" s="28" t="s">
        <v>1918</v>
      </c>
      <c r="U1497" s="28" t="s">
        <v>1918</v>
      </c>
      <c r="V1497" s="28" t="s">
        <v>517</v>
      </c>
      <c r="W1497" s="28" t="s">
        <v>5832</v>
      </c>
      <c r="Z1497" s="118" t="s">
        <v>563</v>
      </c>
      <c r="AA1497" s="118"/>
      <c r="AB1497" s="118" t="s">
        <v>527</v>
      </c>
      <c r="AD1497" s="28" t="s">
        <v>528</v>
      </c>
      <c r="AF1497" s="117" t="s">
        <v>5830</v>
      </c>
      <c r="AG1497" s="28" t="s">
        <v>563</v>
      </c>
      <c r="AK1497" s="60" t="s">
        <v>5515</v>
      </c>
      <c r="AL1497" s="117">
        <f>1/COUNTIF(Tableau6[LAT],B1497)</f>
        <v>1</v>
      </c>
      <c r="AM1497" s="60" t="b">
        <f t="shared" si="164"/>
        <v>0</v>
      </c>
      <c r="AN1497" s="60" t="b">
        <f t="shared" si="165"/>
        <v>0</v>
      </c>
      <c r="AO1497" s="60" t="b">
        <f t="shared" si="166"/>
        <v>0</v>
      </c>
      <c r="AP1497" s="60" t="b">
        <f t="shared" si="167"/>
        <v>0</v>
      </c>
      <c r="AQ1497" s="60" t="b">
        <f t="shared" si="168"/>
        <v>0</v>
      </c>
      <c r="AR1497" s="60" t="str">
        <f t="shared" si="169"/>
        <v>No</v>
      </c>
      <c r="AS1497" s="60" t="str">
        <f t="shared" si="170"/>
        <v>No</v>
      </c>
    </row>
    <row r="1498" spans="1:45" ht="15">
      <c r="A1498" s="103">
        <v>45244</v>
      </c>
      <c r="B1498" s="28" t="s">
        <v>5833</v>
      </c>
      <c r="C1498" s="28" t="s">
        <v>511</v>
      </c>
      <c r="D1498" s="28" t="s">
        <v>5834</v>
      </c>
      <c r="E1498" s="28" t="s">
        <v>5835</v>
      </c>
      <c r="F1498" s="28" t="s">
        <v>5836</v>
      </c>
      <c r="G1498" s="28" t="s">
        <v>1077</v>
      </c>
      <c r="H1498" s="28" t="s">
        <v>5837</v>
      </c>
      <c r="I1498" s="28" t="s">
        <v>516</v>
      </c>
      <c r="J1498" s="28" t="s">
        <v>517</v>
      </c>
      <c r="K1498" s="28" t="s">
        <v>518</v>
      </c>
      <c r="L1498" s="28" t="s">
        <v>2147</v>
      </c>
      <c r="M1498" s="28" t="s">
        <v>520</v>
      </c>
      <c r="N1498" s="28" t="s">
        <v>1430</v>
      </c>
      <c r="O1498" s="28" t="s">
        <v>557</v>
      </c>
      <c r="P1498" s="28" t="s">
        <v>544</v>
      </c>
      <c r="Q1498" s="28" t="s">
        <v>522</v>
      </c>
      <c r="S1498" s="28" t="s">
        <v>1366</v>
      </c>
      <c r="T1498" s="28" t="s">
        <v>733</v>
      </c>
      <c r="U1498" s="28" t="s">
        <v>733</v>
      </c>
      <c r="V1498" s="28" t="s">
        <v>517</v>
      </c>
      <c r="W1498" s="28" t="s">
        <v>5838</v>
      </c>
      <c r="Z1498" s="118" t="s">
        <v>563</v>
      </c>
      <c r="AA1498" s="118"/>
      <c r="AB1498" s="118" t="s">
        <v>4506</v>
      </c>
      <c r="AD1498" s="28" t="s">
        <v>528</v>
      </c>
      <c r="AF1498" s="117" t="s">
        <v>5834</v>
      </c>
      <c r="AG1498" s="28" t="s">
        <v>563</v>
      </c>
      <c r="AK1498" s="60" t="s">
        <v>5515</v>
      </c>
      <c r="AL1498" s="117">
        <f>1/COUNTIF(Tableau6[LAT],B1498)</f>
        <v>1</v>
      </c>
      <c r="AM1498" s="60" t="b">
        <f t="shared" si="164"/>
        <v>0</v>
      </c>
      <c r="AN1498" s="60" t="b">
        <f t="shared" si="165"/>
        <v>0</v>
      </c>
      <c r="AO1498" s="60" t="b">
        <f t="shared" si="166"/>
        <v>0</v>
      </c>
      <c r="AP1498" s="60" t="b">
        <f t="shared" si="167"/>
        <v>0</v>
      </c>
      <c r="AQ1498" s="60" t="b">
        <f t="shared" si="168"/>
        <v>0</v>
      </c>
      <c r="AR1498" s="60" t="str">
        <f t="shared" si="169"/>
        <v>No</v>
      </c>
      <c r="AS1498" s="60" t="str">
        <f t="shared" si="170"/>
        <v>No</v>
      </c>
    </row>
    <row r="1499" spans="1:45" ht="15">
      <c r="A1499" s="103">
        <v>45244</v>
      </c>
      <c r="B1499" s="28" t="s">
        <v>5839</v>
      </c>
      <c r="C1499" s="28" t="s">
        <v>511</v>
      </c>
      <c r="D1499" s="28" t="s">
        <v>5840</v>
      </c>
      <c r="F1499" s="28" t="s">
        <v>5544</v>
      </c>
      <c r="G1499" s="28" t="s">
        <v>514</v>
      </c>
      <c r="H1499" s="28" t="s">
        <v>2072</v>
      </c>
      <c r="I1499" s="28" t="s">
        <v>516</v>
      </c>
      <c r="J1499" s="28" t="s">
        <v>517</v>
      </c>
      <c r="K1499" s="28" t="s">
        <v>518</v>
      </c>
      <c r="L1499" s="28" t="s">
        <v>675</v>
      </c>
      <c r="M1499" s="28" t="s">
        <v>535</v>
      </c>
      <c r="N1499" s="28" t="s">
        <v>5841</v>
      </c>
      <c r="O1499" s="28" t="s">
        <v>810</v>
      </c>
      <c r="P1499" s="28" t="s">
        <v>1383</v>
      </c>
      <c r="Q1499" s="28" t="s">
        <v>521</v>
      </c>
      <c r="R1499" s="28" t="s">
        <v>522</v>
      </c>
      <c r="S1499" s="28" t="s">
        <v>1226</v>
      </c>
      <c r="T1499" s="28" t="s">
        <v>676</v>
      </c>
      <c r="U1499" s="28" t="s">
        <v>676</v>
      </c>
      <c r="V1499" s="28" t="s">
        <v>517</v>
      </c>
      <c r="W1499" s="28" t="s">
        <v>5842</v>
      </c>
      <c r="Z1499" s="118" t="s">
        <v>563</v>
      </c>
      <c r="AA1499" s="118"/>
      <c r="AB1499" s="118" t="s">
        <v>527</v>
      </c>
      <c r="AF1499" s="117" t="s">
        <v>1083</v>
      </c>
      <c r="AK1499" s="60" t="s">
        <v>5515</v>
      </c>
      <c r="AL1499" s="117">
        <f>1/COUNTIF(Tableau6[LAT],B1499)</f>
        <v>0.5</v>
      </c>
      <c r="AM1499" s="60" t="b">
        <f t="shared" si="164"/>
        <v>0</v>
      </c>
      <c r="AN1499" s="60" t="b">
        <f t="shared" si="165"/>
        <v>0</v>
      </c>
      <c r="AO1499" s="60" t="b">
        <f t="shared" si="166"/>
        <v>0</v>
      </c>
      <c r="AP1499" s="60" t="b">
        <f t="shared" si="167"/>
        <v>0</v>
      </c>
      <c r="AQ1499" s="60" t="b">
        <f t="shared" si="168"/>
        <v>0</v>
      </c>
      <c r="AR1499" s="60" t="str">
        <f t="shared" si="169"/>
        <v>No</v>
      </c>
      <c r="AS1499" s="60" t="str">
        <f t="shared" si="170"/>
        <v>No</v>
      </c>
    </row>
    <row r="1500" spans="1:45" ht="15">
      <c r="A1500" s="103">
        <v>45244</v>
      </c>
      <c r="B1500" s="28" t="s">
        <v>5839</v>
      </c>
      <c r="C1500" s="28" t="s">
        <v>548</v>
      </c>
      <c r="D1500" s="28" t="s">
        <v>5843</v>
      </c>
      <c r="F1500" s="28" t="s">
        <v>5544</v>
      </c>
      <c r="G1500" s="28" t="s">
        <v>514</v>
      </c>
      <c r="H1500" s="28" t="s">
        <v>2072</v>
      </c>
      <c r="I1500" s="28" t="s">
        <v>516</v>
      </c>
      <c r="J1500" s="28" t="s">
        <v>517</v>
      </c>
      <c r="K1500" s="28" t="s">
        <v>518</v>
      </c>
      <c r="L1500" s="28" t="s">
        <v>675</v>
      </c>
      <c r="M1500" s="28" t="s">
        <v>535</v>
      </c>
      <c r="N1500" s="28" t="s">
        <v>810</v>
      </c>
      <c r="O1500" s="28" t="s">
        <v>1383</v>
      </c>
      <c r="P1500" s="28" t="s">
        <v>521</v>
      </c>
      <c r="Q1500" s="28" t="s">
        <v>522</v>
      </c>
      <c r="S1500" s="28" t="s">
        <v>1226</v>
      </c>
      <c r="T1500" s="28" t="s">
        <v>676</v>
      </c>
      <c r="U1500" s="28" t="s">
        <v>676</v>
      </c>
      <c r="V1500" s="28" t="s">
        <v>517</v>
      </c>
      <c r="W1500" s="28" t="s">
        <v>5844</v>
      </c>
      <c r="Z1500" s="118" t="s">
        <v>563</v>
      </c>
      <c r="AA1500" s="118"/>
      <c r="AB1500" s="118" t="s">
        <v>527</v>
      </c>
      <c r="AF1500" s="117" t="s">
        <v>1083</v>
      </c>
      <c r="AK1500" s="60" t="s">
        <v>5515</v>
      </c>
      <c r="AL1500" s="117">
        <f>1/COUNTIF(Tableau6[LAT],B1500)</f>
        <v>0.5</v>
      </c>
      <c r="AM1500" s="60" t="b">
        <f t="shared" si="164"/>
        <v>0</v>
      </c>
      <c r="AN1500" s="60" t="b">
        <f t="shared" si="165"/>
        <v>0</v>
      </c>
      <c r="AO1500" s="60" t="b">
        <f t="shared" si="166"/>
        <v>0</v>
      </c>
      <c r="AP1500" s="60" t="b">
        <f t="shared" si="167"/>
        <v>0</v>
      </c>
      <c r="AQ1500" s="60" t="b">
        <f t="shared" si="168"/>
        <v>0</v>
      </c>
      <c r="AR1500" s="60" t="str">
        <f t="shared" si="169"/>
        <v>No</v>
      </c>
      <c r="AS1500" s="60" t="str">
        <f t="shared" si="170"/>
        <v>No</v>
      </c>
    </row>
    <row r="1501" spans="1:45" ht="15">
      <c r="A1501" s="103">
        <v>45244</v>
      </c>
      <c r="B1501" s="28" t="s">
        <v>5845</v>
      </c>
      <c r="C1501" s="28" t="s">
        <v>511</v>
      </c>
      <c r="D1501" s="28" t="s">
        <v>5846</v>
      </c>
      <c r="E1501" s="28" t="s">
        <v>5847</v>
      </c>
      <c r="F1501" s="28" t="s">
        <v>5367</v>
      </c>
      <c r="G1501" s="28" t="s">
        <v>5848</v>
      </c>
      <c r="H1501" s="28" t="s">
        <v>555</v>
      </c>
      <c r="I1501" s="28" t="s">
        <v>516</v>
      </c>
      <c r="J1501" s="28" t="s">
        <v>517</v>
      </c>
      <c r="K1501" s="28" t="s">
        <v>518</v>
      </c>
      <c r="L1501" s="28" t="s">
        <v>604</v>
      </c>
      <c r="M1501" s="28" t="s">
        <v>605</v>
      </c>
      <c r="N1501" s="28" t="s">
        <v>557</v>
      </c>
      <c r="O1501" s="28" t="s">
        <v>427</v>
      </c>
      <c r="P1501" s="28" t="s">
        <v>522</v>
      </c>
      <c r="S1501" s="28" t="s">
        <v>1934</v>
      </c>
      <c r="T1501" s="28" t="s">
        <v>607</v>
      </c>
      <c r="U1501" s="28" t="s">
        <v>607</v>
      </c>
      <c r="V1501" s="28" t="s">
        <v>517</v>
      </c>
      <c r="W1501" s="28" t="s">
        <v>5849</v>
      </c>
      <c r="Z1501" s="118" t="s">
        <v>563</v>
      </c>
      <c r="AA1501" s="118"/>
      <c r="AB1501" s="118" t="s">
        <v>527</v>
      </c>
      <c r="AF1501" s="117" t="s">
        <v>1083</v>
      </c>
      <c r="AK1501" s="60" t="s">
        <v>5515</v>
      </c>
      <c r="AL1501" s="117">
        <f>1/COUNTIF(Tableau6[LAT],B1501)</f>
        <v>1</v>
      </c>
      <c r="AM1501" s="60" t="b">
        <f t="shared" si="164"/>
        <v>0</v>
      </c>
      <c r="AN1501" s="60" t="b">
        <f t="shared" si="165"/>
        <v>0</v>
      </c>
      <c r="AO1501" s="60" t="b">
        <f t="shared" si="166"/>
        <v>0</v>
      </c>
      <c r="AP1501" s="60" t="b">
        <f t="shared" si="167"/>
        <v>0</v>
      </c>
      <c r="AQ1501" s="60" t="b">
        <f t="shared" si="168"/>
        <v>0</v>
      </c>
      <c r="AR1501" s="60" t="str">
        <f t="shared" si="169"/>
        <v>No</v>
      </c>
      <c r="AS1501" s="60" t="str">
        <f t="shared" si="170"/>
        <v>No</v>
      </c>
    </row>
    <row r="1502" spans="1:45" ht="15">
      <c r="A1502" s="103">
        <v>45244</v>
      </c>
      <c r="B1502" s="28" t="s">
        <v>5850</v>
      </c>
      <c r="C1502" s="28" t="s">
        <v>511</v>
      </c>
      <c r="D1502" s="28" t="s">
        <v>5851</v>
      </c>
      <c r="F1502" s="28" t="s">
        <v>5506</v>
      </c>
      <c r="G1502" s="28" t="s">
        <v>514</v>
      </c>
      <c r="H1502" s="28" t="s">
        <v>2163</v>
      </c>
      <c r="I1502" s="28" t="s">
        <v>516</v>
      </c>
      <c r="J1502" s="28" t="s">
        <v>517</v>
      </c>
      <c r="K1502" s="28" t="s">
        <v>518</v>
      </c>
      <c r="L1502" s="28" t="s">
        <v>4077</v>
      </c>
      <c r="M1502" s="28" t="s">
        <v>520</v>
      </c>
      <c r="N1502" s="28" t="s">
        <v>557</v>
      </c>
      <c r="O1502" s="28" t="s">
        <v>522</v>
      </c>
      <c r="S1502" s="28" t="s">
        <v>1226</v>
      </c>
      <c r="T1502" s="28" t="s">
        <v>5852</v>
      </c>
      <c r="U1502" s="28" t="s">
        <v>1918</v>
      </c>
      <c r="V1502" s="28" t="s">
        <v>517</v>
      </c>
      <c r="W1502" s="28" t="s">
        <v>5853</v>
      </c>
      <c r="Z1502" s="118" t="s">
        <v>563</v>
      </c>
      <c r="AA1502" s="118"/>
      <c r="AB1502" s="118" t="s">
        <v>4506</v>
      </c>
      <c r="AD1502" s="28" t="s">
        <v>528</v>
      </c>
      <c r="AF1502" s="117" t="s">
        <v>5851</v>
      </c>
      <c r="AG1502" s="28" t="s">
        <v>563</v>
      </c>
      <c r="AK1502" s="60" t="s">
        <v>5515</v>
      </c>
      <c r="AL1502" s="117">
        <f>1/COUNTIF(Tableau6[LAT],B1502)</f>
        <v>1</v>
      </c>
      <c r="AM1502" s="60" t="b">
        <f t="shared" si="164"/>
        <v>0</v>
      </c>
      <c r="AN1502" s="60" t="b">
        <f t="shared" si="165"/>
        <v>0</v>
      </c>
      <c r="AO1502" s="60" t="b">
        <f t="shared" si="166"/>
        <v>0</v>
      </c>
      <c r="AP1502" s="60" t="b">
        <f t="shared" si="167"/>
        <v>0</v>
      </c>
      <c r="AQ1502" s="60" t="b">
        <f t="shared" si="168"/>
        <v>0</v>
      </c>
      <c r="AR1502" s="60" t="str">
        <f t="shared" si="169"/>
        <v>No</v>
      </c>
      <c r="AS1502" s="60" t="str">
        <f t="shared" si="170"/>
        <v>No</v>
      </c>
    </row>
    <row r="1503" spans="1:45" ht="15">
      <c r="A1503" s="103">
        <v>45244</v>
      </c>
      <c r="B1503" s="28" t="s">
        <v>5854</v>
      </c>
      <c r="C1503" s="28" t="s">
        <v>511</v>
      </c>
      <c r="D1503" s="28" t="s">
        <v>5855</v>
      </c>
      <c r="F1503" s="28" t="s">
        <v>1290</v>
      </c>
      <c r="G1503" s="28" t="s">
        <v>514</v>
      </c>
      <c r="H1503" s="28" t="s">
        <v>904</v>
      </c>
      <c r="I1503" s="28" t="s">
        <v>516</v>
      </c>
      <c r="J1503" s="28" t="s">
        <v>517</v>
      </c>
      <c r="K1503" s="28" t="s">
        <v>518</v>
      </c>
      <c r="L1503" s="28" t="s">
        <v>1502</v>
      </c>
      <c r="M1503" s="28" t="s">
        <v>535</v>
      </c>
      <c r="S1503" s="28" t="s">
        <v>589</v>
      </c>
      <c r="T1503" s="28" t="s">
        <v>811</v>
      </c>
      <c r="U1503" s="28" t="s">
        <v>811</v>
      </c>
      <c r="V1503" s="28" t="s">
        <v>517</v>
      </c>
      <c r="W1503" s="28" t="s">
        <v>5856</v>
      </c>
      <c r="Z1503" s="118" t="s">
        <v>563</v>
      </c>
      <c r="AA1503" s="118"/>
      <c r="AB1503" s="118" t="s">
        <v>527</v>
      </c>
      <c r="AD1503" s="28" t="s">
        <v>528</v>
      </c>
      <c r="AF1503" s="117" t="s">
        <v>5855</v>
      </c>
      <c r="AG1503" s="28" t="s">
        <v>563</v>
      </c>
      <c r="AK1503" s="60" t="s">
        <v>5515</v>
      </c>
      <c r="AL1503" s="117">
        <f>1/COUNTIF(Tableau6[LAT],B1503)</f>
        <v>1</v>
      </c>
      <c r="AM1503" s="60" t="b">
        <f t="shared" si="164"/>
        <v>0</v>
      </c>
      <c r="AN1503" s="60" t="b">
        <f t="shared" si="165"/>
        <v>0</v>
      </c>
      <c r="AO1503" s="60" t="b">
        <f t="shared" si="166"/>
        <v>0</v>
      </c>
      <c r="AP1503" s="60" t="b">
        <f t="shared" si="167"/>
        <v>0</v>
      </c>
      <c r="AQ1503" s="60" t="b">
        <f t="shared" si="168"/>
        <v>0</v>
      </c>
      <c r="AR1503" s="60" t="str">
        <f t="shared" si="169"/>
        <v>No</v>
      </c>
      <c r="AS1503" s="60" t="str">
        <f t="shared" si="170"/>
        <v>No</v>
      </c>
    </row>
    <row r="1504" spans="1:45" ht="15">
      <c r="A1504" s="103">
        <v>45244</v>
      </c>
      <c r="B1504" s="28" t="s">
        <v>5857</v>
      </c>
      <c r="C1504" s="28" t="s">
        <v>511</v>
      </c>
      <c r="D1504" s="28" t="s">
        <v>5858</v>
      </c>
      <c r="E1504" s="28" t="s">
        <v>5859</v>
      </c>
      <c r="F1504" s="28" t="s">
        <v>5860</v>
      </c>
      <c r="G1504" s="28" t="s">
        <v>5861</v>
      </c>
      <c r="H1504" s="28" t="s">
        <v>5862</v>
      </c>
      <c r="I1504" s="28" t="s">
        <v>516</v>
      </c>
      <c r="J1504" s="28" t="s">
        <v>516</v>
      </c>
      <c r="K1504" s="28" t="s">
        <v>518</v>
      </c>
      <c r="L1504" s="28" t="s">
        <v>3749</v>
      </c>
      <c r="M1504" s="28" t="s">
        <v>605</v>
      </c>
      <c r="N1504" s="28" t="s">
        <v>557</v>
      </c>
      <c r="O1504" s="28" t="s">
        <v>558</v>
      </c>
      <c r="P1504" s="28" t="s">
        <v>522</v>
      </c>
      <c r="S1504" s="28" t="s">
        <v>659</v>
      </c>
      <c r="T1504" s="28" t="s">
        <v>1918</v>
      </c>
      <c r="U1504" s="28" t="s">
        <v>1918</v>
      </c>
      <c r="V1504" s="28" t="s">
        <v>517</v>
      </c>
      <c r="W1504" s="28" t="s">
        <v>5863</v>
      </c>
      <c r="Z1504" s="118" t="s">
        <v>563</v>
      </c>
      <c r="AA1504" s="118"/>
      <c r="AB1504" s="118" t="s">
        <v>527</v>
      </c>
      <c r="AD1504" s="118" t="s">
        <v>954</v>
      </c>
      <c r="AE1504" s="118"/>
      <c r="AF1504" s="137">
        <v>0</v>
      </c>
      <c r="AG1504" s="118" t="s">
        <v>563</v>
      </c>
      <c r="AK1504" s="60" t="s">
        <v>5515</v>
      </c>
      <c r="AL1504" s="117">
        <f>1/COUNTIF(Tableau6[LAT],B1504)</f>
        <v>1</v>
      </c>
      <c r="AM1504" s="60" t="b">
        <f t="shared" si="164"/>
        <v>0</v>
      </c>
      <c r="AN1504" s="60" t="b">
        <f t="shared" si="165"/>
        <v>0</v>
      </c>
      <c r="AO1504" s="60" t="b">
        <f t="shared" si="166"/>
        <v>0</v>
      </c>
      <c r="AP1504" s="60" t="b">
        <f t="shared" si="167"/>
        <v>0</v>
      </c>
      <c r="AQ1504" s="60" t="b">
        <f t="shared" si="168"/>
        <v>0</v>
      </c>
      <c r="AR1504" s="60" t="str">
        <f t="shared" si="169"/>
        <v>No</v>
      </c>
      <c r="AS1504" s="60" t="str">
        <f t="shared" si="170"/>
        <v>No</v>
      </c>
    </row>
    <row r="1505" spans="1:45" ht="15">
      <c r="A1505" s="103">
        <v>45244</v>
      </c>
      <c r="B1505" s="28" t="s">
        <v>5864</v>
      </c>
      <c r="C1505" s="28" t="s">
        <v>511</v>
      </c>
      <c r="D1505" s="28" t="s">
        <v>5865</v>
      </c>
      <c r="E1505" s="28" t="s">
        <v>5866</v>
      </c>
      <c r="F1505" s="28" t="s">
        <v>5867</v>
      </c>
      <c r="G1505" s="28" t="s">
        <v>5868</v>
      </c>
      <c r="H1505" s="28" t="s">
        <v>5869</v>
      </c>
      <c r="I1505" s="28" t="s">
        <v>516</v>
      </c>
      <c r="J1505" s="28" t="s">
        <v>516</v>
      </c>
      <c r="K1505" s="28" t="s">
        <v>518</v>
      </c>
      <c r="L1505" s="28" t="s">
        <v>1917</v>
      </c>
      <c r="M1505" s="28" t="s">
        <v>535</v>
      </c>
      <c r="N1505" s="28" t="s">
        <v>557</v>
      </c>
      <c r="O1505" s="28" t="s">
        <v>558</v>
      </c>
      <c r="P1505" s="28" t="s">
        <v>522</v>
      </c>
      <c r="S1505" s="28" t="s">
        <v>659</v>
      </c>
      <c r="T1505" s="28" t="s">
        <v>1918</v>
      </c>
      <c r="U1505" s="28" t="s">
        <v>1918</v>
      </c>
      <c r="V1505" s="28" t="s">
        <v>517</v>
      </c>
      <c r="W1505" s="28" t="s">
        <v>5870</v>
      </c>
      <c r="Z1505" s="118" t="s">
        <v>563</v>
      </c>
      <c r="AA1505" s="118"/>
      <c r="AB1505" s="118" t="s">
        <v>527</v>
      </c>
      <c r="AD1505" s="118" t="s">
        <v>954</v>
      </c>
      <c r="AE1505" s="118"/>
      <c r="AF1505" s="137"/>
      <c r="AG1505" s="118" t="s">
        <v>563</v>
      </c>
      <c r="AK1505" s="60" t="s">
        <v>5515</v>
      </c>
      <c r="AL1505" s="117">
        <f>1/COUNTIF(Tableau6[LAT],B1505)</f>
        <v>1</v>
      </c>
      <c r="AM1505" s="60" t="b">
        <f t="shared" si="164"/>
        <v>0</v>
      </c>
      <c r="AN1505" s="60" t="b">
        <f t="shared" si="165"/>
        <v>0</v>
      </c>
      <c r="AO1505" s="60" t="b">
        <f t="shared" si="166"/>
        <v>0</v>
      </c>
      <c r="AP1505" s="60" t="b">
        <f t="shared" si="167"/>
        <v>0</v>
      </c>
      <c r="AQ1505" s="60" t="b">
        <f t="shared" si="168"/>
        <v>0</v>
      </c>
      <c r="AR1505" s="60" t="str">
        <f t="shared" si="169"/>
        <v>No</v>
      </c>
      <c r="AS1505" s="60" t="str">
        <f t="shared" si="170"/>
        <v>No</v>
      </c>
    </row>
    <row r="1506" spans="1:45" ht="15">
      <c r="A1506" s="103">
        <v>45244</v>
      </c>
      <c r="B1506" s="28" t="s">
        <v>5871</v>
      </c>
      <c r="C1506" s="28" t="s">
        <v>511</v>
      </c>
      <c r="D1506" s="28" t="s">
        <v>5872</v>
      </c>
      <c r="F1506" s="28" t="s">
        <v>5873</v>
      </c>
      <c r="G1506" s="28" t="s">
        <v>514</v>
      </c>
      <c r="H1506" s="28" t="s">
        <v>603</v>
      </c>
      <c r="I1506" s="28" t="s">
        <v>516</v>
      </c>
      <c r="J1506" s="28" t="s">
        <v>517</v>
      </c>
      <c r="K1506" s="28" t="s">
        <v>518</v>
      </c>
      <c r="L1506" s="28" t="s">
        <v>4505</v>
      </c>
      <c r="M1506" s="28" t="s">
        <v>535</v>
      </c>
      <c r="N1506" s="28" t="s">
        <v>572</v>
      </c>
      <c r="O1506" s="28" t="s">
        <v>544</v>
      </c>
      <c r="S1506" s="28" t="s">
        <v>1042</v>
      </c>
      <c r="T1506" s="28" t="s">
        <v>1934</v>
      </c>
      <c r="U1506" s="28" t="s">
        <v>1934</v>
      </c>
      <c r="V1506" s="28" t="s">
        <v>517</v>
      </c>
      <c r="W1506" s="28" t="s">
        <v>889</v>
      </c>
      <c r="Z1506" s="118" t="s">
        <v>563</v>
      </c>
      <c r="AA1506" s="118"/>
      <c r="AB1506" s="118" t="s">
        <v>527</v>
      </c>
      <c r="AD1506" s="28" t="s">
        <v>954</v>
      </c>
      <c r="AF1506" s="117" t="s">
        <v>5872</v>
      </c>
      <c r="AG1506" s="28" t="s">
        <v>563</v>
      </c>
      <c r="AK1506" s="60" t="s">
        <v>5515</v>
      </c>
      <c r="AL1506" s="117">
        <f>1/COUNTIF(Tableau6[LAT],B1506)</f>
        <v>1</v>
      </c>
      <c r="AM1506" s="60" t="b">
        <f t="shared" si="164"/>
        <v>0</v>
      </c>
      <c r="AN1506" s="60" t="b">
        <f t="shared" si="165"/>
        <v>0</v>
      </c>
      <c r="AO1506" s="60" t="b">
        <f t="shared" si="166"/>
        <v>0</v>
      </c>
      <c r="AP1506" s="60" t="b">
        <f t="shared" si="167"/>
        <v>0</v>
      </c>
      <c r="AQ1506" s="60" t="b">
        <f t="shared" si="168"/>
        <v>0</v>
      </c>
      <c r="AR1506" s="60" t="str">
        <f t="shared" si="169"/>
        <v>No</v>
      </c>
      <c r="AS1506" s="60" t="str">
        <f t="shared" si="170"/>
        <v>No</v>
      </c>
    </row>
    <row r="1507" spans="1:45" ht="15">
      <c r="A1507" s="103">
        <v>45244</v>
      </c>
      <c r="B1507" s="28" t="s">
        <v>5874</v>
      </c>
      <c r="C1507" s="28" t="s">
        <v>511</v>
      </c>
      <c r="D1507" s="28" t="s">
        <v>5875</v>
      </c>
      <c r="E1507" s="28" t="s">
        <v>5876</v>
      </c>
      <c r="F1507" s="28" t="s">
        <v>5637</v>
      </c>
      <c r="G1507" s="28" t="s">
        <v>2061</v>
      </c>
      <c r="H1507" s="28" t="s">
        <v>1138</v>
      </c>
      <c r="I1507" s="28" t="s">
        <v>516</v>
      </c>
      <c r="J1507" s="28" t="s">
        <v>517</v>
      </c>
      <c r="K1507" s="28" t="s">
        <v>518</v>
      </c>
      <c r="L1507" s="28" t="s">
        <v>5195</v>
      </c>
      <c r="M1507" s="28" t="s">
        <v>535</v>
      </c>
      <c r="N1507" s="28" t="s">
        <v>1637</v>
      </c>
      <c r="O1507" s="28" t="s">
        <v>1383</v>
      </c>
      <c r="P1507" s="28" t="s">
        <v>572</v>
      </c>
      <c r="Q1507" s="28" t="s">
        <v>521</v>
      </c>
      <c r="S1507" s="28" t="s">
        <v>1263</v>
      </c>
      <c r="T1507" s="28" t="s">
        <v>3756</v>
      </c>
      <c r="U1507" s="28" t="s">
        <v>3756</v>
      </c>
      <c r="V1507" s="28" t="s">
        <v>517</v>
      </c>
      <c r="Z1507" s="118" t="s">
        <v>563</v>
      </c>
      <c r="AA1507" s="118"/>
      <c r="AB1507" s="118" t="s">
        <v>5877</v>
      </c>
      <c r="AF1507" s="117"/>
      <c r="AK1507" s="60" t="s">
        <v>5515</v>
      </c>
      <c r="AL1507" s="117">
        <f>1/COUNTIF(Tableau6[LAT],B1507)</f>
        <v>0.5</v>
      </c>
      <c r="AM1507" s="60" t="b">
        <f t="shared" si="164"/>
        <v>0</v>
      </c>
      <c r="AN1507" s="60" t="b">
        <f t="shared" si="165"/>
        <v>0</v>
      </c>
      <c r="AO1507" s="60" t="b">
        <f t="shared" si="166"/>
        <v>0</v>
      </c>
      <c r="AP1507" s="60" t="b">
        <f t="shared" si="167"/>
        <v>0</v>
      </c>
      <c r="AQ1507" s="60" t="b">
        <f t="shared" si="168"/>
        <v>0</v>
      </c>
      <c r="AR1507" s="60" t="str">
        <f t="shared" si="169"/>
        <v>No</v>
      </c>
      <c r="AS1507" s="60" t="str">
        <f t="shared" si="170"/>
        <v>No</v>
      </c>
    </row>
    <row r="1508" spans="1:45" ht="15">
      <c r="A1508" s="103">
        <v>45244</v>
      </c>
      <c r="B1508" s="28" t="s">
        <v>5874</v>
      </c>
      <c r="C1508" s="28" t="s">
        <v>548</v>
      </c>
      <c r="D1508" s="28" t="s">
        <v>5878</v>
      </c>
      <c r="E1508" s="28" t="s">
        <v>5876</v>
      </c>
      <c r="F1508" s="28" t="s">
        <v>5879</v>
      </c>
      <c r="G1508" s="28" t="s">
        <v>5880</v>
      </c>
      <c r="H1508" s="28" t="s">
        <v>738</v>
      </c>
      <c r="I1508" s="28" t="s">
        <v>516</v>
      </c>
      <c r="J1508" s="28" t="s">
        <v>517</v>
      </c>
      <c r="K1508" s="28" t="s">
        <v>518</v>
      </c>
      <c r="L1508" s="28" t="s">
        <v>5195</v>
      </c>
      <c r="M1508" s="28" t="s">
        <v>535</v>
      </c>
      <c r="N1508" s="28" t="s">
        <v>1637</v>
      </c>
      <c r="O1508" s="28" t="s">
        <v>1383</v>
      </c>
      <c r="P1508" s="28" t="s">
        <v>572</v>
      </c>
      <c r="Q1508" s="28" t="s">
        <v>521</v>
      </c>
      <c r="S1508" s="28" t="s">
        <v>1263</v>
      </c>
      <c r="T1508" s="28" t="s">
        <v>3756</v>
      </c>
      <c r="U1508" s="28" t="s">
        <v>3756</v>
      </c>
      <c r="V1508" s="28" t="s">
        <v>517</v>
      </c>
      <c r="Z1508" s="118" t="s">
        <v>563</v>
      </c>
      <c r="AA1508" s="118"/>
      <c r="AB1508" s="118" t="s">
        <v>5877</v>
      </c>
      <c r="AF1508" s="117"/>
      <c r="AK1508" s="60" t="s">
        <v>5515</v>
      </c>
      <c r="AL1508" s="117">
        <f>1/COUNTIF(Tableau6[LAT],B1508)</f>
        <v>0.5</v>
      </c>
      <c r="AM1508" s="60" t="b">
        <f t="shared" si="164"/>
        <v>0</v>
      </c>
      <c r="AN1508" s="60" t="b">
        <f t="shared" si="165"/>
        <v>0</v>
      </c>
      <c r="AO1508" s="60" t="b">
        <f t="shared" si="166"/>
        <v>0</v>
      </c>
      <c r="AP1508" s="60" t="b">
        <f t="shared" si="167"/>
        <v>0</v>
      </c>
      <c r="AQ1508" s="60" t="b">
        <f t="shared" si="168"/>
        <v>0</v>
      </c>
      <c r="AR1508" s="60" t="str">
        <f t="shared" si="169"/>
        <v>No</v>
      </c>
      <c r="AS1508" s="60" t="str">
        <f t="shared" si="170"/>
        <v>No</v>
      </c>
    </row>
    <row r="1509" spans="1:45" ht="15">
      <c r="A1509" s="103">
        <v>45244</v>
      </c>
      <c r="B1509" s="28" t="s">
        <v>5881</v>
      </c>
      <c r="C1509" s="28" t="s">
        <v>511</v>
      </c>
      <c r="D1509" s="28" t="s">
        <v>5882</v>
      </c>
      <c r="E1509" s="28" t="s">
        <v>5883</v>
      </c>
      <c r="F1509" s="28" t="s">
        <v>5884</v>
      </c>
      <c r="G1509" s="28" t="s">
        <v>5233</v>
      </c>
      <c r="H1509" s="28" t="s">
        <v>5885</v>
      </c>
      <c r="I1509" s="28" t="s">
        <v>516</v>
      </c>
      <c r="J1509" s="28" t="s">
        <v>517</v>
      </c>
      <c r="K1509" s="28" t="s">
        <v>682</v>
      </c>
      <c r="L1509" s="28" t="s">
        <v>3648</v>
      </c>
      <c r="M1509" s="28" t="s">
        <v>535</v>
      </c>
      <c r="N1509" s="28" t="s">
        <v>557</v>
      </c>
      <c r="O1509" s="28" t="s">
        <v>522</v>
      </c>
      <c r="S1509" s="28" t="s">
        <v>659</v>
      </c>
      <c r="T1509" s="28" t="s">
        <v>1918</v>
      </c>
      <c r="U1509" s="28" t="s">
        <v>1857</v>
      </c>
      <c r="V1509" s="28" t="s">
        <v>517</v>
      </c>
      <c r="W1509" s="28" t="s">
        <v>5886</v>
      </c>
      <c r="Z1509" s="118" t="s">
        <v>563</v>
      </c>
      <c r="AA1509" s="118"/>
      <c r="AB1509" s="118" t="s">
        <v>527</v>
      </c>
      <c r="AD1509" s="28" t="s">
        <v>528</v>
      </c>
      <c r="AF1509" s="117" t="s">
        <v>5882</v>
      </c>
      <c r="AG1509" s="28" t="s">
        <v>563</v>
      </c>
      <c r="AK1509" s="60" t="s">
        <v>5515</v>
      </c>
      <c r="AL1509" s="117">
        <f>1/COUNTIF(Tableau6[LAT],B1509)</f>
        <v>1</v>
      </c>
      <c r="AM1509" s="60" t="b">
        <f t="shared" si="164"/>
        <v>0</v>
      </c>
      <c r="AN1509" s="60" t="b">
        <f t="shared" si="165"/>
        <v>0</v>
      </c>
      <c r="AO1509" s="60" t="b">
        <f t="shared" si="166"/>
        <v>0</v>
      </c>
      <c r="AP1509" s="60" t="b">
        <f t="shared" si="167"/>
        <v>0</v>
      </c>
      <c r="AQ1509" s="60" t="b">
        <f t="shared" si="168"/>
        <v>0</v>
      </c>
      <c r="AR1509" s="60" t="str">
        <f t="shared" si="169"/>
        <v>No</v>
      </c>
      <c r="AS1509" s="60" t="str">
        <f t="shared" si="170"/>
        <v>No</v>
      </c>
    </row>
    <row r="1510" spans="1:45" ht="15">
      <c r="A1510" s="103">
        <v>45244</v>
      </c>
      <c r="B1510" s="28" t="s">
        <v>5887</v>
      </c>
      <c r="C1510" s="28" t="s">
        <v>511</v>
      </c>
      <c r="D1510" s="28" t="s">
        <v>5888</v>
      </c>
      <c r="E1510" s="28" t="s">
        <v>5889</v>
      </c>
      <c r="F1510" s="28" t="s">
        <v>5890</v>
      </c>
      <c r="G1510" s="28" t="s">
        <v>514</v>
      </c>
      <c r="H1510" s="28" t="s">
        <v>1291</v>
      </c>
      <c r="I1510" s="28" t="s">
        <v>516</v>
      </c>
      <c r="J1510" s="28" t="s">
        <v>517</v>
      </c>
      <c r="K1510" s="28" t="s">
        <v>518</v>
      </c>
      <c r="L1510" s="28" t="s">
        <v>1276</v>
      </c>
      <c r="M1510" s="28" t="s">
        <v>535</v>
      </c>
      <c r="N1510" s="28" t="s">
        <v>557</v>
      </c>
      <c r="O1510" s="28" t="s">
        <v>544</v>
      </c>
      <c r="P1510" s="28" t="s">
        <v>559</v>
      </c>
      <c r="S1510" s="28" t="s">
        <v>732</v>
      </c>
      <c r="T1510" s="28" t="s">
        <v>917</v>
      </c>
      <c r="U1510" s="28" t="s">
        <v>917</v>
      </c>
      <c r="V1510" s="28" t="s">
        <v>517</v>
      </c>
      <c r="W1510" s="28" t="s">
        <v>5891</v>
      </c>
      <c r="Z1510" s="118" t="s">
        <v>563</v>
      </c>
      <c r="AA1510" s="118"/>
      <c r="AB1510" s="118" t="s">
        <v>527</v>
      </c>
      <c r="AD1510" s="28" t="s">
        <v>528</v>
      </c>
      <c r="AF1510" s="117" t="s">
        <v>5888</v>
      </c>
      <c r="AG1510" s="28" t="s">
        <v>563</v>
      </c>
      <c r="AK1510" s="60" t="s">
        <v>5515</v>
      </c>
      <c r="AL1510" s="117">
        <f>1/COUNTIF(Tableau6[LAT],B1510)</f>
        <v>0.2</v>
      </c>
      <c r="AM1510" s="60" t="b">
        <f t="shared" si="164"/>
        <v>0</v>
      </c>
      <c r="AN1510" s="60" t="b">
        <f t="shared" si="165"/>
        <v>0</v>
      </c>
      <c r="AO1510" s="60" t="b">
        <f t="shared" si="166"/>
        <v>0</v>
      </c>
      <c r="AP1510" s="60" t="b">
        <f t="shared" si="167"/>
        <v>0</v>
      </c>
      <c r="AQ1510" s="60" t="b">
        <f t="shared" si="168"/>
        <v>0</v>
      </c>
      <c r="AR1510" s="60" t="str">
        <f t="shared" si="169"/>
        <v>No</v>
      </c>
      <c r="AS1510" s="60" t="str">
        <f t="shared" si="170"/>
        <v>No</v>
      </c>
    </row>
    <row r="1511" spans="1:45" ht="15">
      <c r="A1511" s="103">
        <v>45244</v>
      </c>
      <c r="B1511" s="28" t="s">
        <v>5887</v>
      </c>
      <c r="C1511" s="28" t="s">
        <v>612</v>
      </c>
      <c r="D1511" s="28" t="s">
        <v>5892</v>
      </c>
      <c r="E1511" s="28" t="s">
        <v>5889</v>
      </c>
      <c r="F1511" s="28" t="s">
        <v>5890</v>
      </c>
      <c r="G1511" s="28" t="s">
        <v>514</v>
      </c>
      <c r="H1511" s="28" t="s">
        <v>1291</v>
      </c>
      <c r="I1511" s="28" t="s">
        <v>516</v>
      </c>
      <c r="J1511" s="28" t="s">
        <v>517</v>
      </c>
      <c r="K1511" s="28" t="s">
        <v>518</v>
      </c>
      <c r="L1511" s="28" t="s">
        <v>1276</v>
      </c>
      <c r="M1511" s="28" t="s">
        <v>535</v>
      </c>
      <c r="N1511" s="28" t="s">
        <v>557</v>
      </c>
      <c r="O1511" s="28" t="s">
        <v>544</v>
      </c>
      <c r="P1511" s="28" t="s">
        <v>559</v>
      </c>
      <c r="S1511" s="28" t="s">
        <v>732</v>
      </c>
      <c r="T1511" s="28" t="s">
        <v>917</v>
      </c>
      <c r="U1511" s="28" t="s">
        <v>917</v>
      </c>
      <c r="V1511" s="28" t="s">
        <v>517</v>
      </c>
      <c r="W1511" s="28" t="s">
        <v>5891</v>
      </c>
      <c r="Z1511" s="118" t="s">
        <v>563</v>
      </c>
      <c r="AA1511" s="118"/>
      <c r="AB1511" s="118" t="s">
        <v>527</v>
      </c>
      <c r="AF1511" s="117" t="s">
        <v>5888</v>
      </c>
      <c r="AK1511" s="60" t="s">
        <v>5515</v>
      </c>
      <c r="AL1511" s="117">
        <f>1/COUNTIF(Tableau6[LAT],B1511)</f>
        <v>0.2</v>
      </c>
      <c r="AM1511" s="60" t="b">
        <f t="shared" si="164"/>
        <v>0</v>
      </c>
      <c r="AN1511" s="60" t="b">
        <f t="shared" si="165"/>
        <v>0</v>
      </c>
      <c r="AO1511" s="60" t="b">
        <f t="shared" si="166"/>
        <v>0</v>
      </c>
      <c r="AP1511" s="60" t="b">
        <f t="shared" si="167"/>
        <v>0</v>
      </c>
      <c r="AQ1511" s="60" t="b">
        <f t="shared" si="168"/>
        <v>0</v>
      </c>
      <c r="AR1511" s="60" t="str">
        <f t="shared" si="169"/>
        <v>No</v>
      </c>
      <c r="AS1511" s="60" t="str">
        <f t="shared" si="170"/>
        <v>No</v>
      </c>
    </row>
    <row r="1512" spans="1:45" ht="15">
      <c r="A1512" s="103">
        <v>45244</v>
      </c>
      <c r="B1512" s="28" t="s">
        <v>5887</v>
      </c>
      <c r="C1512" s="28" t="s">
        <v>691</v>
      </c>
      <c r="D1512" s="28" t="s">
        <v>5893</v>
      </c>
      <c r="E1512" s="28" t="s">
        <v>5889</v>
      </c>
      <c r="F1512" s="28" t="s">
        <v>5890</v>
      </c>
      <c r="G1512" s="28" t="s">
        <v>514</v>
      </c>
      <c r="H1512" s="28" t="s">
        <v>1291</v>
      </c>
      <c r="I1512" s="28" t="s">
        <v>516</v>
      </c>
      <c r="J1512" s="28" t="s">
        <v>517</v>
      </c>
      <c r="K1512" s="28" t="s">
        <v>518</v>
      </c>
      <c r="L1512" s="28" t="s">
        <v>1276</v>
      </c>
      <c r="M1512" s="28" t="s">
        <v>535</v>
      </c>
      <c r="N1512" s="28" t="s">
        <v>557</v>
      </c>
      <c r="O1512" s="28" t="s">
        <v>544</v>
      </c>
      <c r="P1512" s="28" t="s">
        <v>559</v>
      </c>
      <c r="S1512" s="28" t="s">
        <v>732</v>
      </c>
      <c r="T1512" s="28" t="s">
        <v>917</v>
      </c>
      <c r="U1512" s="28" t="s">
        <v>917</v>
      </c>
      <c r="V1512" s="28" t="s">
        <v>517</v>
      </c>
      <c r="W1512" s="28" t="s">
        <v>5891</v>
      </c>
      <c r="Z1512" s="118" t="s">
        <v>563</v>
      </c>
      <c r="AA1512" s="118"/>
      <c r="AB1512" s="118" t="s">
        <v>527</v>
      </c>
      <c r="AF1512" s="117" t="s">
        <v>5888</v>
      </c>
      <c r="AK1512" s="60" t="s">
        <v>5515</v>
      </c>
      <c r="AL1512" s="117">
        <f>1/COUNTIF(Tableau6[LAT],B1512)</f>
        <v>0.2</v>
      </c>
      <c r="AM1512" s="60" t="b">
        <f t="shared" si="164"/>
        <v>0</v>
      </c>
      <c r="AN1512" s="60" t="b">
        <f t="shared" si="165"/>
        <v>0</v>
      </c>
      <c r="AO1512" s="60" t="b">
        <f t="shared" si="166"/>
        <v>0</v>
      </c>
      <c r="AP1512" s="60" t="b">
        <f t="shared" si="167"/>
        <v>0</v>
      </c>
      <c r="AQ1512" s="60" t="b">
        <f t="shared" si="168"/>
        <v>0</v>
      </c>
      <c r="AR1512" s="60" t="str">
        <f t="shared" si="169"/>
        <v>No</v>
      </c>
      <c r="AS1512" s="60" t="str">
        <f t="shared" si="170"/>
        <v>No</v>
      </c>
    </row>
    <row r="1513" spans="1:45" ht="15">
      <c r="A1513" s="103">
        <v>45244</v>
      </c>
      <c r="B1513" s="28" t="s">
        <v>5894</v>
      </c>
      <c r="C1513" s="28" t="s">
        <v>511</v>
      </c>
      <c r="D1513" s="28" t="s">
        <v>5895</v>
      </c>
      <c r="E1513" s="28" t="s">
        <v>5896</v>
      </c>
      <c r="F1513" s="28" t="s">
        <v>594</v>
      </c>
      <c r="G1513" s="28" t="s">
        <v>514</v>
      </c>
      <c r="H1513" s="28" t="s">
        <v>1482</v>
      </c>
      <c r="I1513" s="28" t="s">
        <v>516</v>
      </c>
      <c r="J1513" s="28" t="s">
        <v>517</v>
      </c>
      <c r="K1513" s="28" t="s">
        <v>682</v>
      </c>
      <c r="L1513" s="28" t="s">
        <v>5680</v>
      </c>
      <c r="M1513" s="28" t="s">
        <v>535</v>
      </c>
      <c r="N1513" s="28" t="s">
        <v>557</v>
      </c>
      <c r="O1513" s="28" t="s">
        <v>544</v>
      </c>
      <c r="P1513" s="28" t="s">
        <v>522</v>
      </c>
      <c r="S1513" s="28" t="s">
        <v>1202</v>
      </c>
      <c r="T1513" s="28" t="s">
        <v>1918</v>
      </c>
      <c r="U1513" s="28" t="s">
        <v>1918</v>
      </c>
      <c r="V1513" s="28" t="s">
        <v>517</v>
      </c>
      <c r="W1513" s="28" t="s">
        <v>5897</v>
      </c>
      <c r="Z1513" s="118" t="s">
        <v>563</v>
      </c>
      <c r="AA1513" s="118"/>
      <c r="AB1513" s="118" t="s">
        <v>527</v>
      </c>
      <c r="AD1513" s="28" t="s">
        <v>528</v>
      </c>
      <c r="AF1513" s="117" t="s">
        <v>5895</v>
      </c>
      <c r="AG1513" s="28" t="s">
        <v>563</v>
      </c>
      <c r="AK1513" s="60" t="s">
        <v>5515</v>
      </c>
      <c r="AL1513" s="117">
        <f>1/COUNTIF(Tableau6[LAT],B1513)</f>
        <v>1</v>
      </c>
      <c r="AM1513" s="60" t="b">
        <f t="shared" si="164"/>
        <v>0</v>
      </c>
      <c r="AN1513" s="60" t="b">
        <f t="shared" si="165"/>
        <v>0</v>
      </c>
      <c r="AO1513" s="60" t="b">
        <f t="shared" si="166"/>
        <v>0</v>
      </c>
      <c r="AP1513" s="60" t="b">
        <f t="shared" si="167"/>
        <v>0</v>
      </c>
      <c r="AQ1513" s="60" t="b">
        <f t="shared" si="168"/>
        <v>0</v>
      </c>
      <c r="AR1513" s="60" t="str">
        <f t="shared" si="169"/>
        <v>No</v>
      </c>
      <c r="AS1513" s="60" t="str">
        <f t="shared" si="170"/>
        <v>No</v>
      </c>
    </row>
    <row r="1514" spans="1:45" ht="15">
      <c r="A1514" s="103">
        <v>45244</v>
      </c>
      <c r="B1514" s="28" t="s">
        <v>5898</v>
      </c>
      <c r="C1514" s="28" t="s">
        <v>511</v>
      </c>
      <c r="D1514" s="28" t="s">
        <v>5899</v>
      </c>
      <c r="E1514" s="28" t="s">
        <v>5900</v>
      </c>
      <c r="F1514" s="28" t="s">
        <v>5901</v>
      </c>
      <c r="G1514" s="28" t="s">
        <v>657</v>
      </c>
      <c r="H1514" s="28" t="s">
        <v>5902</v>
      </c>
      <c r="I1514" s="28" t="s">
        <v>516</v>
      </c>
      <c r="J1514" s="28" t="s">
        <v>517</v>
      </c>
      <c r="K1514" s="28" t="s">
        <v>518</v>
      </c>
      <c r="L1514" s="28" t="s">
        <v>1794</v>
      </c>
      <c r="M1514" s="28" t="s">
        <v>605</v>
      </c>
      <c r="N1514" s="28" t="s">
        <v>521</v>
      </c>
      <c r="O1514" s="28" t="s">
        <v>544</v>
      </c>
      <c r="P1514" s="28" t="s">
        <v>427</v>
      </c>
      <c r="Q1514" s="28" t="s">
        <v>522</v>
      </c>
      <c r="S1514" s="28" t="s">
        <v>5903</v>
      </c>
      <c r="T1514" s="28" t="s">
        <v>1796</v>
      </c>
      <c r="U1514" s="28" t="s">
        <v>1796</v>
      </c>
      <c r="V1514" s="28" t="s">
        <v>517</v>
      </c>
      <c r="W1514" s="28" t="s">
        <v>5904</v>
      </c>
      <c r="Z1514" s="118" t="s">
        <v>563</v>
      </c>
      <c r="AA1514" s="118"/>
      <c r="AB1514" s="118" t="s">
        <v>527</v>
      </c>
      <c r="AD1514" s="28" t="s">
        <v>528</v>
      </c>
      <c r="AF1514" s="117" t="s">
        <v>5899</v>
      </c>
      <c r="AG1514" s="28" t="s">
        <v>563</v>
      </c>
      <c r="AK1514" s="60" t="s">
        <v>5515</v>
      </c>
      <c r="AL1514" s="117">
        <f>1/COUNTIF(Tableau6[LAT],B1514)</f>
        <v>0.33333333333333331</v>
      </c>
      <c r="AM1514" s="60" t="b">
        <f t="shared" si="164"/>
        <v>0</v>
      </c>
      <c r="AN1514" s="60" t="b">
        <f t="shared" si="165"/>
        <v>0</v>
      </c>
      <c r="AO1514" s="60" t="b">
        <f t="shared" si="166"/>
        <v>0</v>
      </c>
      <c r="AP1514" s="60" t="b">
        <f t="shared" si="167"/>
        <v>0</v>
      </c>
      <c r="AQ1514" s="60" t="b">
        <f t="shared" si="168"/>
        <v>0</v>
      </c>
      <c r="AR1514" s="60" t="str">
        <f t="shared" si="169"/>
        <v>No</v>
      </c>
      <c r="AS1514" s="60" t="str">
        <f t="shared" si="170"/>
        <v>No</v>
      </c>
    </row>
    <row r="1515" spans="1:45" ht="15">
      <c r="A1515" s="103">
        <v>45244</v>
      </c>
      <c r="B1515" s="28" t="s">
        <v>5898</v>
      </c>
      <c r="C1515" s="28" t="s">
        <v>548</v>
      </c>
      <c r="D1515" s="28" t="s">
        <v>5905</v>
      </c>
      <c r="E1515" s="28" t="s">
        <v>5906</v>
      </c>
      <c r="F1515" s="28" t="s">
        <v>5901</v>
      </c>
      <c r="G1515" s="28" t="s">
        <v>657</v>
      </c>
      <c r="H1515" s="28" t="s">
        <v>5902</v>
      </c>
      <c r="I1515" s="28" t="s">
        <v>516</v>
      </c>
      <c r="J1515" s="28" t="s">
        <v>517</v>
      </c>
      <c r="K1515" s="28" t="s">
        <v>518</v>
      </c>
      <c r="L1515" s="28" t="s">
        <v>1794</v>
      </c>
      <c r="M1515" s="28" t="s">
        <v>605</v>
      </c>
      <c r="N1515" s="28" t="s">
        <v>521</v>
      </c>
      <c r="O1515" s="28" t="s">
        <v>544</v>
      </c>
      <c r="P1515" s="28" t="s">
        <v>427</v>
      </c>
      <c r="Q1515" s="28" t="s">
        <v>522</v>
      </c>
      <c r="S1515" s="28" t="s">
        <v>5903</v>
      </c>
      <c r="T1515" s="28" t="s">
        <v>1796</v>
      </c>
      <c r="U1515" s="28" t="s">
        <v>1796</v>
      </c>
      <c r="V1515" s="28" t="s">
        <v>517</v>
      </c>
      <c r="W1515" s="28" t="s">
        <v>5907</v>
      </c>
      <c r="Z1515" s="118" t="s">
        <v>563</v>
      </c>
      <c r="AA1515" s="118"/>
      <c r="AB1515" s="118" t="s">
        <v>527</v>
      </c>
      <c r="AD1515" s="28" t="s">
        <v>528</v>
      </c>
      <c r="AF1515" s="117" t="s">
        <v>5899</v>
      </c>
      <c r="AG1515" s="28" t="s">
        <v>563</v>
      </c>
      <c r="AK1515" s="60" t="s">
        <v>5515</v>
      </c>
      <c r="AL1515" s="117">
        <f>1/COUNTIF(Tableau6[LAT],B1515)</f>
        <v>0.33333333333333331</v>
      </c>
      <c r="AM1515" s="60" t="b">
        <f t="shared" si="164"/>
        <v>0</v>
      </c>
      <c r="AN1515" s="60" t="b">
        <f t="shared" si="165"/>
        <v>0</v>
      </c>
      <c r="AO1515" s="60" t="b">
        <f t="shared" si="166"/>
        <v>0</v>
      </c>
      <c r="AP1515" s="60" t="b">
        <f t="shared" si="167"/>
        <v>0</v>
      </c>
      <c r="AQ1515" s="60" t="b">
        <f t="shared" si="168"/>
        <v>0</v>
      </c>
      <c r="AR1515" s="60" t="str">
        <f t="shared" si="169"/>
        <v>No</v>
      </c>
      <c r="AS1515" s="60" t="str">
        <f t="shared" si="170"/>
        <v>No</v>
      </c>
    </row>
    <row r="1516" spans="1:45" ht="15">
      <c r="A1516" s="103">
        <v>45244</v>
      </c>
      <c r="B1516" s="28" t="s">
        <v>5898</v>
      </c>
      <c r="C1516" s="28" t="s">
        <v>612</v>
      </c>
      <c r="D1516" s="28" t="s">
        <v>5908</v>
      </c>
      <c r="E1516" s="28" t="s">
        <v>5909</v>
      </c>
      <c r="F1516" s="28" t="s">
        <v>5901</v>
      </c>
      <c r="G1516" s="28" t="s">
        <v>657</v>
      </c>
      <c r="H1516" s="28" t="s">
        <v>5902</v>
      </c>
      <c r="I1516" s="28" t="s">
        <v>516</v>
      </c>
      <c r="J1516" s="28" t="s">
        <v>517</v>
      </c>
      <c r="K1516" s="28" t="s">
        <v>518</v>
      </c>
      <c r="L1516" s="28" t="s">
        <v>1794</v>
      </c>
      <c r="M1516" s="28" t="s">
        <v>605</v>
      </c>
      <c r="N1516" s="28" t="s">
        <v>521</v>
      </c>
      <c r="O1516" s="28" t="s">
        <v>544</v>
      </c>
      <c r="P1516" s="28" t="s">
        <v>427</v>
      </c>
      <c r="Q1516" s="28" t="s">
        <v>522</v>
      </c>
      <c r="S1516" s="28" t="s">
        <v>5903</v>
      </c>
      <c r="T1516" s="28" t="s">
        <v>1796</v>
      </c>
      <c r="U1516" s="28" t="s">
        <v>1796</v>
      </c>
      <c r="V1516" s="28" t="s">
        <v>517</v>
      </c>
      <c r="W1516" s="28" t="s">
        <v>5910</v>
      </c>
      <c r="Z1516" s="118" t="s">
        <v>563</v>
      </c>
      <c r="AA1516" s="118"/>
      <c r="AB1516" s="118" t="s">
        <v>527</v>
      </c>
      <c r="AD1516" s="28" t="s">
        <v>528</v>
      </c>
      <c r="AF1516" s="117" t="s">
        <v>5899</v>
      </c>
      <c r="AG1516" s="28" t="s">
        <v>563</v>
      </c>
      <c r="AK1516" s="60" t="s">
        <v>5515</v>
      </c>
      <c r="AL1516" s="117">
        <f>1/COUNTIF(Tableau6[LAT],B1516)</f>
        <v>0.33333333333333331</v>
      </c>
      <c r="AM1516" s="60" t="b">
        <f t="shared" si="164"/>
        <v>0</v>
      </c>
      <c r="AN1516" s="60" t="b">
        <f t="shared" si="165"/>
        <v>0</v>
      </c>
      <c r="AO1516" s="60" t="b">
        <f t="shared" si="166"/>
        <v>0</v>
      </c>
      <c r="AP1516" s="60" t="b">
        <f t="shared" si="167"/>
        <v>0</v>
      </c>
      <c r="AQ1516" s="60" t="b">
        <f t="shared" si="168"/>
        <v>0</v>
      </c>
      <c r="AR1516" s="60" t="str">
        <f t="shared" si="169"/>
        <v>No</v>
      </c>
      <c r="AS1516" s="60" t="str">
        <f t="shared" si="170"/>
        <v>No</v>
      </c>
    </row>
    <row r="1517" spans="1:45" ht="15">
      <c r="A1517" s="103">
        <v>45244</v>
      </c>
      <c r="B1517" s="28" t="s">
        <v>5911</v>
      </c>
      <c r="C1517" s="28" t="s">
        <v>511</v>
      </c>
      <c r="D1517" s="28" t="s">
        <v>5912</v>
      </c>
      <c r="F1517" s="28" t="s">
        <v>5913</v>
      </c>
      <c r="G1517" s="28" t="s">
        <v>514</v>
      </c>
      <c r="H1517" s="28" t="s">
        <v>828</v>
      </c>
      <c r="I1517" s="28" t="s">
        <v>516</v>
      </c>
      <c r="J1517" s="28" t="s">
        <v>517</v>
      </c>
      <c r="K1517" s="28" t="s">
        <v>518</v>
      </c>
      <c r="L1517" s="28" t="s">
        <v>2100</v>
      </c>
      <c r="M1517" s="28" t="s">
        <v>535</v>
      </c>
      <c r="N1517" s="28" t="s">
        <v>557</v>
      </c>
      <c r="O1517" s="28" t="s">
        <v>544</v>
      </c>
      <c r="S1517" s="28" t="s">
        <v>1226</v>
      </c>
      <c r="T1517" s="28" t="s">
        <v>1918</v>
      </c>
      <c r="U1517" s="28" t="s">
        <v>1918</v>
      </c>
      <c r="V1517" s="28" t="s">
        <v>517</v>
      </c>
      <c r="W1517" s="28" t="s">
        <v>5914</v>
      </c>
      <c r="Z1517" s="118" t="s">
        <v>563</v>
      </c>
      <c r="AA1517" s="118"/>
      <c r="AB1517" s="118" t="s">
        <v>527</v>
      </c>
      <c r="AD1517" s="28" t="s">
        <v>528</v>
      </c>
      <c r="AF1517" s="117" t="s">
        <v>5912</v>
      </c>
      <c r="AG1517" s="28" t="s">
        <v>563</v>
      </c>
      <c r="AK1517" s="60" t="s">
        <v>5515</v>
      </c>
      <c r="AL1517" s="117">
        <f>1/COUNTIF(Tableau6[LAT],B1517)</f>
        <v>0.5</v>
      </c>
      <c r="AM1517" s="60" t="b">
        <f t="shared" si="164"/>
        <v>0</v>
      </c>
      <c r="AN1517" s="60" t="b">
        <f t="shared" si="165"/>
        <v>0</v>
      </c>
      <c r="AO1517" s="60" t="b">
        <f t="shared" si="166"/>
        <v>0</v>
      </c>
      <c r="AP1517" s="60" t="b">
        <f t="shared" si="167"/>
        <v>0</v>
      </c>
      <c r="AQ1517" s="60" t="b">
        <f t="shared" si="168"/>
        <v>0</v>
      </c>
      <c r="AR1517" s="60" t="str">
        <f t="shared" si="169"/>
        <v>No</v>
      </c>
      <c r="AS1517" s="60" t="str">
        <f t="shared" si="170"/>
        <v>No</v>
      </c>
    </row>
    <row r="1518" spans="1:45" ht="15">
      <c r="A1518" s="103">
        <v>45244</v>
      </c>
      <c r="B1518" s="28" t="s">
        <v>5911</v>
      </c>
      <c r="C1518" s="28" t="s">
        <v>548</v>
      </c>
      <c r="D1518" s="28" t="s">
        <v>5915</v>
      </c>
      <c r="F1518" s="28" t="s">
        <v>5913</v>
      </c>
      <c r="G1518" s="28" t="s">
        <v>514</v>
      </c>
      <c r="H1518" s="28" t="s">
        <v>828</v>
      </c>
      <c r="I1518" s="28" t="s">
        <v>516</v>
      </c>
      <c r="J1518" s="28" t="s">
        <v>517</v>
      </c>
      <c r="K1518" s="28" t="s">
        <v>518</v>
      </c>
      <c r="L1518" s="28" t="s">
        <v>2100</v>
      </c>
      <c r="M1518" s="28" t="s">
        <v>535</v>
      </c>
      <c r="N1518" s="28" t="s">
        <v>557</v>
      </c>
      <c r="O1518" s="28" t="s">
        <v>544</v>
      </c>
      <c r="S1518" s="28" t="s">
        <v>1226</v>
      </c>
      <c r="T1518" s="28" t="s">
        <v>1918</v>
      </c>
      <c r="U1518" s="28" t="s">
        <v>1918</v>
      </c>
      <c r="V1518" s="28" t="s">
        <v>517</v>
      </c>
      <c r="W1518" s="28" t="s">
        <v>2355</v>
      </c>
      <c r="Z1518" s="118" t="s">
        <v>563</v>
      </c>
      <c r="AA1518" s="118"/>
      <c r="AB1518" s="118" t="s">
        <v>527</v>
      </c>
      <c r="AD1518" s="28" t="s">
        <v>528</v>
      </c>
      <c r="AF1518" s="117" t="s">
        <v>5912</v>
      </c>
      <c r="AG1518" s="28" t="s">
        <v>563</v>
      </c>
      <c r="AK1518" s="60" t="s">
        <v>5515</v>
      </c>
      <c r="AL1518" s="117">
        <f>1/COUNTIF(Tableau6[LAT],B1518)</f>
        <v>0.5</v>
      </c>
      <c r="AM1518" s="60" t="b">
        <f t="shared" si="164"/>
        <v>0</v>
      </c>
      <c r="AN1518" s="60" t="b">
        <f t="shared" si="165"/>
        <v>0</v>
      </c>
      <c r="AO1518" s="60" t="b">
        <f t="shared" si="166"/>
        <v>0</v>
      </c>
      <c r="AP1518" s="60" t="b">
        <f t="shared" si="167"/>
        <v>0</v>
      </c>
      <c r="AQ1518" s="60" t="b">
        <f t="shared" si="168"/>
        <v>0</v>
      </c>
      <c r="AR1518" s="60" t="str">
        <f t="shared" si="169"/>
        <v>No</v>
      </c>
      <c r="AS1518" s="60" t="str">
        <f t="shared" si="170"/>
        <v>No</v>
      </c>
    </row>
    <row r="1519" spans="1:45" ht="15">
      <c r="A1519" s="103">
        <v>45244</v>
      </c>
      <c r="B1519" s="28" t="s">
        <v>5916</v>
      </c>
      <c r="C1519" s="28" t="s">
        <v>511</v>
      </c>
      <c r="D1519" s="28" t="s">
        <v>5917</v>
      </c>
      <c r="F1519" s="28" t="s">
        <v>5918</v>
      </c>
      <c r="G1519" s="28" t="s">
        <v>514</v>
      </c>
      <c r="H1519" s="28" t="s">
        <v>1335</v>
      </c>
      <c r="I1519" s="28" t="s">
        <v>516</v>
      </c>
      <c r="J1519" s="28" t="s">
        <v>517</v>
      </c>
      <c r="K1519" s="28" t="s">
        <v>518</v>
      </c>
      <c r="L1519" s="28" t="s">
        <v>916</v>
      </c>
      <c r="M1519" s="28" t="s">
        <v>535</v>
      </c>
      <c r="N1519" s="28" t="s">
        <v>557</v>
      </c>
      <c r="O1519" s="28" t="s">
        <v>544</v>
      </c>
      <c r="S1519" s="28" t="s">
        <v>905</v>
      </c>
      <c r="T1519" s="28" t="s">
        <v>917</v>
      </c>
      <c r="U1519" s="28" t="s">
        <v>917</v>
      </c>
      <c r="V1519" s="28" t="s">
        <v>517</v>
      </c>
      <c r="W1519" s="28" t="s">
        <v>614</v>
      </c>
      <c r="Z1519" s="118" t="s">
        <v>563</v>
      </c>
      <c r="AA1519" s="118"/>
      <c r="AB1519" s="118" t="s">
        <v>527</v>
      </c>
      <c r="AD1519" s="28" t="s">
        <v>528</v>
      </c>
      <c r="AF1519" s="117" t="s">
        <v>5917</v>
      </c>
      <c r="AG1519" s="28" t="s">
        <v>563</v>
      </c>
      <c r="AK1519" s="60" t="s">
        <v>5515</v>
      </c>
      <c r="AL1519" s="117">
        <f>1/COUNTIF(Tableau6[LAT],B1519)</f>
        <v>1</v>
      </c>
      <c r="AM1519" s="60" t="b">
        <f t="shared" si="164"/>
        <v>0</v>
      </c>
      <c r="AN1519" s="60" t="b">
        <f t="shared" si="165"/>
        <v>0</v>
      </c>
      <c r="AO1519" s="60" t="b">
        <f t="shared" si="166"/>
        <v>0</v>
      </c>
      <c r="AP1519" s="60" t="b">
        <f t="shared" si="167"/>
        <v>0</v>
      </c>
      <c r="AQ1519" s="60" t="b">
        <f t="shared" si="168"/>
        <v>0</v>
      </c>
      <c r="AR1519" s="60" t="str">
        <f t="shared" si="169"/>
        <v>No</v>
      </c>
      <c r="AS1519" s="60" t="str">
        <f t="shared" si="170"/>
        <v>No</v>
      </c>
    </row>
    <row r="1520" spans="1:45" ht="15">
      <c r="A1520" s="103">
        <v>45244</v>
      </c>
      <c r="B1520" s="28" t="s">
        <v>5919</v>
      </c>
      <c r="C1520" s="28" t="s">
        <v>511</v>
      </c>
      <c r="D1520" s="28" t="s">
        <v>5920</v>
      </c>
      <c r="F1520" s="28" t="s">
        <v>5921</v>
      </c>
      <c r="G1520" s="28" t="s">
        <v>514</v>
      </c>
      <c r="H1520" s="28" t="s">
        <v>1171</v>
      </c>
      <c r="I1520" s="28" t="s">
        <v>516</v>
      </c>
      <c r="J1520" s="28" t="s">
        <v>517</v>
      </c>
      <c r="K1520" s="28" t="s">
        <v>518</v>
      </c>
      <c r="L1520" s="28" t="s">
        <v>588</v>
      </c>
      <c r="M1520" s="28" t="s">
        <v>605</v>
      </c>
      <c r="N1520" s="28" t="s">
        <v>544</v>
      </c>
      <c r="S1520" s="28" t="s">
        <v>589</v>
      </c>
      <c r="T1520" s="28" t="s">
        <v>590</v>
      </c>
      <c r="U1520" s="28" t="s">
        <v>590</v>
      </c>
      <c r="V1520" s="28" t="s">
        <v>517</v>
      </c>
      <c r="W1520" s="28" t="s">
        <v>2195</v>
      </c>
      <c r="Z1520" s="118" t="s">
        <v>563</v>
      </c>
      <c r="AA1520" s="118"/>
      <c r="AB1520" s="118" t="s">
        <v>4506</v>
      </c>
      <c r="AD1520" s="28" t="s">
        <v>528</v>
      </c>
      <c r="AF1520" s="117" t="s">
        <v>5920</v>
      </c>
      <c r="AG1520" s="28" t="s">
        <v>563</v>
      </c>
      <c r="AK1520" s="60" t="s">
        <v>5515</v>
      </c>
      <c r="AL1520" s="117">
        <f>1/COUNTIF(Tableau6[LAT],B1520)</f>
        <v>0.33333333333333331</v>
      </c>
      <c r="AM1520" s="60" t="b">
        <f t="shared" si="164"/>
        <v>0</v>
      </c>
      <c r="AN1520" s="60" t="b">
        <f t="shared" si="165"/>
        <v>0</v>
      </c>
      <c r="AO1520" s="60" t="b">
        <f t="shared" si="166"/>
        <v>0</v>
      </c>
      <c r="AP1520" s="60" t="b">
        <f t="shared" si="167"/>
        <v>0</v>
      </c>
      <c r="AQ1520" s="60" t="b">
        <f t="shared" si="168"/>
        <v>0</v>
      </c>
      <c r="AR1520" s="60" t="str">
        <f t="shared" si="169"/>
        <v>No</v>
      </c>
      <c r="AS1520" s="60" t="str">
        <f t="shared" si="170"/>
        <v>No</v>
      </c>
    </row>
    <row r="1521" spans="1:45" ht="15">
      <c r="A1521" s="103">
        <v>45244</v>
      </c>
      <c r="B1521" s="28" t="s">
        <v>5919</v>
      </c>
      <c r="C1521" s="28" t="s">
        <v>548</v>
      </c>
      <c r="D1521" s="28" t="s">
        <v>5922</v>
      </c>
      <c r="F1521" s="28" t="s">
        <v>5921</v>
      </c>
      <c r="G1521" s="28" t="s">
        <v>514</v>
      </c>
      <c r="H1521" s="28" t="s">
        <v>1171</v>
      </c>
      <c r="I1521" s="28" t="s">
        <v>516</v>
      </c>
      <c r="J1521" s="28" t="s">
        <v>517</v>
      </c>
      <c r="K1521" s="28" t="s">
        <v>518</v>
      </c>
      <c r="L1521" s="28" t="s">
        <v>588</v>
      </c>
      <c r="M1521" s="28" t="s">
        <v>605</v>
      </c>
      <c r="N1521" s="28" t="s">
        <v>544</v>
      </c>
      <c r="S1521" s="28" t="s">
        <v>589</v>
      </c>
      <c r="T1521" s="28" t="s">
        <v>590</v>
      </c>
      <c r="U1521" s="28" t="s">
        <v>590</v>
      </c>
      <c r="V1521" s="28" t="s">
        <v>517</v>
      </c>
      <c r="W1521" s="28" t="s">
        <v>5923</v>
      </c>
      <c r="Z1521" s="118" t="s">
        <v>563</v>
      </c>
      <c r="AA1521" s="118"/>
      <c r="AB1521" s="118" t="s">
        <v>4506</v>
      </c>
      <c r="AD1521" s="28" t="s">
        <v>528</v>
      </c>
      <c r="AF1521" s="117" t="s">
        <v>5920</v>
      </c>
      <c r="AG1521" s="28" t="s">
        <v>563</v>
      </c>
      <c r="AK1521" s="60" t="s">
        <v>5515</v>
      </c>
      <c r="AL1521" s="117">
        <f>1/COUNTIF(Tableau6[LAT],B1521)</f>
        <v>0.33333333333333331</v>
      </c>
      <c r="AM1521" s="60" t="b">
        <f t="shared" si="164"/>
        <v>0</v>
      </c>
      <c r="AN1521" s="60" t="b">
        <f t="shared" si="165"/>
        <v>0</v>
      </c>
      <c r="AO1521" s="60" t="b">
        <f t="shared" si="166"/>
        <v>0</v>
      </c>
      <c r="AP1521" s="60" t="b">
        <f t="shared" si="167"/>
        <v>0</v>
      </c>
      <c r="AQ1521" s="60" t="b">
        <f t="shared" si="168"/>
        <v>0</v>
      </c>
      <c r="AR1521" s="60" t="str">
        <f t="shared" si="169"/>
        <v>No</v>
      </c>
      <c r="AS1521" s="60" t="str">
        <f t="shared" si="170"/>
        <v>No</v>
      </c>
    </row>
    <row r="1522" spans="1:45" ht="15">
      <c r="A1522" s="103">
        <v>45244</v>
      </c>
      <c r="B1522" s="28" t="s">
        <v>5919</v>
      </c>
      <c r="C1522" s="28" t="s">
        <v>612</v>
      </c>
      <c r="D1522" s="28" t="s">
        <v>5924</v>
      </c>
      <c r="F1522" s="28" t="s">
        <v>5921</v>
      </c>
      <c r="G1522" s="28" t="s">
        <v>514</v>
      </c>
      <c r="H1522" s="28" t="s">
        <v>1171</v>
      </c>
      <c r="I1522" s="28" t="s">
        <v>516</v>
      </c>
      <c r="J1522" s="28" t="s">
        <v>517</v>
      </c>
      <c r="K1522" s="28" t="s">
        <v>518</v>
      </c>
      <c r="L1522" s="28" t="s">
        <v>588</v>
      </c>
      <c r="M1522" s="28" t="s">
        <v>605</v>
      </c>
      <c r="N1522" s="28" t="s">
        <v>544</v>
      </c>
      <c r="S1522" s="28" t="s">
        <v>589</v>
      </c>
      <c r="T1522" s="28" t="s">
        <v>590</v>
      </c>
      <c r="U1522" s="28" t="s">
        <v>590</v>
      </c>
      <c r="V1522" s="28" t="s">
        <v>517</v>
      </c>
      <c r="W1522" s="28" t="s">
        <v>5925</v>
      </c>
      <c r="Z1522" s="118" t="s">
        <v>563</v>
      </c>
      <c r="AA1522" s="118"/>
      <c r="AB1522" s="118" t="s">
        <v>4506</v>
      </c>
      <c r="AD1522" s="28" t="s">
        <v>528</v>
      </c>
      <c r="AF1522" s="117" t="s">
        <v>5920</v>
      </c>
      <c r="AG1522" s="28" t="s">
        <v>563</v>
      </c>
      <c r="AK1522" s="60" t="s">
        <v>5515</v>
      </c>
      <c r="AL1522" s="117">
        <f>1/COUNTIF(Tableau6[LAT],B1522)</f>
        <v>0.33333333333333331</v>
      </c>
      <c r="AM1522" s="60" t="b">
        <f t="shared" ref="AM1522:AM1585" si="171">IF(N1522="ALM","Yes",IF(N1522="ALI","Yes",IF(N1522="CAO","Yes",IF(N1522="ICE","Yes",IF(N1522="MAG","Yes",IF(N1522="MAG","Yes",IF(N1522="RBI","Yes",IF(N1522="RBM","Yes",IF(N1522="RCL","Yes",IF(N1522="RCM","Yes",IF(N1522="RCX","Yes",IF(N1522="RDS","Yes",IF(N1522="REQ","Yes",IF(N1522="REX","Yes",IF(N1522="RFG","Yes",IF(N1522="RFL","Yes",IF(N1522="RFS","Yes",IF(N1522="RFW","Yes",IF(N1522="RGX","Yes",IF(N1522="RIS",IF(N1522="RLI","Yes",IF(N1522="RLM","Yes",IF(N1522="RMD","Yes",IF(N1522="RNG","Yes",IF(N1522="ROP","Yes",IF(N1522="ROX","Yes",IF(N1522="RPB","Yes",IF(N1522="RPG","Yes",IF(N1522="RRE","Yes",IF(N1522="RRW","Yes",IF(N1522="RRY","Yes",IF(N1522="RSB","Yes",IF(N1522="RSC","Yes",IF(N1522="RXB","Yes",IF(N1522="RXC","Yes",IF(N1522="RXD","Yes",IF(N1522="RXE","Yes",IF(N1522="RXG","Yes",IF(N1522="RXS","Yes",)))))))))))))))))))))))))))))))))))))))</f>
        <v>0</v>
      </c>
      <c r="AN1522" s="60" t="b">
        <f t="shared" ref="AN1522:AN1585" si="172">IF(O1522="ALM","Yes",IF(O1522="ALI","Yes",IF(O1522="CAO","Yes",IF(O1522="ICE","Yes",IF(O1522="MAG","Yes",IF(O1522="MAG","Yes",IF(O1522="RBI","Yes",IF(O1522="RBM","Yes",IF(O1522="RCL","Yes",IF(O1522="RCM","Yes",IF(O1522="RCX","Yes",IF(O1522="RDS","Yes",IF(O1522="REQ","Yes",IF(O1522="REX","Yes",IF(O1522="RFG","Yes",IF(O1522="RFL","Yes",IF(O1522="RFS","Yes",IF(O1522="RFW","Yes",IF(O1522="RGX","Yes",IF(O1522="RIS",IF(O1522="RLI","Yes",IF(O1522="RLM","Yes",IF(O1522="RMD","Yes",IF(O1522="RNG","Yes",IF(O1522="ROP","Yes",IF(O1522="ROX","Yes",IF(O1522="RPB","Yes",IF(O1522="RPG","Yes",IF(O1522="RRE","Yes",IF(O1522="RRW","Yes",IF(O1522="RRY","Yes",IF(O1522="RSB","Yes",IF(O1522="RSC","Yes",IF(O1522="RXB","Yes",IF(O1522="RXC","Yes",IF(O1522="RXD","Yes",IF(O1522="RXE","Yes",IF(O1522="RXG","Yes",IF(O1522="RXS","Yes",)))))))))))))))))))))))))))))))))))))))</f>
        <v>0</v>
      </c>
      <c r="AO1522" s="60" t="b">
        <f t="shared" ref="AO1522:AO1585" si="173">IF(P1522="ALM","Yes",IF(P1522="ALI","Yes",IF(P1522="CAO","Yes",IF(P1522="ICE","Yes",IF(P1522="MAG","Yes",IF(P1522="MAG","Yes",IF(P1522="RBI","Yes",IF(P1522="RBM","Yes",IF(P1522="RCL","Yes",IF(P1522="RCM","Yes",IF(P1522="RCX","Yes",IF(P1522="RDS","Yes",IF(P1522="REQ","Yes",IF(P1522="REX","Yes",IF(P1522="RFG","Yes",IF(P1522="RFL","Yes",IF(P1522="RFS","Yes",IF(P1522="RFW","Yes",IF(P1522="RGX","Yes",IF(P1522="RIS",IF(P1522="RLI","Yes",IF(P1522="RLM","Yes",IF(P1522="RMD","Yes",IF(P1522="RNG","Yes",IF(P1522="ROP","Yes",IF(P1522="ROX","Yes",IF(P1522="RPB","Yes",IF(P1522="RPG","Yes",IF(P1522="RRE","Yes",IF(P1522="RRW","Yes",IF(P1522="RRY","Yes",IF(P1522="RSB","Yes",IF(P1522="RSC","Yes",IF(P1522="RXB","Yes",IF(P1522="RXC","Yes",IF(P1522="RXD","Yes",IF(P1522="RXE","Yes",IF(P1522="RXG","Yes",IF(P1522="RXS","Yes",)))))))))))))))))))))))))))))))))))))))</f>
        <v>0</v>
      </c>
      <c r="AP1522" s="60" t="b">
        <f t="shared" ref="AP1522:AP1585" si="174">IF(Q1522="ALM","Yes",IF(Q1522="ALI","Yes",IF(Q1522="CAO","Yes",IF(Q1522="ICE","Yes",IF(Q1522="MAG","Yes",IF(Q1522="MAG","Yes",IF(Q1522="RBI","Yes",IF(Q1522="RBM","Yes",IF(Q1522="RCL","Yes",IF(Q1522="RCM","Yes",IF(Q1522="RCX","Yes",IF(Q1522="RDS","Yes",IF(Q1522="REQ","Yes",IF(Q1522="REX","Yes",IF(Q1522="RFG","Yes",IF(Q1522="RFL","Yes",IF(Q1522="RFS","Yes",IF(Q1522="RFW","Yes",IF(Q1522="RGX","Yes",IF(Q1522="RIS",IF(Q1522="RLI","Yes",IF(Q1522="RLM","Yes",IF(Q1522="RMD","Yes",IF(Q1522="RNG","Yes",IF(Q1522="ROP","Yes",IF(Q1522="ROX","Yes",IF(Q1522="RPB","Yes",IF(Q1522="RPG","Yes",IF(Q1522="RRE","Yes",IF(Q1522="RRW","Yes",IF(Q1522="RRY","Yes",IF(Q1522="RSB","Yes",IF(Q1522="RSC","Yes",IF(Q1522="RXB","Yes",IF(Q1522="RXC","Yes",IF(Q1522="RXD","Yes",IF(Q1522="RXE","Yes",IF(Q1522="RXG","Yes",IF(Q1522="RXS","Yes",)))))))))))))))))))))))))))))))))))))))</f>
        <v>0</v>
      </c>
      <c r="AQ1522" s="60" t="b">
        <f t="shared" ref="AQ1522:AQ1585" si="175">IF(R1522="ALM","Yes",IF(R1522="ALI","Yes",IF(R1522="CAO","Yes",IF(R1522="ICE","Yes",IF(R1522="MAG","Yes",IF(R1522="MAG","Yes",IF(R1522="RBI","Yes",IF(R1522="RBM","Yes",IF(R1522="RCL","Yes",IF(R1522="RCM","Yes",IF(R1522="RCX","Yes",IF(R1522="RDS","Yes",IF(R1522="REQ","Yes",IF(R1522="REX","Yes",IF(R1522="RFG","Yes",IF(R1522="RFL","Yes",IF(R1522="RFS","Yes",IF(R1522="RFW","Yes",IF(R1522="RGX","Yes",IF(R1522="RIS",IF(R1522="RLI","Yes",IF(R1522="RLM","Yes",IF(R1522="RMD","Yes",IF(R1522="RNG","Yes",IF(R1522="ROP","Yes",IF(R1522="ROX","Yes",IF(R1522="RPB","Yes",IF(R1522="RPG","Yes",IF(R1522="RRE","Yes",IF(R1522="RRW","Yes",IF(R1522="RRY","Yes",IF(R1522="RSB","Yes",IF(R1522="RSC","Yes",IF(R1522="RXB","Yes",IF(R1522="RXC","Yes",IF(R1522="RXD","Yes",IF(R1522="RXE","Yes",IF(R1522="RXG","Yes",IF(R1522="RXS","Yes",)))))))))))))))))))))))))))))))))))))))</f>
        <v>0</v>
      </c>
      <c r="AR1522" s="60" t="str">
        <f t="shared" ref="AR1522:AR1585" si="176">IF(AM1522="Yes","Yes",IF(AN1522="Yes","Yes",IF(AO1522="yes","Yes",IF(AP1522="Yes","Yes","No"))))</f>
        <v>No</v>
      </c>
      <c r="AS1522" s="60" t="str">
        <f t="shared" ref="AS1522:AS1585" si="177">IF(S1522="QFA","Yes",IF(S1522="LCJ","Yes",IF(S1522="CAJ","Yes",IF(S1522="WRO","Yes",IF(S1522="BEY","Yes",IF(S1522="TUN","Yes",IF(S1522="LFW","Yes",IF(S1522="DLA","Yes",IF(S1522="NSI","Yes",IF(S1522="OUA","Yes",IF(S1522="IAH","Yes",IF(S1522="LYS","Yes",IF(S1522="DSS","Yes",IF(S1522="BKO","Yes",IF(S1522="BZV","Yes",IF(S1522="COO","Yes",IF(S1522="EZE","Yes",IF(S1522="CKY","Yes",IF(S1522="PTP","Yes",IF(S1522="ORD","Yes",IF(S1522="CFE","Yes",IF(S1522="NKC","Yes",IF(S1522="FDF","Yes",IF(S1522="SDQ","Yes",IF(S1522="PNR","Yes",IF(S1522="ICAY","Yes",IF(S1522="DTW","Yes",IF(S1522="TNR","Yes",IF(S1522="RUN","Yes",IF(S1522="NIM","Yes","No"))))))))))))))))))))))))))))))</f>
        <v>No</v>
      </c>
    </row>
    <row r="1523" spans="1:45" ht="15">
      <c r="A1523" s="103">
        <v>45244</v>
      </c>
      <c r="B1523" s="28" t="s">
        <v>5926</v>
      </c>
      <c r="C1523" s="28" t="s">
        <v>861</v>
      </c>
      <c r="D1523" s="28" t="s">
        <v>5927</v>
      </c>
      <c r="F1523" s="28" t="s">
        <v>827</v>
      </c>
      <c r="G1523" s="28" t="s">
        <v>958</v>
      </c>
      <c r="H1523" s="28" t="s">
        <v>1008</v>
      </c>
      <c r="I1523" s="28" t="s">
        <v>516</v>
      </c>
      <c r="J1523" s="28" t="s">
        <v>517</v>
      </c>
      <c r="K1523" s="28" t="s">
        <v>518</v>
      </c>
      <c r="L1523" s="28" t="s">
        <v>5279</v>
      </c>
      <c r="M1523" s="28" t="s">
        <v>535</v>
      </c>
      <c r="N1523" s="28" t="s">
        <v>1124</v>
      </c>
      <c r="O1523" s="28" t="s">
        <v>934</v>
      </c>
      <c r="S1523" s="28" t="s">
        <v>718</v>
      </c>
      <c r="T1523" s="28" t="s">
        <v>5280</v>
      </c>
      <c r="U1523" s="28" t="s">
        <v>5280</v>
      </c>
      <c r="V1523" s="28" t="s">
        <v>517</v>
      </c>
      <c r="W1523" s="28" t="s">
        <v>3686</v>
      </c>
      <c r="Z1523" s="118" t="s">
        <v>563</v>
      </c>
      <c r="AA1523" s="118"/>
      <c r="AB1523" s="118" t="s">
        <v>4506</v>
      </c>
      <c r="AD1523" s="28" t="s">
        <v>954</v>
      </c>
      <c r="AF1523" s="117" t="s">
        <v>5928</v>
      </c>
      <c r="AG1523" s="28" t="s">
        <v>563</v>
      </c>
      <c r="AK1523" s="60" t="s">
        <v>5515</v>
      </c>
      <c r="AL1523" s="117">
        <f>1/COUNTIF(Tableau6[LAT],B1523)</f>
        <v>0.25</v>
      </c>
      <c r="AM1523" s="60" t="b">
        <f t="shared" si="171"/>
        <v>0</v>
      </c>
      <c r="AN1523" s="60" t="b">
        <f t="shared" si="172"/>
        <v>0</v>
      </c>
      <c r="AO1523" s="60" t="b">
        <f t="shared" si="173"/>
        <v>0</v>
      </c>
      <c r="AP1523" s="60" t="b">
        <f t="shared" si="174"/>
        <v>0</v>
      </c>
      <c r="AQ1523" s="60" t="b">
        <f t="shared" si="175"/>
        <v>0</v>
      </c>
      <c r="AR1523" s="60" t="str">
        <f t="shared" si="176"/>
        <v>No</v>
      </c>
      <c r="AS1523" s="60" t="str">
        <f t="shared" si="177"/>
        <v>No</v>
      </c>
    </row>
    <row r="1524" spans="1:45" ht="15">
      <c r="A1524" s="103">
        <v>45244</v>
      </c>
      <c r="B1524" s="28" t="s">
        <v>5926</v>
      </c>
      <c r="D1524" s="28" t="s">
        <v>5929</v>
      </c>
      <c r="F1524" s="28" t="s">
        <v>3889</v>
      </c>
      <c r="G1524" s="28" t="s">
        <v>514</v>
      </c>
      <c r="H1524" s="28" t="s">
        <v>2614</v>
      </c>
      <c r="I1524" s="28" t="s">
        <v>516</v>
      </c>
      <c r="J1524" s="28" t="s">
        <v>517</v>
      </c>
      <c r="K1524" s="28" t="s">
        <v>518</v>
      </c>
      <c r="L1524" s="28" t="s">
        <v>5279</v>
      </c>
      <c r="M1524" s="28" t="s">
        <v>535</v>
      </c>
      <c r="N1524" s="28" t="s">
        <v>4006</v>
      </c>
      <c r="O1524" s="28" t="s">
        <v>521</v>
      </c>
      <c r="S1524" s="28" t="s">
        <v>718</v>
      </c>
      <c r="T1524" s="28" t="s">
        <v>5280</v>
      </c>
      <c r="U1524" s="28" t="s">
        <v>5280</v>
      </c>
      <c r="V1524" s="28" t="s">
        <v>517</v>
      </c>
      <c r="W1524" s="28" t="s">
        <v>3686</v>
      </c>
      <c r="Z1524" s="118" t="s">
        <v>563</v>
      </c>
      <c r="AA1524" s="118"/>
      <c r="AB1524" s="118" t="s">
        <v>4506</v>
      </c>
      <c r="AD1524" s="28" t="s">
        <v>954</v>
      </c>
      <c r="AF1524" s="117" t="s">
        <v>5930</v>
      </c>
      <c r="AG1524" s="28" t="s">
        <v>563</v>
      </c>
      <c r="AK1524" s="60" t="s">
        <v>5515</v>
      </c>
      <c r="AL1524" s="117">
        <f>1/COUNTIF(Tableau6[LAT],B1524)</f>
        <v>0.25</v>
      </c>
      <c r="AM1524" s="60" t="str">
        <f t="shared" si="171"/>
        <v>Yes</v>
      </c>
      <c r="AN1524" s="60" t="b">
        <f t="shared" si="172"/>
        <v>0</v>
      </c>
      <c r="AO1524" s="60" t="b">
        <f t="shared" si="173"/>
        <v>0</v>
      </c>
      <c r="AP1524" s="60" t="b">
        <f t="shared" si="174"/>
        <v>0</v>
      </c>
      <c r="AQ1524" s="60" t="b">
        <f t="shared" si="175"/>
        <v>0</v>
      </c>
      <c r="AR1524" s="60" t="str">
        <f t="shared" si="176"/>
        <v>Yes</v>
      </c>
      <c r="AS1524" s="60" t="str">
        <f t="shared" si="177"/>
        <v>No</v>
      </c>
    </row>
    <row r="1525" spans="1:45" ht="15">
      <c r="A1525" s="103">
        <v>45244</v>
      </c>
      <c r="B1525" s="28" t="s">
        <v>5926</v>
      </c>
      <c r="C1525" s="28" t="s">
        <v>864</v>
      </c>
      <c r="D1525" s="28" t="s">
        <v>5931</v>
      </c>
      <c r="F1525" s="28" t="s">
        <v>927</v>
      </c>
      <c r="G1525" s="28" t="s">
        <v>514</v>
      </c>
      <c r="H1525" s="28" t="s">
        <v>658</v>
      </c>
      <c r="I1525" s="28" t="s">
        <v>516</v>
      </c>
      <c r="J1525" s="28" t="s">
        <v>517</v>
      </c>
      <c r="K1525" s="28" t="s">
        <v>518</v>
      </c>
      <c r="L1525" s="28" t="s">
        <v>5279</v>
      </c>
      <c r="M1525" s="28" t="s">
        <v>535</v>
      </c>
      <c r="N1525" s="28" t="s">
        <v>521</v>
      </c>
      <c r="O1525" s="28" t="s">
        <v>934</v>
      </c>
      <c r="P1525" s="28" t="s">
        <v>544</v>
      </c>
      <c r="S1525" s="28" t="s">
        <v>718</v>
      </c>
      <c r="T1525" s="28" t="s">
        <v>5280</v>
      </c>
      <c r="U1525" s="28" t="s">
        <v>5280</v>
      </c>
      <c r="V1525" s="28" t="s">
        <v>517</v>
      </c>
      <c r="W1525" s="28" t="s">
        <v>3686</v>
      </c>
      <c r="Z1525" s="118" t="s">
        <v>563</v>
      </c>
      <c r="AA1525" s="118"/>
      <c r="AB1525" s="118" t="s">
        <v>4506</v>
      </c>
      <c r="AF1525" s="117"/>
      <c r="AK1525" s="60" t="s">
        <v>5515</v>
      </c>
      <c r="AL1525" s="117">
        <f>1/COUNTIF(Tableau6[LAT],B1525)</f>
        <v>0.25</v>
      </c>
      <c r="AM1525" s="60" t="b">
        <f t="shared" si="171"/>
        <v>0</v>
      </c>
      <c r="AN1525" s="60" t="b">
        <f t="shared" si="172"/>
        <v>0</v>
      </c>
      <c r="AO1525" s="60" t="b">
        <f t="shared" si="173"/>
        <v>0</v>
      </c>
      <c r="AP1525" s="60" t="b">
        <f t="shared" si="174"/>
        <v>0</v>
      </c>
      <c r="AQ1525" s="60" t="b">
        <f t="shared" si="175"/>
        <v>0</v>
      </c>
      <c r="AR1525" s="60" t="str">
        <f t="shared" si="176"/>
        <v>No</v>
      </c>
      <c r="AS1525" s="60" t="str">
        <f t="shared" si="177"/>
        <v>No</v>
      </c>
    </row>
    <row r="1526" spans="1:45" ht="15">
      <c r="A1526" s="103">
        <v>45244</v>
      </c>
      <c r="B1526" s="28" t="s">
        <v>5932</v>
      </c>
      <c r="C1526" s="28" t="s">
        <v>511</v>
      </c>
      <c r="D1526" s="28" t="s">
        <v>5933</v>
      </c>
      <c r="F1526" s="28" t="s">
        <v>3329</v>
      </c>
      <c r="G1526" s="28" t="s">
        <v>514</v>
      </c>
      <c r="H1526" s="28" t="s">
        <v>2832</v>
      </c>
      <c r="I1526" s="28" t="s">
        <v>517</v>
      </c>
      <c r="J1526" s="28" t="s">
        <v>517</v>
      </c>
      <c r="K1526" s="28" t="s">
        <v>518</v>
      </c>
      <c r="L1526" s="28" t="s">
        <v>5545</v>
      </c>
      <c r="M1526" s="28" t="s">
        <v>535</v>
      </c>
      <c r="N1526" s="28" t="s">
        <v>1140</v>
      </c>
      <c r="O1526" s="28" t="s">
        <v>557</v>
      </c>
      <c r="P1526" s="28" t="s">
        <v>1523</v>
      </c>
      <c r="S1526" s="28" t="s">
        <v>573</v>
      </c>
      <c r="T1526" s="28" t="s">
        <v>1318</v>
      </c>
      <c r="U1526" s="28" t="s">
        <v>1318</v>
      </c>
      <c r="V1526" s="28" t="s">
        <v>517</v>
      </c>
      <c r="W1526" s="28" t="s">
        <v>3181</v>
      </c>
      <c r="Z1526" s="118" t="s">
        <v>563</v>
      </c>
      <c r="AA1526" s="118"/>
      <c r="AB1526" s="118" t="s">
        <v>4506</v>
      </c>
      <c r="AD1526" s="28" t="s">
        <v>954</v>
      </c>
      <c r="AF1526" s="117" t="s">
        <v>5933</v>
      </c>
      <c r="AG1526" s="28" t="s">
        <v>563</v>
      </c>
      <c r="AK1526" s="60" t="s">
        <v>5515</v>
      </c>
      <c r="AL1526" s="117">
        <f>1/COUNTIF(Tableau6[LAT],B1526)</f>
        <v>1</v>
      </c>
      <c r="AM1526" s="60" t="b">
        <f t="shared" si="171"/>
        <v>0</v>
      </c>
      <c r="AN1526" s="60" t="b">
        <f t="shared" si="172"/>
        <v>0</v>
      </c>
      <c r="AO1526" s="60" t="b">
        <f t="shared" si="173"/>
        <v>0</v>
      </c>
      <c r="AP1526" s="60" t="b">
        <f t="shared" si="174"/>
        <v>0</v>
      </c>
      <c r="AQ1526" s="60" t="b">
        <f t="shared" si="175"/>
        <v>0</v>
      </c>
      <c r="AR1526" s="60" t="str">
        <f t="shared" si="176"/>
        <v>No</v>
      </c>
      <c r="AS1526" s="60" t="str">
        <f t="shared" si="177"/>
        <v>No</v>
      </c>
    </row>
    <row r="1527" spans="1:45" ht="15">
      <c r="A1527" s="103">
        <v>45244</v>
      </c>
      <c r="B1527" s="28" t="s">
        <v>5934</v>
      </c>
      <c r="C1527" s="28" t="s">
        <v>511</v>
      </c>
      <c r="D1527" s="28" t="s">
        <v>5935</v>
      </c>
      <c r="E1527" s="28" t="s">
        <v>5785</v>
      </c>
      <c r="F1527" s="28" t="s">
        <v>847</v>
      </c>
      <c r="G1527" s="28" t="s">
        <v>514</v>
      </c>
      <c r="H1527" s="28" t="s">
        <v>3290</v>
      </c>
      <c r="I1527" s="28" t="s">
        <v>516</v>
      </c>
      <c r="J1527" s="28" t="s">
        <v>517</v>
      </c>
      <c r="K1527" s="28" t="s">
        <v>682</v>
      </c>
      <c r="L1527" s="28" t="s">
        <v>5680</v>
      </c>
      <c r="M1527" s="28" t="s">
        <v>535</v>
      </c>
      <c r="N1527" s="28" t="s">
        <v>557</v>
      </c>
      <c r="O1527" s="28" t="s">
        <v>544</v>
      </c>
      <c r="P1527" s="28" t="s">
        <v>522</v>
      </c>
      <c r="S1527" s="28" t="s">
        <v>732</v>
      </c>
      <c r="T1527" s="28" t="s">
        <v>1918</v>
      </c>
      <c r="U1527" s="28" t="s">
        <v>1918</v>
      </c>
      <c r="V1527" s="28" t="s">
        <v>517</v>
      </c>
      <c r="W1527" s="28" t="s">
        <v>5787</v>
      </c>
      <c r="Z1527" s="118" t="s">
        <v>563</v>
      </c>
      <c r="AA1527" s="118"/>
      <c r="AB1527" s="118" t="s">
        <v>527</v>
      </c>
      <c r="AD1527" s="28" t="s">
        <v>528</v>
      </c>
      <c r="AF1527" s="117" t="s">
        <v>5935</v>
      </c>
      <c r="AG1527" s="28" t="s">
        <v>563</v>
      </c>
      <c r="AK1527" s="60" t="s">
        <v>5515</v>
      </c>
      <c r="AL1527" s="117">
        <f>1/COUNTIF(Tableau6[LAT],B1527)</f>
        <v>0.5</v>
      </c>
      <c r="AM1527" s="60" t="b">
        <f t="shared" si="171"/>
        <v>0</v>
      </c>
      <c r="AN1527" s="60" t="b">
        <f t="shared" si="172"/>
        <v>0</v>
      </c>
      <c r="AO1527" s="60" t="b">
        <f t="shared" si="173"/>
        <v>0</v>
      </c>
      <c r="AP1527" s="60" t="b">
        <f t="shared" si="174"/>
        <v>0</v>
      </c>
      <c r="AQ1527" s="60" t="b">
        <f t="shared" si="175"/>
        <v>0</v>
      </c>
      <c r="AR1527" s="60" t="str">
        <f t="shared" si="176"/>
        <v>No</v>
      </c>
      <c r="AS1527" s="60" t="str">
        <f t="shared" si="177"/>
        <v>No</v>
      </c>
    </row>
    <row r="1528" spans="1:45" ht="15">
      <c r="A1528" s="103">
        <v>45244</v>
      </c>
      <c r="B1528" s="28" t="s">
        <v>5934</v>
      </c>
      <c r="C1528" s="28" t="s">
        <v>548</v>
      </c>
      <c r="D1528" s="28" t="s">
        <v>5936</v>
      </c>
      <c r="E1528" s="28" t="s">
        <v>5785</v>
      </c>
      <c r="F1528" s="28" t="s">
        <v>847</v>
      </c>
      <c r="G1528" s="28" t="s">
        <v>514</v>
      </c>
      <c r="H1528" s="28" t="s">
        <v>785</v>
      </c>
      <c r="I1528" s="28" t="s">
        <v>516</v>
      </c>
      <c r="J1528" s="28" t="s">
        <v>517</v>
      </c>
      <c r="K1528" s="28" t="s">
        <v>682</v>
      </c>
      <c r="L1528" s="28" t="s">
        <v>5680</v>
      </c>
      <c r="M1528" s="28" t="s">
        <v>535</v>
      </c>
      <c r="N1528" s="28" t="s">
        <v>557</v>
      </c>
      <c r="O1528" s="28" t="s">
        <v>544</v>
      </c>
      <c r="P1528" s="28" t="s">
        <v>522</v>
      </c>
      <c r="S1528" s="28" t="s">
        <v>732</v>
      </c>
      <c r="T1528" s="28" t="s">
        <v>1918</v>
      </c>
      <c r="U1528" s="28" t="s">
        <v>1918</v>
      </c>
      <c r="V1528" s="28" t="s">
        <v>517</v>
      </c>
      <c r="W1528" s="28" t="s">
        <v>5787</v>
      </c>
      <c r="Z1528" s="118" t="s">
        <v>563</v>
      </c>
      <c r="AA1528" s="118"/>
      <c r="AB1528" s="118" t="s">
        <v>527</v>
      </c>
      <c r="AD1528" s="28" t="s">
        <v>528</v>
      </c>
      <c r="AF1528" s="117" t="s">
        <v>5935</v>
      </c>
      <c r="AG1528" s="28" t="s">
        <v>563</v>
      </c>
      <c r="AK1528" s="60" t="s">
        <v>5515</v>
      </c>
      <c r="AL1528" s="117">
        <f>1/COUNTIF(Tableau6[LAT],B1528)</f>
        <v>0.5</v>
      </c>
      <c r="AM1528" s="60" t="b">
        <f t="shared" si="171"/>
        <v>0</v>
      </c>
      <c r="AN1528" s="60" t="b">
        <f t="shared" si="172"/>
        <v>0</v>
      </c>
      <c r="AO1528" s="60" t="b">
        <f t="shared" si="173"/>
        <v>0</v>
      </c>
      <c r="AP1528" s="60" t="b">
        <f t="shared" si="174"/>
        <v>0</v>
      </c>
      <c r="AQ1528" s="60" t="b">
        <f t="shared" si="175"/>
        <v>0</v>
      </c>
      <c r="AR1528" s="60" t="str">
        <f t="shared" si="176"/>
        <v>No</v>
      </c>
      <c r="AS1528" s="60" t="str">
        <f t="shared" si="177"/>
        <v>No</v>
      </c>
    </row>
    <row r="1529" spans="1:45" ht="15">
      <c r="A1529" s="103">
        <v>45244</v>
      </c>
      <c r="B1529" s="28" t="s">
        <v>5937</v>
      </c>
      <c r="C1529" s="28" t="s">
        <v>548</v>
      </c>
      <c r="D1529" s="28" t="s">
        <v>5938</v>
      </c>
      <c r="E1529" s="28" t="s">
        <v>5939</v>
      </c>
      <c r="F1529" s="28" t="s">
        <v>5940</v>
      </c>
      <c r="G1529" s="28" t="s">
        <v>514</v>
      </c>
      <c r="H1529" s="28" t="s">
        <v>5941</v>
      </c>
      <c r="I1529" s="28" t="s">
        <v>516</v>
      </c>
      <c r="J1529" s="28" t="s">
        <v>517</v>
      </c>
      <c r="K1529" s="28" t="s">
        <v>518</v>
      </c>
      <c r="L1529" s="28" t="s">
        <v>1794</v>
      </c>
      <c r="M1529" s="28" t="s">
        <v>605</v>
      </c>
      <c r="N1529" s="28" t="s">
        <v>1430</v>
      </c>
      <c r="O1529" s="28" t="s">
        <v>544</v>
      </c>
      <c r="P1529" s="28" t="s">
        <v>522</v>
      </c>
      <c r="S1529" s="28" t="s">
        <v>740</v>
      </c>
      <c r="T1529" s="28" t="s">
        <v>1796</v>
      </c>
      <c r="U1529" s="28" t="s">
        <v>1796</v>
      </c>
      <c r="V1529" s="28" t="s">
        <v>517</v>
      </c>
      <c r="W1529" s="28" t="s">
        <v>5942</v>
      </c>
      <c r="Z1529" s="118" t="s">
        <v>563</v>
      </c>
      <c r="AA1529" s="118"/>
      <c r="AB1529" s="118" t="s">
        <v>527</v>
      </c>
      <c r="AD1529" s="28" t="s">
        <v>528</v>
      </c>
      <c r="AF1529" s="117" t="s">
        <v>5943</v>
      </c>
      <c r="AG1529" s="28" t="s">
        <v>563</v>
      </c>
      <c r="AK1529" s="60" t="s">
        <v>5515</v>
      </c>
      <c r="AL1529" s="117">
        <f>1/COUNTIF(Tableau6[LAT],B1529)</f>
        <v>0.5</v>
      </c>
      <c r="AM1529" s="60" t="b">
        <f t="shared" si="171"/>
        <v>0</v>
      </c>
      <c r="AN1529" s="60" t="b">
        <f t="shared" si="172"/>
        <v>0</v>
      </c>
      <c r="AO1529" s="60" t="b">
        <f t="shared" si="173"/>
        <v>0</v>
      </c>
      <c r="AP1529" s="60" t="b">
        <f t="shared" si="174"/>
        <v>0</v>
      </c>
      <c r="AQ1529" s="60" t="b">
        <f t="shared" si="175"/>
        <v>0</v>
      </c>
      <c r="AR1529" s="60" t="str">
        <f t="shared" si="176"/>
        <v>No</v>
      </c>
      <c r="AS1529" s="60" t="str">
        <f t="shared" si="177"/>
        <v>No</v>
      </c>
    </row>
    <row r="1530" spans="1:45" ht="15">
      <c r="A1530" s="103">
        <v>45244</v>
      </c>
      <c r="B1530" s="28" t="s">
        <v>5937</v>
      </c>
      <c r="D1530" s="28" t="s">
        <v>5944</v>
      </c>
      <c r="E1530" s="28" t="s">
        <v>5945</v>
      </c>
      <c r="F1530" s="28" t="s">
        <v>5940</v>
      </c>
      <c r="G1530" s="28" t="s">
        <v>514</v>
      </c>
      <c r="H1530" s="28" t="s">
        <v>5941</v>
      </c>
      <c r="I1530" s="28" t="s">
        <v>516</v>
      </c>
      <c r="J1530" s="28" t="s">
        <v>517</v>
      </c>
      <c r="K1530" s="28" t="s">
        <v>518</v>
      </c>
      <c r="L1530" s="28" t="s">
        <v>1794</v>
      </c>
      <c r="M1530" s="28" t="s">
        <v>605</v>
      </c>
      <c r="N1530" s="28" t="s">
        <v>1430</v>
      </c>
      <c r="O1530" s="28" t="s">
        <v>544</v>
      </c>
      <c r="P1530" s="28" t="s">
        <v>522</v>
      </c>
      <c r="S1530" s="28" t="s">
        <v>740</v>
      </c>
      <c r="T1530" s="28" t="s">
        <v>1796</v>
      </c>
      <c r="U1530" s="28" t="s">
        <v>1796</v>
      </c>
      <c r="V1530" s="28" t="s">
        <v>517</v>
      </c>
      <c r="W1530" s="28" t="s">
        <v>5946</v>
      </c>
      <c r="Z1530" s="118" t="s">
        <v>563</v>
      </c>
      <c r="AA1530" s="118"/>
      <c r="AB1530" s="118" t="s">
        <v>527</v>
      </c>
      <c r="AD1530" s="28" t="s">
        <v>528</v>
      </c>
      <c r="AF1530" s="117" t="s">
        <v>5943</v>
      </c>
      <c r="AG1530" s="28" t="s">
        <v>563</v>
      </c>
      <c r="AK1530" s="60" t="s">
        <v>5515</v>
      </c>
      <c r="AL1530" s="117">
        <f>1/COUNTIF(Tableau6[LAT],B1530)</f>
        <v>0.5</v>
      </c>
      <c r="AM1530" s="60" t="b">
        <f t="shared" si="171"/>
        <v>0</v>
      </c>
      <c r="AN1530" s="60" t="b">
        <f t="shared" si="172"/>
        <v>0</v>
      </c>
      <c r="AO1530" s="60" t="b">
        <f t="shared" si="173"/>
        <v>0</v>
      </c>
      <c r="AP1530" s="60" t="b">
        <f t="shared" si="174"/>
        <v>0</v>
      </c>
      <c r="AQ1530" s="60" t="b">
        <f t="shared" si="175"/>
        <v>0</v>
      </c>
      <c r="AR1530" s="60" t="str">
        <f t="shared" si="176"/>
        <v>No</v>
      </c>
      <c r="AS1530" s="60" t="str">
        <f t="shared" si="177"/>
        <v>No</v>
      </c>
    </row>
    <row r="1531" spans="1:45" ht="15">
      <c r="A1531" s="103">
        <v>45244</v>
      </c>
      <c r="B1531" s="28" t="s">
        <v>5947</v>
      </c>
      <c r="C1531" s="28" t="s">
        <v>511</v>
      </c>
      <c r="D1531" s="28" t="s">
        <v>5948</v>
      </c>
      <c r="E1531" s="28" t="s">
        <v>5785</v>
      </c>
      <c r="F1531" s="28" t="s">
        <v>5949</v>
      </c>
      <c r="G1531" s="28" t="s">
        <v>514</v>
      </c>
      <c r="H1531" s="28" t="s">
        <v>5950</v>
      </c>
      <c r="I1531" s="28" t="s">
        <v>516</v>
      </c>
      <c r="J1531" s="28" t="s">
        <v>517</v>
      </c>
      <c r="K1531" s="28" t="s">
        <v>682</v>
      </c>
      <c r="L1531" s="28" t="s">
        <v>5680</v>
      </c>
      <c r="M1531" s="28" t="s">
        <v>535</v>
      </c>
      <c r="S1531" s="28" t="s">
        <v>3958</v>
      </c>
      <c r="T1531" s="28" t="s">
        <v>1918</v>
      </c>
      <c r="U1531" s="28" t="s">
        <v>1918</v>
      </c>
      <c r="V1531" s="28" t="s">
        <v>517</v>
      </c>
      <c r="W1531" s="28" t="s">
        <v>5787</v>
      </c>
      <c r="Z1531" s="118" t="s">
        <v>563</v>
      </c>
      <c r="AA1531" s="118"/>
      <c r="AB1531" s="118" t="s">
        <v>527</v>
      </c>
      <c r="AD1531" s="28" t="s">
        <v>954</v>
      </c>
      <c r="AF1531" s="117" t="s">
        <v>5948</v>
      </c>
      <c r="AG1531" s="28" t="s">
        <v>563</v>
      </c>
      <c r="AK1531" s="60" t="s">
        <v>5515</v>
      </c>
      <c r="AL1531" s="117">
        <f>1/COUNTIF(Tableau6[LAT],B1531)</f>
        <v>0.25</v>
      </c>
      <c r="AM1531" s="60" t="b">
        <f t="shared" si="171"/>
        <v>0</v>
      </c>
      <c r="AN1531" s="60" t="b">
        <f t="shared" si="172"/>
        <v>0</v>
      </c>
      <c r="AO1531" s="60" t="b">
        <f t="shared" si="173"/>
        <v>0</v>
      </c>
      <c r="AP1531" s="60" t="b">
        <f t="shared" si="174"/>
        <v>0</v>
      </c>
      <c r="AQ1531" s="60" t="b">
        <f t="shared" si="175"/>
        <v>0</v>
      </c>
      <c r="AR1531" s="60" t="str">
        <f t="shared" si="176"/>
        <v>No</v>
      </c>
      <c r="AS1531" s="60" t="str">
        <f t="shared" si="177"/>
        <v>No</v>
      </c>
    </row>
    <row r="1532" spans="1:45" ht="15">
      <c r="A1532" s="103">
        <v>45244</v>
      </c>
      <c r="B1532" s="28" t="s">
        <v>5947</v>
      </c>
      <c r="C1532" s="28" t="s">
        <v>548</v>
      </c>
      <c r="D1532" s="28" t="s">
        <v>5951</v>
      </c>
      <c r="E1532" s="28" t="s">
        <v>5785</v>
      </c>
      <c r="F1532" s="28" t="s">
        <v>5949</v>
      </c>
      <c r="G1532" s="28" t="s">
        <v>514</v>
      </c>
      <c r="H1532" s="28" t="s">
        <v>5950</v>
      </c>
      <c r="I1532" s="28" t="s">
        <v>516</v>
      </c>
      <c r="J1532" s="28" t="s">
        <v>517</v>
      </c>
      <c r="K1532" s="28" t="s">
        <v>682</v>
      </c>
      <c r="L1532" s="28" t="s">
        <v>5680</v>
      </c>
      <c r="M1532" s="28" t="s">
        <v>535</v>
      </c>
      <c r="S1532" s="28" t="s">
        <v>3958</v>
      </c>
      <c r="T1532" s="28" t="s">
        <v>1918</v>
      </c>
      <c r="U1532" s="28" t="s">
        <v>1918</v>
      </c>
      <c r="V1532" s="28" t="s">
        <v>517</v>
      </c>
      <c r="W1532" s="28" t="s">
        <v>5787</v>
      </c>
      <c r="Z1532" s="118" t="s">
        <v>563</v>
      </c>
      <c r="AA1532" s="118"/>
      <c r="AB1532" s="118" t="s">
        <v>527</v>
      </c>
      <c r="AD1532" s="28" t="s">
        <v>954</v>
      </c>
      <c r="AF1532" s="117" t="s">
        <v>5951</v>
      </c>
      <c r="AG1532" s="28" t="s">
        <v>563</v>
      </c>
      <c r="AK1532" s="60" t="s">
        <v>5515</v>
      </c>
      <c r="AL1532" s="117">
        <f>1/COUNTIF(Tableau6[LAT],B1532)</f>
        <v>0.25</v>
      </c>
      <c r="AM1532" s="60" t="b">
        <f t="shared" si="171"/>
        <v>0</v>
      </c>
      <c r="AN1532" s="60" t="b">
        <f t="shared" si="172"/>
        <v>0</v>
      </c>
      <c r="AO1532" s="60" t="b">
        <f t="shared" si="173"/>
        <v>0</v>
      </c>
      <c r="AP1532" s="60" t="b">
        <f t="shared" si="174"/>
        <v>0</v>
      </c>
      <c r="AQ1532" s="60" t="b">
        <f t="shared" si="175"/>
        <v>0</v>
      </c>
      <c r="AR1532" s="60" t="str">
        <f t="shared" si="176"/>
        <v>No</v>
      </c>
      <c r="AS1532" s="60" t="str">
        <f t="shared" si="177"/>
        <v>No</v>
      </c>
    </row>
    <row r="1533" spans="1:45" ht="15">
      <c r="A1533" s="103">
        <v>45244</v>
      </c>
      <c r="B1533" s="28" t="s">
        <v>5947</v>
      </c>
      <c r="C1533" s="28" t="s">
        <v>612</v>
      </c>
      <c r="D1533" s="28" t="s">
        <v>5952</v>
      </c>
      <c r="E1533" s="28" t="s">
        <v>5831</v>
      </c>
      <c r="F1533" s="28" t="s">
        <v>5953</v>
      </c>
      <c r="G1533" s="28" t="s">
        <v>724</v>
      </c>
      <c r="H1533" s="28" t="s">
        <v>3941</v>
      </c>
      <c r="I1533" s="28" t="s">
        <v>516</v>
      </c>
      <c r="J1533" s="28" t="s">
        <v>517</v>
      </c>
      <c r="K1533" s="28" t="s">
        <v>682</v>
      </c>
      <c r="L1533" s="28" t="s">
        <v>5680</v>
      </c>
      <c r="M1533" s="28" t="s">
        <v>535</v>
      </c>
      <c r="S1533" s="28" t="s">
        <v>3958</v>
      </c>
      <c r="T1533" s="28" t="s">
        <v>1918</v>
      </c>
      <c r="U1533" s="28" t="s">
        <v>1918</v>
      </c>
      <c r="V1533" s="28" t="s">
        <v>517</v>
      </c>
      <c r="W1533" s="28" t="s">
        <v>5832</v>
      </c>
      <c r="Z1533" s="118" t="s">
        <v>563</v>
      </c>
      <c r="AA1533" s="118"/>
      <c r="AB1533" s="118" t="s">
        <v>527</v>
      </c>
      <c r="AD1533" s="28" t="s">
        <v>954</v>
      </c>
      <c r="AF1533" s="117" t="s">
        <v>5952</v>
      </c>
      <c r="AG1533" s="28" t="s">
        <v>563</v>
      </c>
      <c r="AK1533" s="60" t="s">
        <v>5515</v>
      </c>
      <c r="AL1533" s="117">
        <f>1/COUNTIF(Tableau6[LAT],B1533)</f>
        <v>0.25</v>
      </c>
      <c r="AM1533" s="60" t="b">
        <f t="shared" si="171"/>
        <v>0</v>
      </c>
      <c r="AN1533" s="60" t="b">
        <f t="shared" si="172"/>
        <v>0</v>
      </c>
      <c r="AO1533" s="60" t="b">
        <f t="shared" si="173"/>
        <v>0</v>
      </c>
      <c r="AP1533" s="60" t="b">
        <f t="shared" si="174"/>
        <v>0</v>
      </c>
      <c r="AQ1533" s="60" t="b">
        <f t="shared" si="175"/>
        <v>0</v>
      </c>
      <c r="AR1533" s="60" t="str">
        <f t="shared" si="176"/>
        <v>No</v>
      </c>
      <c r="AS1533" s="60" t="str">
        <f t="shared" si="177"/>
        <v>No</v>
      </c>
    </row>
    <row r="1534" spans="1:45" ht="15">
      <c r="A1534" s="103">
        <v>45244</v>
      </c>
      <c r="B1534" s="28" t="s">
        <v>5947</v>
      </c>
      <c r="C1534" s="28" t="s">
        <v>691</v>
      </c>
      <c r="D1534" s="28" t="s">
        <v>5954</v>
      </c>
      <c r="E1534" s="28" t="s">
        <v>5831</v>
      </c>
      <c r="F1534" s="28" t="s">
        <v>5955</v>
      </c>
      <c r="G1534" s="28" t="s">
        <v>2895</v>
      </c>
      <c r="H1534" s="28" t="s">
        <v>1291</v>
      </c>
      <c r="I1534" s="28" t="s">
        <v>516</v>
      </c>
      <c r="J1534" s="28" t="s">
        <v>517</v>
      </c>
      <c r="K1534" s="28" t="s">
        <v>682</v>
      </c>
      <c r="L1534" s="28" t="s">
        <v>5680</v>
      </c>
      <c r="M1534" s="28" t="s">
        <v>535</v>
      </c>
      <c r="S1534" s="28" t="s">
        <v>3958</v>
      </c>
      <c r="T1534" s="28" t="s">
        <v>1918</v>
      </c>
      <c r="U1534" s="28" t="s">
        <v>1918</v>
      </c>
      <c r="V1534" s="28" t="s">
        <v>517</v>
      </c>
      <c r="W1534" s="28" t="s">
        <v>5832</v>
      </c>
      <c r="Z1534" s="118" t="s">
        <v>563</v>
      </c>
      <c r="AA1534" s="118"/>
      <c r="AB1534" s="118" t="s">
        <v>527</v>
      </c>
      <c r="AD1534" s="28" t="s">
        <v>954</v>
      </c>
      <c r="AF1534" s="117" t="s">
        <v>5954</v>
      </c>
      <c r="AG1534" s="28" t="s">
        <v>563</v>
      </c>
      <c r="AK1534" s="60" t="s">
        <v>5515</v>
      </c>
      <c r="AL1534" s="117">
        <f>1/COUNTIF(Tableau6[LAT],B1534)</f>
        <v>0.25</v>
      </c>
      <c r="AM1534" s="60" t="b">
        <f t="shared" si="171"/>
        <v>0</v>
      </c>
      <c r="AN1534" s="60" t="b">
        <f t="shared" si="172"/>
        <v>0</v>
      </c>
      <c r="AO1534" s="60" t="b">
        <f t="shared" si="173"/>
        <v>0</v>
      </c>
      <c r="AP1534" s="60" t="b">
        <f t="shared" si="174"/>
        <v>0</v>
      </c>
      <c r="AQ1534" s="60" t="b">
        <f t="shared" si="175"/>
        <v>0</v>
      </c>
      <c r="AR1534" s="60" t="str">
        <f t="shared" si="176"/>
        <v>No</v>
      </c>
      <c r="AS1534" s="60" t="str">
        <f t="shared" si="177"/>
        <v>No</v>
      </c>
    </row>
    <row r="1535" spans="1:45" ht="15">
      <c r="A1535" s="103">
        <v>45244</v>
      </c>
      <c r="B1535" s="28" t="s">
        <v>5956</v>
      </c>
      <c r="C1535" s="28" t="s">
        <v>511</v>
      </c>
      <c r="D1535" s="28" t="s">
        <v>5957</v>
      </c>
      <c r="E1535" s="28" t="s">
        <v>5958</v>
      </c>
      <c r="F1535" s="28" t="s">
        <v>5959</v>
      </c>
      <c r="G1535" s="28" t="s">
        <v>514</v>
      </c>
      <c r="H1535" s="28" t="s">
        <v>5960</v>
      </c>
      <c r="I1535" s="28" t="s">
        <v>517</v>
      </c>
      <c r="J1535" s="28" t="s">
        <v>517</v>
      </c>
      <c r="K1535" s="28" t="s">
        <v>518</v>
      </c>
      <c r="L1535" s="28" t="s">
        <v>1548</v>
      </c>
      <c r="M1535" s="28" t="s">
        <v>535</v>
      </c>
      <c r="N1535" s="28" t="s">
        <v>934</v>
      </c>
      <c r="S1535" s="28" t="s">
        <v>573</v>
      </c>
      <c r="T1535" s="28" t="s">
        <v>1549</v>
      </c>
      <c r="U1535" s="28" t="s">
        <v>1549</v>
      </c>
      <c r="V1535" s="28" t="s">
        <v>517</v>
      </c>
      <c r="W1535" s="28" t="s">
        <v>3332</v>
      </c>
      <c r="Z1535" s="118" t="s">
        <v>563</v>
      </c>
      <c r="AA1535" s="118"/>
      <c r="AB1535" s="118" t="s">
        <v>4506</v>
      </c>
      <c r="AD1535" s="28" t="s">
        <v>954</v>
      </c>
      <c r="AF1535" s="117"/>
      <c r="AG1535" s="28" t="s">
        <v>563</v>
      </c>
      <c r="AK1535" s="60" t="s">
        <v>5515</v>
      </c>
      <c r="AL1535" s="117">
        <f>1/COUNTIF(Tableau6[LAT],B1535)</f>
        <v>1</v>
      </c>
      <c r="AM1535" s="60" t="b">
        <f t="shared" si="171"/>
        <v>0</v>
      </c>
      <c r="AN1535" s="60" t="b">
        <f t="shared" si="172"/>
        <v>0</v>
      </c>
      <c r="AO1535" s="60" t="b">
        <f t="shared" si="173"/>
        <v>0</v>
      </c>
      <c r="AP1535" s="60" t="b">
        <f t="shared" si="174"/>
        <v>0</v>
      </c>
      <c r="AQ1535" s="60" t="b">
        <f t="shared" si="175"/>
        <v>0</v>
      </c>
      <c r="AR1535" s="60" t="str">
        <f t="shared" si="176"/>
        <v>No</v>
      </c>
      <c r="AS1535" s="60" t="str">
        <f t="shared" si="177"/>
        <v>No</v>
      </c>
    </row>
    <row r="1536" spans="1:45" ht="15">
      <c r="A1536" s="103">
        <v>45244</v>
      </c>
      <c r="B1536" s="28" t="s">
        <v>5961</v>
      </c>
      <c r="C1536" s="28" t="s">
        <v>859</v>
      </c>
      <c r="D1536" s="28" t="s">
        <v>5962</v>
      </c>
      <c r="E1536" s="28" t="s">
        <v>5831</v>
      </c>
      <c r="F1536" s="28" t="s">
        <v>1688</v>
      </c>
      <c r="G1536" s="28" t="s">
        <v>514</v>
      </c>
      <c r="H1536" s="28" t="s">
        <v>711</v>
      </c>
      <c r="I1536" s="28" t="s">
        <v>516</v>
      </c>
      <c r="J1536" s="28" t="s">
        <v>517</v>
      </c>
      <c r="K1536" s="28" t="s">
        <v>682</v>
      </c>
      <c r="L1536" s="28" t="s">
        <v>5680</v>
      </c>
      <c r="M1536" s="28" t="s">
        <v>535</v>
      </c>
      <c r="N1536" s="28" t="s">
        <v>557</v>
      </c>
      <c r="O1536" s="28" t="s">
        <v>1572</v>
      </c>
      <c r="S1536" s="28" t="s">
        <v>4051</v>
      </c>
      <c r="T1536" s="28" t="s">
        <v>1918</v>
      </c>
      <c r="U1536" s="28" t="s">
        <v>1918</v>
      </c>
      <c r="V1536" s="28" t="s">
        <v>517</v>
      </c>
      <c r="W1536" s="28" t="s">
        <v>5832</v>
      </c>
      <c r="Z1536" s="118" t="s">
        <v>563</v>
      </c>
      <c r="AA1536" s="118"/>
      <c r="AB1536" s="118" t="s">
        <v>527</v>
      </c>
      <c r="AD1536" s="28" t="s">
        <v>528</v>
      </c>
      <c r="AF1536" s="117" t="s">
        <v>5963</v>
      </c>
      <c r="AG1536" s="28" t="s">
        <v>563</v>
      </c>
      <c r="AK1536" s="60" t="s">
        <v>5515</v>
      </c>
      <c r="AL1536" s="117">
        <f>1/COUNTIF(Tableau6[LAT],B1536)</f>
        <v>0.33333333333333331</v>
      </c>
      <c r="AM1536" s="60" t="b">
        <f t="shared" si="171"/>
        <v>0</v>
      </c>
      <c r="AN1536" s="60" t="b">
        <f t="shared" si="172"/>
        <v>0</v>
      </c>
      <c r="AO1536" s="60" t="b">
        <f t="shared" si="173"/>
        <v>0</v>
      </c>
      <c r="AP1536" s="60" t="b">
        <f t="shared" si="174"/>
        <v>0</v>
      </c>
      <c r="AQ1536" s="60" t="b">
        <f t="shared" si="175"/>
        <v>0</v>
      </c>
      <c r="AR1536" s="60" t="str">
        <f t="shared" si="176"/>
        <v>No</v>
      </c>
      <c r="AS1536" s="60" t="str">
        <f t="shared" si="177"/>
        <v>No</v>
      </c>
    </row>
    <row r="1537" spans="1:45" ht="15">
      <c r="A1537" s="103">
        <v>45244</v>
      </c>
      <c r="B1537" s="28" t="s">
        <v>5961</v>
      </c>
      <c r="C1537" s="28" t="s">
        <v>861</v>
      </c>
      <c r="D1537" s="28" t="s">
        <v>5964</v>
      </c>
      <c r="E1537" s="28" t="s">
        <v>5831</v>
      </c>
      <c r="F1537" s="28" t="s">
        <v>1688</v>
      </c>
      <c r="G1537" s="28" t="s">
        <v>514</v>
      </c>
      <c r="H1537" s="28" t="s">
        <v>711</v>
      </c>
      <c r="I1537" s="28" t="s">
        <v>516</v>
      </c>
      <c r="J1537" s="28" t="s">
        <v>517</v>
      </c>
      <c r="K1537" s="28" t="s">
        <v>682</v>
      </c>
      <c r="L1537" s="28" t="s">
        <v>5680</v>
      </c>
      <c r="M1537" s="28" t="s">
        <v>535</v>
      </c>
      <c r="N1537" s="28" t="s">
        <v>557</v>
      </c>
      <c r="O1537" s="28" t="s">
        <v>1572</v>
      </c>
      <c r="S1537" s="28" t="s">
        <v>4051</v>
      </c>
      <c r="T1537" s="28" t="s">
        <v>1918</v>
      </c>
      <c r="U1537" s="28" t="s">
        <v>1918</v>
      </c>
      <c r="V1537" s="28" t="s">
        <v>517</v>
      </c>
      <c r="W1537" s="28" t="s">
        <v>5832</v>
      </c>
      <c r="Z1537" s="118" t="s">
        <v>563</v>
      </c>
      <c r="AA1537" s="118"/>
      <c r="AB1537" s="118" t="s">
        <v>527</v>
      </c>
      <c r="AD1537" s="28" t="s">
        <v>528</v>
      </c>
      <c r="AF1537" s="117" t="s">
        <v>5963</v>
      </c>
      <c r="AG1537" s="28" t="s">
        <v>563</v>
      </c>
      <c r="AK1537" s="60" t="s">
        <v>5515</v>
      </c>
      <c r="AL1537" s="117">
        <f>1/COUNTIF(Tableau6[LAT],B1537)</f>
        <v>0.33333333333333331</v>
      </c>
      <c r="AM1537" s="60" t="b">
        <f t="shared" si="171"/>
        <v>0</v>
      </c>
      <c r="AN1537" s="60" t="b">
        <f t="shared" si="172"/>
        <v>0</v>
      </c>
      <c r="AO1537" s="60" t="b">
        <f t="shared" si="173"/>
        <v>0</v>
      </c>
      <c r="AP1537" s="60" t="b">
        <f t="shared" si="174"/>
        <v>0</v>
      </c>
      <c r="AQ1537" s="60" t="b">
        <f t="shared" si="175"/>
        <v>0</v>
      </c>
      <c r="AR1537" s="60" t="str">
        <f t="shared" si="176"/>
        <v>No</v>
      </c>
      <c r="AS1537" s="60" t="str">
        <f t="shared" si="177"/>
        <v>No</v>
      </c>
    </row>
    <row r="1538" spans="1:45" ht="15">
      <c r="A1538" s="103">
        <v>45244</v>
      </c>
      <c r="B1538" s="28" t="s">
        <v>5961</v>
      </c>
      <c r="D1538" s="28" t="s">
        <v>5965</v>
      </c>
      <c r="E1538" s="28" t="s">
        <v>5831</v>
      </c>
      <c r="F1538" s="28" t="s">
        <v>1688</v>
      </c>
      <c r="G1538" s="28" t="s">
        <v>514</v>
      </c>
      <c r="H1538" s="28" t="s">
        <v>711</v>
      </c>
      <c r="I1538" s="28" t="s">
        <v>516</v>
      </c>
      <c r="J1538" s="28" t="s">
        <v>517</v>
      </c>
      <c r="K1538" s="28" t="s">
        <v>682</v>
      </c>
      <c r="L1538" s="28" t="s">
        <v>5680</v>
      </c>
      <c r="M1538" s="28" t="s">
        <v>535</v>
      </c>
      <c r="N1538" s="28" t="s">
        <v>557</v>
      </c>
      <c r="O1538" s="28" t="s">
        <v>1572</v>
      </c>
      <c r="S1538" s="28" t="s">
        <v>4051</v>
      </c>
      <c r="T1538" s="28" t="s">
        <v>1918</v>
      </c>
      <c r="U1538" s="28" t="s">
        <v>1918</v>
      </c>
      <c r="V1538" s="28" t="s">
        <v>517</v>
      </c>
      <c r="W1538" s="28" t="s">
        <v>5832</v>
      </c>
      <c r="Z1538" s="118" t="s">
        <v>563</v>
      </c>
      <c r="AA1538" s="118"/>
      <c r="AB1538" s="118" t="s">
        <v>527</v>
      </c>
      <c r="AD1538" s="28" t="s">
        <v>528</v>
      </c>
      <c r="AF1538" s="117" t="s">
        <v>5963</v>
      </c>
      <c r="AG1538" s="28" t="s">
        <v>563</v>
      </c>
      <c r="AK1538" s="60" t="s">
        <v>5515</v>
      </c>
      <c r="AL1538" s="117">
        <f>1/COUNTIF(Tableau6[LAT],B1538)</f>
        <v>0.33333333333333331</v>
      </c>
      <c r="AM1538" s="60" t="b">
        <f t="shared" si="171"/>
        <v>0</v>
      </c>
      <c r="AN1538" s="60" t="b">
        <f t="shared" si="172"/>
        <v>0</v>
      </c>
      <c r="AO1538" s="60" t="b">
        <f t="shared" si="173"/>
        <v>0</v>
      </c>
      <c r="AP1538" s="60" t="b">
        <f t="shared" si="174"/>
        <v>0</v>
      </c>
      <c r="AQ1538" s="60" t="b">
        <f t="shared" si="175"/>
        <v>0</v>
      </c>
      <c r="AR1538" s="60" t="str">
        <f t="shared" si="176"/>
        <v>No</v>
      </c>
      <c r="AS1538" s="60" t="str">
        <f t="shared" si="177"/>
        <v>No</v>
      </c>
    </row>
    <row r="1539" spans="1:45" ht="15">
      <c r="A1539" s="103">
        <v>45244</v>
      </c>
      <c r="B1539" s="28" t="s">
        <v>5966</v>
      </c>
      <c r="C1539" s="28" t="s">
        <v>511</v>
      </c>
      <c r="D1539" s="28" t="s">
        <v>5967</v>
      </c>
      <c r="E1539" s="28" t="s">
        <v>5968</v>
      </c>
      <c r="F1539" s="28" t="s">
        <v>5969</v>
      </c>
      <c r="G1539" s="28" t="s">
        <v>657</v>
      </c>
      <c r="H1539" s="28" t="s">
        <v>555</v>
      </c>
      <c r="I1539" s="28" t="s">
        <v>516</v>
      </c>
      <c r="J1539" s="28" t="s">
        <v>517</v>
      </c>
      <c r="K1539" s="28" t="s">
        <v>518</v>
      </c>
      <c r="L1539" s="28" t="s">
        <v>604</v>
      </c>
      <c r="M1539" s="28" t="s">
        <v>520</v>
      </c>
      <c r="N1539" s="28" t="s">
        <v>619</v>
      </c>
      <c r="O1539" s="28" t="s">
        <v>572</v>
      </c>
      <c r="P1539" s="28" t="s">
        <v>557</v>
      </c>
      <c r="Q1539" s="28" t="s">
        <v>544</v>
      </c>
      <c r="R1539" s="28" t="s">
        <v>427</v>
      </c>
      <c r="S1539" s="28" t="s">
        <v>1934</v>
      </c>
      <c r="T1539" s="28" t="s">
        <v>607</v>
      </c>
      <c r="U1539" s="28" t="s">
        <v>607</v>
      </c>
      <c r="V1539" s="28" t="s">
        <v>517</v>
      </c>
      <c r="W1539" s="28" t="s">
        <v>5970</v>
      </c>
      <c r="Z1539" s="118" t="s">
        <v>563</v>
      </c>
      <c r="AA1539" s="118"/>
      <c r="AB1539" s="118" t="s">
        <v>527</v>
      </c>
      <c r="AD1539" s="28" t="s">
        <v>528</v>
      </c>
      <c r="AF1539" s="117" t="s">
        <v>5967</v>
      </c>
      <c r="AG1539" s="28" t="s">
        <v>563</v>
      </c>
      <c r="AK1539" s="60" t="s">
        <v>5515</v>
      </c>
      <c r="AL1539" s="117">
        <f>1/COUNTIF(Tableau6[LAT],B1539)</f>
        <v>0.5</v>
      </c>
      <c r="AM1539" s="60" t="b">
        <f t="shared" si="171"/>
        <v>0</v>
      </c>
      <c r="AN1539" s="60" t="b">
        <f t="shared" si="172"/>
        <v>0</v>
      </c>
      <c r="AO1539" s="60" t="b">
        <f t="shared" si="173"/>
        <v>0</v>
      </c>
      <c r="AP1539" s="60" t="b">
        <f t="shared" si="174"/>
        <v>0</v>
      </c>
      <c r="AQ1539" s="60" t="b">
        <f t="shared" si="175"/>
        <v>0</v>
      </c>
      <c r="AR1539" s="60" t="str">
        <f t="shared" si="176"/>
        <v>No</v>
      </c>
      <c r="AS1539" s="60" t="str">
        <f t="shared" si="177"/>
        <v>No</v>
      </c>
    </row>
    <row r="1540" spans="1:45" ht="15">
      <c r="A1540" s="103">
        <v>45244</v>
      </c>
      <c r="B1540" s="28" t="s">
        <v>5966</v>
      </c>
      <c r="C1540" s="28" t="s">
        <v>548</v>
      </c>
      <c r="D1540" s="28" t="s">
        <v>5971</v>
      </c>
      <c r="E1540" s="28" t="s">
        <v>5972</v>
      </c>
      <c r="F1540" s="28" t="s">
        <v>5973</v>
      </c>
      <c r="G1540" s="28" t="s">
        <v>657</v>
      </c>
      <c r="H1540" s="28" t="s">
        <v>555</v>
      </c>
      <c r="I1540" s="28" t="s">
        <v>516</v>
      </c>
      <c r="J1540" s="28" t="s">
        <v>517</v>
      </c>
      <c r="K1540" s="28" t="s">
        <v>518</v>
      </c>
      <c r="L1540" s="28" t="s">
        <v>604</v>
      </c>
      <c r="M1540" s="28" t="s">
        <v>520</v>
      </c>
      <c r="N1540" s="28" t="s">
        <v>619</v>
      </c>
      <c r="O1540" s="28" t="s">
        <v>572</v>
      </c>
      <c r="P1540" s="28" t="s">
        <v>557</v>
      </c>
      <c r="Q1540" s="28" t="s">
        <v>544</v>
      </c>
      <c r="R1540" s="28" t="s">
        <v>427</v>
      </c>
      <c r="S1540" s="28" t="s">
        <v>1934</v>
      </c>
      <c r="T1540" s="28" t="s">
        <v>607</v>
      </c>
      <c r="U1540" s="28" t="s">
        <v>607</v>
      </c>
      <c r="V1540" s="28" t="s">
        <v>517</v>
      </c>
      <c r="W1540" s="28" t="s">
        <v>5974</v>
      </c>
      <c r="Z1540" s="118" t="s">
        <v>563</v>
      </c>
      <c r="AA1540" s="118"/>
      <c r="AB1540" s="118" t="s">
        <v>527</v>
      </c>
      <c r="AF1540" s="117"/>
      <c r="AK1540" s="60" t="s">
        <v>5515</v>
      </c>
      <c r="AL1540" s="117">
        <f>1/COUNTIF(Tableau6[LAT],B1540)</f>
        <v>0.5</v>
      </c>
      <c r="AM1540" s="60" t="b">
        <f t="shared" si="171"/>
        <v>0</v>
      </c>
      <c r="AN1540" s="60" t="b">
        <f t="shared" si="172"/>
        <v>0</v>
      </c>
      <c r="AO1540" s="60" t="b">
        <f t="shared" si="173"/>
        <v>0</v>
      </c>
      <c r="AP1540" s="60" t="b">
        <f t="shared" si="174"/>
        <v>0</v>
      </c>
      <c r="AQ1540" s="60" t="b">
        <f t="shared" si="175"/>
        <v>0</v>
      </c>
      <c r="AR1540" s="60" t="str">
        <f t="shared" si="176"/>
        <v>No</v>
      </c>
      <c r="AS1540" s="60" t="str">
        <f t="shared" si="177"/>
        <v>No</v>
      </c>
    </row>
    <row r="1541" spans="1:45" ht="15">
      <c r="A1541" s="103">
        <v>45244</v>
      </c>
      <c r="B1541" s="28" t="s">
        <v>5975</v>
      </c>
      <c r="C1541" s="28" t="s">
        <v>511</v>
      </c>
      <c r="D1541" s="28" t="s">
        <v>5976</v>
      </c>
      <c r="E1541" s="28" t="s">
        <v>5977</v>
      </c>
      <c r="F1541" s="28" t="s">
        <v>5978</v>
      </c>
      <c r="G1541" s="28" t="s">
        <v>979</v>
      </c>
      <c r="H1541" s="28" t="s">
        <v>5979</v>
      </c>
      <c r="I1541" s="28" t="s">
        <v>516</v>
      </c>
      <c r="J1541" s="28" t="s">
        <v>517</v>
      </c>
      <c r="K1541" s="28" t="s">
        <v>518</v>
      </c>
      <c r="L1541" s="28" t="s">
        <v>1769</v>
      </c>
      <c r="M1541" s="28" t="s">
        <v>605</v>
      </c>
      <c r="N1541" s="28" t="s">
        <v>557</v>
      </c>
      <c r="O1541" s="28" t="s">
        <v>934</v>
      </c>
      <c r="P1541" s="28" t="s">
        <v>427</v>
      </c>
      <c r="S1541" s="28" t="s">
        <v>732</v>
      </c>
      <c r="T1541" s="28" t="s">
        <v>733</v>
      </c>
      <c r="U1541" s="28" t="s">
        <v>733</v>
      </c>
      <c r="V1541" s="28" t="s">
        <v>517</v>
      </c>
      <c r="W1541" s="28" t="s">
        <v>5980</v>
      </c>
      <c r="Z1541" s="118" t="s">
        <v>563</v>
      </c>
      <c r="AA1541" s="118"/>
      <c r="AB1541" s="118" t="s">
        <v>527</v>
      </c>
      <c r="AD1541" s="28" t="s">
        <v>528</v>
      </c>
      <c r="AF1541" s="117" t="s">
        <v>5976</v>
      </c>
      <c r="AG1541" s="28" t="s">
        <v>563</v>
      </c>
      <c r="AK1541" s="60" t="s">
        <v>5515</v>
      </c>
      <c r="AL1541" s="117">
        <f>1/COUNTIF(Tableau6[LAT],B1541)</f>
        <v>1</v>
      </c>
      <c r="AM1541" s="60" t="b">
        <f t="shared" si="171"/>
        <v>0</v>
      </c>
      <c r="AN1541" s="60" t="b">
        <f t="shared" si="172"/>
        <v>0</v>
      </c>
      <c r="AO1541" s="60" t="b">
        <f t="shared" si="173"/>
        <v>0</v>
      </c>
      <c r="AP1541" s="60" t="b">
        <f t="shared" si="174"/>
        <v>0</v>
      </c>
      <c r="AQ1541" s="60" t="b">
        <f t="shared" si="175"/>
        <v>0</v>
      </c>
      <c r="AR1541" s="60" t="str">
        <f t="shared" si="176"/>
        <v>No</v>
      </c>
      <c r="AS1541" s="60" t="str">
        <f t="shared" si="177"/>
        <v>No</v>
      </c>
    </row>
    <row r="1542" spans="1:45" ht="15">
      <c r="A1542" s="103">
        <v>45244</v>
      </c>
      <c r="B1542" s="28" t="s">
        <v>5981</v>
      </c>
      <c r="C1542" s="28" t="s">
        <v>511</v>
      </c>
      <c r="D1542" s="28" t="s">
        <v>5982</v>
      </c>
      <c r="E1542" s="28" t="s">
        <v>5983</v>
      </c>
      <c r="F1542" s="28" t="s">
        <v>5984</v>
      </c>
      <c r="G1542" s="28" t="s">
        <v>1163</v>
      </c>
      <c r="H1542" s="28" t="s">
        <v>5985</v>
      </c>
      <c r="I1542" s="28" t="s">
        <v>516</v>
      </c>
      <c r="J1542" s="28" t="s">
        <v>517</v>
      </c>
      <c r="K1542" s="28" t="s">
        <v>518</v>
      </c>
      <c r="L1542" s="28" t="s">
        <v>731</v>
      </c>
      <c r="M1542" s="28" t="s">
        <v>535</v>
      </c>
      <c r="N1542" s="28" t="s">
        <v>557</v>
      </c>
      <c r="O1542" s="28" t="s">
        <v>934</v>
      </c>
      <c r="S1542" s="28" t="s">
        <v>732</v>
      </c>
      <c r="T1542" s="28" t="s">
        <v>733</v>
      </c>
      <c r="U1542" s="28" t="s">
        <v>733</v>
      </c>
      <c r="V1542" s="28" t="s">
        <v>517</v>
      </c>
      <c r="W1542" s="28" t="s">
        <v>5986</v>
      </c>
      <c r="Z1542" s="118" t="s">
        <v>563</v>
      </c>
      <c r="AA1542" s="118"/>
      <c r="AB1542" s="118" t="s">
        <v>527</v>
      </c>
      <c r="AD1542" s="28" t="s">
        <v>528</v>
      </c>
      <c r="AF1542" s="117" t="s">
        <v>5982</v>
      </c>
      <c r="AG1542" s="28" t="s">
        <v>563</v>
      </c>
      <c r="AK1542" s="60" t="s">
        <v>5515</v>
      </c>
      <c r="AL1542" s="117">
        <f>1/COUNTIF(Tableau6[LAT],B1542)</f>
        <v>1</v>
      </c>
      <c r="AM1542" s="60" t="b">
        <f t="shared" si="171"/>
        <v>0</v>
      </c>
      <c r="AN1542" s="60" t="b">
        <f t="shared" si="172"/>
        <v>0</v>
      </c>
      <c r="AO1542" s="60" t="b">
        <f t="shared" si="173"/>
        <v>0</v>
      </c>
      <c r="AP1542" s="60" t="b">
        <f t="shared" si="174"/>
        <v>0</v>
      </c>
      <c r="AQ1542" s="60" t="b">
        <f t="shared" si="175"/>
        <v>0</v>
      </c>
      <c r="AR1542" s="60" t="str">
        <f t="shared" si="176"/>
        <v>No</v>
      </c>
      <c r="AS1542" s="60" t="str">
        <f t="shared" si="177"/>
        <v>No</v>
      </c>
    </row>
    <row r="1543" spans="1:45" ht="15">
      <c r="A1543" s="103">
        <v>45244</v>
      </c>
      <c r="B1543" s="28" t="s">
        <v>5987</v>
      </c>
      <c r="C1543" s="28" t="s">
        <v>511</v>
      </c>
      <c r="D1543" s="28" t="s">
        <v>5988</v>
      </c>
      <c r="F1543" s="28" t="s">
        <v>5989</v>
      </c>
      <c r="G1543" s="28" t="s">
        <v>514</v>
      </c>
      <c r="H1543" s="28" t="s">
        <v>3593</v>
      </c>
      <c r="I1543" s="28" t="s">
        <v>516</v>
      </c>
      <c r="J1543" s="28" t="s">
        <v>517</v>
      </c>
      <c r="K1543" s="28" t="s">
        <v>518</v>
      </c>
      <c r="L1543" s="28" t="s">
        <v>751</v>
      </c>
      <c r="M1543" s="28" t="s">
        <v>520</v>
      </c>
      <c r="N1543" s="28" t="s">
        <v>544</v>
      </c>
      <c r="S1543" s="28" t="s">
        <v>820</v>
      </c>
      <c r="T1543" s="28" t="s">
        <v>753</v>
      </c>
      <c r="U1543" s="28" t="s">
        <v>753</v>
      </c>
      <c r="V1543" s="28" t="s">
        <v>517</v>
      </c>
      <c r="W1543" s="28" t="s">
        <v>5990</v>
      </c>
      <c r="Z1543" s="118" t="s">
        <v>563</v>
      </c>
      <c r="AA1543" s="118"/>
      <c r="AB1543" s="118" t="s">
        <v>527</v>
      </c>
      <c r="AF1543" s="117"/>
      <c r="AK1543" s="60" t="s">
        <v>5515</v>
      </c>
      <c r="AL1543" s="117">
        <f>1/COUNTIF(Tableau6[LAT],B1543)</f>
        <v>1</v>
      </c>
      <c r="AM1543" s="60" t="b">
        <f t="shared" si="171"/>
        <v>0</v>
      </c>
      <c r="AN1543" s="60" t="b">
        <f t="shared" si="172"/>
        <v>0</v>
      </c>
      <c r="AO1543" s="60" t="b">
        <f t="shared" si="173"/>
        <v>0</v>
      </c>
      <c r="AP1543" s="60" t="b">
        <f t="shared" si="174"/>
        <v>0</v>
      </c>
      <c r="AQ1543" s="60" t="b">
        <f t="shared" si="175"/>
        <v>0</v>
      </c>
      <c r="AR1543" s="60" t="str">
        <f t="shared" si="176"/>
        <v>No</v>
      </c>
      <c r="AS1543" s="60" t="str">
        <f t="shared" si="177"/>
        <v>No</v>
      </c>
    </row>
    <row r="1544" spans="1:45" ht="15">
      <c r="A1544" s="103">
        <v>45244</v>
      </c>
      <c r="B1544" s="28" t="s">
        <v>5991</v>
      </c>
      <c r="C1544" s="28" t="s">
        <v>548</v>
      </c>
      <c r="D1544" s="28" t="s">
        <v>5992</v>
      </c>
      <c r="F1544" s="28" t="s">
        <v>3567</v>
      </c>
      <c r="G1544" s="28" t="s">
        <v>4911</v>
      </c>
      <c r="H1544" s="28" t="s">
        <v>5993</v>
      </c>
      <c r="I1544" s="28" t="s">
        <v>516</v>
      </c>
      <c r="J1544" s="28" t="s">
        <v>517</v>
      </c>
      <c r="K1544" s="28" t="s">
        <v>518</v>
      </c>
      <c r="L1544" s="28" t="s">
        <v>604</v>
      </c>
      <c r="M1544" s="28" t="s">
        <v>535</v>
      </c>
      <c r="N1544" s="28" t="s">
        <v>557</v>
      </c>
      <c r="S1544" s="28" t="s">
        <v>524</v>
      </c>
      <c r="T1544" s="28" t="s">
        <v>607</v>
      </c>
      <c r="U1544" s="28" t="s">
        <v>607</v>
      </c>
      <c r="V1544" s="28" t="s">
        <v>517</v>
      </c>
      <c r="W1544" s="28" t="s">
        <v>5994</v>
      </c>
      <c r="Z1544" s="118" t="s">
        <v>526</v>
      </c>
      <c r="AA1544" s="118"/>
      <c r="AB1544" s="118"/>
      <c r="AD1544" s="28" t="s">
        <v>954</v>
      </c>
      <c r="AF1544" s="117" t="s">
        <v>5995</v>
      </c>
      <c r="AG1544" s="28" t="s">
        <v>563</v>
      </c>
      <c r="AK1544" s="60" t="s">
        <v>5515</v>
      </c>
      <c r="AL1544" s="117">
        <f>1/COUNTIF(Tableau6[LAT],B1544)</f>
        <v>0.5</v>
      </c>
      <c r="AM1544" s="60" t="b">
        <f t="shared" si="171"/>
        <v>0</v>
      </c>
      <c r="AN1544" s="60" t="b">
        <f t="shared" si="172"/>
        <v>0</v>
      </c>
      <c r="AO1544" s="60" t="b">
        <f t="shared" si="173"/>
        <v>0</v>
      </c>
      <c r="AP1544" s="60" t="b">
        <f t="shared" si="174"/>
        <v>0</v>
      </c>
      <c r="AQ1544" s="60" t="b">
        <f t="shared" si="175"/>
        <v>0</v>
      </c>
      <c r="AR1544" s="60" t="str">
        <f t="shared" si="176"/>
        <v>No</v>
      </c>
      <c r="AS1544" s="60" t="str">
        <f t="shared" si="177"/>
        <v>No</v>
      </c>
    </row>
    <row r="1545" spans="1:45" ht="15">
      <c r="A1545" s="103">
        <v>45244</v>
      </c>
      <c r="B1545" s="28" t="s">
        <v>5991</v>
      </c>
      <c r="C1545" s="28" t="s">
        <v>691</v>
      </c>
      <c r="D1545" s="28" t="s">
        <v>5996</v>
      </c>
      <c r="F1545" s="28" t="s">
        <v>1290</v>
      </c>
      <c r="G1545" s="28" t="s">
        <v>1456</v>
      </c>
      <c r="H1545" s="28" t="s">
        <v>1953</v>
      </c>
      <c r="I1545" s="28" t="s">
        <v>516</v>
      </c>
      <c r="J1545" s="28" t="s">
        <v>517</v>
      </c>
      <c r="K1545" s="28" t="s">
        <v>518</v>
      </c>
      <c r="L1545" s="28" t="s">
        <v>604</v>
      </c>
      <c r="M1545" s="28" t="s">
        <v>535</v>
      </c>
      <c r="N1545" s="28" t="s">
        <v>557</v>
      </c>
      <c r="S1545" s="28" t="s">
        <v>524</v>
      </c>
      <c r="T1545" s="28" t="s">
        <v>607</v>
      </c>
      <c r="U1545" s="28" t="s">
        <v>607</v>
      </c>
      <c r="V1545" s="28" t="s">
        <v>517</v>
      </c>
      <c r="W1545" s="28" t="s">
        <v>5997</v>
      </c>
      <c r="Z1545" s="118" t="s">
        <v>526</v>
      </c>
      <c r="AA1545" s="118"/>
      <c r="AB1545" s="118"/>
      <c r="AD1545" s="28" t="s">
        <v>954</v>
      </c>
      <c r="AF1545" s="117" t="s">
        <v>5992</v>
      </c>
      <c r="AG1545" s="28" t="s">
        <v>563</v>
      </c>
      <c r="AK1545" s="60" t="s">
        <v>5515</v>
      </c>
      <c r="AL1545" s="117">
        <f>1/COUNTIF(Tableau6[LAT],B1545)</f>
        <v>0.5</v>
      </c>
      <c r="AM1545" s="60" t="b">
        <f t="shared" si="171"/>
        <v>0</v>
      </c>
      <c r="AN1545" s="60" t="b">
        <f t="shared" si="172"/>
        <v>0</v>
      </c>
      <c r="AO1545" s="60" t="b">
        <f t="shared" si="173"/>
        <v>0</v>
      </c>
      <c r="AP1545" s="60" t="b">
        <f t="shared" si="174"/>
        <v>0</v>
      </c>
      <c r="AQ1545" s="60" t="b">
        <f t="shared" si="175"/>
        <v>0</v>
      </c>
      <c r="AR1545" s="60" t="str">
        <f t="shared" si="176"/>
        <v>No</v>
      </c>
      <c r="AS1545" s="60" t="str">
        <f t="shared" si="177"/>
        <v>No</v>
      </c>
    </row>
    <row r="1546" spans="1:45" ht="15">
      <c r="A1546" s="103">
        <v>45244</v>
      </c>
      <c r="B1546" s="28" t="s">
        <v>5998</v>
      </c>
      <c r="C1546" s="28" t="s">
        <v>511</v>
      </c>
      <c r="D1546" s="28" t="s">
        <v>5999</v>
      </c>
      <c r="E1546" s="28" t="s">
        <v>6000</v>
      </c>
      <c r="F1546" s="28" t="s">
        <v>6001</v>
      </c>
      <c r="G1546" s="28" t="s">
        <v>1077</v>
      </c>
      <c r="H1546" s="28" t="s">
        <v>555</v>
      </c>
      <c r="I1546" s="28" t="s">
        <v>516</v>
      </c>
      <c r="J1546" s="28" t="s">
        <v>517</v>
      </c>
      <c r="K1546" s="28" t="s">
        <v>518</v>
      </c>
      <c r="L1546" s="28" t="s">
        <v>1040</v>
      </c>
      <c r="M1546" s="28" t="s">
        <v>535</v>
      </c>
      <c r="N1546" s="28" t="s">
        <v>521</v>
      </c>
      <c r="O1546" s="28" t="s">
        <v>934</v>
      </c>
      <c r="P1546" s="28" t="s">
        <v>544</v>
      </c>
      <c r="Q1546" s="28" t="s">
        <v>427</v>
      </c>
      <c r="R1546" s="28" t="s">
        <v>559</v>
      </c>
      <c r="S1546" s="28" t="s">
        <v>1934</v>
      </c>
      <c r="T1546" s="28" t="s">
        <v>1042</v>
      </c>
      <c r="U1546" s="28" t="s">
        <v>1042</v>
      </c>
      <c r="V1546" s="28" t="s">
        <v>517</v>
      </c>
      <c r="W1546" s="28" t="s">
        <v>6002</v>
      </c>
      <c r="Z1546" s="118" t="s">
        <v>563</v>
      </c>
      <c r="AA1546" s="118"/>
      <c r="AB1546" s="118" t="s">
        <v>527</v>
      </c>
      <c r="AF1546" s="117"/>
      <c r="AK1546" s="60" t="s">
        <v>5515</v>
      </c>
      <c r="AL1546" s="117">
        <f>1/COUNTIF(Tableau6[LAT],B1546)</f>
        <v>1</v>
      </c>
      <c r="AM1546" s="60" t="b">
        <f t="shared" si="171"/>
        <v>0</v>
      </c>
      <c r="AN1546" s="60" t="b">
        <f t="shared" si="172"/>
        <v>0</v>
      </c>
      <c r="AO1546" s="60" t="b">
        <f t="shared" si="173"/>
        <v>0</v>
      </c>
      <c r="AP1546" s="60" t="b">
        <f t="shared" si="174"/>
        <v>0</v>
      </c>
      <c r="AQ1546" s="60" t="b">
        <f t="shared" si="175"/>
        <v>0</v>
      </c>
      <c r="AR1546" s="60" t="str">
        <f t="shared" si="176"/>
        <v>No</v>
      </c>
      <c r="AS1546" s="60" t="str">
        <f t="shared" si="177"/>
        <v>No</v>
      </c>
    </row>
    <row r="1547" spans="1:45" ht="15">
      <c r="A1547" s="103">
        <v>45244</v>
      </c>
      <c r="B1547" s="28" t="s">
        <v>6003</v>
      </c>
      <c r="C1547" s="28" t="s">
        <v>511</v>
      </c>
      <c r="D1547" s="28" t="s">
        <v>6004</v>
      </c>
      <c r="E1547" s="28" t="s">
        <v>6005</v>
      </c>
      <c r="F1547" s="28" t="s">
        <v>6001</v>
      </c>
      <c r="G1547" s="28" t="s">
        <v>1077</v>
      </c>
      <c r="H1547" s="28" t="s">
        <v>555</v>
      </c>
      <c r="I1547" s="28" t="s">
        <v>516</v>
      </c>
      <c r="J1547" s="28" t="s">
        <v>517</v>
      </c>
      <c r="K1547" s="28" t="s">
        <v>518</v>
      </c>
      <c r="L1547" s="28" t="s">
        <v>1040</v>
      </c>
      <c r="M1547" s="28" t="s">
        <v>535</v>
      </c>
      <c r="N1547" s="28" t="s">
        <v>521</v>
      </c>
      <c r="O1547" s="28" t="s">
        <v>934</v>
      </c>
      <c r="P1547" s="28" t="s">
        <v>544</v>
      </c>
      <c r="Q1547" s="28" t="s">
        <v>427</v>
      </c>
      <c r="R1547" s="28" t="s">
        <v>559</v>
      </c>
      <c r="S1547" s="28" t="s">
        <v>1934</v>
      </c>
      <c r="T1547" s="28" t="s">
        <v>1042</v>
      </c>
      <c r="U1547" s="28" t="s">
        <v>1042</v>
      </c>
      <c r="V1547" s="28" t="s">
        <v>517</v>
      </c>
      <c r="W1547" s="28" t="s">
        <v>6006</v>
      </c>
      <c r="Z1547" s="118" t="s">
        <v>563</v>
      </c>
      <c r="AA1547" s="118"/>
      <c r="AB1547" s="118" t="s">
        <v>527</v>
      </c>
      <c r="AF1547" s="117"/>
      <c r="AK1547" s="60" t="s">
        <v>5515</v>
      </c>
      <c r="AL1547" s="117">
        <f>1/COUNTIF(Tableau6[LAT],B1547)</f>
        <v>1</v>
      </c>
      <c r="AM1547" s="60" t="b">
        <f t="shared" si="171"/>
        <v>0</v>
      </c>
      <c r="AN1547" s="60" t="b">
        <f t="shared" si="172"/>
        <v>0</v>
      </c>
      <c r="AO1547" s="60" t="b">
        <f t="shared" si="173"/>
        <v>0</v>
      </c>
      <c r="AP1547" s="60" t="b">
        <f t="shared" si="174"/>
        <v>0</v>
      </c>
      <c r="AQ1547" s="60" t="b">
        <f t="shared" si="175"/>
        <v>0</v>
      </c>
      <c r="AR1547" s="60" t="str">
        <f t="shared" si="176"/>
        <v>No</v>
      </c>
      <c r="AS1547" s="60" t="str">
        <f t="shared" si="177"/>
        <v>No</v>
      </c>
    </row>
    <row r="1548" spans="1:45" ht="15">
      <c r="A1548" s="103">
        <v>45244</v>
      </c>
      <c r="B1548" s="28" t="s">
        <v>4086</v>
      </c>
      <c r="C1548" s="28" t="s">
        <v>548</v>
      </c>
      <c r="D1548" s="28" t="s">
        <v>4095</v>
      </c>
      <c r="F1548" s="28" t="s">
        <v>6007</v>
      </c>
      <c r="G1548" s="28" t="s">
        <v>724</v>
      </c>
      <c r="H1548" s="28" t="s">
        <v>1428</v>
      </c>
      <c r="I1548" s="28" t="s">
        <v>516</v>
      </c>
      <c r="J1548" s="28" t="s">
        <v>517</v>
      </c>
      <c r="K1548" s="28" t="s">
        <v>518</v>
      </c>
      <c r="L1548" s="28" t="s">
        <v>1269</v>
      </c>
      <c r="M1548" s="28" t="s">
        <v>535</v>
      </c>
      <c r="N1548" s="28" t="s">
        <v>557</v>
      </c>
      <c r="O1548" s="28" t="s">
        <v>522</v>
      </c>
      <c r="S1548" s="28" t="s">
        <v>1529</v>
      </c>
      <c r="T1548" s="28" t="s">
        <v>1589</v>
      </c>
      <c r="U1548" s="28" t="s">
        <v>1589</v>
      </c>
      <c r="V1548" s="28" t="s">
        <v>517</v>
      </c>
      <c r="W1548" s="28" t="s">
        <v>6008</v>
      </c>
      <c r="Z1548" s="118" t="s">
        <v>563</v>
      </c>
      <c r="AA1548" s="118"/>
      <c r="AB1548" s="118" t="s">
        <v>4506</v>
      </c>
      <c r="AF1548" s="117"/>
      <c r="AK1548" s="60" t="s">
        <v>5515</v>
      </c>
      <c r="AL1548" s="117">
        <f>1/COUNTIF(Tableau6[LAT],B1548)</f>
        <v>0.25</v>
      </c>
      <c r="AM1548" s="60" t="b">
        <f t="shared" si="171"/>
        <v>0</v>
      </c>
      <c r="AN1548" s="60" t="b">
        <f t="shared" si="172"/>
        <v>0</v>
      </c>
      <c r="AO1548" s="60" t="b">
        <f t="shared" si="173"/>
        <v>0</v>
      </c>
      <c r="AP1548" s="60" t="b">
        <f t="shared" si="174"/>
        <v>0</v>
      </c>
      <c r="AQ1548" s="60" t="b">
        <f t="shared" si="175"/>
        <v>0</v>
      </c>
      <c r="AR1548" s="60" t="str">
        <f t="shared" si="176"/>
        <v>No</v>
      </c>
      <c r="AS1548" s="60" t="str">
        <f t="shared" si="177"/>
        <v>No</v>
      </c>
    </row>
    <row r="1549" spans="1:45" ht="15">
      <c r="A1549" s="103">
        <v>45244</v>
      </c>
      <c r="B1549" s="28" t="s">
        <v>4086</v>
      </c>
      <c r="C1549" s="28" t="s">
        <v>691</v>
      </c>
      <c r="D1549" s="28" t="s">
        <v>6009</v>
      </c>
      <c r="F1549" s="28" t="s">
        <v>6010</v>
      </c>
      <c r="G1549" s="28" t="s">
        <v>3864</v>
      </c>
      <c r="H1549" s="28" t="s">
        <v>2637</v>
      </c>
      <c r="I1549" s="28" t="s">
        <v>516</v>
      </c>
      <c r="J1549" s="28" t="s">
        <v>517</v>
      </c>
      <c r="K1549" s="28" t="s">
        <v>518</v>
      </c>
      <c r="L1549" s="28" t="s">
        <v>1269</v>
      </c>
      <c r="M1549" s="28" t="s">
        <v>535</v>
      </c>
      <c r="N1549" s="28" t="s">
        <v>557</v>
      </c>
      <c r="O1549" s="28" t="s">
        <v>522</v>
      </c>
      <c r="S1549" s="28" t="s">
        <v>1529</v>
      </c>
      <c r="T1549" s="28" t="s">
        <v>1589</v>
      </c>
      <c r="U1549" s="28" t="s">
        <v>1589</v>
      </c>
      <c r="V1549" s="28" t="s">
        <v>517</v>
      </c>
      <c r="W1549" s="28" t="s">
        <v>3122</v>
      </c>
      <c r="Z1549" s="118" t="s">
        <v>563</v>
      </c>
      <c r="AA1549" s="118"/>
      <c r="AB1549" s="118" t="s">
        <v>4506</v>
      </c>
      <c r="AF1549" s="117"/>
      <c r="AK1549" s="60" t="s">
        <v>5515</v>
      </c>
      <c r="AL1549" s="117">
        <f>1/COUNTIF(Tableau6[LAT],B1549)</f>
        <v>0.25</v>
      </c>
      <c r="AM1549" s="60" t="b">
        <f t="shared" si="171"/>
        <v>0</v>
      </c>
      <c r="AN1549" s="60" t="b">
        <f t="shared" si="172"/>
        <v>0</v>
      </c>
      <c r="AO1549" s="60" t="b">
        <f t="shared" si="173"/>
        <v>0</v>
      </c>
      <c r="AP1549" s="60" t="b">
        <f t="shared" si="174"/>
        <v>0</v>
      </c>
      <c r="AQ1549" s="60" t="b">
        <f t="shared" si="175"/>
        <v>0</v>
      </c>
      <c r="AR1549" s="60" t="str">
        <f t="shared" si="176"/>
        <v>No</v>
      </c>
      <c r="AS1549" s="60" t="str">
        <f t="shared" si="177"/>
        <v>No</v>
      </c>
    </row>
    <row r="1550" spans="1:45" ht="15">
      <c r="A1550" s="103">
        <v>45244</v>
      </c>
      <c r="B1550" s="28" t="s">
        <v>6011</v>
      </c>
      <c r="C1550" s="28" t="s">
        <v>511</v>
      </c>
      <c r="D1550" s="28" t="s">
        <v>6012</v>
      </c>
      <c r="E1550" s="28" t="s">
        <v>5679</v>
      </c>
      <c r="F1550" s="28" t="s">
        <v>6013</v>
      </c>
      <c r="G1550" s="28" t="s">
        <v>2579</v>
      </c>
      <c r="H1550" s="28" t="s">
        <v>1554</v>
      </c>
      <c r="I1550" s="28" t="s">
        <v>516</v>
      </c>
      <c r="J1550" s="28" t="s">
        <v>517</v>
      </c>
      <c r="K1550" s="28" t="s">
        <v>682</v>
      </c>
      <c r="L1550" s="28" t="s">
        <v>5680</v>
      </c>
      <c r="M1550" s="28" t="s">
        <v>535</v>
      </c>
      <c r="N1550" s="28" t="s">
        <v>522</v>
      </c>
      <c r="S1550" s="28" t="s">
        <v>960</v>
      </c>
      <c r="T1550" s="28" t="s">
        <v>1918</v>
      </c>
      <c r="U1550" s="28" t="s">
        <v>1918</v>
      </c>
      <c r="V1550" s="28" t="s">
        <v>517</v>
      </c>
      <c r="W1550" s="28" t="s">
        <v>5681</v>
      </c>
      <c r="Z1550" s="118" t="s">
        <v>563</v>
      </c>
      <c r="AA1550" s="118"/>
      <c r="AB1550" s="118" t="s">
        <v>527</v>
      </c>
      <c r="AD1550" s="28" t="s">
        <v>528</v>
      </c>
      <c r="AF1550" s="117"/>
      <c r="AG1550" s="28" t="s">
        <v>563</v>
      </c>
      <c r="AK1550" s="60" t="s">
        <v>5515</v>
      </c>
      <c r="AL1550" s="117">
        <f>1/COUNTIF(Tableau6[LAT],B1550)</f>
        <v>7.6923076923076927E-2</v>
      </c>
      <c r="AM1550" s="60" t="b">
        <f t="shared" si="171"/>
        <v>0</v>
      </c>
      <c r="AN1550" s="60" t="b">
        <f t="shared" si="172"/>
        <v>0</v>
      </c>
      <c r="AO1550" s="60" t="b">
        <f t="shared" si="173"/>
        <v>0</v>
      </c>
      <c r="AP1550" s="60" t="b">
        <f t="shared" si="174"/>
        <v>0</v>
      </c>
      <c r="AQ1550" s="60" t="b">
        <f t="shared" si="175"/>
        <v>0</v>
      </c>
      <c r="AR1550" s="60" t="str">
        <f t="shared" si="176"/>
        <v>No</v>
      </c>
      <c r="AS1550" s="60" t="str">
        <f t="shared" si="177"/>
        <v>No</v>
      </c>
    </row>
    <row r="1551" spans="1:45" ht="15">
      <c r="A1551" s="103">
        <v>45244</v>
      </c>
      <c r="B1551" s="28" t="s">
        <v>6011</v>
      </c>
      <c r="C1551" s="28" t="s">
        <v>612</v>
      </c>
      <c r="D1551" s="28" t="s">
        <v>6014</v>
      </c>
      <c r="E1551" s="28" t="s">
        <v>5716</v>
      </c>
      <c r="F1551" s="28" t="s">
        <v>5599</v>
      </c>
      <c r="G1551" s="28" t="s">
        <v>3804</v>
      </c>
      <c r="H1551" s="28" t="s">
        <v>894</v>
      </c>
      <c r="I1551" s="28" t="s">
        <v>516</v>
      </c>
      <c r="J1551" s="28" t="s">
        <v>517</v>
      </c>
      <c r="K1551" s="28" t="s">
        <v>682</v>
      </c>
      <c r="L1551" s="28" t="s">
        <v>5680</v>
      </c>
      <c r="M1551" s="28" t="s">
        <v>535</v>
      </c>
      <c r="N1551" s="28" t="s">
        <v>522</v>
      </c>
      <c r="S1551" s="28" t="s">
        <v>960</v>
      </c>
      <c r="T1551" s="28" t="s">
        <v>1918</v>
      </c>
      <c r="U1551" s="28" t="s">
        <v>1918</v>
      </c>
      <c r="V1551" s="28" t="s">
        <v>517</v>
      </c>
      <c r="W1551" s="28" t="s">
        <v>5717</v>
      </c>
      <c r="Z1551" s="118" t="s">
        <v>563</v>
      </c>
      <c r="AA1551" s="118"/>
      <c r="AB1551" s="118" t="s">
        <v>527</v>
      </c>
      <c r="AD1551" s="28" t="s">
        <v>528</v>
      </c>
      <c r="AF1551" s="117"/>
      <c r="AG1551" s="28" t="s">
        <v>563</v>
      </c>
      <c r="AK1551" s="60" t="s">
        <v>5515</v>
      </c>
      <c r="AL1551" s="117">
        <f>1/COUNTIF(Tableau6[LAT],B1551)</f>
        <v>7.6923076923076927E-2</v>
      </c>
      <c r="AM1551" s="60" t="b">
        <f t="shared" si="171"/>
        <v>0</v>
      </c>
      <c r="AN1551" s="60" t="b">
        <f t="shared" si="172"/>
        <v>0</v>
      </c>
      <c r="AO1551" s="60" t="b">
        <f t="shared" si="173"/>
        <v>0</v>
      </c>
      <c r="AP1551" s="60" t="b">
        <f t="shared" si="174"/>
        <v>0</v>
      </c>
      <c r="AQ1551" s="60" t="b">
        <f t="shared" si="175"/>
        <v>0</v>
      </c>
      <c r="AR1551" s="60" t="str">
        <f t="shared" si="176"/>
        <v>No</v>
      </c>
      <c r="AS1551" s="60" t="str">
        <f t="shared" si="177"/>
        <v>No</v>
      </c>
    </row>
    <row r="1552" spans="1:45" ht="15">
      <c r="A1552" s="103">
        <v>45244</v>
      </c>
      <c r="B1552" s="28" t="s">
        <v>6011</v>
      </c>
      <c r="D1552" s="28" t="s">
        <v>6015</v>
      </c>
      <c r="E1552" s="28" t="s">
        <v>5679</v>
      </c>
      <c r="F1552" s="28" t="s">
        <v>6016</v>
      </c>
      <c r="G1552" s="28" t="s">
        <v>6017</v>
      </c>
      <c r="H1552" s="28" t="s">
        <v>5137</v>
      </c>
      <c r="I1552" s="28" t="s">
        <v>516</v>
      </c>
      <c r="J1552" s="28" t="s">
        <v>517</v>
      </c>
      <c r="K1552" s="28" t="s">
        <v>682</v>
      </c>
      <c r="L1552" s="28" t="s">
        <v>5680</v>
      </c>
      <c r="M1552" s="28" t="s">
        <v>535</v>
      </c>
      <c r="N1552" s="28" t="s">
        <v>522</v>
      </c>
      <c r="S1552" s="28" t="s">
        <v>960</v>
      </c>
      <c r="T1552" s="28" t="s">
        <v>1918</v>
      </c>
      <c r="U1552" s="28" t="s">
        <v>1918</v>
      </c>
      <c r="V1552" s="28" t="s">
        <v>517</v>
      </c>
      <c r="W1552" s="28" t="s">
        <v>5681</v>
      </c>
      <c r="Z1552" s="118" t="s">
        <v>563</v>
      </c>
      <c r="AA1552" s="118"/>
      <c r="AB1552" s="118" t="s">
        <v>527</v>
      </c>
      <c r="AD1552" s="28" t="s">
        <v>528</v>
      </c>
      <c r="AF1552" s="117"/>
      <c r="AG1552" s="28" t="s">
        <v>563</v>
      </c>
      <c r="AK1552" s="60" t="s">
        <v>5515</v>
      </c>
      <c r="AL1552" s="117">
        <f>1/COUNTIF(Tableau6[LAT],B1552)</f>
        <v>7.6923076923076927E-2</v>
      </c>
      <c r="AM1552" s="60" t="b">
        <f t="shared" si="171"/>
        <v>0</v>
      </c>
      <c r="AN1552" s="60" t="b">
        <f t="shared" si="172"/>
        <v>0</v>
      </c>
      <c r="AO1552" s="60" t="b">
        <f t="shared" si="173"/>
        <v>0</v>
      </c>
      <c r="AP1552" s="60" t="b">
        <f t="shared" si="174"/>
        <v>0</v>
      </c>
      <c r="AQ1552" s="60" t="b">
        <f t="shared" si="175"/>
        <v>0</v>
      </c>
      <c r="AR1552" s="60" t="str">
        <f t="shared" si="176"/>
        <v>No</v>
      </c>
      <c r="AS1552" s="60" t="str">
        <f t="shared" si="177"/>
        <v>No</v>
      </c>
    </row>
    <row r="1553" spans="1:45" ht="15">
      <c r="A1553" s="103">
        <v>45244</v>
      </c>
      <c r="B1553" s="28" t="s">
        <v>6011</v>
      </c>
      <c r="C1553" s="28" t="s">
        <v>864</v>
      </c>
      <c r="D1553" s="28" t="s">
        <v>6018</v>
      </c>
      <c r="E1553" s="28" t="s">
        <v>5679</v>
      </c>
      <c r="F1553" s="28" t="s">
        <v>6019</v>
      </c>
      <c r="G1553" s="28" t="s">
        <v>6020</v>
      </c>
      <c r="H1553" s="28" t="s">
        <v>990</v>
      </c>
      <c r="I1553" s="28" t="s">
        <v>516</v>
      </c>
      <c r="J1553" s="28" t="s">
        <v>517</v>
      </c>
      <c r="K1553" s="28" t="s">
        <v>682</v>
      </c>
      <c r="L1553" s="28" t="s">
        <v>5680</v>
      </c>
      <c r="M1553" s="28" t="s">
        <v>535</v>
      </c>
      <c r="N1553" s="28" t="s">
        <v>522</v>
      </c>
      <c r="S1553" s="28" t="s">
        <v>960</v>
      </c>
      <c r="T1553" s="28" t="s">
        <v>1918</v>
      </c>
      <c r="U1553" s="28" t="s">
        <v>1918</v>
      </c>
      <c r="V1553" s="28" t="s">
        <v>517</v>
      </c>
      <c r="W1553" s="28" t="s">
        <v>5681</v>
      </c>
      <c r="Z1553" s="118" t="s">
        <v>563</v>
      </c>
      <c r="AA1553" s="118"/>
      <c r="AB1553" s="118" t="s">
        <v>527</v>
      </c>
      <c r="AD1553" s="28" t="s">
        <v>528</v>
      </c>
      <c r="AF1553" s="117"/>
      <c r="AG1553" s="28" t="s">
        <v>563</v>
      </c>
      <c r="AK1553" s="60" t="s">
        <v>5515</v>
      </c>
      <c r="AL1553" s="117">
        <f>1/COUNTIF(Tableau6[LAT],B1553)</f>
        <v>7.6923076923076927E-2</v>
      </c>
      <c r="AM1553" s="60" t="b">
        <f t="shared" si="171"/>
        <v>0</v>
      </c>
      <c r="AN1553" s="60" t="b">
        <f t="shared" si="172"/>
        <v>0</v>
      </c>
      <c r="AO1553" s="60" t="b">
        <f t="shared" si="173"/>
        <v>0</v>
      </c>
      <c r="AP1553" s="60" t="b">
        <f t="shared" si="174"/>
        <v>0</v>
      </c>
      <c r="AQ1553" s="60" t="b">
        <f t="shared" si="175"/>
        <v>0</v>
      </c>
      <c r="AR1553" s="60" t="str">
        <f t="shared" si="176"/>
        <v>No</v>
      </c>
      <c r="AS1553" s="60" t="str">
        <f t="shared" si="177"/>
        <v>No</v>
      </c>
    </row>
    <row r="1554" spans="1:45" ht="15">
      <c r="A1554" s="103">
        <v>45244</v>
      </c>
      <c r="B1554" s="28" t="s">
        <v>6011</v>
      </c>
      <c r="C1554" s="28" t="s">
        <v>866</v>
      </c>
      <c r="D1554" s="28" t="s">
        <v>6021</v>
      </c>
      <c r="E1554" s="28" t="s">
        <v>5716</v>
      </c>
      <c r="F1554" s="28" t="s">
        <v>6022</v>
      </c>
      <c r="G1554" s="28" t="s">
        <v>3945</v>
      </c>
      <c r="H1554" s="28" t="s">
        <v>1996</v>
      </c>
      <c r="I1554" s="28" t="s">
        <v>516</v>
      </c>
      <c r="J1554" s="28" t="s">
        <v>517</v>
      </c>
      <c r="K1554" s="28" t="s">
        <v>682</v>
      </c>
      <c r="L1554" s="28" t="s">
        <v>5680</v>
      </c>
      <c r="M1554" s="28" t="s">
        <v>535</v>
      </c>
      <c r="N1554" s="28" t="s">
        <v>522</v>
      </c>
      <c r="S1554" s="28" t="s">
        <v>960</v>
      </c>
      <c r="T1554" s="28" t="s">
        <v>1918</v>
      </c>
      <c r="U1554" s="28" t="s">
        <v>1918</v>
      </c>
      <c r="V1554" s="28" t="s">
        <v>517</v>
      </c>
      <c r="W1554" s="28" t="s">
        <v>5717</v>
      </c>
      <c r="Z1554" s="118" t="s">
        <v>563</v>
      </c>
      <c r="AA1554" s="118"/>
      <c r="AB1554" s="118" t="s">
        <v>527</v>
      </c>
      <c r="AD1554" s="28" t="s">
        <v>528</v>
      </c>
      <c r="AF1554" s="117"/>
      <c r="AG1554" s="28" t="s">
        <v>563</v>
      </c>
      <c r="AK1554" s="60" t="s">
        <v>5515</v>
      </c>
      <c r="AL1554" s="117">
        <f>1/COUNTIF(Tableau6[LAT],B1554)</f>
        <v>7.6923076923076927E-2</v>
      </c>
      <c r="AM1554" s="60" t="b">
        <f t="shared" si="171"/>
        <v>0</v>
      </c>
      <c r="AN1554" s="60" t="b">
        <f t="shared" si="172"/>
        <v>0</v>
      </c>
      <c r="AO1554" s="60" t="b">
        <f t="shared" si="173"/>
        <v>0</v>
      </c>
      <c r="AP1554" s="60" t="b">
        <f t="shared" si="174"/>
        <v>0</v>
      </c>
      <c r="AQ1554" s="60" t="b">
        <f t="shared" si="175"/>
        <v>0</v>
      </c>
      <c r="AR1554" s="60" t="str">
        <f t="shared" si="176"/>
        <v>No</v>
      </c>
      <c r="AS1554" s="60" t="str">
        <f t="shared" si="177"/>
        <v>No</v>
      </c>
    </row>
    <row r="1555" spans="1:45" ht="15">
      <c r="A1555" s="103">
        <v>45244</v>
      </c>
      <c r="B1555" s="28" t="s">
        <v>6011</v>
      </c>
      <c r="C1555" s="28" t="s">
        <v>868</v>
      </c>
      <c r="D1555" s="28" t="s">
        <v>6023</v>
      </c>
      <c r="E1555" s="28" t="s">
        <v>5679</v>
      </c>
      <c r="F1555" s="28" t="s">
        <v>1995</v>
      </c>
      <c r="G1555" s="28" t="s">
        <v>3945</v>
      </c>
      <c r="H1555" s="28" t="s">
        <v>1996</v>
      </c>
      <c r="I1555" s="28" t="s">
        <v>516</v>
      </c>
      <c r="J1555" s="28" t="s">
        <v>517</v>
      </c>
      <c r="K1555" s="28" t="s">
        <v>682</v>
      </c>
      <c r="L1555" s="28" t="s">
        <v>5680</v>
      </c>
      <c r="M1555" s="28" t="s">
        <v>535</v>
      </c>
      <c r="N1555" s="28" t="s">
        <v>522</v>
      </c>
      <c r="S1555" s="28" t="s">
        <v>960</v>
      </c>
      <c r="T1555" s="28" t="s">
        <v>1918</v>
      </c>
      <c r="U1555" s="28" t="s">
        <v>1918</v>
      </c>
      <c r="V1555" s="28" t="s">
        <v>517</v>
      </c>
      <c r="W1555" s="28" t="s">
        <v>5681</v>
      </c>
      <c r="Z1555" s="118" t="s">
        <v>563</v>
      </c>
      <c r="AA1555" s="118"/>
      <c r="AB1555" s="118" t="s">
        <v>527</v>
      </c>
      <c r="AD1555" s="28" t="s">
        <v>528</v>
      </c>
      <c r="AF1555" s="117"/>
      <c r="AG1555" s="28" t="s">
        <v>563</v>
      </c>
      <c r="AK1555" s="60" t="s">
        <v>5515</v>
      </c>
      <c r="AL1555" s="117">
        <f>1/COUNTIF(Tableau6[LAT],B1555)</f>
        <v>7.6923076923076927E-2</v>
      </c>
      <c r="AM1555" s="60" t="b">
        <f t="shared" si="171"/>
        <v>0</v>
      </c>
      <c r="AN1555" s="60" t="b">
        <f t="shared" si="172"/>
        <v>0</v>
      </c>
      <c r="AO1555" s="60" t="b">
        <f t="shared" si="173"/>
        <v>0</v>
      </c>
      <c r="AP1555" s="60" t="b">
        <f t="shared" si="174"/>
        <v>0</v>
      </c>
      <c r="AQ1555" s="60" t="b">
        <f t="shared" si="175"/>
        <v>0</v>
      </c>
      <c r="AR1555" s="60" t="str">
        <f t="shared" si="176"/>
        <v>No</v>
      </c>
      <c r="AS1555" s="60" t="str">
        <f t="shared" si="177"/>
        <v>No</v>
      </c>
    </row>
    <row r="1556" spans="1:45" ht="15">
      <c r="A1556" s="103">
        <v>45244</v>
      </c>
      <c r="B1556" s="28" t="s">
        <v>6011</v>
      </c>
      <c r="C1556" s="28" t="s">
        <v>870</v>
      </c>
      <c r="D1556" s="28" t="s">
        <v>6024</v>
      </c>
      <c r="E1556" s="28" t="s">
        <v>5716</v>
      </c>
      <c r="F1556" s="28" t="s">
        <v>6025</v>
      </c>
      <c r="G1556" s="28" t="s">
        <v>6026</v>
      </c>
      <c r="H1556" s="28" t="s">
        <v>1198</v>
      </c>
      <c r="I1556" s="28" t="s">
        <v>516</v>
      </c>
      <c r="J1556" s="28" t="s">
        <v>517</v>
      </c>
      <c r="K1556" s="28" t="s">
        <v>682</v>
      </c>
      <c r="L1556" s="28" t="s">
        <v>5680</v>
      </c>
      <c r="M1556" s="28" t="s">
        <v>535</v>
      </c>
      <c r="N1556" s="28" t="s">
        <v>522</v>
      </c>
      <c r="S1556" s="28" t="s">
        <v>960</v>
      </c>
      <c r="T1556" s="28" t="s">
        <v>1918</v>
      </c>
      <c r="U1556" s="28" t="s">
        <v>1918</v>
      </c>
      <c r="V1556" s="28" t="s">
        <v>517</v>
      </c>
      <c r="W1556" s="28" t="s">
        <v>5717</v>
      </c>
      <c r="Z1556" s="118" t="s">
        <v>563</v>
      </c>
      <c r="AA1556" s="118"/>
      <c r="AB1556" s="118" t="s">
        <v>527</v>
      </c>
      <c r="AD1556" s="28" t="s">
        <v>528</v>
      </c>
      <c r="AF1556" s="117"/>
      <c r="AG1556" s="28" t="s">
        <v>563</v>
      </c>
      <c r="AK1556" s="60" t="s">
        <v>5515</v>
      </c>
      <c r="AL1556" s="117">
        <f>1/COUNTIF(Tableau6[LAT],B1556)</f>
        <v>7.6923076923076927E-2</v>
      </c>
      <c r="AM1556" s="60" t="b">
        <f t="shared" si="171"/>
        <v>0</v>
      </c>
      <c r="AN1556" s="60" t="b">
        <f t="shared" si="172"/>
        <v>0</v>
      </c>
      <c r="AO1556" s="60" t="b">
        <f t="shared" si="173"/>
        <v>0</v>
      </c>
      <c r="AP1556" s="60" t="b">
        <f t="shared" si="174"/>
        <v>0</v>
      </c>
      <c r="AQ1556" s="60" t="b">
        <f t="shared" si="175"/>
        <v>0</v>
      </c>
      <c r="AR1556" s="60" t="str">
        <f t="shared" si="176"/>
        <v>No</v>
      </c>
      <c r="AS1556" s="60" t="str">
        <f t="shared" si="177"/>
        <v>No</v>
      </c>
    </row>
    <row r="1557" spans="1:45" ht="15">
      <c r="A1557" s="103">
        <v>45244</v>
      </c>
      <c r="B1557" s="28" t="s">
        <v>6011</v>
      </c>
      <c r="C1557" s="28" t="s">
        <v>872</v>
      </c>
      <c r="D1557" s="28" t="s">
        <v>6027</v>
      </c>
      <c r="E1557" s="28" t="s">
        <v>5679</v>
      </c>
      <c r="F1557" s="28" t="s">
        <v>5544</v>
      </c>
      <c r="G1557" s="28" t="s">
        <v>958</v>
      </c>
      <c r="H1557" s="28" t="s">
        <v>2832</v>
      </c>
      <c r="I1557" s="28" t="s">
        <v>516</v>
      </c>
      <c r="J1557" s="28" t="s">
        <v>517</v>
      </c>
      <c r="K1557" s="28" t="s">
        <v>682</v>
      </c>
      <c r="L1557" s="28" t="s">
        <v>5680</v>
      </c>
      <c r="M1557" s="28" t="s">
        <v>535</v>
      </c>
      <c r="N1557" s="28" t="s">
        <v>522</v>
      </c>
      <c r="S1557" s="28" t="s">
        <v>960</v>
      </c>
      <c r="T1557" s="28" t="s">
        <v>1918</v>
      </c>
      <c r="U1557" s="28" t="s">
        <v>1918</v>
      </c>
      <c r="V1557" s="28" t="s">
        <v>517</v>
      </c>
      <c r="W1557" s="28" t="s">
        <v>5681</v>
      </c>
      <c r="Z1557" s="118" t="s">
        <v>563</v>
      </c>
      <c r="AA1557" s="118"/>
      <c r="AB1557" s="118" t="s">
        <v>527</v>
      </c>
      <c r="AD1557" s="28" t="s">
        <v>528</v>
      </c>
      <c r="AF1557" s="117"/>
      <c r="AG1557" s="28" t="s">
        <v>563</v>
      </c>
      <c r="AK1557" s="60" t="s">
        <v>5515</v>
      </c>
      <c r="AL1557" s="117">
        <f>1/COUNTIF(Tableau6[LAT],B1557)</f>
        <v>7.6923076923076927E-2</v>
      </c>
      <c r="AM1557" s="60" t="b">
        <f t="shared" si="171"/>
        <v>0</v>
      </c>
      <c r="AN1557" s="60" t="b">
        <f t="shared" si="172"/>
        <v>0</v>
      </c>
      <c r="AO1557" s="60" t="b">
        <f t="shared" si="173"/>
        <v>0</v>
      </c>
      <c r="AP1557" s="60" t="b">
        <f t="shared" si="174"/>
        <v>0</v>
      </c>
      <c r="AQ1557" s="60" t="b">
        <f t="shared" si="175"/>
        <v>0</v>
      </c>
      <c r="AR1557" s="60" t="str">
        <f t="shared" si="176"/>
        <v>No</v>
      </c>
      <c r="AS1557" s="60" t="str">
        <f t="shared" si="177"/>
        <v>No</v>
      </c>
    </row>
    <row r="1558" spans="1:45" ht="15">
      <c r="A1558" s="103">
        <v>45244</v>
      </c>
      <c r="B1558" s="28" t="s">
        <v>6028</v>
      </c>
      <c r="C1558" s="28" t="s">
        <v>511</v>
      </c>
      <c r="D1558" s="28" t="s">
        <v>6029</v>
      </c>
      <c r="F1558" s="28" t="s">
        <v>3529</v>
      </c>
      <c r="G1558" s="28" t="s">
        <v>514</v>
      </c>
      <c r="H1558" s="28" t="s">
        <v>3667</v>
      </c>
      <c r="I1558" s="28" t="s">
        <v>516</v>
      </c>
      <c r="J1558" s="28" t="s">
        <v>517</v>
      </c>
      <c r="K1558" s="28" t="s">
        <v>518</v>
      </c>
      <c r="L1558" s="28" t="s">
        <v>596</v>
      </c>
      <c r="M1558" s="28" t="s">
        <v>535</v>
      </c>
      <c r="N1558" s="28" t="s">
        <v>1140</v>
      </c>
      <c r="O1558" s="28" t="s">
        <v>557</v>
      </c>
      <c r="P1558" s="28" t="s">
        <v>544</v>
      </c>
      <c r="Q1558" s="28" t="s">
        <v>559</v>
      </c>
      <c r="S1558" s="28" t="s">
        <v>732</v>
      </c>
      <c r="T1558" s="28" t="s">
        <v>6030</v>
      </c>
      <c r="U1558" s="28" t="s">
        <v>597</v>
      </c>
      <c r="V1558" s="28" t="s">
        <v>517</v>
      </c>
      <c r="W1558" s="28" t="s">
        <v>821</v>
      </c>
      <c r="Z1558" s="118" t="s">
        <v>563</v>
      </c>
      <c r="AA1558" s="118"/>
      <c r="AB1558" s="118" t="s">
        <v>527</v>
      </c>
      <c r="AD1558" s="28" t="s">
        <v>528</v>
      </c>
      <c r="AF1558" s="117" t="s">
        <v>6029</v>
      </c>
      <c r="AG1558" s="28" t="s">
        <v>563</v>
      </c>
      <c r="AK1558" s="60" t="s">
        <v>5515</v>
      </c>
      <c r="AL1558" s="117">
        <f>1/COUNTIF(Tableau6[LAT],B1558)</f>
        <v>0.16666666666666666</v>
      </c>
      <c r="AM1558" s="60" t="b">
        <f t="shared" si="171"/>
        <v>0</v>
      </c>
      <c r="AN1558" s="60" t="b">
        <f t="shared" si="172"/>
        <v>0</v>
      </c>
      <c r="AO1558" s="60" t="b">
        <f t="shared" si="173"/>
        <v>0</v>
      </c>
      <c r="AP1558" s="60" t="b">
        <f t="shared" si="174"/>
        <v>0</v>
      </c>
      <c r="AQ1558" s="60" t="b">
        <f t="shared" si="175"/>
        <v>0</v>
      </c>
      <c r="AR1558" s="60" t="str">
        <f t="shared" si="176"/>
        <v>No</v>
      </c>
      <c r="AS1558" s="60" t="str">
        <f t="shared" si="177"/>
        <v>No</v>
      </c>
    </row>
    <row r="1559" spans="1:45" ht="15">
      <c r="A1559" s="103">
        <v>45244</v>
      </c>
      <c r="B1559" s="28" t="s">
        <v>6028</v>
      </c>
      <c r="C1559" s="28" t="s">
        <v>548</v>
      </c>
      <c r="D1559" s="28" t="s">
        <v>6031</v>
      </c>
      <c r="F1559" s="28" t="s">
        <v>3529</v>
      </c>
      <c r="G1559" s="28" t="s">
        <v>514</v>
      </c>
      <c r="H1559" s="28" t="s">
        <v>3667</v>
      </c>
      <c r="I1559" s="28" t="s">
        <v>516</v>
      </c>
      <c r="J1559" s="28" t="s">
        <v>517</v>
      </c>
      <c r="K1559" s="28" t="s">
        <v>518</v>
      </c>
      <c r="L1559" s="28" t="s">
        <v>596</v>
      </c>
      <c r="M1559" s="28" t="s">
        <v>535</v>
      </c>
      <c r="N1559" s="28" t="s">
        <v>1140</v>
      </c>
      <c r="O1559" s="28" t="s">
        <v>557</v>
      </c>
      <c r="P1559" s="28" t="s">
        <v>544</v>
      </c>
      <c r="Q1559" s="28" t="s">
        <v>559</v>
      </c>
      <c r="S1559" s="28" t="s">
        <v>732</v>
      </c>
      <c r="T1559" s="28" t="s">
        <v>6030</v>
      </c>
      <c r="U1559" s="28" t="s">
        <v>597</v>
      </c>
      <c r="V1559" s="28" t="s">
        <v>517</v>
      </c>
      <c r="W1559" s="28" t="s">
        <v>5134</v>
      </c>
      <c r="Z1559" s="118" t="s">
        <v>563</v>
      </c>
      <c r="AA1559" s="118"/>
      <c r="AB1559" s="118" t="s">
        <v>527</v>
      </c>
      <c r="AD1559" s="28" t="s">
        <v>528</v>
      </c>
      <c r="AF1559" s="117" t="s">
        <v>6031</v>
      </c>
      <c r="AG1559" s="28" t="s">
        <v>563</v>
      </c>
      <c r="AK1559" s="60" t="s">
        <v>5515</v>
      </c>
      <c r="AL1559" s="117">
        <f>1/COUNTIF(Tableau6[LAT],B1559)</f>
        <v>0.16666666666666666</v>
      </c>
      <c r="AM1559" s="60" t="b">
        <f t="shared" si="171"/>
        <v>0</v>
      </c>
      <c r="AN1559" s="60" t="b">
        <f t="shared" si="172"/>
        <v>0</v>
      </c>
      <c r="AO1559" s="60" t="b">
        <f t="shared" si="173"/>
        <v>0</v>
      </c>
      <c r="AP1559" s="60" t="b">
        <f t="shared" si="174"/>
        <v>0</v>
      </c>
      <c r="AQ1559" s="60" t="b">
        <f t="shared" si="175"/>
        <v>0</v>
      </c>
      <c r="AR1559" s="60" t="str">
        <f t="shared" si="176"/>
        <v>No</v>
      </c>
      <c r="AS1559" s="60" t="str">
        <f t="shared" si="177"/>
        <v>No</v>
      </c>
    </row>
    <row r="1560" spans="1:45" ht="15">
      <c r="A1560" s="103">
        <v>45244</v>
      </c>
      <c r="B1560" s="28" t="s">
        <v>6028</v>
      </c>
      <c r="C1560" s="28" t="s">
        <v>612</v>
      </c>
      <c r="D1560" s="28" t="s">
        <v>6032</v>
      </c>
      <c r="F1560" s="28" t="s">
        <v>6033</v>
      </c>
      <c r="G1560" s="28" t="s">
        <v>665</v>
      </c>
      <c r="H1560" s="28" t="s">
        <v>1003</v>
      </c>
      <c r="I1560" s="28" t="s">
        <v>516</v>
      </c>
      <c r="J1560" s="28" t="s">
        <v>517</v>
      </c>
      <c r="K1560" s="28" t="s">
        <v>518</v>
      </c>
      <c r="L1560" s="28" t="s">
        <v>596</v>
      </c>
      <c r="M1560" s="28" t="s">
        <v>535</v>
      </c>
      <c r="N1560" s="28" t="s">
        <v>1140</v>
      </c>
      <c r="O1560" s="28" t="s">
        <v>557</v>
      </c>
      <c r="P1560" s="28" t="s">
        <v>544</v>
      </c>
      <c r="Q1560" s="28" t="s">
        <v>559</v>
      </c>
      <c r="S1560" s="28" t="s">
        <v>732</v>
      </c>
      <c r="T1560" s="28" t="s">
        <v>6030</v>
      </c>
      <c r="U1560" s="28" t="s">
        <v>597</v>
      </c>
      <c r="V1560" s="28" t="s">
        <v>517</v>
      </c>
      <c r="W1560" s="28" t="s">
        <v>821</v>
      </c>
      <c r="Z1560" s="118" t="s">
        <v>563</v>
      </c>
      <c r="AA1560" s="118"/>
      <c r="AB1560" s="118" t="s">
        <v>527</v>
      </c>
      <c r="AD1560" s="28" t="s">
        <v>528</v>
      </c>
      <c r="AF1560" s="117" t="s">
        <v>6032</v>
      </c>
      <c r="AG1560" s="28" t="s">
        <v>563</v>
      </c>
      <c r="AK1560" s="60" t="s">
        <v>5515</v>
      </c>
      <c r="AL1560" s="117">
        <f>1/COUNTIF(Tableau6[LAT],B1560)</f>
        <v>0.16666666666666666</v>
      </c>
      <c r="AM1560" s="60" t="b">
        <f t="shared" si="171"/>
        <v>0</v>
      </c>
      <c r="AN1560" s="60" t="b">
        <f t="shared" si="172"/>
        <v>0</v>
      </c>
      <c r="AO1560" s="60" t="b">
        <f t="shared" si="173"/>
        <v>0</v>
      </c>
      <c r="AP1560" s="60" t="b">
        <f t="shared" si="174"/>
        <v>0</v>
      </c>
      <c r="AQ1560" s="60" t="b">
        <f t="shared" si="175"/>
        <v>0</v>
      </c>
      <c r="AR1560" s="60" t="str">
        <f t="shared" si="176"/>
        <v>No</v>
      </c>
      <c r="AS1560" s="60" t="str">
        <f t="shared" si="177"/>
        <v>No</v>
      </c>
    </row>
    <row r="1561" spans="1:45" ht="15">
      <c r="A1561" s="103">
        <v>45244</v>
      </c>
      <c r="B1561" s="28" t="s">
        <v>6028</v>
      </c>
      <c r="C1561" s="28" t="s">
        <v>691</v>
      </c>
      <c r="D1561" s="28" t="s">
        <v>6034</v>
      </c>
      <c r="F1561" s="28" t="s">
        <v>3529</v>
      </c>
      <c r="G1561" s="28" t="s">
        <v>514</v>
      </c>
      <c r="H1561" s="28" t="s">
        <v>3667</v>
      </c>
      <c r="I1561" s="28" t="s">
        <v>516</v>
      </c>
      <c r="J1561" s="28" t="s">
        <v>517</v>
      </c>
      <c r="K1561" s="28" t="s">
        <v>518</v>
      </c>
      <c r="L1561" s="28" t="s">
        <v>596</v>
      </c>
      <c r="M1561" s="28" t="s">
        <v>535</v>
      </c>
      <c r="N1561" s="28" t="s">
        <v>1140</v>
      </c>
      <c r="O1561" s="28" t="s">
        <v>557</v>
      </c>
      <c r="P1561" s="28" t="s">
        <v>544</v>
      </c>
      <c r="Q1561" s="28" t="s">
        <v>559</v>
      </c>
      <c r="S1561" s="28" t="s">
        <v>732</v>
      </c>
      <c r="T1561" s="28" t="s">
        <v>6030</v>
      </c>
      <c r="U1561" s="28" t="s">
        <v>597</v>
      </c>
      <c r="V1561" s="28" t="s">
        <v>517</v>
      </c>
      <c r="W1561" s="28" t="s">
        <v>821</v>
      </c>
      <c r="Z1561" s="118" t="s">
        <v>563</v>
      </c>
      <c r="AA1561" s="118"/>
      <c r="AB1561" s="118" t="s">
        <v>527</v>
      </c>
      <c r="AD1561" s="28" t="s">
        <v>528</v>
      </c>
      <c r="AF1561" s="117" t="s">
        <v>6034</v>
      </c>
      <c r="AG1561" s="28" t="s">
        <v>563</v>
      </c>
      <c r="AK1561" s="60" t="s">
        <v>5515</v>
      </c>
      <c r="AL1561" s="117">
        <f>1/COUNTIF(Tableau6[LAT],B1561)</f>
        <v>0.16666666666666666</v>
      </c>
      <c r="AM1561" s="60" t="b">
        <f t="shared" si="171"/>
        <v>0</v>
      </c>
      <c r="AN1561" s="60" t="b">
        <f t="shared" si="172"/>
        <v>0</v>
      </c>
      <c r="AO1561" s="60" t="b">
        <f t="shared" si="173"/>
        <v>0</v>
      </c>
      <c r="AP1561" s="60" t="b">
        <f t="shared" si="174"/>
        <v>0</v>
      </c>
      <c r="AQ1561" s="60" t="b">
        <f t="shared" si="175"/>
        <v>0</v>
      </c>
      <c r="AR1561" s="60" t="str">
        <f t="shared" si="176"/>
        <v>No</v>
      </c>
      <c r="AS1561" s="60" t="str">
        <f t="shared" si="177"/>
        <v>No</v>
      </c>
    </row>
    <row r="1562" spans="1:45" ht="15">
      <c r="A1562" s="103">
        <v>45244</v>
      </c>
      <c r="B1562" s="28" t="s">
        <v>6028</v>
      </c>
      <c r="C1562" s="28" t="s">
        <v>859</v>
      </c>
      <c r="D1562" s="28" t="s">
        <v>6035</v>
      </c>
      <c r="F1562" s="28" t="s">
        <v>3529</v>
      </c>
      <c r="G1562" s="28" t="s">
        <v>514</v>
      </c>
      <c r="H1562" s="28" t="s">
        <v>3667</v>
      </c>
      <c r="I1562" s="28" t="s">
        <v>516</v>
      </c>
      <c r="J1562" s="28" t="s">
        <v>517</v>
      </c>
      <c r="K1562" s="28" t="s">
        <v>518</v>
      </c>
      <c r="L1562" s="28" t="s">
        <v>596</v>
      </c>
      <c r="M1562" s="28" t="s">
        <v>535</v>
      </c>
      <c r="N1562" s="28" t="s">
        <v>1140</v>
      </c>
      <c r="O1562" s="28" t="s">
        <v>557</v>
      </c>
      <c r="P1562" s="28" t="s">
        <v>544</v>
      </c>
      <c r="Q1562" s="28" t="s">
        <v>559</v>
      </c>
      <c r="S1562" s="28" t="s">
        <v>732</v>
      </c>
      <c r="T1562" s="28" t="s">
        <v>6030</v>
      </c>
      <c r="U1562" s="28" t="s">
        <v>597</v>
      </c>
      <c r="V1562" s="28" t="s">
        <v>517</v>
      </c>
      <c r="W1562" s="28" t="s">
        <v>821</v>
      </c>
      <c r="Z1562" s="118" t="s">
        <v>563</v>
      </c>
      <c r="AA1562" s="118"/>
      <c r="AB1562" s="118" t="s">
        <v>527</v>
      </c>
      <c r="AD1562" s="28" t="s">
        <v>528</v>
      </c>
      <c r="AF1562" s="117" t="s">
        <v>6035</v>
      </c>
      <c r="AG1562" s="28" t="s">
        <v>563</v>
      </c>
      <c r="AK1562" s="60" t="s">
        <v>5515</v>
      </c>
      <c r="AL1562" s="117">
        <f>1/COUNTIF(Tableau6[LAT],B1562)</f>
        <v>0.16666666666666666</v>
      </c>
      <c r="AM1562" s="60" t="b">
        <f t="shared" si="171"/>
        <v>0</v>
      </c>
      <c r="AN1562" s="60" t="b">
        <f t="shared" si="172"/>
        <v>0</v>
      </c>
      <c r="AO1562" s="60" t="b">
        <f t="shared" si="173"/>
        <v>0</v>
      </c>
      <c r="AP1562" s="60" t="b">
        <f t="shared" si="174"/>
        <v>0</v>
      </c>
      <c r="AQ1562" s="60" t="b">
        <f t="shared" si="175"/>
        <v>0</v>
      </c>
      <c r="AR1562" s="60" t="str">
        <f t="shared" si="176"/>
        <v>No</v>
      </c>
      <c r="AS1562" s="60" t="str">
        <f t="shared" si="177"/>
        <v>No</v>
      </c>
    </row>
    <row r="1563" spans="1:45" ht="15">
      <c r="A1563" s="103">
        <v>45244</v>
      </c>
      <c r="B1563" s="28" t="s">
        <v>6028</v>
      </c>
      <c r="C1563" s="28" t="s">
        <v>861</v>
      </c>
      <c r="D1563" s="28" t="s">
        <v>6036</v>
      </c>
      <c r="F1563" s="28" t="s">
        <v>3529</v>
      </c>
      <c r="G1563" s="28" t="s">
        <v>514</v>
      </c>
      <c r="H1563" s="28" t="s">
        <v>3667</v>
      </c>
      <c r="I1563" s="28" t="s">
        <v>516</v>
      </c>
      <c r="J1563" s="28" t="s">
        <v>517</v>
      </c>
      <c r="K1563" s="28" t="s">
        <v>518</v>
      </c>
      <c r="L1563" s="28" t="s">
        <v>596</v>
      </c>
      <c r="M1563" s="28" t="s">
        <v>535</v>
      </c>
      <c r="N1563" s="28" t="s">
        <v>1140</v>
      </c>
      <c r="O1563" s="28" t="s">
        <v>557</v>
      </c>
      <c r="P1563" s="28" t="s">
        <v>544</v>
      </c>
      <c r="Q1563" s="28" t="s">
        <v>559</v>
      </c>
      <c r="S1563" s="28" t="s">
        <v>732</v>
      </c>
      <c r="T1563" s="28" t="s">
        <v>6030</v>
      </c>
      <c r="U1563" s="28" t="s">
        <v>597</v>
      </c>
      <c r="V1563" s="28" t="s">
        <v>517</v>
      </c>
      <c r="W1563" s="28" t="s">
        <v>821</v>
      </c>
      <c r="Z1563" s="118" t="s">
        <v>563</v>
      </c>
      <c r="AA1563" s="118"/>
      <c r="AB1563" s="118" t="s">
        <v>527</v>
      </c>
      <c r="AD1563" s="28" t="s">
        <v>528</v>
      </c>
      <c r="AF1563" s="117" t="s">
        <v>6036</v>
      </c>
      <c r="AG1563" s="28" t="s">
        <v>563</v>
      </c>
      <c r="AK1563" s="60" t="s">
        <v>5515</v>
      </c>
      <c r="AL1563" s="117">
        <f>1/COUNTIF(Tableau6[LAT],B1563)</f>
        <v>0.16666666666666666</v>
      </c>
      <c r="AM1563" s="60" t="b">
        <f t="shared" si="171"/>
        <v>0</v>
      </c>
      <c r="AN1563" s="60" t="b">
        <f t="shared" si="172"/>
        <v>0</v>
      </c>
      <c r="AO1563" s="60" t="b">
        <f t="shared" si="173"/>
        <v>0</v>
      </c>
      <c r="AP1563" s="60" t="b">
        <f t="shared" si="174"/>
        <v>0</v>
      </c>
      <c r="AQ1563" s="60" t="b">
        <f t="shared" si="175"/>
        <v>0</v>
      </c>
      <c r="AR1563" s="60" t="str">
        <f t="shared" si="176"/>
        <v>No</v>
      </c>
      <c r="AS1563" s="60" t="str">
        <f t="shared" si="177"/>
        <v>No</v>
      </c>
    </row>
    <row r="1564" spans="1:45" ht="15">
      <c r="A1564" s="103">
        <v>45244</v>
      </c>
      <c r="B1564" s="28" t="s">
        <v>6037</v>
      </c>
      <c r="C1564" s="28" t="s">
        <v>511</v>
      </c>
      <c r="D1564" s="28" t="s">
        <v>6038</v>
      </c>
      <c r="F1564" s="28" t="s">
        <v>1672</v>
      </c>
      <c r="G1564" s="28" t="s">
        <v>514</v>
      </c>
      <c r="H1564" s="28" t="s">
        <v>3628</v>
      </c>
      <c r="I1564" s="28" t="s">
        <v>516</v>
      </c>
      <c r="J1564" s="28" t="s">
        <v>517</v>
      </c>
      <c r="K1564" s="28" t="s">
        <v>518</v>
      </c>
      <c r="L1564" s="28" t="s">
        <v>2325</v>
      </c>
      <c r="M1564" s="28" t="s">
        <v>535</v>
      </c>
      <c r="N1564" s="28" t="s">
        <v>544</v>
      </c>
      <c r="O1564" s="28" t="s">
        <v>6039</v>
      </c>
      <c r="S1564" s="28" t="s">
        <v>905</v>
      </c>
      <c r="T1564" s="28" t="s">
        <v>2326</v>
      </c>
      <c r="U1564" s="28" t="s">
        <v>2326</v>
      </c>
      <c r="V1564" s="28" t="s">
        <v>517</v>
      </c>
      <c r="W1564" s="28" t="s">
        <v>6040</v>
      </c>
      <c r="Z1564" s="118" t="s">
        <v>526</v>
      </c>
      <c r="AA1564" s="118"/>
      <c r="AB1564" s="118"/>
      <c r="AD1564" s="28" t="s">
        <v>528</v>
      </c>
      <c r="AF1564" s="117" t="s">
        <v>6038</v>
      </c>
      <c r="AG1564" s="28" t="s">
        <v>529</v>
      </c>
      <c r="AK1564" s="60" t="s">
        <v>5515</v>
      </c>
      <c r="AL1564" s="117">
        <f>1/COUNTIF(Tableau6[LAT],B1564)</f>
        <v>0.33333333333333331</v>
      </c>
      <c r="AM1564" s="60" t="b">
        <f t="shared" si="171"/>
        <v>0</v>
      </c>
      <c r="AN1564" s="60" t="b">
        <f t="shared" si="172"/>
        <v>0</v>
      </c>
      <c r="AO1564" s="60" t="b">
        <f t="shared" si="173"/>
        <v>0</v>
      </c>
      <c r="AP1564" s="60" t="b">
        <f t="shared" si="174"/>
        <v>0</v>
      </c>
      <c r="AQ1564" s="60" t="b">
        <f t="shared" si="175"/>
        <v>0</v>
      </c>
      <c r="AR1564" s="60" t="str">
        <f t="shared" si="176"/>
        <v>No</v>
      </c>
      <c r="AS1564" s="60" t="str">
        <f t="shared" si="177"/>
        <v>No</v>
      </c>
    </row>
    <row r="1565" spans="1:45" ht="15">
      <c r="A1565" s="103">
        <v>45244</v>
      </c>
      <c r="B1565" s="28" t="s">
        <v>6037</v>
      </c>
      <c r="C1565" s="28" t="s">
        <v>548</v>
      </c>
      <c r="D1565" s="28" t="s">
        <v>6041</v>
      </c>
      <c r="F1565" s="28" t="s">
        <v>1672</v>
      </c>
      <c r="G1565" s="28" t="s">
        <v>514</v>
      </c>
      <c r="H1565" s="28" t="s">
        <v>3628</v>
      </c>
      <c r="I1565" s="28" t="s">
        <v>516</v>
      </c>
      <c r="J1565" s="28" t="s">
        <v>517</v>
      </c>
      <c r="K1565" s="28" t="s">
        <v>518</v>
      </c>
      <c r="L1565" s="28" t="s">
        <v>2325</v>
      </c>
      <c r="M1565" s="28" t="s">
        <v>535</v>
      </c>
      <c r="N1565" s="28" t="s">
        <v>544</v>
      </c>
      <c r="O1565" s="28" t="s">
        <v>6039</v>
      </c>
      <c r="S1565" s="28" t="s">
        <v>905</v>
      </c>
      <c r="T1565" s="28" t="s">
        <v>2326</v>
      </c>
      <c r="U1565" s="28" t="s">
        <v>2326</v>
      </c>
      <c r="V1565" s="28" t="s">
        <v>517</v>
      </c>
      <c r="W1565" s="28" t="s">
        <v>6042</v>
      </c>
      <c r="Z1565" s="118" t="s">
        <v>526</v>
      </c>
      <c r="AA1565" s="118"/>
      <c r="AB1565" s="118"/>
      <c r="AD1565" s="28" t="s">
        <v>528</v>
      </c>
      <c r="AF1565" s="117" t="s">
        <v>6038</v>
      </c>
      <c r="AG1565" s="28" t="s">
        <v>529</v>
      </c>
      <c r="AK1565" s="60" t="s">
        <v>5515</v>
      </c>
      <c r="AL1565" s="117">
        <f>1/COUNTIF(Tableau6[LAT],B1565)</f>
        <v>0.33333333333333331</v>
      </c>
      <c r="AM1565" s="60" t="b">
        <f t="shared" si="171"/>
        <v>0</v>
      </c>
      <c r="AN1565" s="60" t="b">
        <f t="shared" si="172"/>
        <v>0</v>
      </c>
      <c r="AO1565" s="60" t="b">
        <f t="shared" si="173"/>
        <v>0</v>
      </c>
      <c r="AP1565" s="60" t="b">
        <f t="shared" si="174"/>
        <v>0</v>
      </c>
      <c r="AQ1565" s="60" t="b">
        <f t="shared" si="175"/>
        <v>0</v>
      </c>
      <c r="AR1565" s="60" t="str">
        <f t="shared" si="176"/>
        <v>No</v>
      </c>
      <c r="AS1565" s="60" t="str">
        <f t="shared" si="177"/>
        <v>No</v>
      </c>
    </row>
    <row r="1566" spans="1:45" ht="15">
      <c r="A1566" s="103">
        <v>45244</v>
      </c>
      <c r="B1566" s="28" t="s">
        <v>6037</v>
      </c>
      <c r="C1566" s="28" t="s">
        <v>612</v>
      </c>
      <c r="D1566" s="28" t="s">
        <v>6043</v>
      </c>
      <c r="F1566" s="28" t="s">
        <v>1672</v>
      </c>
      <c r="G1566" s="28" t="s">
        <v>514</v>
      </c>
      <c r="H1566" s="28" t="s">
        <v>921</v>
      </c>
      <c r="I1566" s="28" t="s">
        <v>516</v>
      </c>
      <c r="J1566" s="28" t="s">
        <v>517</v>
      </c>
      <c r="K1566" s="28" t="s">
        <v>518</v>
      </c>
      <c r="L1566" s="28" t="s">
        <v>2325</v>
      </c>
      <c r="M1566" s="28" t="s">
        <v>535</v>
      </c>
      <c r="N1566" s="28" t="s">
        <v>544</v>
      </c>
      <c r="O1566" s="28" t="s">
        <v>6039</v>
      </c>
      <c r="S1566" s="28" t="s">
        <v>905</v>
      </c>
      <c r="T1566" s="28" t="s">
        <v>2326</v>
      </c>
      <c r="U1566" s="28" t="s">
        <v>2326</v>
      </c>
      <c r="V1566" s="28" t="s">
        <v>517</v>
      </c>
      <c r="W1566" s="28" t="s">
        <v>6044</v>
      </c>
      <c r="Z1566" s="118" t="s">
        <v>526</v>
      </c>
      <c r="AA1566" s="118"/>
      <c r="AB1566" s="118"/>
      <c r="AD1566" s="28" t="s">
        <v>528</v>
      </c>
      <c r="AF1566" s="117" t="s">
        <v>6038</v>
      </c>
      <c r="AG1566" s="28" t="s">
        <v>529</v>
      </c>
      <c r="AK1566" s="60" t="s">
        <v>5515</v>
      </c>
      <c r="AL1566" s="117">
        <f>1/COUNTIF(Tableau6[LAT],B1566)</f>
        <v>0.33333333333333331</v>
      </c>
      <c r="AM1566" s="60" t="b">
        <f t="shared" si="171"/>
        <v>0</v>
      </c>
      <c r="AN1566" s="60" t="b">
        <f t="shared" si="172"/>
        <v>0</v>
      </c>
      <c r="AO1566" s="60" t="b">
        <f t="shared" si="173"/>
        <v>0</v>
      </c>
      <c r="AP1566" s="60" t="b">
        <f t="shared" si="174"/>
        <v>0</v>
      </c>
      <c r="AQ1566" s="60" t="b">
        <f t="shared" si="175"/>
        <v>0</v>
      </c>
      <c r="AR1566" s="60" t="str">
        <f t="shared" si="176"/>
        <v>No</v>
      </c>
      <c r="AS1566" s="60" t="str">
        <f t="shared" si="177"/>
        <v>No</v>
      </c>
    </row>
    <row r="1567" spans="1:45" ht="15">
      <c r="A1567" s="103">
        <v>45244</v>
      </c>
      <c r="B1567" s="28" t="s">
        <v>6045</v>
      </c>
      <c r="C1567" s="28" t="s">
        <v>511</v>
      </c>
      <c r="D1567" s="28" t="s">
        <v>6046</v>
      </c>
      <c r="F1567" s="28" t="s">
        <v>6047</v>
      </c>
      <c r="G1567" s="28" t="s">
        <v>514</v>
      </c>
      <c r="H1567" s="28" t="s">
        <v>1129</v>
      </c>
      <c r="I1567" s="28" t="s">
        <v>516</v>
      </c>
      <c r="J1567" s="28" t="s">
        <v>517</v>
      </c>
      <c r="K1567" s="28" t="s">
        <v>518</v>
      </c>
      <c r="L1567" s="28" t="s">
        <v>5029</v>
      </c>
      <c r="M1567" s="28" t="s">
        <v>535</v>
      </c>
      <c r="N1567" s="28" t="s">
        <v>6039</v>
      </c>
      <c r="S1567" s="28" t="s">
        <v>905</v>
      </c>
      <c r="T1567" s="28" t="s">
        <v>6048</v>
      </c>
      <c r="U1567" s="28" t="s">
        <v>6048</v>
      </c>
      <c r="V1567" s="28" t="s">
        <v>517</v>
      </c>
      <c r="W1567" s="28" t="s">
        <v>6049</v>
      </c>
      <c r="Z1567" s="118" t="s">
        <v>526</v>
      </c>
      <c r="AA1567" s="118"/>
      <c r="AB1567" s="118"/>
      <c r="AD1567" s="28" t="s">
        <v>528</v>
      </c>
      <c r="AF1567" s="117" t="s">
        <v>6046</v>
      </c>
      <c r="AG1567" s="28" t="s">
        <v>563</v>
      </c>
      <c r="AK1567" s="60" t="s">
        <v>5515</v>
      </c>
      <c r="AL1567" s="117">
        <f>1/COUNTIF(Tableau6[LAT],B1567)</f>
        <v>1</v>
      </c>
      <c r="AM1567" s="60" t="b">
        <f t="shared" si="171"/>
        <v>0</v>
      </c>
      <c r="AN1567" s="60" t="b">
        <f t="shared" si="172"/>
        <v>0</v>
      </c>
      <c r="AO1567" s="60" t="b">
        <f t="shared" si="173"/>
        <v>0</v>
      </c>
      <c r="AP1567" s="60" t="b">
        <f t="shared" si="174"/>
        <v>0</v>
      </c>
      <c r="AQ1567" s="60" t="b">
        <f t="shared" si="175"/>
        <v>0</v>
      </c>
      <c r="AR1567" s="60" t="str">
        <f t="shared" si="176"/>
        <v>No</v>
      </c>
      <c r="AS1567" s="60" t="str">
        <f t="shared" si="177"/>
        <v>No</v>
      </c>
    </row>
    <row r="1568" spans="1:45" ht="15">
      <c r="A1568" s="103">
        <v>45244</v>
      </c>
      <c r="B1568" s="28" t="s">
        <v>6050</v>
      </c>
      <c r="C1568" s="28" t="s">
        <v>511</v>
      </c>
      <c r="D1568" s="28" t="s">
        <v>6051</v>
      </c>
      <c r="F1568" s="28" t="s">
        <v>6052</v>
      </c>
      <c r="G1568" s="28" t="s">
        <v>514</v>
      </c>
      <c r="H1568" s="28" t="s">
        <v>966</v>
      </c>
      <c r="I1568" s="28" t="s">
        <v>516</v>
      </c>
      <c r="J1568" s="28" t="s">
        <v>517</v>
      </c>
      <c r="K1568" s="28" t="s">
        <v>518</v>
      </c>
      <c r="L1568" s="28" t="s">
        <v>3639</v>
      </c>
      <c r="M1568" s="28" t="s">
        <v>535</v>
      </c>
      <c r="N1568" s="28" t="s">
        <v>6039</v>
      </c>
      <c r="S1568" s="28" t="s">
        <v>905</v>
      </c>
      <c r="T1568" s="28" t="s">
        <v>3640</v>
      </c>
      <c r="U1568" s="28" t="s">
        <v>3640</v>
      </c>
      <c r="V1568" s="28" t="s">
        <v>517</v>
      </c>
      <c r="W1568" s="28" t="s">
        <v>6053</v>
      </c>
      <c r="Z1568" s="118" t="s">
        <v>563</v>
      </c>
      <c r="AA1568" s="118"/>
      <c r="AB1568" s="118" t="s">
        <v>4506</v>
      </c>
      <c r="AD1568" s="28" t="s">
        <v>528</v>
      </c>
      <c r="AF1568" s="117" t="s">
        <v>6051</v>
      </c>
      <c r="AG1568" s="28" t="s">
        <v>563</v>
      </c>
      <c r="AK1568" s="60" t="s">
        <v>5515</v>
      </c>
      <c r="AL1568" s="117">
        <f>1/COUNTIF(Tableau6[LAT],B1568)</f>
        <v>1</v>
      </c>
      <c r="AM1568" s="60" t="b">
        <f t="shared" si="171"/>
        <v>0</v>
      </c>
      <c r="AN1568" s="60" t="b">
        <f t="shared" si="172"/>
        <v>0</v>
      </c>
      <c r="AO1568" s="60" t="b">
        <f t="shared" si="173"/>
        <v>0</v>
      </c>
      <c r="AP1568" s="60" t="b">
        <f t="shared" si="174"/>
        <v>0</v>
      </c>
      <c r="AQ1568" s="60" t="b">
        <f t="shared" si="175"/>
        <v>0</v>
      </c>
      <c r="AR1568" s="60" t="str">
        <f t="shared" si="176"/>
        <v>No</v>
      </c>
      <c r="AS1568" s="60" t="str">
        <f t="shared" si="177"/>
        <v>No</v>
      </c>
    </row>
    <row r="1569" spans="1:45" ht="15">
      <c r="A1569" s="103">
        <v>45244</v>
      </c>
      <c r="B1569" s="28">
        <v>5748248115</v>
      </c>
      <c r="C1569" s="28" t="s">
        <v>511</v>
      </c>
      <c r="D1569" s="28">
        <v>5748248115001</v>
      </c>
      <c r="F1569" s="28" t="s">
        <v>6054</v>
      </c>
      <c r="G1569" s="28" t="s">
        <v>514</v>
      </c>
      <c r="H1569" s="28" t="s">
        <v>4398</v>
      </c>
      <c r="I1569" s="28" t="s">
        <v>516</v>
      </c>
      <c r="J1569" s="28" t="s">
        <v>517</v>
      </c>
      <c r="K1569" s="28" t="s">
        <v>518</v>
      </c>
      <c r="L1569" s="28" t="s">
        <v>4498</v>
      </c>
      <c r="M1569" s="28" t="s">
        <v>535</v>
      </c>
      <c r="N1569" s="28" t="s">
        <v>4006</v>
      </c>
      <c r="O1569" s="28" t="s">
        <v>1415</v>
      </c>
      <c r="P1569" s="28" t="s">
        <v>934</v>
      </c>
      <c r="Q1569" s="28" t="s">
        <v>6039</v>
      </c>
      <c r="S1569" s="28" t="s">
        <v>905</v>
      </c>
      <c r="T1569" s="28" t="s">
        <v>606</v>
      </c>
      <c r="U1569" s="28" t="s">
        <v>606</v>
      </c>
      <c r="V1569" s="28" t="s">
        <v>517</v>
      </c>
      <c r="W1569" s="28" t="s">
        <v>6055</v>
      </c>
      <c r="Z1569" s="118" t="s">
        <v>526</v>
      </c>
      <c r="AA1569" s="118"/>
      <c r="AB1569" s="118"/>
      <c r="AF1569" s="117" t="s">
        <v>1504</v>
      </c>
      <c r="AK1569" s="60" t="s">
        <v>5515</v>
      </c>
      <c r="AL1569" s="117">
        <f>1/COUNTIF(Tableau6[LAT],B1569)</f>
        <v>1</v>
      </c>
      <c r="AM1569" s="60" t="str">
        <f t="shared" si="171"/>
        <v>Yes</v>
      </c>
      <c r="AN1569" s="60" t="str">
        <f t="shared" si="172"/>
        <v>Yes</v>
      </c>
      <c r="AO1569" s="60" t="b">
        <f t="shared" si="173"/>
        <v>0</v>
      </c>
      <c r="AP1569" s="60" t="b">
        <f t="shared" si="174"/>
        <v>0</v>
      </c>
      <c r="AQ1569" s="60" t="b">
        <f t="shared" si="175"/>
        <v>0</v>
      </c>
      <c r="AR1569" s="60" t="str">
        <f t="shared" si="176"/>
        <v>Yes</v>
      </c>
      <c r="AS1569" s="60" t="str">
        <f t="shared" si="177"/>
        <v>No</v>
      </c>
    </row>
    <row r="1570" spans="1:45" ht="15">
      <c r="A1570" s="103">
        <v>45244</v>
      </c>
      <c r="B1570" s="28" t="s">
        <v>6056</v>
      </c>
      <c r="C1570" s="28" t="s">
        <v>548</v>
      </c>
      <c r="D1570" s="28" t="s">
        <v>6057</v>
      </c>
      <c r="F1570" s="28" t="s">
        <v>6058</v>
      </c>
      <c r="G1570" s="28" t="s">
        <v>514</v>
      </c>
      <c r="H1570" s="28" t="s">
        <v>1241</v>
      </c>
      <c r="I1570" s="28" t="s">
        <v>516</v>
      </c>
      <c r="J1570" s="28" t="s">
        <v>517</v>
      </c>
      <c r="K1570" s="28" t="s">
        <v>518</v>
      </c>
      <c r="L1570" s="28" t="s">
        <v>751</v>
      </c>
      <c r="M1570" s="28" t="s">
        <v>535</v>
      </c>
      <c r="N1570" s="28" t="s">
        <v>557</v>
      </c>
      <c r="O1570" s="28" t="s">
        <v>544</v>
      </c>
      <c r="P1570" s="28" t="s">
        <v>427</v>
      </c>
      <c r="Q1570" s="28" t="s">
        <v>522</v>
      </c>
      <c r="S1570" s="28" t="s">
        <v>1529</v>
      </c>
      <c r="T1570" s="28" t="s">
        <v>6059</v>
      </c>
      <c r="U1570" s="28" t="s">
        <v>753</v>
      </c>
      <c r="V1570" s="28" t="s">
        <v>517</v>
      </c>
      <c r="W1570" s="28" t="s">
        <v>6060</v>
      </c>
      <c r="Z1570" s="118" t="s">
        <v>526</v>
      </c>
      <c r="AA1570" s="118"/>
      <c r="AB1570" s="118"/>
      <c r="AD1570" s="28" t="s">
        <v>528</v>
      </c>
      <c r="AF1570" s="117" t="s">
        <v>6061</v>
      </c>
      <c r="AG1570" s="28" t="s">
        <v>529</v>
      </c>
      <c r="AK1570" s="60" t="s">
        <v>5515</v>
      </c>
      <c r="AL1570" s="117">
        <f>1/COUNTIF(Tableau6[LAT],B1570)</f>
        <v>1</v>
      </c>
      <c r="AM1570" s="60" t="b">
        <f t="shared" si="171"/>
        <v>0</v>
      </c>
      <c r="AN1570" s="60" t="b">
        <f t="shared" si="172"/>
        <v>0</v>
      </c>
      <c r="AO1570" s="60" t="b">
        <f t="shared" si="173"/>
        <v>0</v>
      </c>
      <c r="AP1570" s="60" t="b">
        <f t="shared" si="174"/>
        <v>0</v>
      </c>
      <c r="AQ1570" s="60" t="b">
        <f t="shared" si="175"/>
        <v>0</v>
      </c>
      <c r="AR1570" s="60" t="str">
        <f t="shared" si="176"/>
        <v>No</v>
      </c>
      <c r="AS1570" s="60" t="str">
        <f t="shared" si="177"/>
        <v>No</v>
      </c>
    </row>
    <row r="1571" spans="1:45" ht="15">
      <c r="A1571" s="103">
        <v>45244</v>
      </c>
      <c r="B1571" s="28" t="s">
        <v>6062</v>
      </c>
      <c r="C1571" s="28" t="s">
        <v>511</v>
      </c>
      <c r="D1571" s="28" t="s">
        <v>6063</v>
      </c>
      <c r="F1571" s="28" t="s">
        <v>6064</v>
      </c>
      <c r="G1571" s="28" t="s">
        <v>657</v>
      </c>
      <c r="H1571" s="28" t="s">
        <v>1554</v>
      </c>
      <c r="I1571" s="28" t="s">
        <v>517</v>
      </c>
      <c r="J1571" s="28" t="s">
        <v>517</v>
      </c>
      <c r="K1571" s="28" t="s">
        <v>518</v>
      </c>
      <c r="L1571" s="28" t="s">
        <v>1097</v>
      </c>
      <c r="M1571" s="28" t="s">
        <v>535</v>
      </c>
      <c r="N1571" s="28" t="s">
        <v>1124</v>
      </c>
      <c r="O1571" s="28" t="s">
        <v>6065</v>
      </c>
      <c r="P1571" s="28" t="s">
        <v>2359</v>
      </c>
      <c r="Q1571" s="28" t="s">
        <v>572</v>
      </c>
      <c r="S1571" s="28" t="s">
        <v>573</v>
      </c>
      <c r="T1571" s="28" t="s">
        <v>1098</v>
      </c>
      <c r="U1571" s="28" t="s">
        <v>1098</v>
      </c>
      <c r="V1571" s="28" t="s">
        <v>517</v>
      </c>
      <c r="W1571" s="28" t="s">
        <v>5630</v>
      </c>
      <c r="Z1571" s="118" t="s">
        <v>563</v>
      </c>
      <c r="AA1571" s="118"/>
      <c r="AB1571" s="118" t="s">
        <v>527</v>
      </c>
      <c r="AD1571" s="28" t="s">
        <v>954</v>
      </c>
      <c r="AF1571" s="117" t="s">
        <v>6063</v>
      </c>
      <c r="AG1571" s="28" t="s">
        <v>563</v>
      </c>
      <c r="AK1571" s="60" t="s">
        <v>5515</v>
      </c>
      <c r="AL1571" s="117">
        <f>1/COUNTIF(Tableau6[LAT],B1571)</f>
        <v>1</v>
      </c>
      <c r="AM1571" s="60" t="b">
        <f t="shared" si="171"/>
        <v>0</v>
      </c>
      <c r="AN1571" s="60" t="b">
        <f t="shared" si="172"/>
        <v>0</v>
      </c>
      <c r="AO1571" s="60" t="b">
        <f t="shared" si="173"/>
        <v>0</v>
      </c>
      <c r="AP1571" s="60" t="b">
        <f t="shared" si="174"/>
        <v>0</v>
      </c>
      <c r="AQ1571" s="60" t="b">
        <f t="shared" si="175"/>
        <v>0</v>
      </c>
      <c r="AR1571" s="60" t="str">
        <f t="shared" si="176"/>
        <v>No</v>
      </c>
      <c r="AS1571" s="60" t="str">
        <f t="shared" si="177"/>
        <v>No</v>
      </c>
    </row>
    <row r="1572" spans="1:45" ht="15">
      <c r="A1572" s="103">
        <v>45244</v>
      </c>
      <c r="B1572" s="28" t="s">
        <v>6066</v>
      </c>
      <c r="C1572" s="28" t="s">
        <v>511</v>
      </c>
      <c r="D1572" s="28" t="s">
        <v>6067</v>
      </c>
      <c r="E1572" s="28" t="s">
        <v>5679</v>
      </c>
      <c r="F1572" s="28" t="s">
        <v>6068</v>
      </c>
      <c r="G1572" s="28" t="s">
        <v>2675</v>
      </c>
      <c r="H1572" s="28" t="s">
        <v>1957</v>
      </c>
      <c r="I1572" s="28" t="s">
        <v>517</v>
      </c>
      <c r="J1572" s="28" t="s">
        <v>517</v>
      </c>
      <c r="K1572" s="28" t="s">
        <v>682</v>
      </c>
      <c r="L1572" s="28" t="s">
        <v>5680</v>
      </c>
      <c r="M1572" s="28" t="s">
        <v>535</v>
      </c>
      <c r="N1572" s="28" t="s">
        <v>557</v>
      </c>
      <c r="O1572" s="28" t="s">
        <v>522</v>
      </c>
      <c r="S1572" s="28" t="s">
        <v>573</v>
      </c>
      <c r="T1572" s="28" t="s">
        <v>1918</v>
      </c>
      <c r="U1572" s="28" t="s">
        <v>1918</v>
      </c>
      <c r="V1572" s="28" t="s">
        <v>517</v>
      </c>
      <c r="W1572" s="28" t="s">
        <v>5681</v>
      </c>
      <c r="Z1572" s="118" t="s">
        <v>563</v>
      </c>
      <c r="AA1572" s="118"/>
      <c r="AB1572" s="118" t="s">
        <v>527</v>
      </c>
      <c r="AD1572" s="28" t="s">
        <v>954</v>
      </c>
      <c r="AF1572" s="117" t="s">
        <v>6067</v>
      </c>
      <c r="AG1572" s="28" t="s">
        <v>563</v>
      </c>
      <c r="AK1572" s="60" t="s">
        <v>5515</v>
      </c>
      <c r="AL1572" s="117">
        <f>1/COUNTIF(Tableau6[LAT],B1572)</f>
        <v>0.5</v>
      </c>
      <c r="AM1572" s="60" t="b">
        <f t="shared" si="171"/>
        <v>0</v>
      </c>
      <c r="AN1572" s="60" t="b">
        <f t="shared" si="172"/>
        <v>0</v>
      </c>
      <c r="AO1572" s="60" t="b">
        <f t="shared" si="173"/>
        <v>0</v>
      </c>
      <c r="AP1572" s="60" t="b">
        <f t="shared" si="174"/>
        <v>0</v>
      </c>
      <c r="AQ1572" s="60" t="b">
        <f t="shared" si="175"/>
        <v>0</v>
      </c>
      <c r="AR1572" s="60" t="str">
        <f t="shared" si="176"/>
        <v>No</v>
      </c>
      <c r="AS1572" s="60" t="str">
        <f t="shared" si="177"/>
        <v>No</v>
      </c>
    </row>
    <row r="1573" spans="1:45" ht="15">
      <c r="A1573" s="103">
        <v>45244</v>
      </c>
      <c r="B1573" s="28" t="s">
        <v>6066</v>
      </c>
      <c r="C1573" s="28" t="s">
        <v>548</v>
      </c>
      <c r="D1573" s="28" t="s">
        <v>6069</v>
      </c>
      <c r="E1573" s="28" t="s">
        <v>5679</v>
      </c>
      <c r="F1573" s="28" t="s">
        <v>6070</v>
      </c>
      <c r="G1573" s="28" t="s">
        <v>514</v>
      </c>
      <c r="H1573" s="28" t="s">
        <v>1413</v>
      </c>
      <c r="I1573" s="28" t="s">
        <v>517</v>
      </c>
      <c r="J1573" s="28" t="s">
        <v>517</v>
      </c>
      <c r="K1573" s="28" t="s">
        <v>682</v>
      </c>
      <c r="L1573" s="28" t="s">
        <v>5680</v>
      </c>
      <c r="M1573" s="28" t="s">
        <v>535</v>
      </c>
      <c r="N1573" s="28" t="s">
        <v>557</v>
      </c>
      <c r="O1573" s="28" t="s">
        <v>522</v>
      </c>
      <c r="S1573" s="28" t="s">
        <v>573</v>
      </c>
      <c r="T1573" s="28" t="s">
        <v>1918</v>
      </c>
      <c r="U1573" s="28" t="s">
        <v>1918</v>
      </c>
      <c r="V1573" s="28" t="s">
        <v>517</v>
      </c>
      <c r="W1573" s="28" t="s">
        <v>5681</v>
      </c>
      <c r="Z1573" s="118" t="s">
        <v>563</v>
      </c>
      <c r="AA1573" s="118"/>
      <c r="AB1573" s="118" t="s">
        <v>527</v>
      </c>
      <c r="AD1573" s="28" t="s">
        <v>954</v>
      </c>
      <c r="AF1573" s="117" t="s">
        <v>6069</v>
      </c>
      <c r="AG1573" s="28" t="s">
        <v>563</v>
      </c>
      <c r="AK1573" s="60" t="s">
        <v>5515</v>
      </c>
      <c r="AL1573" s="117">
        <f>1/COUNTIF(Tableau6[LAT],B1573)</f>
        <v>0.5</v>
      </c>
      <c r="AM1573" s="60" t="b">
        <f t="shared" si="171"/>
        <v>0</v>
      </c>
      <c r="AN1573" s="60" t="b">
        <f t="shared" si="172"/>
        <v>0</v>
      </c>
      <c r="AO1573" s="60" t="b">
        <f t="shared" si="173"/>
        <v>0</v>
      </c>
      <c r="AP1573" s="60" t="b">
        <f t="shared" si="174"/>
        <v>0</v>
      </c>
      <c r="AQ1573" s="60" t="b">
        <f t="shared" si="175"/>
        <v>0</v>
      </c>
      <c r="AR1573" s="60" t="str">
        <f t="shared" si="176"/>
        <v>No</v>
      </c>
      <c r="AS1573" s="60" t="str">
        <f t="shared" si="177"/>
        <v>No</v>
      </c>
    </row>
    <row r="1574" spans="1:45" ht="15">
      <c r="A1574" s="103">
        <v>45244</v>
      </c>
      <c r="B1574" s="28">
        <v>5748338754</v>
      </c>
      <c r="C1574" s="28" t="s">
        <v>511</v>
      </c>
      <c r="D1574" s="28" t="s">
        <v>6071</v>
      </c>
      <c r="F1574" s="28" t="s">
        <v>6072</v>
      </c>
      <c r="G1574" s="28" t="s">
        <v>514</v>
      </c>
      <c r="H1574" s="28" t="s">
        <v>2543</v>
      </c>
      <c r="I1574" s="28" t="s">
        <v>516</v>
      </c>
      <c r="J1574" s="28" t="s">
        <v>517</v>
      </c>
      <c r="K1574" s="28" t="s">
        <v>518</v>
      </c>
      <c r="L1574" s="28" t="s">
        <v>739</v>
      </c>
      <c r="M1574" s="28" t="s">
        <v>535</v>
      </c>
      <c r="N1574" s="28" t="s">
        <v>544</v>
      </c>
      <c r="O1574" s="28" t="s">
        <v>1107</v>
      </c>
      <c r="S1574" s="28" t="s">
        <v>752</v>
      </c>
      <c r="T1574" s="28" t="s">
        <v>741</v>
      </c>
      <c r="U1574" s="28" t="s">
        <v>741</v>
      </c>
      <c r="V1574" s="28" t="s">
        <v>517</v>
      </c>
      <c r="W1574" s="28" t="s">
        <v>591</v>
      </c>
      <c r="Z1574" s="118" t="s">
        <v>563</v>
      </c>
      <c r="AA1574" s="118"/>
      <c r="AB1574" s="118" t="s">
        <v>6073</v>
      </c>
      <c r="AD1574" s="28" t="s">
        <v>528</v>
      </c>
      <c r="AF1574" s="117" t="s">
        <v>1504</v>
      </c>
      <c r="AG1574" s="28" t="s">
        <v>563</v>
      </c>
      <c r="AK1574" s="60" t="s">
        <v>5515</v>
      </c>
      <c r="AL1574" s="117">
        <f>1/COUNTIF(Tableau6[LAT],B1574)</f>
        <v>0.5</v>
      </c>
      <c r="AM1574" s="60" t="b">
        <f t="shared" si="171"/>
        <v>0</v>
      </c>
      <c r="AN1574" s="60" t="b">
        <f t="shared" si="172"/>
        <v>0</v>
      </c>
      <c r="AO1574" s="60" t="b">
        <f t="shared" si="173"/>
        <v>0</v>
      </c>
      <c r="AP1574" s="60" t="b">
        <f t="shared" si="174"/>
        <v>0</v>
      </c>
      <c r="AQ1574" s="60" t="b">
        <f t="shared" si="175"/>
        <v>0</v>
      </c>
      <c r="AR1574" s="60" t="str">
        <f t="shared" si="176"/>
        <v>No</v>
      </c>
      <c r="AS1574" s="60" t="str">
        <f t="shared" si="177"/>
        <v>No</v>
      </c>
    </row>
    <row r="1575" spans="1:45" ht="15">
      <c r="A1575" s="103">
        <v>45244</v>
      </c>
      <c r="B1575" s="28" t="s">
        <v>6074</v>
      </c>
      <c r="C1575" s="28" t="s">
        <v>548</v>
      </c>
      <c r="D1575" s="28" t="s">
        <v>6075</v>
      </c>
      <c r="F1575" s="28" t="s">
        <v>6072</v>
      </c>
      <c r="G1575" s="28" t="s">
        <v>514</v>
      </c>
      <c r="H1575" s="28" t="s">
        <v>6076</v>
      </c>
      <c r="I1575" s="28" t="s">
        <v>516</v>
      </c>
      <c r="J1575" s="28" t="s">
        <v>517</v>
      </c>
      <c r="K1575" s="28" t="s">
        <v>518</v>
      </c>
      <c r="L1575" s="28" t="s">
        <v>739</v>
      </c>
      <c r="M1575" s="28" t="s">
        <v>535</v>
      </c>
      <c r="N1575" s="28" t="s">
        <v>544</v>
      </c>
      <c r="O1575" s="28" t="s">
        <v>1107</v>
      </c>
      <c r="S1575" s="28" t="s">
        <v>752</v>
      </c>
      <c r="T1575" s="28" t="s">
        <v>741</v>
      </c>
      <c r="U1575" s="28" t="s">
        <v>741</v>
      </c>
      <c r="V1575" s="28" t="s">
        <v>517</v>
      </c>
      <c r="W1575" s="28" t="s">
        <v>591</v>
      </c>
      <c r="Z1575" s="118" t="s">
        <v>563</v>
      </c>
      <c r="AA1575" s="118"/>
      <c r="AB1575" s="118" t="s">
        <v>6073</v>
      </c>
      <c r="AD1575" s="28" t="s">
        <v>528</v>
      </c>
      <c r="AF1575" s="117" t="s">
        <v>6071</v>
      </c>
      <c r="AG1575" s="28" t="s">
        <v>563</v>
      </c>
      <c r="AK1575" s="60" t="s">
        <v>5515</v>
      </c>
      <c r="AL1575" s="117">
        <f>1/COUNTIF(Tableau6[LAT],B1575)</f>
        <v>0.5</v>
      </c>
      <c r="AM1575" s="60" t="b">
        <f t="shared" si="171"/>
        <v>0</v>
      </c>
      <c r="AN1575" s="60" t="b">
        <f t="shared" si="172"/>
        <v>0</v>
      </c>
      <c r="AO1575" s="60" t="b">
        <f t="shared" si="173"/>
        <v>0</v>
      </c>
      <c r="AP1575" s="60" t="b">
        <f t="shared" si="174"/>
        <v>0</v>
      </c>
      <c r="AQ1575" s="60" t="b">
        <f t="shared" si="175"/>
        <v>0</v>
      </c>
      <c r="AR1575" s="60" t="str">
        <f t="shared" si="176"/>
        <v>No</v>
      </c>
      <c r="AS1575" s="60" t="str">
        <f t="shared" si="177"/>
        <v>No</v>
      </c>
    </row>
    <row r="1576" spans="1:45" ht="15">
      <c r="A1576" s="103">
        <v>45244</v>
      </c>
      <c r="B1576" s="28" t="s">
        <v>6077</v>
      </c>
      <c r="C1576" s="28" t="s">
        <v>511</v>
      </c>
      <c r="D1576" s="28" t="s">
        <v>6078</v>
      </c>
      <c r="F1576" s="28" t="s">
        <v>2035</v>
      </c>
      <c r="G1576" s="28" t="s">
        <v>514</v>
      </c>
      <c r="H1576" s="28" t="s">
        <v>1171</v>
      </c>
      <c r="I1576" s="28" t="s">
        <v>517</v>
      </c>
      <c r="J1576" s="28" t="s">
        <v>517</v>
      </c>
      <c r="K1576" s="28" t="s">
        <v>518</v>
      </c>
      <c r="L1576" s="28" t="s">
        <v>3553</v>
      </c>
      <c r="M1576" s="28" t="s">
        <v>535</v>
      </c>
      <c r="N1576" s="28" t="s">
        <v>2359</v>
      </c>
      <c r="O1576" s="28" t="s">
        <v>572</v>
      </c>
      <c r="S1576" s="28" t="s">
        <v>573</v>
      </c>
      <c r="T1576" s="28" t="s">
        <v>1366</v>
      </c>
      <c r="U1576" s="28" t="s">
        <v>1366</v>
      </c>
      <c r="V1576" s="28" t="s">
        <v>517</v>
      </c>
      <c r="W1576" s="28" t="s">
        <v>6079</v>
      </c>
      <c r="Z1576" s="118" t="s">
        <v>563</v>
      </c>
      <c r="AA1576" s="118"/>
      <c r="AB1576" s="118" t="s">
        <v>4506</v>
      </c>
      <c r="AD1576" s="28" t="s">
        <v>954</v>
      </c>
      <c r="AF1576" s="117" t="s">
        <v>6078</v>
      </c>
      <c r="AG1576" s="28" t="s">
        <v>563</v>
      </c>
      <c r="AK1576" s="60" t="s">
        <v>5515</v>
      </c>
      <c r="AL1576" s="117">
        <f>1/COUNTIF(Tableau6[LAT],B1576)</f>
        <v>0.5</v>
      </c>
      <c r="AM1576" s="60" t="b">
        <f t="shared" si="171"/>
        <v>0</v>
      </c>
      <c r="AN1576" s="60" t="b">
        <f t="shared" si="172"/>
        <v>0</v>
      </c>
      <c r="AO1576" s="60" t="b">
        <f t="shared" si="173"/>
        <v>0</v>
      </c>
      <c r="AP1576" s="60" t="b">
        <f t="shared" si="174"/>
        <v>0</v>
      </c>
      <c r="AQ1576" s="60" t="b">
        <f t="shared" si="175"/>
        <v>0</v>
      </c>
      <c r="AR1576" s="60" t="str">
        <f t="shared" si="176"/>
        <v>No</v>
      </c>
      <c r="AS1576" s="60" t="str">
        <f t="shared" si="177"/>
        <v>No</v>
      </c>
    </row>
    <row r="1577" spans="1:45" ht="15">
      <c r="A1577" s="103">
        <v>45244</v>
      </c>
      <c r="B1577" s="28" t="s">
        <v>6077</v>
      </c>
      <c r="C1577" s="28" t="s">
        <v>548</v>
      </c>
      <c r="D1577" s="28" t="s">
        <v>6080</v>
      </c>
      <c r="F1577" s="28" t="s">
        <v>2035</v>
      </c>
      <c r="G1577" s="28" t="s">
        <v>514</v>
      </c>
      <c r="H1577" s="28" t="s">
        <v>1171</v>
      </c>
      <c r="I1577" s="28" t="s">
        <v>517</v>
      </c>
      <c r="J1577" s="28" t="s">
        <v>517</v>
      </c>
      <c r="K1577" s="28" t="s">
        <v>518</v>
      </c>
      <c r="L1577" s="28" t="s">
        <v>3553</v>
      </c>
      <c r="M1577" s="28" t="s">
        <v>535</v>
      </c>
      <c r="N1577" s="28" t="s">
        <v>2359</v>
      </c>
      <c r="O1577" s="28" t="s">
        <v>572</v>
      </c>
      <c r="S1577" s="28" t="s">
        <v>573</v>
      </c>
      <c r="T1577" s="28" t="s">
        <v>1366</v>
      </c>
      <c r="U1577" s="28" t="s">
        <v>1366</v>
      </c>
      <c r="V1577" s="28" t="s">
        <v>517</v>
      </c>
      <c r="W1577" s="28" t="s">
        <v>6081</v>
      </c>
      <c r="Z1577" s="118" t="s">
        <v>563</v>
      </c>
      <c r="AA1577" s="118"/>
      <c r="AB1577" s="118" t="s">
        <v>4506</v>
      </c>
      <c r="AD1577" s="28" t="s">
        <v>954</v>
      </c>
      <c r="AF1577" s="117" t="s">
        <v>6078</v>
      </c>
      <c r="AG1577" s="28" t="s">
        <v>563</v>
      </c>
      <c r="AK1577" s="60" t="s">
        <v>5515</v>
      </c>
      <c r="AL1577" s="117">
        <f>1/COUNTIF(Tableau6[LAT],B1577)</f>
        <v>0.5</v>
      </c>
      <c r="AM1577" s="60" t="b">
        <f t="shared" si="171"/>
        <v>0</v>
      </c>
      <c r="AN1577" s="60" t="b">
        <f t="shared" si="172"/>
        <v>0</v>
      </c>
      <c r="AO1577" s="60" t="b">
        <f t="shared" si="173"/>
        <v>0</v>
      </c>
      <c r="AP1577" s="60" t="b">
        <f t="shared" si="174"/>
        <v>0</v>
      </c>
      <c r="AQ1577" s="60" t="b">
        <f t="shared" si="175"/>
        <v>0</v>
      </c>
      <c r="AR1577" s="60" t="str">
        <f t="shared" si="176"/>
        <v>No</v>
      </c>
      <c r="AS1577" s="60" t="str">
        <f t="shared" si="177"/>
        <v>No</v>
      </c>
    </row>
    <row r="1578" spans="1:45" ht="15">
      <c r="A1578" s="103">
        <v>45244</v>
      </c>
      <c r="B1578" s="28" t="s">
        <v>6082</v>
      </c>
      <c r="C1578" s="28" t="s">
        <v>511</v>
      </c>
      <c r="D1578" s="28" t="s">
        <v>6083</v>
      </c>
      <c r="F1578" s="28" t="s">
        <v>1002</v>
      </c>
      <c r="G1578" s="28" t="s">
        <v>514</v>
      </c>
      <c r="H1578" s="28" t="s">
        <v>1187</v>
      </c>
      <c r="I1578" s="28" t="s">
        <v>516</v>
      </c>
      <c r="J1578" s="28" t="s">
        <v>517</v>
      </c>
      <c r="K1578" s="28" t="s">
        <v>518</v>
      </c>
      <c r="L1578" s="28" t="s">
        <v>751</v>
      </c>
      <c r="M1578" s="28" t="s">
        <v>535</v>
      </c>
      <c r="N1578" s="28" t="s">
        <v>544</v>
      </c>
      <c r="S1578" s="28" t="s">
        <v>740</v>
      </c>
      <c r="T1578" s="28" t="s">
        <v>753</v>
      </c>
      <c r="U1578" s="28" t="s">
        <v>753</v>
      </c>
      <c r="V1578" s="28" t="s">
        <v>517</v>
      </c>
      <c r="W1578" s="28" t="s">
        <v>1180</v>
      </c>
      <c r="Z1578" s="118" t="s">
        <v>563</v>
      </c>
      <c r="AA1578" s="118"/>
      <c r="AB1578" s="118" t="s">
        <v>527</v>
      </c>
      <c r="AD1578" s="28" t="s">
        <v>954</v>
      </c>
      <c r="AF1578" s="117" t="s">
        <v>6083</v>
      </c>
      <c r="AG1578" s="28" t="s">
        <v>563</v>
      </c>
      <c r="AK1578" s="60" t="s">
        <v>5515</v>
      </c>
      <c r="AL1578" s="117">
        <f>1/COUNTIF(Tableau6[LAT],B1578)</f>
        <v>1</v>
      </c>
      <c r="AM1578" s="60" t="b">
        <f t="shared" si="171"/>
        <v>0</v>
      </c>
      <c r="AN1578" s="60" t="b">
        <f t="shared" si="172"/>
        <v>0</v>
      </c>
      <c r="AO1578" s="60" t="b">
        <f t="shared" si="173"/>
        <v>0</v>
      </c>
      <c r="AP1578" s="60" t="b">
        <f t="shared" si="174"/>
        <v>0</v>
      </c>
      <c r="AQ1578" s="60" t="b">
        <f t="shared" si="175"/>
        <v>0</v>
      </c>
      <c r="AR1578" s="60" t="str">
        <f t="shared" si="176"/>
        <v>No</v>
      </c>
      <c r="AS1578" s="60" t="str">
        <f t="shared" si="177"/>
        <v>No</v>
      </c>
    </row>
    <row r="1579" spans="1:45" ht="15">
      <c r="A1579" s="103">
        <v>45244</v>
      </c>
      <c r="B1579" s="28" t="s">
        <v>6084</v>
      </c>
      <c r="C1579" s="28" t="s">
        <v>511</v>
      </c>
      <c r="D1579" s="28" t="s">
        <v>6085</v>
      </c>
      <c r="E1579" s="28" t="s">
        <v>5831</v>
      </c>
      <c r="F1579" s="28" t="s">
        <v>3532</v>
      </c>
      <c r="G1579" s="28" t="s">
        <v>958</v>
      </c>
      <c r="H1579" s="28" t="s">
        <v>2119</v>
      </c>
      <c r="I1579" s="28" t="s">
        <v>516</v>
      </c>
      <c r="J1579" s="28" t="s">
        <v>517</v>
      </c>
      <c r="K1579" s="28" t="s">
        <v>682</v>
      </c>
      <c r="L1579" s="28" t="s">
        <v>5680</v>
      </c>
      <c r="M1579" s="28" t="s">
        <v>535</v>
      </c>
      <c r="N1579" s="28" t="s">
        <v>557</v>
      </c>
      <c r="S1579" s="28" t="s">
        <v>775</v>
      </c>
      <c r="T1579" s="28" t="s">
        <v>1918</v>
      </c>
      <c r="U1579" s="28" t="s">
        <v>1918</v>
      </c>
      <c r="V1579" s="28" t="s">
        <v>517</v>
      </c>
      <c r="W1579" s="28" t="s">
        <v>5832</v>
      </c>
      <c r="Z1579" s="118" t="s">
        <v>563</v>
      </c>
      <c r="AA1579" s="118"/>
      <c r="AB1579" s="118" t="s">
        <v>527</v>
      </c>
      <c r="AD1579" s="28" t="s">
        <v>954</v>
      </c>
      <c r="AF1579" s="117" t="s">
        <v>6085</v>
      </c>
      <c r="AG1579" s="28" t="s">
        <v>563</v>
      </c>
      <c r="AK1579" s="60" t="s">
        <v>5515</v>
      </c>
      <c r="AL1579" s="117">
        <f>1/COUNTIF(Tableau6[LAT],B1579)</f>
        <v>1</v>
      </c>
      <c r="AM1579" s="60" t="b">
        <f t="shared" si="171"/>
        <v>0</v>
      </c>
      <c r="AN1579" s="60" t="b">
        <f t="shared" si="172"/>
        <v>0</v>
      </c>
      <c r="AO1579" s="60" t="b">
        <f t="shared" si="173"/>
        <v>0</v>
      </c>
      <c r="AP1579" s="60" t="b">
        <f t="shared" si="174"/>
        <v>0</v>
      </c>
      <c r="AQ1579" s="60" t="b">
        <f t="shared" si="175"/>
        <v>0</v>
      </c>
      <c r="AR1579" s="60" t="str">
        <f t="shared" si="176"/>
        <v>No</v>
      </c>
      <c r="AS1579" s="60" t="str">
        <f t="shared" si="177"/>
        <v>No</v>
      </c>
    </row>
    <row r="1580" spans="1:45" ht="15">
      <c r="A1580" s="103">
        <v>45244</v>
      </c>
      <c r="B1580" s="28" t="s">
        <v>6086</v>
      </c>
      <c r="C1580" s="28" t="s">
        <v>511</v>
      </c>
      <c r="D1580" s="28" t="s">
        <v>6087</v>
      </c>
      <c r="E1580" s="28" t="s">
        <v>6088</v>
      </c>
      <c r="F1580" s="28" t="s">
        <v>6089</v>
      </c>
      <c r="G1580" s="28" t="s">
        <v>514</v>
      </c>
      <c r="H1580" s="28" t="s">
        <v>5038</v>
      </c>
      <c r="I1580" s="28" t="s">
        <v>516</v>
      </c>
      <c r="J1580" s="28" t="s">
        <v>517</v>
      </c>
      <c r="K1580" s="28" t="s">
        <v>518</v>
      </c>
      <c r="L1580" s="28" t="s">
        <v>739</v>
      </c>
      <c r="M1580" s="28" t="s">
        <v>535</v>
      </c>
      <c r="N1580" s="28" t="s">
        <v>557</v>
      </c>
      <c r="O1580" s="28" t="s">
        <v>544</v>
      </c>
      <c r="P1580" s="28" t="s">
        <v>559</v>
      </c>
      <c r="S1580" s="28" t="s">
        <v>820</v>
      </c>
      <c r="T1580" s="28" t="s">
        <v>6090</v>
      </c>
      <c r="U1580" s="28" t="s">
        <v>741</v>
      </c>
      <c r="V1580" s="28" t="s">
        <v>517</v>
      </c>
      <c r="W1580" s="28" t="s">
        <v>6091</v>
      </c>
      <c r="Z1580" s="118" t="s">
        <v>563</v>
      </c>
      <c r="AA1580" s="118"/>
      <c r="AB1580" s="118" t="s">
        <v>527</v>
      </c>
      <c r="AD1580" s="28" t="s">
        <v>954</v>
      </c>
      <c r="AF1580" s="117" t="s">
        <v>6087</v>
      </c>
      <c r="AG1580" s="28" t="s">
        <v>563</v>
      </c>
      <c r="AK1580" s="60" t="s">
        <v>5515</v>
      </c>
      <c r="AL1580" s="117">
        <f>1/COUNTIF(Tableau6[LAT],B1580)</f>
        <v>1</v>
      </c>
      <c r="AM1580" s="60" t="b">
        <f t="shared" si="171"/>
        <v>0</v>
      </c>
      <c r="AN1580" s="60" t="b">
        <f t="shared" si="172"/>
        <v>0</v>
      </c>
      <c r="AO1580" s="60" t="b">
        <f t="shared" si="173"/>
        <v>0</v>
      </c>
      <c r="AP1580" s="60" t="b">
        <f t="shared" si="174"/>
        <v>0</v>
      </c>
      <c r="AQ1580" s="60" t="b">
        <f t="shared" si="175"/>
        <v>0</v>
      </c>
      <c r="AR1580" s="60" t="str">
        <f t="shared" si="176"/>
        <v>No</v>
      </c>
      <c r="AS1580" s="60" t="str">
        <f t="shared" si="177"/>
        <v>No</v>
      </c>
    </row>
    <row r="1581" spans="1:45" ht="15">
      <c r="A1581" s="103">
        <v>45244</v>
      </c>
      <c r="B1581" s="28" t="s">
        <v>6092</v>
      </c>
      <c r="C1581" s="28" t="s">
        <v>511</v>
      </c>
      <c r="D1581" s="28" t="s">
        <v>6093</v>
      </c>
      <c r="F1581" s="28" t="s">
        <v>6094</v>
      </c>
      <c r="G1581" s="28" t="s">
        <v>514</v>
      </c>
      <c r="H1581" s="28" t="s">
        <v>2017</v>
      </c>
      <c r="I1581" s="28" t="s">
        <v>516</v>
      </c>
      <c r="J1581" s="28" t="s">
        <v>517</v>
      </c>
      <c r="K1581" s="28" t="s">
        <v>518</v>
      </c>
      <c r="L1581" s="28" t="s">
        <v>739</v>
      </c>
      <c r="M1581" s="28" t="s">
        <v>535</v>
      </c>
      <c r="N1581" s="28" t="s">
        <v>557</v>
      </c>
      <c r="O1581" s="28" t="s">
        <v>544</v>
      </c>
      <c r="S1581" s="28" t="s">
        <v>1226</v>
      </c>
      <c r="T1581" s="28" t="s">
        <v>741</v>
      </c>
      <c r="U1581" s="28" t="s">
        <v>741</v>
      </c>
      <c r="V1581" s="28" t="s">
        <v>517</v>
      </c>
      <c r="W1581" s="28" t="s">
        <v>6095</v>
      </c>
      <c r="Z1581" s="118" t="s">
        <v>526</v>
      </c>
      <c r="AA1581" s="118"/>
      <c r="AB1581" s="118" t="s">
        <v>6096</v>
      </c>
      <c r="AD1581" s="28" t="s">
        <v>528</v>
      </c>
      <c r="AF1581" s="117" t="s">
        <v>6093</v>
      </c>
      <c r="AG1581" s="28" t="s">
        <v>529</v>
      </c>
      <c r="AK1581" s="60" t="s">
        <v>5515</v>
      </c>
      <c r="AL1581" s="117">
        <f>1/COUNTIF(Tableau6[LAT],B1581)</f>
        <v>0.5</v>
      </c>
      <c r="AM1581" s="60" t="b">
        <f t="shared" si="171"/>
        <v>0</v>
      </c>
      <c r="AN1581" s="60" t="b">
        <f t="shared" si="172"/>
        <v>0</v>
      </c>
      <c r="AO1581" s="60" t="b">
        <f t="shared" si="173"/>
        <v>0</v>
      </c>
      <c r="AP1581" s="60" t="b">
        <f t="shared" si="174"/>
        <v>0</v>
      </c>
      <c r="AQ1581" s="60" t="b">
        <f t="shared" si="175"/>
        <v>0</v>
      </c>
      <c r="AR1581" s="60" t="str">
        <f t="shared" si="176"/>
        <v>No</v>
      </c>
      <c r="AS1581" s="60" t="str">
        <f t="shared" si="177"/>
        <v>No</v>
      </c>
    </row>
    <row r="1582" spans="1:45" ht="15">
      <c r="A1582" s="103">
        <v>45244</v>
      </c>
      <c r="B1582" s="28" t="s">
        <v>6092</v>
      </c>
      <c r="C1582" s="28" t="s">
        <v>548</v>
      </c>
      <c r="D1582" s="28" t="s">
        <v>6097</v>
      </c>
      <c r="F1582" s="28" t="s">
        <v>6098</v>
      </c>
      <c r="G1582" s="28" t="s">
        <v>958</v>
      </c>
      <c r="H1582" s="28" t="s">
        <v>1996</v>
      </c>
      <c r="I1582" s="28" t="s">
        <v>516</v>
      </c>
      <c r="J1582" s="28" t="s">
        <v>517</v>
      </c>
      <c r="K1582" s="28" t="s">
        <v>518</v>
      </c>
      <c r="L1582" s="28" t="s">
        <v>739</v>
      </c>
      <c r="M1582" s="28" t="s">
        <v>535</v>
      </c>
      <c r="N1582" s="28" t="s">
        <v>557</v>
      </c>
      <c r="O1582" s="28" t="s">
        <v>544</v>
      </c>
      <c r="S1582" s="28" t="s">
        <v>1226</v>
      </c>
      <c r="T1582" s="28" t="s">
        <v>741</v>
      </c>
      <c r="U1582" s="28" t="s">
        <v>741</v>
      </c>
      <c r="V1582" s="28" t="s">
        <v>517</v>
      </c>
      <c r="W1582" s="28" t="s">
        <v>6099</v>
      </c>
      <c r="Z1582" s="118" t="s">
        <v>526</v>
      </c>
      <c r="AA1582" s="118"/>
      <c r="AB1582" s="118" t="s">
        <v>6096</v>
      </c>
      <c r="AD1582" s="28" t="s">
        <v>528</v>
      </c>
      <c r="AF1582" s="117" t="s">
        <v>6097</v>
      </c>
      <c r="AG1582" s="28" t="s">
        <v>529</v>
      </c>
      <c r="AK1582" s="60" t="s">
        <v>5515</v>
      </c>
      <c r="AL1582" s="117">
        <f>1/COUNTIF(Tableau6[LAT],B1582)</f>
        <v>0.5</v>
      </c>
      <c r="AM1582" s="60" t="b">
        <f t="shared" si="171"/>
        <v>0</v>
      </c>
      <c r="AN1582" s="60" t="b">
        <f t="shared" si="172"/>
        <v>0</v>
      </c>
      <c r="AO1582" s="60" t="b">
        <f t="shared" si="173"/>
        <v>0</v>
      </c>
      <c r="AP1582" s="60" t="b">
        <f t="shared" si="174"/>
        <v>0</v>
      </c>
      <c r="AQ1582" s="60" t="b">
        <f t="shared" si="175"/>
        <v>0</v>
      </c>
      <c r="AR1582" s="60" t="str">
        <f t="shared" si="176"/>
        <v>No</v>
      </c>
      <c r="AS1582" s="60" t="str">
        <f t="shared" si="177"/>
        <v>No</v>
      </c>
    </row>
    <row r="1583" spans="1:45" ht="15">
      <c r="A1583" s="103">
        <v>45244</v>
      </c>
      <c r="B1583" s="28" t="s">
        <v>6100</v>
      </c>
      <c r="C1583" s="28" t="s">
        <v>511</v>
      </c>
      <c r="D1583" s="28" t="s">
        <v>6101</v>
      </c>
      <c r="F1583" s="28" t="s">
        <v>6102</v>
      </c>
      <c r="G1583" s="28" t="s">
        <v>514</v>
      </c>
      <c r="H1583" s="28" t="s">
        <v>1241</v>
      </c>
      <c r="I1583" s="28" t="s">
        <v>516</v>
      </c>
      <c r="J1583" s="28" t="s">
        <v>517</v>
      </c>
      <c r="K1583" s="28" t="s">
        <v>518</v>
      </c>
      <c r="L1583" s="28" t="s">
        <v>1040</v>
      </c>
      <c r="M1583" s="28" t="s">
        <v>535</v>
      </c>
      <c r="N1583" s="28" t="s">
        <v>1637</v>
      </c>
      <c r="O1583" s="28" t="s">
        <v>1383</v>
      </c>
      <c r="P1583" s="28" t="s">
        <v>521</v>
      </c>
      <c r="Q1583" s="28" t="s">
        <v>544</v>
      </c>
      <c r="S1583" s="28" t="s">
        <v>905</v>
      </c>
      <c r="T1583" s="28" t="s">
        <v>1042</v>
      </c>
      <c r="U1583" s="28" t="s">
        <v>1042</v>
      </c>
      <c r="V1583" s="28" t="s">
        <v>517</v>
      </c>
      <c r="W1583" s="28" t="s">
        <v>6103</v>
      </c>
      <c r="Z1583" s="118" t="s">
        <v>563</v>
      </c>
      <c r="AA1583" s="118"/>
      <c r="AB1583" s="118" t="s">
        <v>527</v>
      </c>
      <c r="AD1583" s="28" t="s">
        <v>528</v>
      </c>
      <c r="AF1583" s="117" t="s">
        <v>6101</v>
      </c>
      <c r="AG1583" s="28" t="s">
        <v>563</v>
      </c>
      <c r="AK1583" s="60" t="s">
        <v>5515</v>
      </c>
      <c r="AL1583" s="117">
        <f>1/COUNTIF(Tableau6[LAT],B1583)</f>
        <v>1</v>
      </c>
      <c r="AM1583" s="60" t="b">
        <f t="shared" si="171"/>
        <v>0</v>
      </c>
      <c r="AN1583" s="60" t="b">
        <f t="shared" si="172"/>
        <v>0</v>
      </c>
      <c r="AO1583" s="60" t="b">
        <f t="shared" si="173"/>
        <v>0</v>
      </c>
      <c r="AP1583" s="60" t="b">
        <f t="shared" si="174"/>
        <v>0</v>
      </c>
      <c r="AQ1583" s="60" t="b">
        <f t="shared" si="175"/>
        <v>0</v>
      </c>
      <c r="AR1583" s="60" t="str">
        <f t="shared" si="176"/>
        <v>No</v>
      </c>
      <c r="AS1583" s="60" t="str">
        <f t="shared" si="177"/>
        <v>No</v>
      </c>
    </row>
    <row r="1584" spans="1:45" ht="15">
      <c r="A1584" s="103">
        <v>45244</v>
      </c>
      <c r="B1584" s="28" t="s">
        <v>6104</v>
      </c>
      <c r="C1584" s="28" t="s">
        <v>511</v>
      </c>
      <c r="D1584" s="28" t="s">
        <v>6105</v>
      </c>
      <c r="F1584" s="28" t="s">
        <v>1021</v>
      </c>
      <c r="G1584" s="28" t="s">
        <v>514</v>
      </c>
      <c r="H1584" s="28" t="s">
        <v>2401</v>
      </c>
      <c r="I1584" s="28" t="s">
        <v>516</v>
      </c>
      <c r="J1584" s="28" t="s">
        <v>517</v>
      </c>
      <c r="K1584" s="28" t="s">
        <v>518</v>
      </c>
      <c r="L1584" s="28" t="s">
        <v>4394</v>
      </c>
      <c r="M1584" s="28" t="s">
        <v>535</v>
      </c>
      <c r="N1584" s="28" t="s">
        <v>1415</v>
      </c>
      <c r="O1584" s="28" t="s">
        <v>544</v>
      </c>
      <c r="S1584" s="28" t="s">
        <v>905</v>
      </c>
      <c r="T1584" s="28" t="s">
        <v>659</v>
      </c>
      <c r="U1584" s="28" t="s">
        <v>659</v>
      </c>
      <c r="V1584" s="28" t="s">
        <v>517</v>
      </c>
      <c r="W1584" s="28" t="s">
        <v>6106</v>
      </c>
      <c r="Z1584" s="118" t="s">
        <v>563</v>
      </c>
      <c r="AA1584" s="118"/>
      <c r="AB1584" s="118" t="s">
        <v>4506</v>
      </c>
      <c r="AF1584" s="117" t="s">
        <v>1083</v>
      </c>
      <c r="AK1584" s="60" t="s">
        <v>5515</v>
      </c>
      <c r="AL1584" s="117">
        <f>1/COUNTIF(Tableau6[LAT],B1584)</f>
        <v>1</v>
      </c>
      <c r="AM1584" s="60" t="str">
        <f t="shared" si="171"/>
        <v>Yes</v>
      </c>
      <c r="AN1584" s="60" t="b">
        <f t="shared" si="172"/>
        <v>0</v>
      </c>
      <c r="AO1584" s="60" t="b">
        <f t="shared" si="173"/>
        <v>0</v>
      </c>
      <c r="AP1584" s="60" t="b">
        <f t="shared" si="174"/>
        <v>0</v>
      </c>
      <c r="AQ1584" s="60" t="b">
        <f t="shared" si="175"/>
        <v>0</v>
      </c>
      <c r="AR1584" s="60" t="str">
        <f t="shared" si="176"/>
        <v>Yes</v>
      </c>
      <c r="AS1584" s="60" t="str">
        <f t="shared" si="177"/>
        <v>No</v>
      </c>
    </row>
    <row r="1585" spans="1:45" ht="15">
      <c r="A1585" s="103">
        <v>45244</v>
      </c>
      <c r="B1585" s="28" t="s">
        <v>6107</v>
      </c>
      <c r="C1585" s="28" t="s">
        <v>511</v>
      </c>
      <c r="D1585" s="28" t="s">
        <v>6108</v>
      </c>
      <c r="E1585" s="28" t="s">
        <v>6109</v>
      </c>
      <c r="F1585" s="28" t="s">
        <v>6110</v>
      </c>
      <c r="G1585" s="28" t="s">
        <v>1077</v>
      </c>
      <c r="H1585" s="28" t="s">
        <v>6111</v>
      </c>
      <c r="I1585" s="28" t="s">
        <v>516</v>
      </c>
      <c r="J1585" s="28" t="s">
        <v>517</v>
      </c>
      <c r="K1585" s="28" t="s">
        <v>518</v>
      </c>
      <c r="L1585" s="28" t="s">
        <v>1097</v>
      </c>
      <c r="M1585" s="28" t="s">
        <v>535</v>
      </c>
      <c r="N1585" s="28" t="s">
        <v>572</v>
      </c>
      <c r="O1585" s="28" t="s">
        <v>557</v>
      </c>
      <c r="P1585" s="28" t="s">
        <v>559</v>
      </c>
      <c r="S1585" s="28" t="s">
        <v>718</v>
      </c>
      <c r="T1585" s="28" t="s">
        <v>1098</v>
      </c>
      <c r="U1585" s="28" t="s">
        <v>1098</v>
      </c>
      <c r="V1585" s="28" t="s">
        <v>517</v>
      </c>
      <c r="W1585" s="28" t="s">
        <v>1866</v>
      </c>
      <c r="Z1585" s="118" t="s">
        <v>563</v>
      </c>
      <c r="AA1585" s="118"/>
      <c r="AB1585" s="118" t="s">
        <v>527</v>
      </c>
      <c r="AD1585" s="28" t="s">
        <v>528</v>
      </c>
      <c r="AF1585" s="117" t="s">
        <v>6108</v>
      </c>
      <c r="AG1585" s="28" t="s">
        <v>563</v>
      </c>
      <c r="AK1585" s="60" t="s">
        <v>5515</v>
      </c>
      <c r="AL1585" s="117">
        <f>1/COUNTIF(Tableau6[LAT],B1585)</f>
        <v>1</v>
      </c>
      <c r="AM1585" s="60" t="b">
        <f t="shared" si="171"/>
        <v>0</v>
      </c>
      <c r="AN1585" s="60" t="b">
        <f t="shared" si="172"/>
        <v>0</v>
      </c>
      <c r="AO1585" s="60" t="b">
        <f t="shared" si="173"/>
        <v>0</v>
      </c>
      <c r="AP1585" s="60" t="b">
        <f t="shared" si="174"/>
        <v>0</v>
      </c>
      <c r="AQ1585" s="60" t="b">
        <f t="shared" si="175"/>
        <v>0</v>
      </c>
      <c r="AR1585" s="60" t="str">
        <f t="shared" si="176"/>
        <v>No</v>
      </c>
      <c r="AS1585" s="60" t="str">
        <f t="shared" si="177"/>
        <v>No</v>
      </c>
    </row>
    <row r="1586" spans="1:45" ht="15">
      <c r="A1586" s="103">
        <v>45244</v>
      </c>
      <c r="B1586" s="28" t="s">
        <v>6112</v>
      </c>
      <c r="C1586" s="28" t="s">
        <v>511</v>
      </c>
      <c r="D1586" s="28" t="s">
        <v>6113</v>
      </c>
      <c r="F1586" s="28" t="s">
        <v>1002</v>
      </c>
      <c r="G1586" s="28" t="s">
        <v>514</v>
      </c>
      <c r="H1586" s="28" t="s">
        <v>952</v>
      </c>
      <c r="I1586" s="28" t="s">
        <v>516</v>
      </c>
      <c r="J1586" s="28" t="s">
        <v>517</v>
      </c>
      <c r="K1586" s="28" t="s">
        <v>682</v>
      </c>
      <c r="L1586" s="28" t="s">
        <v>4796</v>
      </c>
      <c r="M1586" s="28" t="s">
        <v>1374</v>
      </c>
      <c r="N1586" s="28" t="s">
        <v>557</v>
      </c>
      <c r="O1586" s="28" t="s">
        <v>544</v>
      </c>
      <c r="P1586" s="28" t="s">
        <v>522</v>
      </c>
      <c r="S1586" s="28" t="s">
        <v>1226</v>
      </c>
      <c r="T1586" s="28" t="s">
        <v>1150</v>
      </c>
      <c r="U1586" s="28" t="s">
        <v>1150</v>
      </c>
      <c r="V1586" s="28" t="s">
        <v>517</v>
      </c>
      <c r="W1586" s="28" t="s">
        <v>6114</v>
      </c>
      <c r="Z1586" s="118" t="s">
        <v>563</v>
      </c>
      <c r="AA1586" s="118"/>
      <c r="AB1586" s="118" t="s">
        <v>527</v>
      </c>
      <c r="AD1586" s="28" t="s">
        <v>528</v>
      </c>
      <c r="AF1586" s="117" t="s">
        <v>6108</v>
      </c>
      <c r="AG1586" s="28" t="s">
        <v>563</v>
      </c>
      <c r="AK1586" s="60" t="s">
        <v>5515</v>
      </c>
      <c r="AL1586" s="117">
        <f>1/COUNTIF(Tableau6[LAT],B1586)</f>
        <v>1</v>
      </c>
      <c r="AM1586" s="60" t="b">
        <f t="shared" ref="AM1586:AM1649" si="178">IF(N1586="ALM","Yes",IF(N1586="ALI","Yes",IF(N1586="CAO","Yes",IF(N1586="ICE","Yes",IF(N1586="MAG","Yes",IF(N1586="MAG","Yes",IF(N1586="RBI","Yes",IF(N1586="RBM","Yes",IF(N1586="RCL","Yes",IF(N1586="RCM","Yes",IF(N1586="RCX","Yes",IF(N1586="RDS","Yes",IF(N1586="REQ","Yes",IF(N1586="REX","Yes",IF(N1586="RFG","Yes",IF(N1586="RFL","Yes",IF(N1586="RFS","Yes",IF(N1586="RFW","Yes",IF(N1586="RGX","Yes",IF(N1586="RIS",IF(N1586="RLI","Yes",IF(N1586="RLM","Yes",IF(N1586="RMD","Yes",IF(N1586="RNG","Yes",IF(N1586="ROP","Yes",IF(N1586="ROX","Yes",IF(N1586="RPB","Yes",IF(N1586="RPG","Yes",IF(N1586="RRE","Yes",IF(N1586="RRW","Yes",IF(N1586="RRY","Yes",IF(N1586="RSB","Yes",IF(N1586="RSC","Yes",IF(N1586="RXB","Yes",IF(N1586="RXC","Yes",IF(N1586="RXD","Yes",IF(N1586="RXE","Yes",IF(N1586="RXG","Yes",IF(N1586="RXS","Yes",)))))))))))))))))))))))))))))))))))))))</f>
        <v>0</v>
      </c>
      <c r="AN1586" s="60" t="b">
        <f t="shared" ref="AN1586:AN1649" si="179">IF(O1586="ALM","Yes",IF(O1586="ALI","Yes",IF(O1586="CAO","Yes",IF(O1586="ICE","Yes",IF(O1586="MAG","Yes",IF(O1586="MAG","Yes",IF(O1586="RBI","Yes",IF(O1586="RBM","Yes",IF(O1586="RCL","Yes",IF(O1586="RCM","Yes",IF(O1586="RCX","Yes",IF(O1586="RDS","Yes",IF(O1586="REQ","Yes",IF(O1586="REX","Yes",IF(O1586="RFG","Yes",IF(O1586="RFL","Yes",IF(O1586="RFS","Yes",IF(O1586="RFW","Yes",IF(O1586="RGX","Yes",IF(O1586="RIS",IF(O1586="RLI","Yes",IF(O1586="RLM","Yes",IF(O1586="RMD","Yes",IF(O1586="RNG","Yes",IF(O1586="ROP","Yes",IF(O1586="ROX","Yes",IF(O1586="RPB","Yes",IF(O1586="RPG","Yes",IF(O1586="RRE","Yes",IF(O1586="RRW","Yes",IF(O1586="RRY","Yes",IF(O1586="RSB","Yes",IF(O1586="RSC","Yes",IF(O1586="RXB","Yes",IF(O1586="RXC","Yes",IF(O1586="RXD","Yes",IF(O1586="RXE","Yes",IF(O1586="RXG","Yes",IF(O1586="RXS","Yes",)))))))))))))))))))))))))))))))))))))))</f>
        <v>0</v>
      </c>
      <c r="AO1586" s="60" t="b">
        <f t="shared" ref="AO1586:AO1649" si="180">IF(P1586="ALM","Yes",IF(P1586="ALI","Yes",IF(P1586="CAO","Yes",IF(P1586="ICE","Yes",IF(P1586="MAG","Yes",IF(P1586="MAG","Yes",IF(P1586="RBI","Yes",IF(P1586="RBM","Yes",IF(P1586="RCL","Yes",IF(P1586="RCM","Yes",IF(P1586="RCX","Yes",IF(P1586="RDS","Yes",IF(P1586="REQ","Yes",IF(P1586="REX","Yes",IF(P1586="RFG","Yes",IF(P1586="RFL","Yes",IF(P1586="RFS","Yes",IF(P1586="RFW","Yes",IF(P1586="RGX","Yes",IF(P1586="RIS",IF(P1586="RLI","Yes",IF(P1586="RLM","Yes",IF(P1586="RMD","Yes",IF(P1586="RNG","Yes",IF(P1586="ROP","Yes",IF(P1586="ROX","Yes",IF(P1586="RPB","Yes",IF(P1586="RPG","Yes",IF(P1586="RRE","Yes",IF(P1586="RRW","Yes",IF(P1586="RRY","Yes",IF(P1586="RSB","Yes",IF(P1586="RSC","Yes",IF(P1586="RXB","Yes",IF(P1586="RXC","Yes",IF(P1586="RXD","Yes",IF(P1586="RXE","Yes",IF(P1586="RXG","Yes",IF(P1586="RXS","Yes",)))))))))))))))))))))))))))))))))))))))</f>
        <v>0</v>
      </c>
      <c r="AP1586" s="60" t="b">
        <f t="shared" ref="AP1586:AP1649" si="181">IF(Q1586="ALM","Yes",IF(Q1586="ALI","Yes",IF(Q1586="CAO","Yes",IF(Q1586="ICE","Yes",IF(Q1586="MAG","Yes",IF(Q1586="MAG","Yes",IF(Q1586="RBI","Yes",IF(Q1586="RBM","Yes",IF(Q1586="RCL","Yes",IF(Q1586="RCM","Yes",IF(Q1586="RCX","Yes",IF(Q1586="RDS","Yes",IF(Q1586="REQ","Yes",IF(Q1586="REX","Yes",IF(Q1586="RFG","Yes",IF(Q1586="RFL","Yes",IF(Q1586="RFS","Yes",IF(Q1586="RFW","Yes",IF(Q1586="RGX","Yes",IF(Q1586="RIS",IF(Q1586="RLI","Yes",IF(Q1586="RLM","Yes",IF(Q1586="RMD","Yes",IF(Q1586="RNG","Yes",IF(Q1586="ROP","Yes",IF(Q1586="ROX","Yes",IF(Q1586="RPB","Yes",IF(Q1586="RPG","Yes",IF(Q1586="RRE","Yes",IF(Q1586="RRW","Yes",IF(Q1586="RRY","Yes",IF(Q1586="RSB","Yes",IF(Q1586="RSC","Yes",IF(Q1586="RXB","Yes",IF(Q1586="RXC","Yes",IF(Q1586="RXD","Yes",IF(Q1586="RXE","Yes",IF(Q1586="RXG","Yes",IF(Q1586="RXS","Yes",)))))))))))))))))))))))))))))))))))))))</f>
        <v>0</v>
      </c>
      <c r="AQ1586" s="60" t="b">
        <f t="shared" ref="AQ1586:AQ1649" si="182">IF(R1586="ALM","Yes",IF(R1586="ALI","Yes",IF(R1586="CAO","Yes",IF(R1586="ICE","Yes",IF(R1586="MAG","Yes",IF(R1586="MAG","Yes",IF(R1586="RBI","Yes",IF(R1586="RBM","Yes",IF(R1586="RCL","Yes",IF(R1586="RCM","Yes",IF(R1586="RCX","Yes",IF(R1586="RDS","Yes",IF(R1586="REQ","Yes",IF(R1586="REX","Yes",IF(R1586="RFG","Yes",IF(R1586="RFL","Yes",IF(R1586="RFS","Yes",IF(R1586="RFW","Yes",IF(R1586="RGX","Yes",IF(R1586="RIS",IF(R1586="RLI","Yes",IF(R1586="RLM","Yes",IF(R1586="RMD","Yes",IF(R1586="RNG","Yes",IF(R1586="ROP","Yes",IF(R1586="ROX","Yes",IF(R1586="RPB","Yes",IF(R1586="RPG","Yes",IF(R1586="RRE","Yes",IF(R1586="RRW","Yes",IF(R1586="RRY","Yes",IF(R1586="RSB","Yes",IF(R1586="RSC","Yes",IF(R1586="RXB","Yes",IF(R1586="RXC","Yes",IF(R1586="RXD","Yes",IF(R1586="RXE","Yes",IF(R1586="RXG","Yes",IF(R1586="RXS","Yes",)))))))))))))))))))))))))))))))))))))))</f>
        <v>0</v>
      </c>
      <c r="AR1586" s="60" t="str">
        <f t="shared" ref="AR1586:AR1649" si="183">IF(AM1586="Yes","Yes",IF(AN1586="Yes","Yes",IF(AO1586="yes","Yes",IF(AP1586="Yes","Yes","No"))))</f>
        <v>No</v>
      </c>
      <c r="AS1586" s="60" t="str">
        <f t="shared" ref="AS1586:AS1649" si="184">IF(S1586="QFA","Yes",IF(S1586="LCJ","Yes",IF(S1586="CAJ","Yes",IF(S1586="WRO","Yes",IF(S1586="BEY","Yes",IF(S1586="TUN","Yes",IF(S1586="LFW","Yes",IF(S1586="DLA","Yes",IF(S1586="NSI","Yes",IF(S1586="OUA","Yes",IF(S1586="IAH","Yes",IF(S1586="LYS","Yes",IF(S1586="DSS","Yes",IF(S1586="BKO","Yes",IF(S1586="BZV","Yes",IF(S1586="COO","Yes",IF(S1586="EZE","Yes",IF(S1586="CKY","Yes",IF(S1586="PTP","Yes",IF(S1586="ORD","Yes",IF(S1586="CFE","Yes",IF(S1586="NKC","Yes",IF(S1586="FDF","Yes",IF(S1586="SDQ","Yes",IF(S1586="PNR","Yes",IF(S1586="ICAY","Yes",IF(S1586="DTW","Yes",IF(S1586="TNR","Yes",IF(S1586="RUN","Yes",IF(S1586="NIM","Yes","No"))))))))))))))))))))))))))))))</f>
        <v>No</v>
      </c>
    </row>
    <row r="1587" spans="1:45" ht="15">
      <c r="A1587" s="103">
        <v>45244</v>
      </c>
      <c r="B1587" s="28" t="s">
        <v>6115</v>
      </c>
      <c r="C1587" s="28" t="s">
        <v>511</v>
      </c>
      <c r="D1587" s="28" t="s">
        <v>6116</v>
      </c>
      <c r="F1587" s="28" t="s">
        <v>6117</v>
      </c>
      <c r="G1587" s="28" t="s">
        <v>514</v>
      </c>
      <c r="H1587" s="28" t="s">
        <v>1822</v>
      </c>
      <c r="I1587" s="28" t="s">
        <v>517</v>
      </c>
      <c r="J1587" s="28" t="s">
        <v>517</v>
      </c>
      <c r="K1587" s="28" t="s">
        <v>518</v>
      </c>
      <c r="L1587" s="28" t="s">
        <v>717</v>
      </c>
      <c r="M1587" s="28" t="s">
        <v>535</v>
      </c>
      <c r="S1587" s="28" t="s">
        <v>573</v>
      </c>
      <c r="T1587" s="28" t="s">
        <v>719</v>
      </c>
      <c r="U1587" s="28" t="s">
        <v>719</v>
      </c>
      <c r="V1587" s="28" t="s">
        <v>517</v>
      </c>
      <c r="W1587" s="28" t="s">
        <v>6118</v>
      </c>
      <c r="Z1587" s="118" t="s">
        <v>563</v>
      </c>
      <c r="AA1587" s="118"/>
      <c r="AB1587" s="118" t="s">
        <v>4506</v>
      </c>
      <c r="AD1587" s="28" t="s">
        <v>954</v>
      </c>
      <c r="AF1587" s="117" t="s">
        <v>6116</v>
      </c>
      <c r="AG1587" s="28" t="s">
        <v>563</v>
      </c>
      <c r="AK1587" s="60" t="s">
        <v>5515</v>
      </c>
      <c r="AL1587" s="117">
        <f>1/COUNTIF(Tableau6[LAT],B1587)</f>
        <v>1</v>
      </c>
      <c r="AM1587" s="60" t="b">
        <f t="shared" si="178"/>
        <v>0</v>
      </c>
      <c r="AN1587" s="60" t="b">
        <f t="shared" si="179"/>
        <v>0</v>
      </c>
      <c r="AO1587" s="60" t="b">
        <f t="shared" si="180"/>
        <v>0</v>
      </c>
      <c r="AP1587" s="60" t="b">
        <f t="shared" si="181"/>
        <v>0</v>
      </c>
      <c r="AQ1587" s="60" t="b">
        <f t="shared" si="182"/>
        <v>0</v>
      </c>
      <c r="AR1587" s="60" t="str">
        <f t="shared" si="183"/>
        <v>No</v>
      </c>
      <c r="AS1587" s="60" t="str">
        <f t="shared" si="184"/>
        <v>No</v>
      </c>
    </row>
    <row r="1588" spans="1:45" ht="15">
      <c r="A1588" s="103">
        <v>45244</v>
      </c>
      <c r="B1588" s="28" t="s">
        <v>6119</v>
      </c>
      <c r="C1588" s="28" t="s">
        <v>511</v>
      </c>
      <c r="D1588" s="28" t="s">
        <v>6120</v>
      </c>
      <c r="F1588" s="28" t="s">
        <v>6121</v>
      </c>
      <c r="G1588" s="28" t="s">
        <v>958</v>
      </c>
      <c r="H1588" s="28" t="s">
        <v>1120</v>
      </c>
      <c r="I1588" s="28" t="s">
        <v>516</v>
      </c>
      <c r="J1588" s="28" t="s">
        <v>517</v>
      </c>
      <c r="K1588" s="28" t="s">
        <v>518</v>
      </c>
      <c r="L1588" s="28" t="s">
        <v>739</v>
      </c>
      <c r="M1588" s="28" t="s">
        <v>535</v>
      </c>
      <c r="N1588" s="28" t="s">
        <v>557</v>
      </c>
      <c r="O1588" s="28" t="s">
        <v>544</v>
      </c>
      <c r="P1588" s="28" t="s">
        <v>559</v>
      </c>
      <c r="S1588" s="28" t="s">
        <v>1246</v>
      </c>
      <c r="T1588" s="28" t="s">
        <v>741</v>
      </c>
      <c r="U1588" s="28" t="s">
        <v>741</v>
      </c>
      <c r="V1588" s="28" t="s">
        <v>517</v>
      </c>
      <c r="W1588" s="28" t="s">
        <v>6122</v>
      </c>
      <c r="Z1588" s="118" t="s">
        <v>526</v>
      </c>
      <c r="AA1588" s="118"/>
      <c r="AB1588" s="118"/>
      <c r="AD1588" s="28" t="s">
        <v>528</v>
      </c>
      <c r="AF1588" s="117" t="s">
        <v>6120</v>
      </c>
      <c r="AG1588" s="28" t="s">
        <v>529</v>
      </c>
      <c r="AK1588" s="60" t="s">
        <v>5515</v>
      </c>
      <c r="AL1588" s="117">
        <f>1/COUNTIF(Tableau6[LAT],B1588)</f>
        <v>1</v>
      </c>
      <c r="AM1588" s="60" t="b">
        <f t="shared" si="178"/>
        <v>0</v>
      </c>
      <c r="AN1588" s="60" t="b">
        <f t="shared" si="179"/>
        <v>0</v>
      </c>
      <c r="AO1588" s="60" t="b">
        <f t="shared" si="180"/>
        <v>0</v>
      </c>
      <c r="AP1588" s="60" t="b">
        <f t="shared" si="181"/>
        <v>0</v>
      </c>
      <c r="AQ1588" s="60" t="b">
        <f t="shared" si="182"/>
        <v>0</v>
      </c>
      <c r="AR1588" s="60" t="str">
        <f t="shared" si="183"/>
        <v>No</v>
      </c>
      <c r="AS1588" s="60" t="str">
        <f t="shared" si="184"/>
        <v>No</v>
      </c>
    </row>
    <row r="1589" spans="1:45" ht="15">
      <c r="A1589" s="103">
        <v>45244</v>
      </c>
      <c r="B1589" s="28" t="s">
        <v>6123</v>
      </c>
      <c r="C1589" s="28" t="s">
        <v>511</v>
      </c>
      <c r="D1589" s="28" t="s">
        <v>6124</v>
      </c>
      <c r="E1589" s="28" t="s">
        <v>6125</v>
      </c>
      <c r="F1589" s="28" t="s">
        <v>6126</v>
      </c>
      <c r="G1589" s="28" t="s">
        <v>6127</v>
      </c>
      <c r="H1589" s="28" t="s">
        <v>6128</v>
      </c>
      <c r="I1589" s="28" t="s">
        <v>516</v>
      </c>
      <c r="J1589" s="28" t="s">
        <v>517</v>
      </c>
      <c r="K1589" s="28" t="s">
        <v>518</v>
      </c>
      <c r="L1589" s="28" t="s">
        <v>675</v>
      </c>
      <c r="M1589" s="28" t="s">
        <v>535</v>
      </c>
      <c r="N1589" s="28" t="s">
        <v>521</v>
      </c>
      <c r="O1589" s="28" t="s">
        <v>522</v>
      </c>
      <c r="S1589" s="28" t="s">
        <v>786</v>
      </c>
      <c r="T1589" s="28" t="s">
        <v>676</v>
      </c>
      <c r="U1589" s="28" t="s">
        <v>676</v>
      </c>
      <c r="V1589" s="28" t="s">
        <v>517</v>
      </c>
      <c r="W1589" s="28" t="s">
        <v>6129</v>
      </c>
      <c r="Z1589" s="118" t="s">
        <v>526</v>
      </c>
      <c r="AA1589" s="118"/>
      <c r="AB1589" s="118"/>
      <c r="AD1589" s="28" t="s">
        <v>528</v>
      </c>
      <c r="AF1589" s="117" t="s">
        <v>6124</v>
      </c>
      <c r="AG1589" s="28" t="s">
        <v>563</v>
      </c>
      <c r="AK1589" s="60" t="s">
        <v>5515</v>
      </c>
      <c r="AL1589" s="117">
        <f>1/COUNTIF(Tableau6[LAT],B1589)</f>
        <v>1</v>
      </c>
      <c r="AM1589" s="60" t="b">
        <f t="shared" si="178"/>
        <v>0</v>
      </c>
      <c r="AN1589" s="60" t="b">
        <f t="shared" si="179"/>
        <v>0</v>
      </c>
      <c r="AO1589" s="60" t="b">
        <f t="shared" si="180"/>
        <v>0</v>
      </c>
      <c r="AP1589" s="60" t="b">
        <f t="shared" si="181"/>
        <v>0</v>
      </c>
      <c r="AQ1589" s="60" t="b">
        <f t="shared" si="182"/>
        <v>0</v>
      </c>
      <c r="AR1589" s="60" t="str">
        <f t="shared" si="183"/>
        <v>No</v>
      </c>
      <c r="AS1589" s="60" t="str">
        <f t="shared" si="184"/>
        <v>No</v>
      </c>
    </row>
    <row r="1590" spans="1:45" ht="15">
      <c r="A1590" s="103">
        <v>45244</v>
      </c>
      <c r="B1590" s="28" t="s">
        <v>6130</v>
      </c>
      <c r="C1590" s="28" t="s">
        <v>511</v>
      </c>
      <c r="D1590" s="28" t="s">
        <v>6131</v>
      </c>
      <c r="F1590" s="28" t="s">
        <v>6132</v>
      </c>
      <c r="G1590" s="28" t="s">
        <v>514</v>
      </c>
      <c r="H1590" s="28" t="s">
        <v>1610</v>
      </c>
      <c r="I1590" s="28" t="s">
        <v>516</v>
      </c>
      <c r="J1590" s="28" t="s">
        <v>517</v>
      </c>
      <c r="K1590" s="28" t="s">
        <v>518</v>
      </c>
      <c r="L1590" s="28" t="s">
        <v>739</v>
      </c>
      <c r="M1590" s="28" t="s">
        <v>535</v>
      </c>
      <c r="N1590" s="28" t="s">
        <v>557</v>
      </c>
      <c r="O1590" s="28" t="s">
        <v>522</v>
      </c>
      <c r="S1590" s="28" t="s">
        <v>1712</v>
      </c>
      <c r="T1590" s="28" t="s">
        <v>741</v>
      </c>
      <c r="U1590" s="28" t="s">
        <v>741</v>
      </c>
      <c r="V1590" s="28" t="s">
        <v>517</v>
      </c>
      <c r="W1590" s="28" t="s">
        <v>6133</v>
      </c>
      <c r="Z1590" s="118" t="s">
        <v>526</v>
      </c>
      <c r="AA1590" s="118"/>
      <c r="AB1590" s="118"/>
      <c r="AD1590" s="28" t="s">
        <v>528</v>
      </c>
      <c r="AF1590" s="117" t="s">
        <v>6131</v>
      </c>
      <c r="AG1590" s="28" t="s">
        <v>563</v>
      </c>
      <c r="AK1590" s="60" t="s">
        <v>5515</v>
      </c>
      <c r="AL1590" s="117">
        <f>1/COUNTIF(Tableau6[LAT],B1590)</f>
        <v>1</v>
      </c>
      <c r="AM1590" s="60" t="b">
        <f t="shared" si="178"/>
        <v>0</v>
      </c>
      <c r="AN1590" s="60" t="b">
        <f t="shared" si="179"/>
        <v>0</v>
      </c>
      <c r="AO1590" s="60" t="b">
        <f t="shared" si="180"/>
        <v>0</v>
      </c>
      <c r="AP1590" s="60" t="b">
        <f t="shared" si="181"/>
        <v>0</v>
      </c>
      <c r="AQ1590" s="60" t="b">
        <f t="shared" si="182"/>
        <v>0</v>
      </c>
      <c r="AR1590" s="60" t="str">
        <f t="shared" si="183"/>
        <v>No</v>
      </c>
      <c r="AS1590" s="60" t="str">
        <f t="shared" si="184"/>
        <v>No</v>
      </c>
    </row>
    <row r="1591" spans="1:45" ht="15">
      <c r="A1591" s="103">
        <v>45244</v>
      </c>
      <c r="B1591" s="28" t="s">
        <v>6134</v>
      </c>
      <c r="C1591" s="28" t="s">
        <v>511</v>
      </c>
      <c r="D1591" s="28" t="s">
        <v>6135</v>
      </c>
      <c r="F1591" s="28" t="s">
        <v>6136</v>
      </c>
      <c r="G1591" s="28" t="s">
        <v>514</v>
      </c>
      <c r="H1591" s="28" t="s">
        <v>533</v>
      </c>
      <c r="I1591" s="28" t="s">
        <v>516</v>
      </c>
      <c r="J1591" s="28" t="s">
        <v>517</v>
      </c>
      <c r="K1591" s="28" t="s">
        <v>518</v>
      </c>
      <c r="L1591" s="28" t="s">
        <v>569</v>
      </c>
      <c r="M1591" s="28" t="s">
        <v>535</v>
      </c>
      <c r="N1591" s="28" t="s">
        <v>619</v>
      </c>
      <c r="O1591" s="28" t="s">
        <v>521</v>
      </c>
      <c r="P1591" s="28" t="s">
        <v>934</v>
      </c>
      <c r="Q1591" s="28" t="s">
        <v>559</v>
      </c>
      <c r="S1591" s="28" t="s">
        <v>1529</v>
      </c>
      <c r="T1591" s="28" t="s">
        <v>574</v>
      </c>
      <c r="U1591" s="28" t="s">
        <v>574</v>
      </c>
      <c r="V1591" s="28" t="s">
        <v>517</v>
      </c>
      <c r="W1591" s="28" t="s">
        <v>1620</v>
      </c>
      <c r="Z1591" s="118" t="s">
        <v>526</v>
      </c>
      <c r="AA1591" s="118"/>
      <c r="AB1591" s="118"/>
      <c r="AD1591" s="28" t="s">
        <v>528</v>
      </c>
      <c r="AF1591" s="117" t="s">
        <v>6135</v>
      </c>
      <c r="AG1591" s="28" t="s">
        <v>529</v>
      </c>
      <c r="AK1591" s="60" t="s">
        <v>5515</v>
      </c>
      <c r="AL1591" s="117">
        <f>1/COUNTIF(Tableau6[LAT],B1591)</f>
        <v>0.25</v>
      </c>
      <c r="AM1591" s="60" t="b">
        <f t="shared" si="178"/>
        <v>0</v>
      </c>
      <c r="AN1591" s="60" t="b">
        <f t="shared" si="179"/>
        <v>0</v>
      </c>
      <c r="AO1591" s="60" t="b">
        <f t="shared" si="180"/>
        <v>0</v>
      </c>
      <c r="AP1591" s="60" t="b">
        <f t="shared" si="181"/>
        <v>0</v>
      </c>
      <c r="AQ1591" s="60" t="b">
        <f t="shared" si="182"/>
        <v>0</v>
      </c>
      <c r="AR1591" s="60" t="str">
        <f t="shared" si="183"/>
        <v>No</v>
      </c>
      <c r="AS1591" s="60" t="str">
        <f t="shared" si="184"/>
        <v>No</v>
      </c>
    </row>
    <row r="1592" spans="1:45" ht="15">
      <c r="A1592" s="103">
        <v>45244</v>
      </c>
      <c r="B1592" s="28" t="s">
        <v>6134</v>
      </c>
      <c r="C1592" s="28" t="s">
        <v>548</v>
      </c>
      <c r="D1592" s="28" t="s">
        <v>6137</v>
      </c>
      <c r="F1592" s="28" t="s">
        <v>6138</v>
      </c>
      <c r="G1592" s="28" t="s">
        <v>979</v>
      </c>
      <c r="H1592" s="28" t="s">
        <v>2020</v>
      </c>
      <c r="I1592" s="28" t="s">
        <v>516</v>
      </c>
      <c r="J1592" s="28" t="s">
        <v>517</v>
      </c>
      <c r="K1592" s="28" t="s">
        <v>518</v>
      </c>
      <c r="L1592" s="28" t="s">
        <v>569</v>
      </c>
      <c r="M1592" s="28" t="s">
        <v>535</v>
      </c>
      <c r="N1592" s="28" t="s">
        <v>619</v>
      </c>
      <c r="O1592" s="28" t="s">
        <v>521</v>
      </c>
      <c r="P1592" s="28" t="s">
        <v>934</v>
      </c>
      <c r="Q1592" s="28" t="s">
        <v>559</v>
      </c>
      <c r="S1592" s="28" t="s">
        <v>1529</v>
      </c>
      <c r="T1592" s="28" t="s">
        <v>574</v>
      </c>
      <c r="U1592" s="28" t="s">
        <v>574</v>
      </c>
      <c r="V1592" s="28" t="s">
        <v>517</v>
      </c>
      <c r="W1592" s="28" t="s">
        <v>6139</v>
      </c>
      <c r="Z1592" s="118" t="s">
        <v>526</v>
      </c>
      <c r="AA1592" s="118"/>
      <c r="AB1592" s="118"/>
      <c r="AD1592" s="28" t="s">
        <v>528</v>
      </c>
      <c r="AF1592" s="117" t="s">
        <v>6137</v>
      </c>
      <c r="AG1592" s="28" t="s">
        <v>529</v>
      </c>
      <c r="AK1592" s="60" t="s">
        <v>5515</v>
      </c>
      <c r="AL1592" s="117">
        <f>1/COUNTIF(Tableau6[LAT],B1592)</f>
        <v>0.25</v>
      </c>
      <c r="AM1592" s="60" t="b">
        <f t="shared" si="178"/>
        <v>0</v>
      </c>
      <c r="AN1592" s="60" t="b">
        <f t="shared" si="179"/>
        <v>0</v>
      </c>
      <c r="AO1592" s="60" t="b">
        <f t="shared" si="180"/>
        <v>0</v>
      </c>
      <c r="AP1592" s="60" t="b">
        <f t="shared" si="181"/>
        <v>0</v>
      </c>
      <c r="AQ1592" s="60" t="b">
        <f t="shared" si="182"/>
        <v>0</v>
      </c>
      <c r="AR1592" s="60" t="str">
        <f t="shared" si="183"/>
        <v>No</v>
      </c>
      <c r="AS1592" s="60" t="str">
        <f t="shared" si="184"/>
        <v>No</v>
      </c>
    </row>
    <row r="1593" spans="1:45" ht="15">
      <c r="A1593" s="103">
        <v>45244</v>
      </c>
      <c r="B1593" s="28" t="s">
        <v>6134</v>
      </c>
      <c r="C1593" s="28" t="s">
        <v>612</v>
      </c>
      <c r="D1593" s="28" t="s">
        <v>6140</v>
      </c>
      <c r="F1593" s="28" t="s">
        <v>6141</v>
      </c>
      <c r="G1593" s="28" t="s">
        <v>657</v>
      </c>
      <c r="H1593" s="28" t="s">
        <v>2175</v>
      </c>
      <c r="I1593" s="28" t="s">
        <v>516</v>
      </c>
      <c r="J1593" s="28" t="s">
        <v>517</v>
      </c>
      <c r="K1593" s="28" t="s">
        <v>518</v>
      </c>
      <c r="L1593" s="28" t="s">
        <v>569</v>
      </c>
      <c r="M1593" s="28" t="s">
        <v>535</v>
      </c>
      <c r="N1593" s="28" t="s">
        <v>619</v>
      </c>
      <c r="O1593" s="28" t="s">
        <v>521</v>
      </c>
      <c r="P1593" s="28" t="s">
        <v>934</v>
      </c>
      <c r="Q1593" s="28" t="s">
        <v>559</v>
      </c>
      <c r="S1593" s="28" t="s">
        <v>1529</v>
      </c>
      <c r="T1593" s="28" t="s">
        <v>574</v>
      </c>
      <c r="U1593" s="28" t="s">
        <v>574</v>
      </c>
      <c r="V1593" s="28" t="s">
        <v>517</v>
      </c>
      <c r="W1593" s="28" t="s">
        <v>6142</v>
      </c>
      <c r="Z1593" s="118" t="s">
        <v>526</v>
      </c>
      <c r="AA1593" s="118"/>
      <c r="AB1593" s="118"/>
      <c r="AD1593" s="28" t="s">
        <v>528</v>
      </c>
      <c r="AF1593" s="117" t="s">
        <v>6140</v>
      </c>
      <c r="AG1593" s="28" t="s">
        <v>529</v>
      </c>
      <c r="AK1593" s="60" t="s">
        <v>5515</v>
      </c>
      <c r="AL1593" s="117">
        <f>1/COUNTIF(Tableau6[LAT],B1593)</f>
        <v>0.25</v>
      </c>
      <c r="AM1593" s="60" t="b">
        <f t="shared" si="178"/>
        <v>0</v>
      </c>
      <c r="AN1593" s="60" t="b">
        <f t="shared" si="179"/>
        <v>0</v>
      </c>
      <c r="AO1593" s="60" t="b">
        <f t="shared" si="180"/>
        <v>0</v>
      </c>
      <c r="AP1593" s="60" t="b">
        <f t="shared" si="181"/>
        <v>0</v>
      </c>
      <c r="AQ1593" s="60" t="b">
        <f t="shared" si="182"/>
        <v>0</v>
      </c>
      <c r="AR1593" s="60" t="str">
        <f t="shared" si="183"/>
        <v>No</v>
      </c>
      <c r="AS1593" s="60" t="str">
        <f t="shared" si="184"/>
        <v>No</v>
      </c>
    </row>
    <row r="1594" spans="1:45" ht="15">
      <c r="A1594" s="103">
        <v>45244</v>
      </c>
      <c r="B1594" s="28" t="s">
        <v>6134</v>
      </c>
      <c r="C1594" s="28" t="s">
        <v>691</v>
      </c>
      <c r="D1594" s="28" t="s">
        <v>6143</v>
      </c>
      <c r="F1594" s="28" t="s">
        <v>6144</v>
      </c>
      <c r="G1594" s="28" t="s">
        <v>958</v>
      </c>
      <c r="H1594" s="28" t="s">
        <v>2401</v>
      </c>
      <c r="I1594" s="28" t="s">
        <v>516</v>
      </c>
      <c r="J1594" s="28" t="s">
        <v>517</v>
      </c>
      <c r="K1594" s="28" t="s">
        <v>518</v>
      </c>
      <c r="L1594" s="28" t="s">
        <v>569</v>
      </c>
      <c r="M1594" s="28" t="s">
        <v>535</v>
      </c>
      <c r="N1594" s="28" t="s">
        <v>619</v>
      </c>
      <c r="O1594" s="28" t="s">
        <v>521</v>
      </c>
      <c r="P1594" s="28" t="s">
        <v>934</v>
      </c>
      <c r="Q1594" s="28" t="s">
        <v>559</v>
      </c>
      <c r="S1594" s="28" t="s">
        <v>1529</v>
      </c>
      <c r="T1594" s="28" t="s">
        <v>574</v>
      </c>
      <c r="U1594" s="28" t="s">
        <v>574</v>
      </c>
      <c r="V1594" s="28" t="s">
        <v>517</v>
      </c>
      <c r="W1594" s="28" t="s">
        <v>1620</v>
      </c>
      <c r="Z1594" s="118" t="s">
        <v>526</v>
      </c>
      <c r="AA1594" s="118"/>
      <c r="AB1594" s="118"/>
      <c r="AD1594" s="28" t="s">
        <v>528</v>
      </c>
      <c r="AF1594" s="117" t="s">
        <v>6143</v>
      </c>
      <c r="AG1594" s="28" t="s">
        <v>529</v>
      </c>
      <c r="AK1594" s="60" t="s">
        <v>5515</v>
      </c>
      <c r="AL1594" s="117">
        <f>1/COUNTIF(Tableau6[LAT],B1594)</f>
        <v>0.25</v>
      </c>
      <c r="AM1594" s="60" t="b">
        <f t="shared" si="178"/>
        <v>0</v>
      </c>
      <c r="AN1594" s="60" t="b">
        <f t="shared" si="179"/>
        <v>0</v>
      </c>
      <c r="AO1594" s="60" t="b">
        <f t="shared" si="180"/>
        <v>0</v>
      </c>
      <c r="AP1594" s="60" t="b">
        <f t="shared" si="181"/>
        <v>0</v>
      </c>
      <c r="AQ1594" s="60" t="b">
        <f t="shared" si="182"/>
        <v>0</v>
      </c>
      <c r="AR1594" s="60" t="str">
        <f t="shared" si="183"/>
        <v>No</v>
      </c>
      <c r="AS1594" s="60" t="str">
        <f t="shared" si="184"/>
        <v>No</v>
      </c>
    </row>
    <row r="1595" spans="1:45" ht="15">
      <c r="A1595" s="103">
        <v>45244</v>
      </c>
      <c r="B1595" s="28" t="s">
        <v>6145</v>
      </c>
      <c r="C1595" s="28" t="s">
        <v>511</v>
      </c>
      <c r="D1595" s="28" t="s">
        <v>6146</v>
      </c>
      <c r="E1595" s="28" t="s">
        <v>6147</v>
      </c>
      <c r="F1595" s="28" t="s">
        <v>6148</v>
      </c>
      <c r="G1595" s="28" t="s">
        <v>6149</v>
      </c>
      <c r="H1595" s="28" t="s">
        <v>5885</v>
      </c>
      <c r="I1595" s="28" t="s">
        <v>516</v>
      </c>
      <c r="J1595" s="28" t="s">
        <v>517</v>
      </c>
      <c r="K1595" s="28" t="s">
        <v>518</v>
      </c>
      <c r="L1595" s="28" t="s">
        <v>3749</v>
      </c>
      <c r="M1595" s="28" t="s">
        <v>605</v>
      </c>
      <c r="N1595" s="28" t="s">
        <v>557</v>
      </c>
      <c r="O1595" s="28" t="s">
        <v>522</v>
      </c>
      <c r="S1595" s="28" t="s">
        <v>659</v>
      </c>
      <c r="T1595" s="28" t="s">
        <v>1918</v>
      </c>
      <c r="U1595" s="28" t="s">
        <v>1918</v>
      </c>
      <c r="V1595" s="28" t="s">
        <v>517</v>
      </c>
      <c r="W1595" s="28" t="s">
        <v>6150</v>
      </c>
      <c r="Z1595" s="118" t="s">
        <v>563</v>
      </c>
      <c r="AA1595" s="118"/>
      <c r="AB1595" s="118" t="s">
        <v>527</v>
      </c>
      <c r="AD1595" s="28" t="s">
        <v>528</v>
      </c>
      <c r="AF1595" s="117" t="s">
        <v>6146</v>
      </c>
      <c r="AG1595" s="28" t="s">
        <v>563</v>
      </c>
      <c r="AK1595" s="60" t="s">
        <v>5515</v>
      </c>
      <c r="AL1595" s="117">
        <f>1/COUNTIF(Tableau6[LAT],B1595)</f>
        <v>1</v>
      </c>
      <c r="AM1595" s="60" t="b">
        <f t="shared" si="178"/>
        <v>0</v>
      </c>
      <c r="AN1595" s="60" t="b">
        <f t="shared" si="179"/>
        <v>0</v>
      </c>
      <c r="AO1595" s="60" t="b">
        <f t="shared" si="180"/>
        <v>0</v>
      </c>
      <c r="AP1595" s="60" t="b">
        <f t="shared" si="181"/>
        <v>0</v>
      </c>
      <c r="AQ1595" s="60" t="b">
        <f t="shared" si="182"/>
        <v>0</v>
      </c>
      <c r="AR1595" s="60" t="str">
        <f t="shared" si="183"/>
        <v>No</v>
      </c>
      <c r="AS1595" s="60" t="str">
        <f t="shared" si="184"/>
        <v>No</v>
      </c>
    </row>
    <row r="1596" spans="1:45" ht="15">
      <c r="A1596" s="103">
        <v>45244</v>
      </c>
      <c r="B1596" s="28" t="s">
        <v>6151</v>
      </c>
      <c r="C1596" s="28" t="s">
        <v>511</v>
      </c>
      <c r="D1596" s="28" t="s">
        <v>6152</v>
      </c>
      <c r="E1596" s="28" t="s">
        <v>6153</v>
      </c>
      <c r="F1596" s="28" t="s">
        <v>5867</v>
      </c>
      <c r="G1596" s="28" t="s">
        <v>5233</v>
      </c>
      <c r="H1596" s="28" t="s">
        <v>6154</v>
      </c>
      <c r="I1596" s="28" t="s">
        <v>516</v>
      </c>
      <c r="J1596" s="28" t="s">
        <v>516</v>
      </c>
      <c r="K1596" s="28" t="s">
        <v>518</v>
      </c>
      <c r="L1596" s="28" t="s">
        <v>1917</v>
      </c>
      <c r="M1596" s="28" t="s">
        <v>535</v>
      </c>
      <c r="N1596" s="28" t="s">
        <v>557</v>
      </c>
      <c r="O1596" s="28" t="s">
        <v>558</v>
      </c>
      <c r="P1596" s="28" t="s">
        <v>522</v>
      </c>
      <c r="S1596" s="28" t="s">
        <v>659</v>
      </c>
      <c r="T1596" s="28" t="s">
        <v>1918</v>
      </c>
      <c r="U1596" s="28" t="s">
        <v>1918</v>
      </c>
      <c r="V1596" s="28" t="s">
        <v>517</v>
      </c>
      <c r="W1596" s="28" t="s">
        <v>6155</v>
      </c>
      <c r="Z1596" s="118" t="s">
        <v>563</v>
      </c>
      <c r="AA1596" s="118"/>
      <c r="AB1596" s="118" t="s">
        <v>527</v>
      </c>
      <c r="AD1596" s="118" t="s">
        <v>954</v>
      </c>
      <c r="AE1596" s="118"/>
      <c r="AF1596" s="137">
        <v>0</v>
      </c>
      <c r="AG1596" s="118" t="s">
        <v>563</v>
      </c>
      <c r="AK1596" s="60" t="s">
        <v>5515</v>
      </c>
      <c r="AL1596" s="117">
        <f>1/COUNTIF(Tableau6[LAT],B1596)</f>
        <v>1</v>
      </c>
      <c r="AM1596" s="60" t="b">
        <f t="shared" si="178"/>
        <v>0</v>
      </c>
      <c r="AN1596" s="60" t="b">
        <f t="shared" si="179"/>
        <v>0</v>
      </c>
      <c r="AO1596" s="60" t="b">
        <f t="shared" si="180"/>
        <v>0</v>
      </c>
      <c r="AP1596" s="60" t="b">
        <f t="shared" si="181"/>
        <v>0</v>
      </c>
      <c r="AQ1596" s="60" t="b">
        <f t="shared" si="182"/>
        <v>0</v>
      </c>
      <c r="AR1596" s="60" t="str">
        <f t="shared" si="183"/>
        <v>No</v>
      </c>
      <c r="AS1596" s="60" t="str">
        <f t="shared" si="184"/>
        <v>No</v>
      </c>
    </row>
    <row r="1597" spans="1:45" ht="15">
      <c r="A1597" s="103">
        <v>45244</v>
      </c>
      <c r="B1597" s="28" t="s">
        <v>6156</v>
      </c>
      <c r="C1597" s="28" t="s">
        <v>511</v>
      </c>
      <c r="D1597" s="28" t="s">
        <v>6157</v>
      </c>
      <c r="E1597" s="28" t="s">
        <v>6158</v>
      </c>
      <c r="F1597" s="28" t="s">
        <v>6159</v>
      </c>
      <c r="G1597" s="28" t="s">
        <v>6026</v>
      </c>
      <c r="H1597" s="28" t="s">
        <v>555</v>
      </c>
      <c r="I1597" s="28" t="s">
        <v>516</v>
      </c>
      <c r="J1597" s="28" t="s">
        <v>517</v>
      </c>
      <c r="K1597" s="28" t="s">
        <v>518</v>
      </c>
      <c r="L1597" s="28" t="s">
        <v>895</v>
      </c>
      <c r="M1597" s="28" t="s">
        <v>520</v>
      </c>
      <c r="N1597" s="28" t="s">
        <v>557</v>
      </c>
      <c r="O1597" s="28" t="s">
        <v>4367</v>
      </c>
      <c r="P1597" s="28" t="s">
        <v>427</v>
      </c>
      <c r="Q1597" s="28" t="s">
        <v>522</v>
      </c>
      <c r="S1597" s="28" t="s">
        <v>1366</v>
      </c>
      <c r="T1597" s="28" t="s">
        <v>699</v>
      </c>
      <c r="U1597" s="28" t="s">
        <v>897</v>
      </c>
      <c r="V1597" s="28" t="s">
        <v>517</v>
      </c>
      <c r="W1597" s="28" t="s">
        <v>6160</v>
      </c>
      <c r="Z1597" s="118" t="s">
        <v>526</v>
      </c>
      <c r="AA1597" s="118"/>
      <c r="AB1597" s="118"/>
      <c r="AF1597" s="117"/>
      <c r="AK1597" s="60" t="s">
        <v>5515</v>
      </c>
      <c r="AL1597" s="117">
        <f>1/COUNTIF(Tableau6[LAT],B1597)</f>
        <v>1</v>
      </c>
      <c r="AM1597" s="60" t="b">
        <f t="shared" si="178"/>
        <v>0</v>
      </c>
      <c r="AN1597" s="60" t="b">
        <f t="shared" si="179"/>
        <v>0</v>
      </c>
      <c r="AO1597" s="60" t="b">
        <f t="shared" si="180"/>
        <v>0</v>
      </c>
      <c r="AP1597" s="60" t="b">
        <f t="shared" si="181"/>
        <v>0</v>
      </c>
      <c r="AQ1597" s="60" t="b">
        <f t="shared" si="182"/>
        <v>0</v>
      </c>
      <c r="AR1597" s="60" t="str">
        <f t="shared" si="183"/>
        <v>No</v>
      </c>
      <c r="AS1597" s="60" t="str">
        <f t="shared" si="184"/>
        <v>No</v>
      </c>
    </row>
    <row r="1598" spans="1:45" ht="15">
      <c r="A1598" s="103">
        <v>45244</v>
      </c>
      <c r="B1598" s="28" t="s">
        <v>6161</v>
      </c>
      <c r="C1598" s="28" t="s">
        <v>511</v>
      </c>
      <c r="D1598" s="28" t="s">
        <v>6162</v>
      </c>
      <c r="F1598" s="28" t="s">
        <v>1999</v>
      </c>
      <c r="G1598" s="28" t="s">
        <v>514</v>
      </c>
      <c r="H1598" s="28" t="s">
        <v>3941</v>
      </c>
      <c r="I1598" s="28" t="s">
        <v>516</v>
      </c>
      <c r="J1598" s="28" t="s">
        <v>517</v>
      </c>
      <c r="K1598" s="28" t="s">
        <v>518</v>
      </c>
      <c r="L1598" s="28" t="s">
        <v>2234</v>
      </c>
      <c r="M1598" s="28" t="s">
        <v>535</v>
      </c>
      <c r="S1598" s="28" t="s">
        <v>524</v>
      </c>
      <c r="T1598" s="28" t="s">
        <v>607</v>
      </c>
      <c r="U1598" s="28" t="s">
        <v>607</v>
      </c>
      <c r="V1598" s="28" t="s">
        <v>517</v>
      </c>
      <c r="W1598" s="28" t="s">
        <v>6163</v>
      </c>
      <c r="Z1598" s="118" t="s">
        <v>526</v>
      </c>
      <c r="AA1598" s="118"/>
      <c r="AB1598" s="118"/>
      <c r="AD1598" s="28" t="s">
        <v>954</v>
      </c>
      <c r="AF1598" s="117" t="s">
        <v>6162</v>
      </c>
      <c r="AG1598" s="28" t="s">
        <v>563</v>
      </c>
      <c r="AK1598" s="60" t="s">
        <v>5515</v>
      </c>
      <c r="AL1598" s="117">
        <f>1/COUNTIF(Tableau6[LAT],B1598)</f>
        <v>1</v>
      </c>
      <c r="AM1598" s="60" t="b">
        <f t="shared" si="178"/>
        <v>0</v>
      </c>
      <c r="AN1598" s="60" t="b">
        <f t="shared" si="179"/>
        <v>0</v>
      </c>
      <c r="AO1598" s="60" t="b">
        <f t="shared" si="180"/>
        <v>0</v>
      </c>
      <c r="AP1598" s="60" t="b">
        <f t="shared" si="181"/>
        <v>0</v>
      </c>
      <c r="AQ1598" s="60" t="b">
        <f t="shared" si="182"/>
        <v>0</v>
      </c>
      <c r="AR1598" s="60" t="str">
        <f t="shared" si="183"/>
        <v>No</v>
      </c>
      <c r="AS1598" s="60" t="str">
        <f t="shared" si="184"/>
        <v>No</v>
      </c>
    </row>
    <row r="1599" spans="1:45" ht="15">
      <c r="A1599" s="103">
        <v>45244</v>
      </c>
      <c r="B1599" s="28" t="s">
        <v>6164</v>
      </c>
      <c r="C1599" s="28" t="s">
        <v>511</v>
      </c>
      <c r="D1599" s="28" t="s">
        <v>6165</v>
      </c>
      <c r="F1599" s="28" t="s">
        <v>2003</v>
      </c>
      <c r="G1599" s="28" t="s">
        <v>514</v>
      </c>
      <c r="H1599" s="28" t="s">
        <v>3667</v>
      </c>
      <c r="I1599" s="28" t="s">
        <v>516</v>
      </c>
      <c r="J1599" s="28" t="s">
        <v>517</v>
      </c>
      <c r="K1599" s="28" t="s">
        <v>518</v>
      </c>
      <c r="L1599" s="28" t="s">
        <v>6166</v>
      </c>
      <c r="M1599" s="28" t="s">
        <v>535</v>
      </c>
      <c r="N1599" s="28" t="s">
        <v>1307</v>
      </c>
      <c r="O1599" s="28" t="s">
        <v>544</v>
      </c>
      <c r="P1599" s="28" t="s">
        <v>522</v>
      </c>
      <c r="S1599" s="28" t="s">
        <v>524</v>
      </c>
      <c r="T1599" s="28" t="s">
        <v>1488</v>
      </c>
      <c r="U1599" s="28" t="s">
        <v>718</v>
      </c>
      <c r="V1599" s="28" t="s">
        <v>517</v>
      </c>
      <c r="W1599" s="28" t="s">
        <v>6167</v>
      </c>
      <c r="Z1599" s="118" t="s">
        <v>526</v>
      </c>
      <c r="AA1599" s="118"/>
      <c r="AB1599" s="118"/>
      <c r="AF1599" s="117" t="s">
        <v>1083</v>
      </c>
      <c r="AK1599" s="60" t="s">
        <v>5515</v>
      </c>
      <c r="AL1599" s="117">
        <f>1/COUNTIF(Tableau6[LAT],B1599)</f>
        <v>1</v>
      </c>
      <c r="AM1599" s="60" t="b">
        <f t="shared" si="178"/>
        <v>0</v>
      </c>
      <c r="AN1599" s="60" t="b">
        <f t="shared" si="179"/>
        <v>0</v>
      </c>
      <c r="AO1599" s="60" t="b">
        <f t="shared" si="180"/>
        <v>0</v>
      </c>
      <c r="AP1599" s="60" t="b">
        <f t="shared" si="181"/>
        <v>0</v>
      </c>
      <c r="AQ1599" s="60" t="b">
        <f t="shared" si="182"/>
        <v>0</v>
      </c>
      <c r="AR1599" s="60" t="str">
        <f t="shared" si="183"/>
        <v>No</v>
      </c>
      <c r="AS1599" s="60" t="str">
        <f t="shared" si="184"/>
        <v>No</v>
      </c>
    </row>
    <row r="1600" spans="1:45" ht="15">
      <c r="A1600" s="103">
        <v>45244</v>
      </c>
      <c r="B1600" s="28" t="s">
        <v>6168</v>
      </c>
      <c r="C1600" s="28" t="s">
        <v>511</v>
      </c>
      <c r="D1600" s="28" t="s">
        <v>6169</v>
      </c>
      <c r="F1600" s="28" t="s">
        <v>2400</v>
      </c>
      <c r="G1600" s="28" t="s">
        <v>724</v>
      </c>
      <c r="H1600" s="28" t="s">
        <v>3516</v>
      </c>
      <c r="I1600" s="28" t="s">
        <v>516</v>
      </c>
      <c r="J1600" s="28" t="s">
        <v>517</v>
      </c>
      <c r="K1600" s="28" t="s">
        <v>518</v>
      </c>
      <c r="L1600" s="28" t="s">
        <v>3338</v>
      </c>
      <c r="M1600" s="28" t="s">
        <v>520</v>
      </c>
      <c r="N1600" s="28" t="s">
        <v>522</v>
      </c>
      <c r="S1600" s="28" t="s">
        <v>524</v>
      </c>
      <c r="T1600" s="28" t="s">
        <v>3083</v>
      </c>
      <c r="U1600" s="28" t="s">
        <v>3083</v>
      </c>
      <c r="V1600" s="28" t="s">
        <v>517</v>
      </c>
      <c r="W1600" s="28" t="s">
        <v>2935</v>
      </c>
      <c r="Z1600" s="118" t="s">
        <v>526</v>
      </c>
      <c r="AA1600" s="118"/>
      <c r="AB1600" s="118"/>
      <c r="AD1600" s="28" t="s">
        <v>954</v>
      </c>
      <c r="AF1600" s="117" t="s">
        <v>6169</v>
      </c>
      <c r="AG1600" s="28" t="s">
        <v>563</v>
      </c>
      <c r="AK1600" s="60" t="s">
        <v>5515</v>
      </c>
      <c r="AL1600" s="117">
        <f>1/COUNTIF(Tableau6[LAT],B1600)</f>
        <v>1</v>
      </c>
      <c r="AM1600" s="60" t="b">
        <f t="shared" si="178"/>
        <v>0</v>
      </c>
      <c r="AN1600" s="60" t="b">
        <f t="shared" si="179"/>
        <v>0</v>
      </c>
      <c r="AO1600" s="60" t="b">
        <f t="shared" si="180"/>
        <v>0</v>
      </c>
      <c r="AP1600" s="60" t="b">
        <f t="shared" si="181"/>
        <v>0</v>
      </c>
      <c r="AQ1600" s="60" t="b">
        <f t="shared" si="182"/>
        <v>0</v>
      </c>
      <c r="AR1600" s="60" t="str">
        <f t="shared" si="183"/>
        <v>No</v>
      </c>
      <c r="AS1600" s="60" t="str">
        <f t="shared" si="184"/>
        <v>No</v>
      </c>
    </row>
    <row r="1601" spans="1:45" ht="15">
      <c r="A1601" s="103">
        <v>45244</v>
      </c>
      <c r="B1601" s="28" t="s">
        <v>6170</v>
      </c>
      <c r="C1601" s="28" t="s">
        <v>511</v>
      </c>
      <c r="D1601" s="28" t="s">
        <v>6171</v>
      </c>
      <c r="F1601" s="28" t="s">
        <v>6172</v>
      </c>
      <c r="G1601" s="28" t="s">
        <v>514</v>
      </c>
      <c r="H1601" s="28" t="s">
        <v>3819</v>
      </c>
      <c r="I1601" s="28" t="s">
        <v>516</v>
      </c>
      <c r="J1601" s="28" t="s">
        <v>517</v>
      </c>
      <c r="K1601" s="28" t="s">
        <v>682</v>
      </c>
      <c r="L1601" s="28" t="s">
        <v>4699</v>
      </c>
      <c r="M1601" s="28" t="s">
        <v>535</v>
      </c>
      <c r="N1601" s="28" t="s">
        <v>557</v>
      </c>
      <c r="O1601" s="28" t="s">
        <v>544</v>
      </c>
      <c r="P1601" s="28" t="s">
        <v>559</v>
      </c>
      <c r="S1601" s="28" t="s">
        <v>1226</v>
      </c>
      <c r="T1601" s="28" t="s">
        <v>4700</v>
      </c>
      <c r="U1601" s="28" t="s">
        <v>4700</v>
      </c>
      <c r="V1601" s="28" t="s">
        <v>517</v>
      </c>
      <c r="W1601" s="28" t="s">
        <v>591</v>
      </c>
      <c r="Z1601" s="118" t="s">
        <v>563</v>
      </c>
      <c r="AA1601" s="118"/>
      <c r="AB1601" s="118" t="s">
        <v>527</v>
      </c>
      <c r="AD1601" s="28" t="s">
        <v>528</v>
      </c>
      <c r="AF1601" s="117" t="s">
        <v>6171</v>
      </c>
      <c r="AG1601" s="28" t="s">
        <v>563</v>
      </c>
      <c r="AK1601" s="60" t="s">
        <v>5515</v>
      </c>
      <c r="AL1601" s="117">
        <f>1/COUNTIF(Tableau6[LAT],B1601)</f>
        <v>1</v>
      </c>
      <c r="AM1601" s="60" t="b">
        <f t="shared" si="178"/>
        <v>0</v>
      </c>
      <c r="AN1601" s="60" t="b">
        <f t="shared" si="179"/>
        <v>0</v>
      </c>
      <c r="AO1601" s="60" t="b">
        <f t="shared" si="180"/>
        <v>0</v>
      </c>
      <c r="AP1601" s="60" t="b">
        <f t="shared" si="181"/>
        <v>0</v>
      </c>
      <c r="AQ1601" s="60" t="b">
        <f t="shared" si="182"/>
        <v>0</v>
      </c>
      <c r="AR1601" s="60" t="str">
        <f t="shared" si="183"/>
        <v>No</v>
      </c>
      <c r="AS1601" s="60" t="str">
        <f t="shared" si="184"/>
        <v>No</v>
      </c>
    </row>
    <row r="1602" spans="1:45" ht="15">
      <c r="A1602" s="103">
        <v>45244</v>
      </c>
      <c r="B1602" s="28" t="s">
        <v>6173</v>
      </c>
      <c r="C1602" s="28" t="s">
        <v>511</v>
      </c>
      <c r="D1602" s="28" t="s">
        <v>6174</v>
      </c>
      <c r="F1602" s="28" t="s">
        <v>4635</v>
      </c>
      <c r="G1602" s="28" t="s">
        <v>514</v>
      </c>
      <c r="H1602" s="28" t="s">
        <v>966</v>
      </c>
      <c r="I1602" s="28" t="s">
        <v>516</v>
      </c>
      <c r="J1602" s="28" t="s">
        <v>517</v>
      </c>
      <c r="K1602" s="28" t="s">
        <v>682</v>
      </c>
      <c r="L1602" s="28" t="s">
        <v>1262</v>
      </c>
      <c r="M1602" s="28" t="s">
        <v>535</v>
      </c>
      <c r="N1602" s="28" t="s">
        <v>557</v>
      </c>
      <c r="O1602" s="28" t="s">
        <v>544</v>
      </c>
      <c r="P1602" s="28" t="s">
        <v>522</v>
      </c>
      <c r="S1602" s="28" t="s">
        <v>732</v>
      </c>
      <c r="T1602" s="28" t="s">
        <v>1918</v>
      </c>
      <c r="U1602" s="28" t="s">
        <v>1264</v>
      </c>
      <c r="V1602" s="28" t="s">
        <v>517</v>
      </c>
      <c r="W1602" s="28" t="s">
        <v>6175</v>
      </c>
      <c r="Z1602" s="118" t="s">
        <v>563</v>
      </c>
      <c r="AA1602" s="118"/>
      <c r="AB1602" s="118" t="s">
        <v>4506</v>
      </c>
      <c r="AD1602" s="28" t="s">
        <v>528</v>
      </c>
      <c r="AF1602" s="117" t="s">
        <v>6174</v>
      </c>
      <c r="AG1602" s="28" t="s">
        <v>563</v>
      </c>
      <c r="AK1602" s="60" t="s">
        <v>5515</v>
      </c>
      <c r="AL1602" s="117">
        <f>1/COUNTIF(Tableau6[LAT],B1602)</f>
        <v>1</v>
      </c>
      <c r="AM1602" s="60" t="b">
        <f t="shared" si="178"/>
        <v>0</v>
      </c>
      <c r="AN1602" s="60" t="b">
        <f t="shared" si="179"/>
        <v>0</v>
      </c>
      <c r="AO1602" s="60" t="b">
        <f t="shared" si="180"/>
        <v>0</v>
      </c>
      <c r="AP1602" s="60" t="b">
        <f t="shared" si="181"/>
        <v>0</v>
      </c>
      <c r="AQ1602" s="60" t="b">
        <f t="shared" si="182"/>
        <v>0</v>
      </c>
      <c r="AR1602" s="60" t="str">
        <f t="shared" si="183"/>
        <v>No</v>
      </c>
      <c r="AS1602" s="60" t="str">
        <f t="shared" si="184"/>
        <v>No</v>
      </c>
    </row>
    <row r="1603" spans="1:45" ht="15">
      <c r="A1603" s="103">
        <v>45244</v>
      </c>
      <c r="B1603" s="28" t="s">
        <v>6176</v>
      </c>
      <c r="C1603" s="28" t="s">
        <v>511</v>
      </c>
      <c r="D1603" s="28" t="s">
        <v>6177</v>
      </c>
      <c r="F1603" s="28" t="s">
        <v>6178</v>
      </c>
      <c r="G1603" s="28" t="s">
        <v>514</v>
      </c>
      <c r="H1603" s="28" t="s">
        <v>1735</v>
      </c>
      <c r="I1603" s="28" t="s">
        <v>516</v>
      </c>
      <c r="J1603" s="28" t="s">
        <v>517</v>
      </c>
      <c r="K1603" s="28" t="s">
        <v>518</v>
      </c>
      <c r="L1603" s="28" t="s">
        <v>739</v>
      </c>
      <c r="M1603" s="28" t="s">
        <v>535</v>
      </c>
      <c r="N1603" s="28" t="s">
        <v>544</v>
      </c>
      <c r="S1603" s="28" t="s">
        <v>732</v>
      </c>
      <c r="T1603" s="28" t="s">
        <v>741</v>
      </c>
      <c r="U1603" s="28" t="s">
        <v>741</v>
      </c>
      <c r="V1603" s="28" t="s">
        <v>517</v>
      </c>
      <c r="W1603" s="28" t="s">
        <v>5726</v>
      </c>
      <c r="Z1603" s="118" t="s">
        <v>563</v>
      </c>
      <c r="AA1603" s="118"/>
      <c r="AB1603" s="118" t="s">
        <v>527</v>
      </c>
      <c r="AD1603" s="28" t="s">
        <v>528</v>
      </c>
      <c r="AF1603" s="117" t="s">
        <v>6177</v>
      </c>
      <c r="AG1603" s="28" t="s">
        <v>563</v>
      </c>
      <c r="AK1603" s="60" t="s">
        <v>5515</v>
      </c>
      <c r="AL1603" s="117">
        <f>1/COUNTIF(Tableau6[LAT],B1603)</f>
        <v>1</v>
      </c>
      <c r="AM1603" s="60" t="b">
        <f t="shared" si="178"/>
        <v>0</v>
      </c>
      <c r="AN1603" s="60" t="b">
        <f t="shared" si="179"/>
        <v>0</v>
      </c>
      <c r="AO1603" s="60" t="b">
        <f t="shared" si="180"/>
        <v>0</v>
      </c>
      <c r="AP1603" s="60" t="b">
        <f t="shared" si="181"/>
        <v>0</v>
      </c>
      <c r="AQ1603" s="60" t="b">
        <f t="shared" si="182"/>
        <v>0</v>
      </c>
      <c r="AR1603" s="60" t="str">
        <f t="shared" si="183"/>
        <v>No</v>
      </c>
      <c r="AS1603" s="60" t="str">
        <f t="shared" si="184"/>
        <v>No</v>
      </c>
    </row>
    <row r="1604" spans="1:45" ht="15">
      <c r="A1604" s="103">
        <v>45244</v>
      </c>
      <c r="B1604" s="28" t="s">
        <v>6179</v>
      </c>
      <c r="C1604" s="28" t="s">
        <v>511</v>
      </c>
      <c r="D1604" s="28" t="s">
        <v>6180</v>
      </c>
      <c r="F1604" s="28" t="s">
        <v>6181</v>
      </c>
      <c r="G1604" s="28" t="s">
        <v>514</v>
      </c>
      <c r="H1604" s="28" t="s">
        <v>1138</v>
      </c>
      <c r="I1604" s="28" t="s">
        <v>516</v>
      </c>
      <c r="J1604" s="28" t="s">
        <v>517</v>
      </c>
      <c r="K1604" s="28" t="s">
        <v>518</v>
      </c>
      <c r="L1604" s="28" t="s">
        <v>751</v>
      </c>
      <c r="M1604" s="28" t="s">
        <v>520</v>
      </c>
      <c r="N1604" s="28" t="s">
        <v>544</v>
      </c>
      <c r="O1604" s="28" t="s">
        <v>559</v>
      </c>
      <c r="S1604" s="28" t="s">
        <v>3949</v>
      </c>
      <c r="T1604" s="28" t="s">
        <v>753</v>
      </c>
      <c r="U1604" s="28" t="s">
        <v>753</v>
      </c>
      <c r="V1604" s="28" t="s">
        <v>517</v>
      </c>
      <c r="W1604" s="28" t="s">
        <v>889</v>
      </c>
      <c r="Z1604" s="118" t="s">
        <v>563</v>
      </c>
      <c r="AA1604" s="118"/>
      <c r="AB1604" s="118" t="s">
        <v>923</v>
      </c>
      <c r="AD1604" s="28" t="s">
        <v>528</v>
      </c>
      <c r="AF1604" s="117" t="s">
        <v>6182</v>
      </c>
      <c r="AG1604" s="28" t="s">
        <v>563</v>
      </c>
      <c r="AK1604" s="60" t="s">
        <v>5515</v>
      </c>
      <c r="AL1604" s="117">
        <f>1/COUNTIF(Tableau6[LAT],B1604)</f>
        <v>0.5</v>
      </c>
      <c r="AM1604" s="60" t="b">
        <f t="shared" si="178"/>
        <v>0</v>
      </c>
      <c r="AN1604" s="60" t="b">
        <f t="shared" si="179"/>
        <v>0</v>
      </c>
      <c r="AO1604" s="60" t="b">
        <f t="shared" si="180"/>
        <v>0</v>
      </c>
      <c r="AP1604" s="60" t="b">
        <f t="shared" si="181"/>
        <v>0</v>
      </c>
      <c r="AQ1604" s="60" t="b">
        <f t="shared" si="182"/>
        <v>0</v>
      </c>
      <c r="AR1604" s="60" t="str">
        <f t="shared" si="183"/>
        <v>No</v>
      </c>
      <c r="AS1604" s="60" t="str">
        <f t="shared" si="184"/>
        <v>No</v>
      </c>
    </row>
    <row r="1605" spans="1:45" ht="15">
      <c r="A1605" s="103">
        <v>45244</v>
      </c>
      <c r="B1605" s="28" t="s">
        <v>6179</v>
      </c>
      <c r="C1605" s="28" t="s">
        <v>548</v>
      </c>
      <c r="D1605" s="28" t="s">
        <v>6183</v>
      </c>
      <c r="F1605" s="28" t="s">
        <v>6181</v>
      </c>
      <c r="G1605" s="28" t="s">
        <v>514</v>
      </c>
      <c r="H1605" s="28" t="s">
        <v>1138</v>
      </c>
      <c r="I1605" s="28" t="s">
        <v>516</v>
      </c>
      <c r="J1605" s="28" t="s">
        <v>517</v>
      </c>
      <c r="K1605" s="28" t="s">
        <v>518</v>
      </c>
      <c r="L1605" s="28" t="s">
        <v>751</v>
      </c>
      <c r="M1605" s="28" t="s">
        <v>520</v>
      </c>
      <c r="N1605" s="28" t="s">
        <v>544</v>
      </c>
      <c r="O1605" s="28" t="s">
        <v>559</v>
      </c>
      <c r="S1605" s="28" t="s">
        <v>3949</v>
      </c>
      <c r="T1605" s="28" t="s">
        <v>753</v>
      </c>
      <c r="U1605" s="28" t="s">
        <v>753</v>
      </c>
      <c r="V1605" s="28" t="s">
        <v>517</v>
      </c>
      <c r="W1605" s="28" t="s">
        <v>6184</v>
      </c>
      <c r="Z1605" s="118" t="s">
        <v>563</v>
      </c>
      <c r="AA1605" s="118"/>
      <c r="AB1605" s="118" t="s">
        <v>923</v>
      </c>
      <c r="AF1605" s="117" t="s">
        <v>6183</v>
      </c>
      <c r="AK1605" s="60" t="s">
        <v>5515</v>
      </c>
      <c r="AL1605" s="117">
        <f>1/COUNTIF(Tableau6[LAT],B1605)</f>
        <v>0.5</v>
      </c>
      <c r="AM1605" s="60" t="b">
        <f t="shared" si="178"/>
        <v>0</v>
      </c>
      <c r="AN1605" s="60" t="b">
        <f t="shared" si="179"/>
        <v>0</v>
      </c>
      <c r="AO1605" s="60" t="b">
        <f t="shared" si="180"/>
        <v>0</v>
      </c>
      <c r="AP1605" s="60" t="b">
        <f t="shared" si="181"/>
        <v>0</v>
      </c>
      <c r="AQ1605" s="60" t="b">
        <f t="shared" si="182"/>
        <v>0</v>
      </c>
      <c r="AR1605" s="60" t="str">
        <f t="shared" si="183"/>
        <v>No</v>
      </c>
      <c r="AS1605" s="60" t="str">
        <f t="shared" si="184"/>
        <v>No</v>
      </c>
    </row>
    <row r="1606" spans="1:45" ht="15">
      <c r="A1606" s="103">
        <v>45244</v>
      </c>
      <c r="B1606" s="28" t="s">
        <v>6185</v>
      </c>
      <c r="C1606" s="28" t="s">
        <v>511</v>
      </c>
      <c r="D1606" s="28" t="s">
        <v>6186</v>
      </c>
      <c r="E1606" s="28" t="s">
        <v>5679</v>
      </c>
      <c r="F1606" s="28" t="s">
        <v>6187</v>
      </c>
      <c r="G1606" s="28" t="s">
        <v>514</v>
      </c>
      <c r="H1606" s="28" t="s">
        <v>921</v>
      </c>
      <c r="I1606" s="28" t="s">
        <v>516</v>
      </c>
      <c r="J1606" s="28" t="s">
        <v>517</v>
      </c>
      <c r="K1606" s="28" t="s">
        <v>682</v>
      </c>
      <c r="L1606" s="28" t="s">
        <v>5680</v>
      </c>
      <c r="M1606" s="28" t="s">
        <v>535</v>
      </c>
      <c r="S1606" s="28" t="s">
        <v>740</v>
      </c>
      <c r="T1606" s="28" t="s">
        <v>1918</v>
      </c>
      <c r="U1606" s="28" t="s">
        <v>1918</v>
      </c>
      <c r="V1606" s="28" t="s">
        <v>517</v>
      </c>
      <c r="W1606" s="28" t="s">
        <v>5681</v>
      </c>
      <c r="Z1606" s="118" t="s">
        <v>563</v>
      </c>
      <c r="AA1606" s="118"/>
      <c r="AB1606" s="118" t="s">
        <v>527</v>
      </c>
      <c r="AD1606" s="28" t="s">
        <v>528</v>
      </c>
      <c r="AF1606" s="117" t="s">
        <v>6186</v>
      </c>
      <c r="AG1606" s="28" t="s">
        <v>563</v>
      </c>
      <c r="AK1606" s="60" t="s">
        <v>5515</v>
      </c>
      <c r="AL1606" s="117">
        <f>1/COUNTIF(Tableau6[LAT],B1606)</f>
        <v>0.33333333333333331</v>
      </c>
      <c r="AM1606" s="60" t="b">
        <f t="shared" si="178"/>
        <v>0</v>
      </c>
      <c r="AN1606" s="60" t="b">
        <f t="shared" si="179"/>
        <v>0</v>
      </c>
      <c r="AO1606" s="60" t="b">
        <f t="shared" si="180"/>
        <v>0</v>
      </c>
      <c r="AP1606" s="60" t="b">
        <f t="shared" si="181"/>
        <v>0</v>
      </c>
      <c r="AQ1606" s="60" t="b">
        <f t="shared" si="182"/>
        <v>0</v>
      </c>
      <c r="AR1606" s="60" t="str">
        <f t="shared" si="183"/>
        <v>No</v>
      </c>
      <c r="AS1606" s="60" t="str">
        <f t="shared" si="184"/>
        <v>No</v>
      </c>
    </row>
    <row r="1607" spans="1:45" ht="15">
      <c r="A1607" s="103">
        <v>45244</v>
      </c>
      <c r="B1607" s="28" t="s">
        <v>6185</v>
      </c>
      <c r="C1607" s="28" t="s">
        <v>548</v>
      </c>
      <c r="D1607" s="28" t="s">
        <v>6188</v>
      </c>
      <c r="E1607" s="28" t="s">
        <v>5716</v>
      </c>
      <c r="F1607" s="28" t="s">
        <v>6187</v>
      </c>
      <c r="G1607" s="28" t="s">
        <v>514</v>
      </c>
      <c r="H1607" s="28" t="s">
        <v>921</v>
      </c>
      <c r="I1607" s="28" t="s">
        <v>516</v>
      </c>
      <c r="J1607" s="28" t="s">
        <v>517</v>
      </c>
      <c r="K1607" s="28" t="s">
        <v>682</v>
      </c>
      <c r="L1607" s="28" t="s">
        <v>5680</v>
      </c>
      <c r="M1607" s="28" t="s">
        <v>535</v>
      </c>
      <c r="S1607" s="28" t="s">
        <v>740</v>
      </c>
      <c r="T1607" s="28" t="s">
        <v>1918</v>
      </c>
      <c r="U1607" s="28" t="s">
        <v>1918</v>
      </c>
      <c r="V1607" s="28" t="s">
        <v>517</v>
      </c>
      <c r="W1607" s="28" t="s">
        <v>5717</v>
      </c>
      <c r="Z1607" s="118" t="s">
        <v>563</v>
      </c>
      <c r="AA1607" s="118"/>
      <c r="AB1607" s="118" t="s">
        <v>527</v>
      </c>
      <c r="AF1607" s="117" t="s">
        <v>3174</v>
      </c>
      <c r="AK1607" s="60" t="s">
        <v>5515</v>
      </c>
      <c r="AL1607" s="117">
        <f>1/COUNTIF(Tableau6[LAT],B1607)</f>
        <v>0.33333333333333331</v>
      </c>
      <c r="AM1607" s="60" t="b">
        <f t="shared" si="178"/>
        <v>0</v>
      </c>
      <c r="AN1607" s="60" t="b">
        <f t="shared" si="179"/>
        <v>0</v>
      </c>
      <c r="AO1607" s="60" t="b">
        <f t="shared" si="180"/>
        <v>0</v>
      </c>
      <c r="AP1607" s="60" t="b">
        <f t="shared" si="181"/>
        <v>0</v>
      </c>
      <c r="AQ1607" s="60" t="b">
        <f t="shared" si="182"/>
        <v>0</v>
      </c>
      <c r="AR1607" s="60" t="str">
        <f t="shared" si="183"/>
        <v>No</v>
      </c>
      <c r="AS1607" s="60" t="str">
        <f t="shared" si="184"/>
        <v>No</v>
      </c>
    </row>
    <row r="1608" spans="1:45" ht="15">
      <c r="A1608" s="103">
        <v>45244</v>
      </c>
      <c r="B1608" s="28" t="s">
        <v>6185</v>
      </c>
      <c r="C1608" s="28" t="s">
        <v>612</v>
      </c>
      <c r="D1608" s="28" t="s">
        <v>6189</v>
      </c>
      <c r="E1608" s="28" t="s">
        <v>5716</v>
      </c>
      <c r="F1608" s="28" t="s">
        <v>6187</v>
      </c>
      <c r="G1608" s="28" t="s">
        <v>514</v>
      </c>
      <c r="H1608" s="28" t="s">
        <v>921</v>
      </c>
      <c r="I1608" s="28" t="s">
        <v>516</v>
      </c>
      <c r="J1608" s="28" t="s">
        <v>517</v>
      </c>
      <c r="K1608" s="28" t="s">
        <v>682</v>
      </c>
      <c r="L1608" s="28" t="s">
        <v>5680</v>
      </c>
      <c r="M1608" s="28" t="s">
        <v>535</v>
      </c>
      <c r="S1608" s="28" t="s">
        <v>740</v>
      </c>
      <c r="T1608" s="28" t="s">
        <v>1918</v>
      </c>
      <c r="U1608" s="28" t="s">
        <v>1918</v>
      </c>
      <c r="V1608" s="28" t="s">
        <v>517</v>
      </c>
      <c r="W1608" s="28" t="s">
        <v>5717</v>
      </c>
      <c r="Z1608" s="118" t="s">
        <v>563</v>
      </c>
      <c r="AA1608" s="118"/>
      <c r="AB1608" s="118" t="s">
        <v>527</v>
      </c>
      <c r="AF1608" s="117" t="s">
        <v>3174</v>
      </c>
      <c r="AK1608" s="60" t="s">
        <v>5515</v>
      </c>
      <c r="AL1608" s="117">
        <f>1/COUNTIF(Tableau6[LAT],B1608)</f>
        <v>0.33333333333333331</v>
      </c>
      <c r="AM1608" s="60" t="b">
        <f t="shared" si="178"/>
        <v>0</v>
      </c>
      <c r="AN1608" s="60" t="b">
        <f t="shared" si="179"/>
        <v>0</v>
      </c>
      <c r="AO1608" s="60" t="b">
        <f t="shared" si="180"/>
        <v>0</v>
      </c>
      <c r="AP1608" s="60" t="b">
        <f t="shared" si="181"/>
        <v>0</v>
      </c>
      <c r="AQ1608" s="60" t="b">
        <f t="shared" si="182"/>
        <v>0</v>
      </c>
      <c r="AR1608" s="60" t="str">
        <f t="shared" si="183"/>
        <v>No</v>
      </c>
      <c r="AS1608" s="60" t="str">
        <f t="shared" si="184"/>
        <v>No</v>
      </c>
    </row>
    <row r="1609" spans="1:45" ht="15">
      <c r="A1609" s="103">
        <v>45244</v>
      </c>
      <c r="B1609" s="28" t="s">
        <v>6190</v>
      </c>
      <c r="C1609" s="28" t="s">
        <v>511</v>
      </c>
      <c r="D1609" s="28" t="s">
        <v>6191</v>
      </c>
      <c r="F1609" s="28" t="s">
        <v>5120</v>
      </c>
      <c r="G1609" s="28" t="s">
        <v>514</v>
      </c>
      <c r="H1609" s="28" t="s">
        <v>6192</v>
      </c>
      <c r="I1609" s="28" t="s">
        <v>516</v>
      </c>
      <c r="J1609" s="28" t="s">
        <v>517</v>
      </c>
      <c r="K1609" s="28" t="s">
        <v>518</v>
      </c>
      <c r="L1609" s="28" t="s">
        <v>3460</v>
      </c>
      <c r="M1609" s="28" t="s">
        <v>605</v>
      </c>
      <c r="N1609" s="28" t="s">
        <v>544</v>
      </c>
      <c r="O1609" s="28" t="s">
        <v>559</v>
      </c>
      <c r="S1609" s="28" t="s">
        <v>606</v>
      </c>
      <c r="T1609" s="28" t="s">
        <v>811</v>
      </c>
      <c r="U1609" s="28" t="s">
        <v>3461</v>
      </c>
      <c r="V1609" s="28" t="s">
        <v>517</v>
      </c>
      <c r="W1609" s="28" t="s">
        <v>6193</v>
      </c>
      <c r="Z1609" s="118" t="s">
        <v>563</v>
      </c>
      <c r="AA1609" s="118"/>
      <c r="AB1609" s="118" t="s">
        <v>4506</v>
      </c>
      <c r="AD1609" s="28" t="s">
        <v>528</v>
      </c>
      <c r="AF1609" s="117" t="s">
        <v>6191</v>
      </c>
      <c r="AG1609" s="28" t="s">
        <v>563</v>
      </c>
      <c r="AK1609" s="60" t="s">
        <v>5515</v>
      </c>
      <c r="AL1609" s="117">
        <f>1/COUNTIF(Tableau6[LAT],B1609)</f>
        <v>0.33333333333333331</v>
      </c>
      <c r="AM1609" s="60" t="b">
        <f t="shared" si="178"/>
        <v>0</v>
      </c>
      <c r="AN1609" s="60" t="b">
        <f t="shared" si="179"/>
        <v>0</v>
      </c>
      <c r="AO1609" s="60" t="b">
        <f t="shared" si="180"/>
        <v>0</v>
      </c>
      <c r="AP1609" s="60" t="b">
        <f t="shared" si="181"/>
        <v>0</v>
      </c>
      <c r="AQ1609" s="60" t="b">
        <f t="shared" si="182"/>
        <v>0</v>
      </c>
      <c r="AR1609" s="60" t="str">
        <f t="shared" si="183"/>
        <v>No</v>
      </c>
      <c r="AS1609" s="60" t="str">
        <f t="shared" si="184"/>
        <v>No</v>
      </c>
    </row>
    <row r="1610" spans="1:45" ht="15">
      <c r="A1610" s="103">
        <v>45244</v>
      </c>
      <c r="B1610" s="28" t="s">
        <v>6194</v>
      </c>
      <c r="C1610" s="28" t="s">
        <v>511</v>
      </c>
      <c r="D1610" s="28" t="s">
        <v>6195</v>
      </c>
      <c r="E1610" s="28" t="s">
        <v>6196</v>
      </c>
      <c r="F1610" s="28" t="s">
        <v>6197</v>
      </c>
      <c r="G1610" s="28" t="s">
        <v>6198</v>
      </c>
      <c r="H1610" s="28" t="s">
        <v>6199</v>
      </c>
      <c r="I1610" s="28" t="s">
        <v>516</v>
      </c>
      <c r="J1610" s="28" t="s">
        <v>517</v>
      </c>
      <c r="K1610" s="28" t="s">
        <v>518</v>
      </c>
      <c r="L1610" s="28" t="s">
        <v>3338</v>
      </c>
      <c r="M1610" s="28" t="s">
        <v>535</v>
      </c>
      <c r="N1610" s="28" t="s">
        <v>557</v>
      </c>
      <c r="O1610" s="28" t="s">
        <v>522</v>
      </c>
      <c r="S1610" s="28" t="s">
        <v>1712</v>
      </c>
      <c r="T1610" s="28" t="s">
        <v>3083</v>
      </c>
      <c r="U1610" s="28" t="s">
        <v>3083</v>
      </c>
      <c r="V1610" s="28" t="s">
        <v>517</v>
      </c>
      <c r="W1610" s="28" t="s">
        <v>3471</v>
      </c>
      <c r="Z1610" s="118" t="s">
        <v>526</v>
      </c>
      <c r="AA1610" s="118"/>
      <c r="AB1610" s="118"/>
      <c r="AD1610" s="28" t="s">
        <v>528</v>
      </c>
      <c r="AF1610" s="117" t="s">
        <v>6195</v>
      </c>
      <c r="AG1610" s="28" t="s">
        <v>529</v>
      </c>
      <c r="AK1610" s="60" t="s">
        <v>5515</v>
      </c>
      <c r="AL1610" s="117">
        <f>1/COUNTIF(Tableau6[LAT],B1610)</f>
        <v>0.5</v>
      </c>
      <c r="AM1610" s="60" t="b">
        <f t="shared" si="178"/>
        <v>0</v>
      </c>
      <c r="AN1610" s="60" t="b">
        <f t="shared" si="179"/>
        <v>0</v>
      </c>
      <c r="AO1610" s="60" t="b">
        <f t="shared" si="180"/>
        <v>0</v>
      </c>
      <c r="AP1610" s="60" t="b">
        <f t="shared" si="181"/>
        <v>0</v>
      </c>
      <c r="AQ1610" s="60" t="b">
        <f t="shared" si="182"/>
        <v>0</v>
      </c>
      <c r="AR1610" s="60" t="str">
        <f t="shared" si="183"/>
        <v>No</v>
      </c>
      <c r="AS1610" s="60" t="str">
        <f t="shared" si="184"/>
        <v>No</v>
      </c>
    </row>
    <row r="1611" spans="1:45" ht="15">
      <c r="A1611" s="103">
        <v>45244</v>
      </c>
      <c r="B1611" s="28" t="s">
        <v>6194</v>
      </c>
      <c r="C1611" s="28" t="s">
        <v>548</v>
      </c>
      <c r="D1611" s="28" t="s">
        <v>6200</v>
      </c>
      <c r="E1611" s="28" t="s">
        <v>6201</v>
      </c>
      <c r="F1611" s="28" t="s">
        <v>6202</v>
      </c>
      <c r="G1611" s="28" t="s">
        <v>6198</v>
      </c>
      <c r="H1611" s="28" t="s">
        <v>6199</v>
      </c>
      <c r="I1611" s="28" t="s">
        <v>516</v>
      </c>
      <c r="J1611" s="28" t="s">
        <v>517</v>
      </c>
      <c r="K1611" s="28" t="s">
        <v>518</v>
      </c>
      <c r="L1611" s="28" t="s">
        <v>3338</v>
      </c>
      <c r="M1611" s="28" t="s">
        <v>535</v>
      </c>
      <c r="N1611" s="28" t="s">
        <v>557</v>
      </c>
      <c r="O1611" s="28" t="s">
        <v>522</v>
      </c>
      <c r="S1611" s="28" t="s">
        <v>1712</v>
      </c>
      <c r="T1611" s="28" t="s">
        <v>3083</v>
      </c>
      <c r="U1611" s="28" t="s">
        <v>3083</v>
      </c>
      <c r="V1611" s="28" t="s">
        <v>517</v>
      </c>
      <c r="W1611" s="28" t="s">
        <v>3471</v>
      </c>
      <c r="Z1611" s="118" t="s">
        <v>526</v>
      </c>
      <c r="AA1611" s="118"/>
      <c r="AB1611" s="118"/>
      <c r="AD1611" s="28" t="s">
        <v>528</v>
      </c>
      <c r="AF1611" s="117" t="s">
        <v>6200</v>
      </c>
      <c r="AG1611" s="28" t="s">
        <v>529</v>
      </c>
      <c r="AK1611" s="60" t="s">
        <v>5515</v>
      </c>
      <c r="AL1611" s="117">
        <f>1/COUNTIF(Tableau6[LAT],B1611)</f>
        <v>0.5</v>
      </c>
      <c r="AM1611" s="60" t="b">
        <f t="shared" si="178"/>
        <v>0</v>
      </c>
      <c r="AN1611" s="60" t="b">
        <f t="shared" si="179"/>
        <v>0</v>
      </c>
      <c r="AO1611" s="60" t="b">
        <f t="shared" si="180"/>
        <v>0</v>
      </c>
      <c r="AP1611" s="60" t="b">
        <f t="shared" si="181"/>
        <v>0</v>
      </c>
      <c r="AQ1611" s="60" t="b">
        <f t="shared" si="182"/>
        <v>0</v>
      </c>
      <c r="AR1611" s="60" t="str">
        <f t="shared" si="183"/>
        <v>No</v>
      </c>
      <c r="AS1611" s="60" t="str">
        <f t="shared" si="184"/>
        <v>No</v>
      </c>
    </row>
    <row r="1612" spans="1:45" ht="15">
      <c r="A1612" s="103">
        <v>45244</v>
      </c>
      <c r="B1612" s="28" t="s">
        <v>6203</v>
      </c>
      <c r="C1612" s="28" t="s">
        <v>511</v>
      </c>
      <c r="D1612" s="28" t="s">
        <v>6204</v>
      </c>
      <c r="E1612" s="28" t="s">
        <v>5679</v>
      </c>
      <c r="F1612" s="28" t="s">
        <v>5083</v>
      </c>
      <c r="G1612" s="28" t="s">
        <v>514</v>
      </c>
      <c r="H1612" s="28" t="s">
        <v>2227</v>
      </c>
      <c r="I1612" s="28" t="s">
        <v>516</v>
      </c>
      <c r="J1612" s="28" t="s">
        <v>517</v>
      </c>
      <c r="K1612" s="28" t="s">
        <v>682</v>
      </c>
      <c r="L1612" s="28" t="s">
        <v>5680</v>
      </c>
      <c r="M1612" s="28" t="s">
        <v>535</v>
      </c>
      <c r="N1612" s="28" t="s">
        <v>557</v>
      </c>
      <c r="O1612" s="28" t="s">
        <v>544</v>
      </c>
      <c r="P1612" s="28" t="s">
        <v>522</v>
      </c>
      <c r="S1612" s="28" t="s">
        <v>753</v>
      </c>
      <c r="T1612" s="28" t="s">
        <v>1918</v>
      </c>
      <c r="U1612" s="28" t="s">
        <v>1918</v>
      </c>
      <c r="V1612" s="28" t="s">
        <v>517</v>
      </c>
      <c r="W1612" s="28" t="s">
        <v>5681</v>
      </c>
      <c r="Z1612" s="118" t="s">
        <v>563</v>
      </c>
      <c r="AA1612" s="118"/>
      <c r="AB1612" s="118" t="s">
        <v>527</v>
      </c>
      <c r="AD1612" s="28" t="s">
        <v>528</v>
      </c>
      <c r="AF1612" s="117" t="s">
        <v>6204</v>
      </c>
      <c r="AG1612" s="28" t="s">
        <v>563</v>
      </c>
      <c r="AK1612" s="60" t="s">
        <v>5515</v>
      </c>
      <c r="AL1612" s="117">
        <f>1/COUNTIF(Tableau6[LAT],B1612)</f>
        <v>0.5</v>
      </c>
      <c r="AM1612" s="60" t="b">
        <f t="shared" si="178"/>
        <v>0</v>
      </c>
      <c r="AN1612" s="60" t="b">
        <f t="shared" si="179"/>
        <v>0</v>
      </c>
      <c r="AO1612" s="60" t="b">
        <f t="shared" si="180"/>
        <v>0</v>
      </c>
      <c r="AP1612" s="60" t="b">
        <f t="shared" si="181"/>
        <v>0</v>
      </c>
      <c r="AQ1612" s="60" t="b">
        <f t="shared" si="182"/>
        <v>0</v>
      </c>
      <c r="AR1612" s="60" t="str">
        <f t="shared" si="183"/>
        <v>No</v>
      </c>
      <c r="AS1612" s="60" t="str">
        <f t="shared" si="184"/>
        <v>No</v>
      </c>
    </row>
    <row r="1613" spans="1:45" ht="15">
      <c r="A1613" s="103">
        <v>45244</v>
      </c>
      <c r="B1613" s="28" t="s">
        <v>6203</v>
      </c>
      <c r="C1613" s="28" t="s">
        <v>548</v>
      </c>
      <c r="D1613" s="28" t="s">
        <v>6205</v>
      </c>
      <c r="E1613" s="28" t="s">
        <v>5679</v>
      </c>
      <c r="F1613" s="28" t="s">
        <v>5083</v>
      </c>
      <c r="G1613" s="28" t="s">
        <v>514</v>
      </c>
      <c r="H1613" s="28" t="s">
        <v>1340</v>
      </c>
      <c r="I1613" s="28" t="s">
        <v>516</v>
      </c>
      <c r="J1613" s="28" t="s">
        <v>517</v>
      </c>
      <c r="K1613" s="28" t="s">
        <v>682</v>
      </c>
      <c r="L1613" s="28" t="s">
        <v>5680</v>
      </c>
      <c r="M1613" s="28" t="s">
        <v>535</v>
      </c>
      <c r="N1613" s="28" t="s">
        <v>557</v>
      </c>
      <c r="O1613" s="28" t="s">
        <v>544</v>
      </c>
      <c r="P1613" s="28" t="s">
        <v>522</v>
      </c>
      <c r="S1613" s="28" t="s">
        <v>753</v>
      </c>
      <c r="T1613" s="28" t="s">
        <v>1918</v>
      </c>
      <c r="U1613" s="28" t="s">
        <v>1918</v>
      </c>
      <c r="V1613" s="28" t="s">
        <v>517</v>
      </c>
      <c r="W1613" s="28" t="s">
        <v>5681</v>
      </c>
      <c r="Z1613" s="118" t="s">
        <v>563</v>
      </c>
      <c r="AA1613" s="118"/>
      <c r="AB1613" s="118" t="s">
        <v>527</v>
      </c>
      <c r="AD1613" s="28" t="s">
        <v>528</v>
      </c>
      <c r="AF1613" s="117" t="s">
        <v>6205</v>
      </c>
      <c r="AG1613" s="28" t="s">
        <v>563</v>
      </c>
      <c r="AK1613" s="60" t="s">
        <v>5515</v>
      </c>
      <c r="AL1613" s="117">
        <f>1/COUNTIF(Tableau6[LAT],B1613)</f>
        <v>0.5</v>
      </c>
      <c r="AM1613" s="60" t="b">
        <f t="shared" si="178"/>
        <v>0</v>
      </c>
      <c r="AN1613" s="60" t="b">
        <f t="shared" si="179"/>
        <v>0</v>
      </c>
      <c r="AO1613" s="60" t="b">
        <f t="shared" si="180"/>
        <v>0</v>
      </c>
      <c r="AP1613" s="60" t="b">
        <f t="shared" si="181"/>
        <v>0</v>
      </c>
      <c r="AQ1613" s="60" t="b">
        <f t="shared" si="182"/>
        <v>0</v>
      </c>
      <c r="AR1613" s="60" t="str">
        <f t="shared" si="183"/>
        <v>No</v>
      </c>
      <c r="AS1613" s="60" t="str">
        <f t="shared" si="184"/>
        <v>No</v>
      </c>
    </row>
    <row r="1614" spans="1:45" ht="15">
      <c r="A1614" s="103">
        <v>45244</v>
      </c>
      <c r="B1614" s="28" t="s">
        <v>6206</v>
      </c>
      <c r="C1614" s="28" t="s">
        <v>511</v>
      </c>
      <c r="D1614" s="28" t="s">
        <v>6207</v>
      </c>
      <c r="F1614" s="28" t="s">
        <v>5665</v>
      </c>
      <c r="G1614" s="28" t="s">
        <v>514</v>
      </c>
      <c r="H1614" s="28" t="s">
        <v>618</v>
      </c>
      <c r="I1614" s="28" t="s">
        <v>516</v>
      </c>
      <c r="J1614" s="28" t="s">
        <v>517</v>
      </c>
      <c r="K1614" s="28" t="s">
        <v>518</v>
      </c>
      <c r="L1614" s="28" t="s">
        <v>2363</v>
      </c>
      <c r="M1614" s="28" t="s">
        <v>520</v>
      </c>
      <c r="N1614" s="28" t="s">
        <v>619</v>
      </c>
      <c r="O1614" s="28" t="s">
        <v>557</v>
      </c>
      <c r="P1614" s="28" t="s">
        <v>544</v>
      </c>
      <c r="Q1614" s="28" t="s">
        <v>522</v>
      </c>
      <c r="S1614" s="28" t="s">
        <v>732</v>
      </c>
      <c r="T1614" s="28" t="s">
        <v>2364</v>
      </c>
      <c r="U1614" s="28" t="s">
        <v>2364</v>
      </c>
      <c r="V1614" s="28" t="s">
        <v>517</v>
      </c>
      <c r="W1614" s="28" t="s">
        <v>6208</v>
      </c>
      <c r="Z1614" s="118" t="s">
        <v>563</v>
      </c>
      <c r="AA1614" s="118"/>
      <c r="AB1614" s="118" t="s">
        <v>4506</v>
      </c>
      <c r="AD1614" s="28" t="s">
        <v>528</v>
      </c>
      <c r="AF1614" s="117" t="s">
        <v>6207</v>
      </c>
      <c r="AG1614" s="28" t="s">
        <v>563</v>
      </c>
      <c r="AK1614" s="60" t="s">
        <v>5515</v>
      </c>
      <c r="AL1614" s="117">
        <f>1/COUNTIF(Tableau6[LAT],B1614)</f>
        <v>1</v>
      </c>
      <c r="AM1614" s="60" t="b">
        <f t="shared" si="178"/>
        <v>0</v>
      </c>
      <c r="AN1614" s="60" t="b">
        <f t="shared" si="179"/>
        <v>0</v>
      </c>
      <c r="AO1614" s="60" t="b">
        <f t="shared" si="180"/>
        <v>0</v>
      </c>
      <c r="AP1614" s="60" t="b">
        <f t="shared" si="181"/>
        <v>0</v>
      </c>
      <c r="AQ1614" s="60" t="b">
        <f t="shared" si="182"/>
        <v>0</v>
      </c>
      <c r="AR1614" s="60" t="str">
        <f t="shared" si="183"/>
        <v>No</v>
      </c>
      <c r="AS1614" s="60" t="str">
        <f t="shared" si="184"/>
        <v>No</v>
      </c>
    </row>
    <row r="1615" spans="1:45" ht="15">
      <c r="A1615" s="103">
        <v>45244</v>
      </c>
      <c r="B1615" s="28" t="s">
        <v>6209</v>
      </c>
      <c r="C1615" s="28" t="s">
        <v>511</v>
      </c>
      <c r="D1615" s="28" t="s">
        <v>6210</v>
      </c>
      <c r="F1615" s="28" t="s">
        <v>5637</v>
      </c>
      <c r="G1615" s="28" t="s">
        <v>514</v>
      </c>
      <c r="H1615" s="28" t="s">
        <v>4438</v>
      </c>
      <c r="I1615" s="28" t="s">
        <v>516</v>
      </c>
      <c r="J1615" s="28" t="s">
        <v>517</v>
      </c>
      <c r="K1615" s="28" t="s">
        <v>518</v>
      </c>
      <c r="L1615" s="28" t="s">
        <v>3639</v>
      </c>
      <c r="M1615" s="28" t="s">
        <v>535</v>
      </c>
      <c r="N1615" s="28" t="s">
        <v>572</v>
      </c>
      <c r="O1615" s="28" t="s">
        <v>521</v>
      </c>
      <c r="P1615" s="28" t="s">
        <v>522</v>
      </c>
      <c r="S1615" s="28" t="s">
        <v>1318</v>
      </c>
      <c r="T1615" s="28" t="s">
        <v>3640</v>
      </c>
      <c r="U1615" s="28" t="s">
        <v>3640</v>
      </c>
      <c r="V1615" s="28" t="s">
        <v>517</v>
      </c>
      <c r="W1615" s="28" t="s">
        <v>6211</v>
      </c>
      <c r="Z1615" s="118" t="s">
        <v>563</v>
      </c>
      <c r="AA1615" s="118"/>
      <c r="AB1615" s="118" t="s">
        <v>527</v>
      </c>
      <c r="AD1615" s="28" t="s">
        <v>954</v>
      </c>
      <c r="AF1615" s="117" t="s">
        <v>6210</v>
      </c>
      <c r="AG1615" s="28" t="s">
        <v>563</v>
      </c>
      <c r="AK1615" s="60" t="s">
        <v>5515</v>
      </c>
      <c r="AL1615" s="117">
        <f>1/COUNTIF(Tableau6[LAT],B1615)</f>
        <v>0.25</v>
      </c>
      <c r="AM1615" s="60" t="b">
        <f t="shared" si="178"/>
        <v>0</v>
      </c>
      <c r="AN1615" s="60" t="b">
        <f t="shared" si="179"/>
        <v>0</v>
      </c>
      <c r="AO1615" s="60" t="b">
        <f t="shared" si="180"/>
        <v>0</v>
      </c>
      <c r="AP1615" s="60" t="b">
        <f t="shared" si="181"/>
        <v>0</v>
      </c>
      <c r="AQ1615" s="60" t="b">
        <f t="shared" si="182"/>
        <v>0</v>
      </c>
      <c r="AR1615" s="60" t="str">
        <f t="shared" si="183"/>
        <v>No</v>
      </c>
      <c r="AS1615" s="60" t="str">
        <f t="shared" si="184"/>
        <v>No</v>
      </c>
    </row>
    <row r="1616" spans="1:45" ht="15">
      <c r="A1616" s="103">
        <v>45244</v>
      </c>
      <c r="B1616" s="28" t="s">
        <v>6209</v>
      </c>
      <c r="C1616" s="28" t="s">
        <v>548</v>
      </c>
      <c r="D1616" s="28" t="s">
        <v>6212</v>
      </c>
      <c r="F1616" s="28" t="s">
        <v>6213</v>
      </c>
      <c r="G1616" s="28" t="s">
        <v>724</v>
      </c>
      <c r="H1616" s="28" t="s">
        <v>3819</v>
      </c>
      <c r="I1616" s="28" t="s">
        <v>516</v>
      </c>
      <c r="J1616" s="28" t="s">
        <v>517</v>
      </c>
      <c r="K1616" s="28" t="s">
        <v>518</v>
      </c>
      <c r="L1616" s="28" t="s">
        <v>3639</v>
      </c>
      <c r="M1616" s="28" t="s">
        <v>535</v>
      </c>
      <c r="N1616" s="28" t="s">
        <v>572</v>
      </c>
      <c r="O1616" s="28" t="s">
        <v>521</v>
      </c>
      <c r="P1616" s="28" t="s">
        <v>522</v>
      </c>
      <c r="S1616" s="28" t="s">
        <v>1318</v>
      </c>
      <c r="T1616" s="28" t="s">
        <v>3640</v>
      </c>
      <c r="U1616" s="28" t="s">
        <v>3640</v>
      </c>
      <c r="V1616" s="28" t="s">
        <v>517</v>
      </c>
      <c r="W1616" s="28" t="s">
        <v>6214</v>
      </c>
      <c r="Z1616" s="118" t="s">
        <v>563</v>
      </c>
      <c r="AA1616" s="118"/>
      <c r="AB1616" s="118" t="s">
        <v>527</v>
      </c>
      <c r="AD1616" s="28" t="s">
        <v>954</v>
      </c>
      <c r="AF1616" s="117" t="s">
        <v>6212</v>
      </c>
      <c r="AG1616" s="28" t="s">
        <v>563</v>
      </c>
      <c r="AK1616" s="60" t="s">
        <v>5515</v>
      </c>
      <c r="AL1616" s="117">
        <f>1/COUNTIF(Tableau6[LAT],B1616)</f>
        <v>0.25</v>
      </c>
      <c r="AM1616" s="60" t="b">
        <f t="shared" si="178"/>
        <v>0</v>
      </c>
      <c r="AN1616" s="60" t="b">
        <f t="shared" si="179"/>
        <v>0</v>
      </c>
      <c r="AO1616" s="60" t="b">
        <f t="shared" si="180"/>
        <v>0</v>
      </c>
      <c r="AP1616" s="60" t="b">
        <f t="shared" si="181"/>
        <v>0</v>
      </c>
      <c r="AQ1616" s="60" t="b">
        <f t="shared" si="182"/>
        <v>0</v>
      </c>
      <c r="AR1616" s="60" t="str">
        <f t="shared" si="183"/>
        <v>No</v>
      </c>
      <c r="AS1616" s="60" t="str">
        <f t="shared" si="184"/>
        <v>No</v>
      </c>
    </row>
    <row r="1617" spans="1:45" ht="15">
      <c r="A1617" s="103">
        <v>45244</v>
      </c>
      <c r="B1617" s="28" t="s">
        <v>6209</v>
      </c>
      <c r="C1617" s="28" t="s">
        <v>612</v>
      </c>
      <c r="D1617" s="28" t="s">
        <v>6215</v>
      </c>
      <c r="F1617" s="28" t="s">
        <v>6216</v>
      </c>
      <c r="G1617" s="28" t="s">
        <v>958</v>
      </c>
      <c r="H1617" s="28" t="s">
        <v>2741</v>
      </c>
      <c r="I1617" s="28" t="s">
        <v>516</v>
      </c>
      <c r="J1617" s="28" t="s">
        <v>517</v>
      </c>
      <c r="K1617" s="28" t="s">
        <v>518</v>
      </c>
      <c r="L1617" s="28" t="s">
        <v>3639</v>
      </c>
      <c r="M1617" s="28" t="s">
        <v>535</v>
      </c>
      <c r="N1617" s="28" t="s">
        <v>572</v>
      </c>
      <c r="O1617" s="28" t="s">
        <v>521</v>
      </c>
      <c r="P1617" s="28" t="s">
        <v>522</v>
      </c>
      <c r="S1617" s="28" t="s">
        <v>1318</v>
      </c>
      <c r="T1617" s="28" t="s">
        <v>3640</v>
      </c>
      <c r="U1617" s="28" t="s">
        <v>3640</v>
      </c>
      <c r="V1617" s="28" t="s">
        <v>517</v>
      </c>
      <c r="W1617" s="28" t="s">
        <v>6214</v>
      </c>
      <c r="Z1617" s="118" t="s">
        <v>563</v>
      </c>
      <c r="AA1617" s="118"/>
      <c r="AB1617" s="118" t="s">
        <v>527</v>
      </c>
      <c r="AD1617" s="28" t="s">
        <v>954</v>
      </c>
      <c r="AF1617" s="117" t="s">
        <v>6215</v>
      </c>
      <c r="AG1617" s="28" t="s">
        <v>563</v>
      </c>
      <c r="AK1617" s="60" t="s">
        <v>5515</v>
      </c>
      <c r="AL1617" s="117">
        <f>1/COUNTIF(Tableau6[LAT],B1617)</f>
        <v>0.25</v>
      </c>
      <c r="AM1617" s="60" t="b">
        <f t="shared" si="178"/>
        <v>0</v>
      </c>
      <c r="AN1617" s="60" t="b">
        <f t="shared" si="179"/>
        <v>0</v>
      </c>
      <c r="AO1617" s="60" t="b">
        <f t="shared" si="180"/>
        <v>0</v>
      </c>
      <c r="AP1617" s="60" t="b">
        <f t="shared" si="181"/>
        <v>0</v>
      </c>
      <c r="AQ1617" s="60" t="b">
        <f t="shared" si="182"/>
        <v>0</v>
      </c>
      <c r="AR1617" s="60" t="str">
        <f t="shared" si="183"/>
        <v>No</v>
      </c>
      <c r="AS1617" s="60" t="str">
        <f t="shared" si="184"/>
        <v>No</v>
      </c>
    </row>
    <row r="1618" spans="1:45" ht="15">
      <c r="A1618" s="103">
        <v>45244</v>
      </c>
      <c r="B1618" s="28" t="s">
        <v>6209</v>
      </c>
      <c r="C1618" s="28" t="s">
        <v>691</v>
      </c>
      <c r="D1618" s="28" t="s">
        <v>6217</v>
      </c>
      <c r="F1618" s="28" t="s">
        <v>6218</v>
      </c>
      <c r="G1618" s="28" t="s">
        <v>665</v>
      </c>
      <c r="H1618" s="28" t="s">
        <v>1701</v>
      </c>
      <c r="I1618" s="28" t="s">
        <v>516</v>
      </c>
      <c r="J1618" s="28" t="s">
        <v>517</v>
      </c>
      <c r="K1618" s="28" t="s">
        <v>518</v>
      </c>
      <c r="L1618" s="28" t="s">
        <v>3639</v>
      </c>
      <c r="M1618" s="28" t="s">
        <v>535</v>
      </c>
      <c r="N1618" s="28" t="s">
        <v>572</v>
      </c>
      <c r="O1618" s="28" t="s">
        <v>521</v>
      </c>
      <c r="P1618" s="28" t="s">
        <v>522</v>
      </c>
      <c r="S1618" s="28" t="s">
        <v>1318</v>
      </c>
      <c r="T1618" s="28" t="s">
        <v>3640</v>
      </c>
      <c r="U1618" s="28" t="s">
        <v>3640</v>
      </c>
      <c r="V1618" s="28" t="s">
        <v>517</v>
      </c>
      <c r="W1618" s="28" t="s">
        <v>6214</v>
      </c>
      <c r="Z1618" s="118" t="s">
        <v>563</v>
      </c>
      <c r="AA1618" s="118"/>
      <c r="AB1618" s="118" t="s">
        <v>527</v>
      </c>
      <c r="AD1618" s="28" t="s">
        <v>954</v>
      </c>
      <c r="AF1618" s="117" t="s">
        <v>6217</v>
      </c>
      <c r="AG1618" s="28" t="s">
        <v>563</v>
      </c>
      <c r="AK1618" s="60" t="s">
        <v>5515</v>
      </c>
      <c r="AL1618" s="117">
        <f>1/COUNTIF(Tableau6[LAT],B1618)</f>
        <v>0.25</v>
      </c>
      <c r="AM1618" s="60" t="b">
        <f t="shared" si="178"/>
        <v>0</v>
      </c>
      <c r="AN1618" s="60" t="b">
        <f t="shared" si="179"/>
        <v>0</v>
      </c>
      <c r="AO1618" s="60" t="b">
        <f t="shared" si="180"/>
        <v>0</v>
      </c>
      <c r="AP1618" s="60" t="b">
        <f t="shared" si="181"/>
        <v>0</v>
      </c>
      <c r="AQ1618" s="60" t="b">
        <f t="shared" si="182"/>
        <v>0</v>
      </c>
      <c r="AR1618" s="60" t="str">
        <f t="shared" si="183"/>
        <v>No</v>
      </c>
      <c r="AS1618" s="60" t="str">
        <f t="shared" si="184"/>
        <v>No</v>
      </c>
    </row>
    <row r="1619" spans="1:45" ht="15">
      <c r="A1619" s="103">
        <v>45244</v>
      </c>
      <c r="B1619" s="28" t="s">
        <v>6219</v>
      </c>
      <c r="C1619" s="28" t="s">
        <v>511</v>
      </c>
      <c r="D1619" s="28" t="s">
        <v>6220</v>
      </c>
      <c r="F1619" s="28" t="s">
        <v>1681</v>
      </c>
      <c r="G1619" s="28" t="s">
        <v>514</v>
      </c>
      <c r="H1619" s="28" t="s">
        <v>1809</v>
      </c>
      <c r="I1619" s="28" t="s">
        <v>516</v>
      </c>
      <c r="J1619" s="28" t="s">
        <v>517</v>
      </c>
      <c r="K1619" s="28" t="s">
        <v>518</v>
      </c>
      <c r="L1619" s="28" t="s">
        <v>6221</v>
      </c>
      <c r="M1619" s="28" t="s">
        <v>535</v>
      </c>
      <c r="N1619" s="28" t="s">
        <v>557</v>
      </c>
      <c r="O1619" s="28" t="s">
        <v>559</v>
      </c>
      <c r="S1619" s="28" t="s">
        <v>1318</v>
      </c>
      <c r="T1619" s="28" t="s">
        <v>752</v>
      </c>
      <c r="U1619" s="28" t="s">
        <v>752</v>
      </c>
      <c r="V1619" s="28" t="s">
        <v>517</v>
      </c>
      <c r="W1619" s="28" t="s">
        <v>6222</v>
      </c>
      <c r="Z1619" s="118" t="s">
        <v>563</v>
      </c>
      <c r="AA1619" s="118"/>
      <c r="AB1619" s="118" t="s">
        <v>527</v>
      </c>
      <c r="AD1619" s="28" t="s">
        <v>954</v>
      </c>
      <c r="AF1619" s="117" t="s">
        <v>6220</v>
      </c>
      <c r="AG1619" s="28" t="s">
        <v>563</v>
      </c>
      <c r="AK1619" s="60" t="s">
        <v>5515</v>
      </c>
      <c r="AL1619" s="117">
        <f>1/COUNTIF(Tableau6[LAT],B1619)</f>
        <v>1</v>
      </c>
      <c r="AM1619" s="60" t="b">
        <f t="shared" si="178"/>
        <v>0</v>
      </c>
      <c r="AN1619" s="60" t="b">
        <f t="shared" si="179"/>
        <v>0</v>
      </c>
      <c r="AO1619" s="60" t="b">
        <f t="shared" si="180"/>
        <v>0</v>
      </c>
      <c r="AP1619" s="60" t="b">
        <f t="shared" si="181"/>
        <v>0</v>
      </c>
      <c r="AQ1619" s="60" t="b">
        <f t="shared" si="182"/>
        <v>0</v>
      </c>
      <c r="AR1619" s="60" t="str">
        <f t="shared" si="183"/>
        <v>No</v>
      </c>
      <c r="AS1619" s="60" t="str">
        <f t="shared" si="184"/>
        <v>No</v>
      </c>
    </row>
    <row r="1620" spans="1:45" ht="15">
      <c r="A1620" s="103">
        <v>45244</v>
      </c>
      <c r="B1620" s="28" t="s">
        <v>6223</v>
      </c>
      <c r="C1620" s="28" t="s">
        <v>511</v>
      </c>
      <c r="D1620" s="28" t="s">
        <v>6224</v>
      </c>
      <c r="F1620" s="28" t="s">
        <v>3144</v>
      </c>
      <c r="G1620" s="28" t="s">
        <v>514</v>
      </c>
      <c r="H1620" s="28" t="s">
        <v>1360</v>
      </c>
      <c r="I1620" s="28" t="s">
        <v>516</v>
      </c>
      <c r="J1620" s="28" t="s">
        <v>517</v>
      </c>
      <c r="K1620" s="28" t="s">
        <v>518</v>
      </c>
      <c r="L1620" s="28" t="s">
        <v>1097</v>
      </c>
      <c r="M1620" s="28" t="s">
        <v>1374</v>
      </c>
      <c r="N1620" s="28" t="s">
        <v>557</v>
      </c>
      <c r="O1620" s="28" t="s">
        <v>522</v>
      </c>
      <c r="S1620" s="28" t="s">
        <v>732</v>
      </c>
      <c r="T1620" s="28" t="s">
        <v>1098</v>
      </c>
      <c r="U1620" s="28" t="s">
        <v>1098</v>
      </c>
      <c r="V1620" s="28" t="s">
        <v>517</v>
      </c>
      <c r="W1620" s="28" t="s">
        <v>5726</v>
      </c>
      <c r="Z1620" s="118" t="s">
        <v>563</v>
      </c>
      <c r="AA1620" s="118"/>
      <c r="AB1620" s="118" t="s">
        <v>527</v>
      </c>
      <c r="AD1620" s="28" t="s">
        <v>528</v>
      </c>
      <c r="AF1620" s="117" t="s">
        <v>6224</v>
      </c>
      <c r="AG1620" s="28" t="s">
        <v>563</v>
      </c>
      <c r="AK1620" s="60" t="s">
        <v>5515</v>
      </c>
      <c r="AL1620" s="117">
        <f>1/COUNTIF(Tableau6[LAT],B1620)</f>
        <v>0.5</v>
      </c>
      <c r="AM1620" s="60" t="b">
        <f t="shared" si="178"/>
        <v>0</v>
      </c>
      <c r="AN1620" s="60" t="b">
        <f t="shared" si="179"/>
        <v>0</v>
      </c>
      <c r="AO1620" s="60" t="b">
        <f t="shared" si="180"/>
        <v>0</v>
      </c>
      <c r="AP1620" s="60" t="b">
        <f t="shared" si="181"/>
        <v>0</v>
      </c>
      <c r="AQ1620" s="60" t="b">
        <f t="shared" si="182"/>
        <v>0</v>
      </c>
      <c r="AR1620" s="60" t="str">
        <f t="shared" si="183"/>
        <v>No</v>
      </c>
      <c r="AS1620" s="60" t="str">
        <f t="shared" si="184"/>
        <v>No</v>
      </c>
    </row>
    <row r="1621" spans="1:45" ht="15">
      <c r="A1621" s="103">
        <v>45244</v>
      </c>
      <c r="B1621" s="28" t="s">
        <v>6223</v>
      </c>
      <c r="C1621" s="28" t="s">
        <v>548</v>
      </c>
      <c r="D1621" s="28" t="s">
        <v>6225</v>
      </c>
      <c r="F1621" s="28" t="s">
        <v>6226</v>
      </c>
      <c r="G1621" s="28" t="s">
        <v>958</v>
      </c>
      <c r="H1621" s="28" t="s">
        <v>819</v>
      </c>
      <c r="I1621" s="28" t="s">
        <v>516</v>
      </c>
      <c r="J1621" s="28" t="s">
        <v>517</v>
      </c>
      <c r="K1621" s="28" t="s">
        <v>518</v>
      </c>
      <c r="L1621" s="28" t="s">
        <v>1097</v>
      </c>
      <c r="M1621" s="28" t="s">
        <v>1374</v>
      </c>
      <c r="N1621" s="28" t="s">
        <v>557</v>
      </c>
      <c r="O1621" s="28" t="s">
        <v>522</v>
      </c>
      <c r="S1621" s="28" t="s">
        <v>732</v>
      </c>
      <c r="T1621" s="28" t="s">
        <v>1098</v>
      </c>
      <c r="U1621" s="28" t="s">
        <v>1098</v>
      </c>
      <c r="V1621" s="28" t="s">
        <v>517</v>
      </c>
      <c r="W1621" s="28" t="s">
        <v>5726</v>
      </c>
      <c r="Z1621" s="118" t="s">
        <v>563</v>
      </c>
      <c r="AA1621" s="118"/>
      <c r="AB1621" s="118" t="s">
        <v>527</v>
      </c>
      <c r="AF1621" s="117" t="s">
        <v>6225</v>
      </c>
      <c r="AK1621" s="60" t="s">
        <v>5515</v>
      </c>
      <c r="AL1621" s="117">
        <f>1/COUNTIF(Tableau6[LAT],B1621)</f>
        <v>0.5</v>
      </c>
      <c r="AM1621" s="60" t="b">
        <f t="shared" si="178"/>
        <v>0</v>
      </c>
      <c r="AN1621" s="60" t="b">
        <f t="shared" si="179"/>
        <v>0</v>
      </c>
      <c r="AO1621" s="60" t="b">
        <f t="shared" si="180"/>
        <v>0</v>
      </c>
      <c r="AP1621" s="60" t="b">
        <f t="shared" si="181"/>
        <v>0</v>
      </c>
      <c r="AQ1621" s="60" t="b">
        <f t="shared" si="182"/>
        <v>0</v>
      </c>
      <c r="AR1621" s="60" t="str">
        <f t="shared" si="183"/>
        <v>No</v>
      </c>
      <c r="AS1621" s="60" t="str">
        <f t="shared" si="184"/>
        <v>No</v>
      </c>
    </row>
    <row r="1622" spans="1:45" ht="15">
      <c r="A1622" s="103">
        <v>45244</v>
      </c>
      <c r="B1622" s="28" t="s">
        <v>6227</v>
      </c>
      <c r="C1622" s="28" t="s">
        <v>511</v>
      </c>
      <c r="D1622" s="28" t="s">
        <v>6228</v>
      </c>
      <c r="F1622" s="28" t="s">
        <v>2603</v>
      </c>
      <c r="G1622" s="28" t="s">
        <v>514</v>
      </c>
      <c r="H1622" s="28" t="s">
        <v>1156</v>
      </c>
      <c r="I1622" s="28" t="s">
        <v>516</v>
      </c>
      <c r="J1622" s="28" t="s">
        <v>517</v>
      </c>
      <c r="K1622" s="28" t="s">
        <v>682</v>
      </c>
      <c r="L1622" s="28" t="s">
        <v>1262</v>
      </c>
      <c r="M1622" s="28" t="s">
        <v>535</v>
      </c>
      <c r="N1622" s="28" t="s">
        <v>557</v>
      </c>
      <c r="O1622" s="28" t="s">
        <v>522</v>
      </c>
      <c r="S1622" s="28" t="s">
        <v>732</v>
      </c>
      <c r="T1622" s="28" t="s">
        <v>1264</v>
      </c>
      <c r="U1622" s="28" t="s">
        <v>1264</v>
      </c>
      <c r="V1622" s="28" t="s">
        <v>517</v>
      </c>
      <c r="W1622" s="28" t="s">
        <v>6229</v>
      </c>
      <c r="Z1622" s="118" t="s">
        <v>563</v>
      </c>
      <c r="AA1622" s="118"/>
      <c r="AB1622" s="118" t="s">
        <v>527</v>
      </c>
      <c r="AD1622" s="28" t="s">
        <v>528</v>
      </c>
      <c r="AF1622" s="117" t="s">
        <v>6228</v>
      </c>
      <c r="AG1622" s="28" t="s">
        <v>563</v>
      </c>
      <c r="AK1622" s="60" t="s">
        <v>5515</v>
      </c>
      <c r="AL1622" s="117">
        <f>1/COUNTIF(Tableau6[LAT],B1622)</f>
        <v>1</v>
      </c>
      <c r="AM1622" s="60" t="b">
        <f t="shared" si="178"/>
        <v>0</v>
      </c>
      <c r="AN1622" s="60" t="b">
        <f t="shared" si="179"/>
        <v>0</v>
      </c>
      <c r="AO1622" s="60" t="b">
        <f t="shared" si="180"/>
        <v>0</v>
      </c>
      <c r="AP1622" s="60" t="b">
        <f t="shared" si="181"/>
        <v>0</v>
      </c>
      <c r="AQ1622" s="60" t="b">
        <f t="shared" si="182"/>
        <v>0</v>
      </c>
      <c r="AR1622" s="60" t="str">
        <f t="shared" si="183"/>
        <v>No</v>
      </c>
      <c r="AS1622" s="60" t="str">
        <f t="shared" si="184"/>
        <v>No</v>
      </c>
    </row>
    <row r="1623" spans="1:45" ht="15">
      <c r="A1623" s="103">
        <v>45244</v>
      </c>
      <c r="B1623" s="28" t="s">
        <v>6230</v>
      </c>
      <c r="C1623" s="28" t="s">
        <v>511</v>
      </c>
      <c r="D1623" s="28" t="s">
        <v>6231</v>
      </c>
      <c r="F1623" s="28" t="s">
        <v>6232</v>
      </c>
      <c r="G1623" s="28" t="s">
        <v>514</v>
      </c>
      <c r="H1623" s="28" t="s">
        <v>3941</v>
      </c>
      <c r="I1623" s="28" t="s">
        <v>516</v>
      </c>
      <c r="J1623" s="28" t="s">
        <v>517</v>
      </c>
      <c r="K1623" s="28" t="s">
        <v>518</v>
      </c>
      <c r="L1623" s="28" t="s">
        <v>751</v>
      </c>
      <c r="M1623" s="28" t="s">
        <v>520</v>
      </c>
      <c r="S1623" s="28" t="s">
        <v>740</v>
      </c>
      <c r="T1623" s="28" t="s">
        <v>753</v>
      </c>
      <c r="U1623" s="28" t="s">
        <v>753</v>
      </c>
      <c r="V1623" s="28" t="s">
        <v>517</v>
      </c>
      <c r="W1623" s="28" t="s">
        <v>3362</v>
      </c>
      <c r="Z1623" s="118" t="s">
        <v>563</v>
      </c>
      <c r="AA1623" s="118"/>
      <c r="AB1623" s="118" t="s">
        <v>527</v>
      </c>
      <c r="AD1623" s="28" t="s">
        <v>528</v>
      </c>
      <c r="AF1623" s="117" t="s">
        <v>6231</v>
      </c>
      <c r="AG1623" s="28" t="s">
        <v>563</v>
      </c>
      <c r="AK1623" s="60" t="s">
        <v>5515</v>
      </c>
      <c r="AL1623" s="117">
        <f>1/COUNTIF(Tableau6[LAT],B1623)</f>
        <v>0.5</v>
      </c>
      <c r="AM1623" s="60" t="b">
        <f t="shared" si="178"/>
        <v>0</v>
      </c>
      <c r="AN1623" s="60" t="b">
        <f t="shared" si="179"/>
        <v>0</v>
      </c>
      <c r="AO1623" s="60" t="b">
        <f t="shared" si="180"/>
        <v>0</v>
      </c>
      <c r="AP1623" s="60" t="b">
        <f t="shared" si="181"/>
        <v>0</v>
      </c>
      <c r="AQ1623" s="60" t="b">
        <f t="shared" si="182"/>
        <v>0</v>
      </c>
      <c r="AR1623" s="60" t="str">
        <f t="shared" si="183"/>
        <v>No</v>
      </c>
      <c r="AS1623" s="60" t="str">
        <f t="shared" si="184"/>
        <v>No</v>
      </c>
    </row>
    <row r="1624" spans="1:45" ht="15">
      <c r="A1624" s="103">
        <v>45244</v>
      </c>
      <c r="B1624" s="28" t="s">
        <v>6230</v>
      </c>
      <c r="C1624" s="28" t="s">
        <v>548</v>
      </c>
      <c r="D1624" s="28" t="s">
        <v>6233</v>
      </c>
      <c r="F1624" s="28" t="s">
        <v>6234</v>
      </c>
      <c r="G1624" s="28" t="s">
        <v>958</v>
      </c>
      <c r="H1624" s="28" t="s">
        <v>1845</v>
      </c>
      <c r="I1624" s="28" t="s">
        <v>516</v>
      </c>
      <c r="J1624" s="28" t="s">
        <v>517</v>
      </c>
      <c r="K1624" s="28" t="s">
        <v>518</v>
      </c>
      <c r="L1624" s="28" t="s">
        <v>751</v>
      </c>
      <c r="M1624" s="28" t="s">
        <v>520</v>
      </c>
      <c r="S1624" s="28" t="s">
        <v>740</v>
      </c>
      <c r="T1624" s="28" t="s">
        <v>753</v>
      </c>
      <c r="U1624" s="28" t="s">
        <v>753</v>
      </c>
      <c r="V1624" s="28" t="s">
        <v>517</v>
      </c>
      <c r="W1624" s="28" t="s">
        <v>3362</v>
      </c>
      <c r="Z1624" s="118" t="s">
        <v>563</v>
      </c>
      <c r="AA1624" s="118"/>
      <c r="AB1624" s="118" t="s">
        <v>527</v>
      </c>
      <c r="AD1624" s="28" t="s">
        <v>528</v>
      </c>
      <c r="AF1624" s="117" t="s">
        <v>6233</v>
      </c>
      <c r="AG1624" s="28" t="s">
        <v>563</v>
      </c>
      <c r="AK1624" s="60" t="s">
        <v>5515</v>
      </c>
      <c r="AL1624" s="117">
        <f>1/COUNTIF(Tableau6[LAT],B1624)</f>
        <v>0.5</v>
      </c>
      <c r="AM1624" s="60" t="b">
        <f t="shared" si="178"/>
        <v>0</v>
      </c>
      <c r="AN1624" s="60" t="b">
        <f t="shared" si="179"/>
        <v>0</v>
      </c>
      <c r="AO1624" s="60" t="b">
        <f t="shared" si="180"/>
        <v>0</v>
      </c>
      <c r="AP1624" s="60" t="b">
        <f t="shared" si="181"/>
        <v>0</v>
      </c>
      <c r="AQ1624" s="60" t="b">
        <f t="shared" si="182"/>
        <v>0</v>
      </c>
      <c r="AR1624" s="60" t="str">
        <f t="shared" si="183"/>
        <v>No</v>
      </c>
      <c r="AS1624" s="60" t="str">
        <f t="shared" si="184"/>
        <v>No</v>
      </c>
    </row>
    <row r="1625" spans="1:45" ht="15">
      <c r="A1625" s="103">
        <v>45244</v>
      </c>
      <c r="B1625" s="28" t="s">
        <v>6235</v>
      </c>
      <c r="C1625" s="28" t="s">
        <v>511</v>
      </c>
      <c r="D1625" s="28" t="s">
        <v>6236</v>
      </c>
      <c r="F1625" s="28" t="s">
        <v>6237</v>
      </c>
      <c r="G1625" s="28" t="s">
        <v>514</v>
      </c>
      <c r="H1625" s="28" t="s">
        <v>515</v>
      </c>
      <c r="I1625" s="28" t="s">
        <v>517</v>
      </c>
      <c r="J1625" s="28" t="s">
        <v>517</v>
      </c>
      <c r="K1625" s="28" t="s">
        <v>518</v>
      </c>
      <c r="L1625" s="28" t="s">
        <v>1548</v>
      </c>
      <c r="M1625" s="28" t="s">
        <v>605</v>
      </c>
      <c r="N1625" s="28" t="s">
        <v>521</v>
      </c>
      <c r="O1625" s="28" t="s">
        <v>627</v>
      </c>
      <c r="S1625" s="28" t="s">
        <v>573</v>
      </c>
      <c r="T1625" s="28" t="s">
        <v>1549</v>
      </c>
      <c r="U1625" s="28" t="s">
        <v>1549</v>
      </c>
      <c r="V1625" s="28" t="s">
        <v>517</v>
      </c>
      <c r="W1625" s="28" t="s">
        <v>6238</v>
      </c>
      <c r="Z1625" s="118" t="s">
        <v>563</v>
      </c>
      <c r="AA1625" s="118"/>
      <c r="AB1625" s="118" t="s">
        <v>4506</v>
      </c>
      <c r="AD1625" s="28" t="s">
        <v>954</v>
      </c>
      <c r="AF1625" s="117" t="s">
        <v>6236</v>
      </c>
      <c r="AG1625" s="28" t="s">
        <v>563</v>
      </c>
      <c r="AK1625" s="60" t="s">
        <v>5515</v>
      </c>
      <c r="AL1625" s="117">
        <f>1/COUNTIF(Tableau6[LAT],B1625)</f>
        <v>0.5</v>
      </c>
      <c r="AM1625" s="60" t="b">
        <f t="shared" si="178"/>
        <v>0</v>
      </c>
      <c r="AN1625" s="60" t="b">
        <f t="shared" si="179"/>
        <v>0</v>
      </c>
      <c r="AO1625" s="60" t="b">
        <f t="shared" si="180"/>
        <v>0</v>
      </c>
      <c r="AP1625" s="60" t="b">
        <f t="shared" si="181"/>
        <v>0</v>
      </c>
      <c r="AQ1625" s="60" t="b">
        <f t="shared" si="182"/>
        <v>0</v>
      </c>
      <c r="AR1625" s="60" t="str">
        <f t="shared" si="183"/>
        <v>No</v>
      </c>
      <c r="AS1625" s="60" t="str">
        <f t="shared" si="184"/>
        <v>No</v>
      </c>
    </row>
    <row r="1626" spans="1:45" ht="15">
      <c r="A1626" s="103">
        <v>45244</v>
      </c>
      <c r="B1626" s="28" t="s">
        <v>6235</v>
      </c>
      <c r="C1626" s="28" t="s">
        <v>548</v>
      </c>
      <c r="D1626" s="28" t="s">
        <v>6239</v>
      </c>
      <c r="F1626" s="28" t="s">
        <v>6237</v>
      </c>
      <c r="G1626" s="28" t="s">
        <v>514</v>
      </c>
      <c r="H1626" s="28" t="s">
        <v>515</v>
      </c>
      <c r="I1626" s="28" t="s">
        <v>517</v>
      </c>
      <c r="J1626" s="28" t="s">
        <v>517</v>
      </c>
      <c r="K1626" s="28" t="s">
        <v>518</v>
      </c>
      <c r="L1626" s="28" t="s">
        <v>1548</v>
      </c>
      <c r="M1626" s="28" t="s">
        <v>605</v>
      </c>
      <c r="N1626" s="28" t="s">
        <v>521</v>
      </c>
      <c r="O1626" s="28" t="s">
        <v>627</v>
      </c>
      <c r="S1626" s="28" t="s">
        <v>573</v>
      </c>
      <c r="T1626" s="28" t="s">
        <v>1549</v>
      </c>
      <c r="U1626" s="28" t="s">
        <v>1549</v>
      </c>
      <c r="V1626" s="28" t="s">
        <v>517</v>
      </c>
      <c r="W1626" s="28" t="s">
        <v>6240</v>
      </c>
      <c r="Z1626" s="118" t="s">
        <v>563</v>
      </c>
      <c r="AA1626" s="118"/>
      <c r="AB1626" s="118" t="s">
        <v>4506</v>
      </c>
      <c r="AD1626" s="28" t="s">
        <v>954</v>
      </c>
      <c r="AF1626" s="117" t="s">
        <v>6239</v>
      </c>
      <c r="AG1626" s="28" t="s">
        <v>563</v>
      </c>
      <c r="AK1626" s="60" t="s">
        <v>5515</v>
      </c>
      <c r="AL1626" s="117">
        <f>1/COUNTIF(Tableau6[LAT],B1626)</f>
        <v>0.5</v>
      </c>
      <c r="AM1626" s="60" t="b">
        <f t="shared" si="178"/>
        <v>0</v>
      </c>
      <c r="AN1626" s="60" t="b">
        <f t="shared" si="179"/>
        <v>0</v>
      </c>
      <c r="AO1626" s="60" t="b">
        <f t="shared" si="180"/>
        <v>0</v>
      </c>
      <c r="AP1626" s="60" t="b">
        <f t="shared" si="181"/>
        <v>0</v>
      </c>
      <c r="AQ1626" s="60" t="b">
        <f t="shared" si="182"/>
        <v>0</v>
      </c>
      <c r="AR1626" s="60" t="str">
        <f t="shared" si="183"/>
        <v>No</v>
      </c>
      <c r="AS1626" s="60" t="str">
        <f t="shared" si="184"/>
        <v>No</v>
      </c>
    </row>
    <row r="1627" spans="1:45" ht="15">
      <c r="A1627" s="103">
        <v>45244</v>
      </c>
      <c r="B1627" s="28" t="s">
        <v>6241</v>
      </c>
      <c r="C1627" s="28" t="s">
        <v>511</v>
      </c>
      <c r="D1627" s="28" t="s">
        <v>6242</v>
      </c>
      <c r="F1627" s="28" t="s">
        <v>6243</v>
      </c>
      <c r="G1627" s="28" t="s">
        <v>514</v>
      </c>
      <c r="H1627" s="28" t="s">
        <v>4042</v>
      </c>
      <c r="I1627" s="28" t="s">
        <v>517</v>
      </c>
      <c r="J1627" s="28" t="s">
        <v>517</v>
      </c>
      <c r="K1627" s="28" t="s">
        <v>518</v>
      </c>
      <c r="L1627" s="28" t="s">
        <v>2077</v>
      </c>
      <c r="M1627" s="28" t="s">
        <v>535</v>
      </c>
      <c r="N1627" s="28" t="s">
        <v>544</v>
      </c>
      <c r="S1627" s="28" t="s">
        <v>573</v>
      </c>
      <c r="T1627" s="28" t="s">
        <v>2078</v>
      </c>
      <c r="U1627" s="28" t="s">
        <v>2078</v>
      </c>
      <c r="V1627" s="28" t="s">
        <v>517</v>
      </c>
      <c r="W1627" s="28" t="s">
        <v>6244</v>
      </c>
      <c r="Z1627" s="118" t="s">
        <v>563</v>
      </c>
      <c r="AA1627" s="118"/>
      <c r="AB1627" s="118" t="s">
        <v>4506</v>
      </c>
      <c r="AD1627" s="28" t="s">
        <v>954</v>
      </c>
      <c r="AF1627" s="117" t="s">
        <v>6242</v>
      </c>
      <c r="AG1627" s="28" t="s">
        <v>563</v>
      </c>
      <c r="AK1627" s="60" t="s">
        <v>5515</v>
      </c>
      <c r="AL1627" s="117">
        <f>1/COUNTIF(Tableau6[LAT],B1627)</f>
        <v>0.5</v>
      </c>
      <c r="AM1627" s="60" t="b">
        <f t="shared" si="178"/>
        <v>0</v>
      </c>
      <c r="AN1627" s="60" t="b">
        <f t="shared" si="179"/>
        <v>0</v>
      </c>
      <c r="AO1627" s="60" t="b">
        <f t="shared" si="180"/>
        <v>0</v>
      </c>
      <c r="AP1627" s="60" t="b">
        <f t="shared" si="181"/>
        <v>0</v>
      </c>
      <c r="AQ1627" s="60" t="b">
        <f t="shared" si="182"/>
        <v>0</v>
      </c>
      <c r="AR1627" s="60" t="str">
        <f t="shared" si="183"/>
        <v>No</v>
      </c>
      <c r="AS1627" s="60" t="str">
        <f t="shared" si="184"/>
        <v>No</v>
      </c>
    </row>
    <row r="1628" spans="1:45" ht="15">
      <c r="A1628" s="103">
        <v>45244</v>
      </c>
      <c r="B1628" s="28" t="s">
        <v>6241</v>
      </c>
      <c r="C1628" s="28" t="s">
        <v>548</v>
      </c>
      <c r="D1628" s="28" t="s">
        <v>6245</v>
      </c>
      <c r="F1628" s="28" t="s">
        <v>6243</v>
      </c>
      <c r="G1628" s="28" t="s">
        <v>514</v>
      </c>
      <c r="H1628" s="28" t="s">
        <v>4042</v>
      </c>
      <c r="I1628" s="28" t="s">
        <v>517</v>
      </c>
      <c r="J1628" s="28" t="s">
        <v>517</v>
      </c>
      <c r="K1628" s="28" t="s">
        <v>518</v>
      </c>
      <c r="L1628" s="28" t="s">
        <v>2077</v>
      </c>
      <c r="M1628" s="28" t="s">
        <v>535</v>
      </c>
      <c r="N1628" s="28" t="s">
        <v>1124</v>
      </c>
      <c r="O1628" s="28" t="s">
        <v>544</v>
      </c>
      <c r="S1628" s="28" t="s">
        <v>573</v>
      </c>
      <c r="T1628" s="28" t="s">
        <v>2078</v>
      </c>
      <c r="U1628" s="28" t="s">
        <v>2078</v>
      </c>
      <c r="V1628" s="28" t="s">
        <v>517</v>
      </c>
      <c r="W1628" s="28" t="s">
        <v>6246</v>
      </c>
      <c r="Z1628" s="118" t="s">
        <v>563</v>
      </c>
      <c r="AA1628" s="118"/>
      <c r="AB1628" s="118" t="s">
        <v>4506</v>
      </c>
      <c r="AD1628" s="28" t="s">
        <v>954</v>
      </c>
      <c r="AF1628" s="117" t="s">
        <v>6245</v>
      </c>
      <c r="AG1628" s="28" t="s">
        <v>563</v>
      </c>
      <c r="AK1628" s="60" t="s">
        <v>5515</v>
      </c>
      <c r="AL1628" s="117">
        <f>1/COUNTIF(Tableau6[LAT],B1628)</f>
        <v>0.5</v>
      </c>
      <c r="AM1628" s="60" t="b">
        <f t="shared" si="178"/>
        <v>0</v>
      </c>
      <c r="AN1628" s="60" t="b">
        <f t="shared" si="179"/>
        <v>0</v>
      </c>
      <c r="AO1628" s="60" t="b">
        <f t="shared" si="180"/>
        <v>0</v>
      </c>
      <c r="AP1628" s="60" t="b">
        <f t="shared" si="181"/>
        <v>0</v>
      </c>
      <c r="AQ1628" s="60" t="b">
        <f t="shared" si="182"/>
        <v>0</v>
      </c>
      <c r="AR1628" s="60" t="str">
        <f t="shared" si="183"/>
        <v>No</v>
      </c>
      <c r="AS1628" s="60" t="str">
        <f t="shared" si="184"/>
        <v>No</v>
      </c>
    </row>
    <row r="1629" spans="1:45" ht="15">
      <c r="A1629" s="103">
        <v>45244</v>
      </c>
      <c r="B1629" s="28" t="s">
        <v>6247</v>
      </c>
      <c r="C1629" s="28" t="s">
        <v>511</v>
      </c>
      <c r="D1629" s="28" t="s">
        <v>6248</v>
      </c>
      <c r="E1629" s="28" t="s">
        <v>6249</v>
      </c>
      <c r="F1629" s="28" t="s">
        <v>6250</v>
      </c>
      <c r="G1629" s="28" t="s">
        <v>514</v>
      </c>
      <c r="H1629" s="28" t="s">
        <v>1701</v>
      </c>
      <c r="I1629" s="28" t="s">
        <v>516</v>
      </c>
      <c r="J1629" s="28" t="s">
        <v>517</v>
      </c>
      <c r="K1629" s="28" t="s">
        <v>518</v>
      </c>
      <c r="L1629" s="28" t="s">
        <v>751</v>
      </c>
      <c r="M1629" s="28" t="s">
        <v>605</v>
      </c>
      <c r="N1629" s="28" t="s">
        <v>557</v>
      </c>
      <c r="O1629" s="28" t="s">
        <v>544</v>
      </c>
      <c r="P1629" s="28" t="s">
        <v>522</v>
      </c>
      <c r="S1629" s="28" t="s">
        <v>1226</v>
      </c>
      <c r="T1629" s="28" t="s">
        <v>6059</v>
      </c>
      <c r="U1629" s="28" t="s">
        <v>753</v>
      </c>
      <c r="V1629" s="28" t="s">
        <v>517</v>
      </c>
      <c r="W1629" s="28" t="s">
        <v>6251</v>
      </c>
      <c r="Z1629" s="118" t="s">
        <v>563</v>
      </c>
      <c r="AA1629" s="118"/>
      <c r="AB1629" s="118" t="s">
        <v>4506</v>
      </c>
      <c r="AD1629" s="28" t="s">
        <v>528</v>
      </c>
      <c r="AF1629" s="117" t="s">
        <v>6248</v>
      </c>
      <c r="AG1629" s="28" t="s">
        <v>563</v>
      </c>
      <c r="AK1629" s="60" t="s">
        <v>5515</v>
      </c>
      <c r="AL1629" s="117">
        <f>1/COUNTIF(Tableau6[LAT],B1629)</f>
        <v>0.2</v>
      </c>
      <c r="AM1629" s="60" t="b">
        <f t="shared" si="178"/>
        <v>0</v>
      </c>
      <c r="AN1629" s="60" t="b">
        <f t="shared" si="179"/>
        <v>0</v>
      </c>
      <c r="AO1629" s="60" t="b">
        <f t="shared" si="180"/>
        <v>0</v>
      </c>
      <c r="AP1629" s="60" t="b">
        <f t="shared" si="181"/>
        <v>0</v>
      </c>
      <c r="AQ1629" s="60" t="b">
        <f t="shared" si="182"/>
        <v>0</v>
      </c>
      <c r="AR1629" s="60" t="str">
        <f t="shared" si="183"/>
        <v>No</v>
      </c>
      <c r="AS1629" s="60" t="str">
        <f t="shared" si="184"/>
        <v>No</v>
      </c>
    </row>
    <row r="1630" spans="1:45" ht="15">
      <c r="A1630" s="103">
        <v>45244</v>
      </c>
      <c r="B1630" s="28" t="s">
        <v>6247</v>
      </c>
      <c r="C1630" s="28" t="s">
        <v>548</v>
      </c>
      <c r="D1630" s="28" t="s">
        <v>6252</v>
      </c>
      <c r="E1630" s="28" t="s">
        <v>6249</v>
      </c>
      <c r="F1630" s="28" t="s">
        <v>6250</v>
      </c>
      <c r="G1630" s="28" t="s">
        <v>514</v>
      </c>
      <c r="H1630" s="28" t="s">
        <v>1701</v>
      </c>
      <c r="I1630" s="28" t="s">
        <v>516</v>
      </c>
      <c r="J1630" s="28" t="s">
        <v>517</v>
      </c>
      <c r="K1630" s="28" t="s">
        <v>518</v>
      </c>
      <c r="L1630" s="28" t="s">
        <v>751</v>
      </c>
      <c r="M1630" s="28" t="s">
        <v>605</v>
      </c>
      <c r="N1630" s="28" t="s">
        <v>557</v>
      </c>
      <c r="O1630" s="28" t="s">
        <v>544</v>
      </c>
      <c r="P1630" s="28" t="s">
        <v>522</v>
      </c>
      <c r="S1630" s="28" t="s">
        <v>1226</v>
      </c>
      <c r="T1630" s="28" t="s">
        <v>6059</v>
      </c>
      <c r="U1630" s="28" t="s">
        <v>753</v>
      </c>
      <c r="V1630" s="28" t="s">
        <v>517</v>
      </c>
      <c r="W1630" s="28" t="s">
        <v>6251</v>
      </c>
      <c r="Z1630" s="118" t="s">
        <v>563</v>
      </c>
      <c r="AA1630" s="118"/>
      <c r="AB1630" s="118" t="s">
        <v>4506</v>
      </c>
      <c r="AD1630" s="28" t="s">
        <v>528</v>
      </c>
      <c r="AF1630" s="117" t="s">
        <v>6252</v>
      </c>
      <c r="AG1630" s="28" t="s">
        <v>563</v>
      </c>
      <c r="AK1630" s="60" t="s">
        <v>5515</v>
      </c>
      <c r="AL1630" s="117">
        <f>1/COUNTIF(Tableau6[LAT],B1630)</f>
        <v>0.2</v>
      </c>
      <c r="AM1630" s="60" t="b">
        <f t="shared" si="178"/>
        <v>0</v>
      </c>
      <c r="AN1630" s="60" t="b">
        <f t="shared" si="179"/>
        <v>0</v>
      </c>
      <c r="AO1630" s="60" t="b">
        <f t="shared" si="180"/>
        <v>0</v>
      </c>
      <c r="AP1630" s="60" t="b">
        <f t="shared" si="181"/>
        <v>0</v>
      </c>
      <c r="AQ1630" s="60" t="b">
        <f t="shared" si="182"/>
        <v>0</v>
      </c>
      <c r="AR1630" s="60" t="str">
        <f t="shared" si="183"/>
        <v>No</v>
      </c>
      <c r="AS1630" s="60" t="str">
        <f t="shared" si="184"/>
        <v>No</v>
      </c>
    </row>
    <row r="1631" spans="1:45" ht="15">
      <c r="A1631" s="103">
        <v>45244</v>
      </c>
      <c r="B1631" s="28" t="s">
        <v>6247</v>
      </c>
      <c r="C1631" s="28" t="s">
        <v>612</v>
      </c>
      <c r="D1631" s="28" t="s">
        <v>6253</v>
      </c>
      <c r="E1631" s="28" t="s">
        <v>6249</v>
      </c>
      <c r="F1631" s="28" t="s">
        <v>6250</v>
      </c>
      <c r="G1631" s="28" t="s">
        <v>514</v>
      </c>
      <c r="H1631" s="28" t="s">
        <v>1701</v>
      </c>
      <c r="I1631" s="28" t="s">
        <v>516</v>
      </c>
      <c r="J1631" s="28" t="s">
        <v>517</v>
      </c>
      <c r="K1631" s="28" t="s">
        <v>518</v>
      </c>
      <c r="L1631" s="28" t="s">
        <v>751</v>
      </c>
      <c r="M1631" s="28" t="s">
        <v>605</v>
      </c>
      <c r="N1631" s="28" t="s">
        <v>557</v>
      </c>
      <c r="O1631" s="28" t="s">
        <v>544</v>
      </c>
      <c r="P1631" s="28" t="s">
        <v>522</v>
      </c>
      <c r="S1631" s="28" t="s">
        <v>1226</v>
      </c>
      <c r="T1631" s="28" t="s">
        <v>6059</v>
      </c>
      <c r="U1631" s="28" t="s">
        <v>753</v>
      </c>
      <c r="V1631" s="28" t="s">
        <v>517</v>
      </c>
      <c r="W1631" s="28" t="s">
        <v>6251</v>
      </c>
      <c r="Z1631" s="118" t="s">
        <v>563</v>
      </c>
      <c r="AA1631" s="118"/>
      <c r="AB1631" s="118" t="s">
        <v>4506</v>
      </c>
      <c r="AD1631" s="28" t="s">
        <v>528</v>
      </c>
      <c r="AF1631" s="117" t="s">
        <v>6253</v>
      </c>
      <c r="AG1631" s="28" t="s">
        <v>563</v>
      </c>
      <c r="AK1631" s="60" t="s">
        <v>5515</v>
      </c>
      <c r="AL1631" s="117">
        <f>1/COUNTIF(Tableau6[LAT],B1631)</f>
        <v>0.2</v>
      </c>
      <c r="AM1631" s="60" t="b">
        <f t="shared" si="178"/>
        <v>0</v>
      </c>
      <c r="AN1631" s="60" t="b">
        <f t="shared" si="179"/>
        <v>0</v>
      </c>
      <c r="AO1631" s="60" t="b">
        <f t="shared" si="180"/>
        <v>0</v>
      </c>
      <c r="AP1631" s="60" t="b">
        <f t="shared" si="181"/>
        <v>0</v>
      </c>
      <c r="AQ1631" s="60" t="b">
        <f t="shared" si="182"/>
        <v>0</v>
      </c>
      <c r="AR1631" s="60" t="str">
        <f t="shared" si="183"/>
        <v>No</v>
      </c>
      <c r="AS1631" s="60" t="str">
        <f t="shared" si="184"/>
        <v>No</v>
      </c>
    </row>
    <row r="1632" spans="1:45" ht="15">
      <c r="A1632" s="103">
        <v>45244</v>
      </c>
      <c r="B1632" s="28" t="s">
        <v>6247</v>
      </c>
      <c r="C1632" s="28" t="s">
        <v>691</v>
      </c>
      <c r="D1632" s="28" t="s">
        <v>6254</v>
      </c>
      <c r="E1632" s="28" t="s">
        <v>6249</v>
      </c>
      <c r="F1632" s="28" t="s">
        <v>6250</v>
      </c>
      <c r="G1632" s="28" t="s">
        <v>514</v>
      </c>
      <c r="H1632" s="28" t="s">
        <v>1701</v>
      </c>
      <c r="I1632" s="28" t="s">
        <v>516</v>
      </c>
      <c r="J1632" s="28" t="s">
        <v>517</v>
      </c>
      <c r="K1632" s="28" t="s">
        <v>518</v>
      </c>
      <c r="L1632" s="28" t="s">
        <v>751</v>
      </c>
      <c r="M1632" s="28" t="s">
        <v>605</v>
      </c>
      <c r="N1632" s="28" t="s">
        <v>557</v>
      </c>
      <c r="O1632" s="28" t="s">
        <v>544</v>
      </c>
      <c r="P1632" s="28" t="s">
        <v>522</v>
      </c>
      <c r="S1632" s="28" t="s">
        <v>1226</v>
      </c>
      <c r="T1632" s="28" t="s">
        <v>6059</v>
      </c>
      <c r="U1632" s="28" t="s">
        <v>753</v>
      </c>
      <c r="V1632" s="28" t="s">
        <v>517</v>
      </c>
      <c r="W1632" s="28" t="s">
        <v>6251</v>
      </c>
      <c r="Z1632" s="118" t="s">
        <v>563</v>
      </c>
      <c r="AA1632" s="118"/>
      <c r="AB1632" s="118" t="s">
        <v>4506</v>
      </c>
      <c r="AD1632" s="28" t="s">
        <v>528</v>
      </c>
      <c r="AF1632" s="117" t="s">
        <v>6254</v>
      </c>
      <c r="AG1632" s="28" t="s">
        <v>563</v>
      </c>
      <c r="AK1632" s="60" t="s">
        <v>5515</v>
      </c>
      <c r="AL1632" s="117">
        <f>1/COUNTIF(Tableau6[LAT],B1632)</f>
        <v>0.2</v>
      </c>
      <c r="AM1632" s="60" t="b">
        <f t="shared" si="178"/>
        <v>0</v>
      </c>
      <c r="AN1632" s="60" t="b">
        <f t="shared" si="179"/>
        <v>0</v>
      </c>
      <c r="AO1632" s="60" t="b">
        <f t="shared" si="180"/>
        <v>0</v>
      </c>
      <c r="AP1632" s="60" t="b">
        <f t="shared" si="181"/>
        <v>0</v>
      </c>
      <c r="AQ1632" s="60" t="b">
        <f t="shared" si="182"/>
        <v>0</v>
      </c>
      <c r="AR1632" s="60" t="str">
        <f t="shared" si="183"/>
        <v>No</v>
      </c>
      <c r="AS1632" s="60" t="str">
        <f t="shared" si="184"/>
        <v>No</v>
      </c>
    </row>
    <row r="1633" spans="1:45" ht="15">
      <c r="A1633" s="103">
        <v>45244</v>
      </c>
      <c r="B1633" s="28" t="s">
        <v>6247</v>
      </c>
      <c r="C1633" s="28" t="s">
        <v>859</v>
      </c>
      <c r="D1633" s="28" t="s">
        <v>6255</v>
      </c>
      <c r="E1633" s="28" t="s">
        <v>6256</v>
      </c>
      <c r="F1633" s="28" t="s">
        <v>6250</v>
      </c>
      <c r="G1633" s="28" t="s">
        <v>514</v>
      </c>
      <c r="H1633" s="28" t="s">
        <v>1701</v>
      </c>
      <c r="I1633" s="28" t="s">
        <v>516</v>
      </c>
      <c r="J1633" s="28" t="s">
        <v>517</v>
      </c>
      <c r="K1633" s="28" t="s">
        <v>518</v>
      </c>
      <c r="L1633" s="28" t="s">
        <v>751</v>
      </c>
      <c r="M1633" s="28" t="s">
        <v>605</v>
      </c>
      <c r="N1633" s="28" t="s">
        <v>557</v>
      </c>
      <c r="O1633" s="28" t="s">
        <v>544</v>
      </c>
      <c r="P1633" s="28" t="s">
        <v>522</v>
      </c>
      <c r="S1633" s="28" t="s">
        <v>1226</v>
      </c>
      <c r="T1633" s="28" t="s">
        <v>6059</v>
      </c>
      <c r="U1633" s="28" t="s">
        <v>753</v>
      </c>
      <c r="V1633" s="28" t="s">
        <v>517</v>
      </c>
      <c r="W1633" s="28" t="s">
        <v>6257</v>
      </c>
      <c r="Z1633" s="118" t="s">
        <v>563</v>
      </c>
      <c r="AA1633" s="118"/>
      <c r="AB1633" s="118" t="s">
        <v>4506</v>
      </c>
      <c r="AD1633" s="28" t="s">
        <v>528</v>
      </c>
      <c r="AF1633" s="117" t="s">
        <v>6255</v>
      </c>
      <c r="AG1633" s="28" t="s">
        <v>563</v>
      </c>
      <c r="AK1633" s="60" t="s">
        <v>5515</v>
      </c>
      <c r="AL1633" s="117">
        <f>1/COUNTIF(Tableau6[LAT],B1633)</f>
        <v>0.2</v>
      </c>
      <c r="AM1633" s="60" t="b">
        <f t="shared" si="178"/>
        <v>0</v>
      </c>
      <c r="AN1633" s="60" t="b">
        <f t="shared" si="179"/>
        <v>0</v>
      </c>
      <c r="AO1633" s="60" t="b">
        <f t="shared" si="180"/>
        <v>0</v>
      </c>
      <c r="AP1633" s="60" t="b">
        <f t="shared" si="181"/>
        <v>0</v>
      </c>
      <c r="AQ1633" s="60" t="b">
        <f t="shared" si="182"/>
        <v>0</v>
      </c>
      <c r="AR1633" s="60" t="str">
        <f t="shared" si="183"/>
        <v>No</v>
      </c>
      <c r="AS1633" s="60" t="str">
        <f t="shared" si="184"/>
        <v>No</v>
      </c>
    </row>
    <row r="1634" spans="1:45" ht="15">
      <c r="A1634" s="103">
        <v>45244</v>
      </c>
      <c r="B1634" s="28" t="s">
        <v>6258</v>
      </c>
      <c r="C1634" s="28" t="s">
        <v>511</v>
      </c>
      <c r="D1634" s="28" t="s">
        <v>6259</v>
      </c>
      <c r="E1634" s="28" t="s">
        <v>6088</v>
      </c>
      <c r="F1634" s="28" t="s">
        <v>2277</v>
      </c>
      <c r="G1634" s="28" t="s">
        <v>514</v>
      </c>
      <c r="H1634" s="28" t="s">
        <v>6260</v>
      </c>
      <c r="I1634" s="28" t="s">
        <v>516</v>
      </c>
      <c r="J1634" s="28" t="s">
        <v>517</v>
      </c>
      <c r="K1634" s="28" t="s">
        <v>518</v>
      </c>
      <c r="L1634" s="28" t="s">
        <v>739</v>
      </c>
      <c r="M1634" s="28" t="s">
        <v>535</v>
      </c>
      <c r="N1634" s="28" t="s">
        <v>6261</v>
      </c>
      <c r="O1634" s="28" t="s">
        <v>557</v>
      </c>
      <c r="P1634" s="28" t="s">
        <v>544</v>
      </c>
      <c r="Q1634" s="28" t="s">
        <v>522</v>
      </c>
      <c r="S1634" s="28" t="s">
        <v>1226</v>
      </c>
      <c r="T1634" s="28" t="s">
        <v>6262</v>
      </c>
      <c r="U1634" s="28" t="s">
        <v>741</v>
      </c>
      <c r="V1634" s="28" t="s">
        <v>517</v>
      </c>
      <c r="W1634" s="28" t="s">
        <v>6091</v>
      </c>
      <c r="Z1634" s="118" t="s">
        <v>563</v>
      </c>
      <c r="AA1634" s="118"/>
      <c r="AB1634" s="118" t="s">
        <v>4506</v>
      </c>
      <c r="AF1634" s="117" t="s">
        <v>1083</v>
      </c>
      <c r="AK1634" s="60" t="s">
        <v>5515</v>
      </c>
      <c r="AL1634" s="117">
        <f>1/COUNTIF(Tableau6[LAT],B1634)</f>
        <v>1</v>
      </c>
      <c r="AM1634" s="60" t="b">
        <f t="shared" si="178"/>
        <v>0</v>
      </c>
      <c r="AN1634" s="60" t="b">
        <f t="shared" si="179"/>
        <v>0</v>
      </c>
      <c r="AO1634" s="60" t="b">
        <f t="shared" si="180"/>
        <v>0</v>
      </c>
      <c r="AP1634" s="60" t="b">
        <f t="shared" si="181"/>
        <v>0</v>
      </c>
      <c r="AQ1634" s="60" t="b">
        <f t="shared" si="182"/>
        <v>0</v>
      </c>
      <c r="AR1634" s="60" t="str">
        <f t="shared" si="183"/>
        <v>No</v>
      </c>
      <c r="AS1634" s="60" t="str">
        <f t="shared" si="184"/>
        <v>No</v>
      </c>
    </row>
    <row r="1635" spans="1:45" ht="15">
      <c r="A1635" s="103">
        <v>45244</v>
      </c>
      <c r="B1635" s="28" t="s">
        <v>6263</v>
      </c>
      <c r="C1635" s="28" t="s">
        <v>511</v>
      </c>
      <c r="D1635" s="28" t="s">
        <v>6264</v>
      </c>
      <c r="F1635" s="28" t="s">
        <v>1841</v>
      </c>
      <c r="G1635" s="28" t="s">
        <v>514</v>
      </c>
      <c r="H1635" s="28" t="s">
        <v>704</v>
      </c>
      <c r="I1635" s="28" t="s">
        <v>516</v>
      </c>
      <c r="J1635" s="28" t="s">
        <v>517</v>
      </c>
      <c r="K1635" s="28" t="s">
        <v>518</v>
      </c>
      <c r="L1635" s="28" t="s">
        <v>1856</v>
      </c>
      <c r="M1635" s="28" t="s">
        <v>535</v>
      </c>
      <c r="N1635" s="28" t="s">
        <v>557</v>
      </c>
      <c r="O1635" s="28" t="s">
        <v>559</v>
      </c>
      <c r="S1635" s="28" t="s">
        <v>1226</v>
      </c>
      <c r="T1635" s="28" t="s">
        <v>1857</v>
      </c>
      <c r="U1635" s="28" t="s">
        <v>1857</v>
      </c>
      <c r="V1635" s="28" t="s">
        <v>517</v>
      </c>
      <c r="W1635" s="28" t="s">
        <v>4348</v>
      </c>
      <c r="Z1635" s="118" t="s">
        <v>526</v>
      </c>
      <c r="AA1635" s="118"/>
      <c r="AB1635" s="118"/>
      <c r="AD1635" s="28" t="s">
        <v>528</v>
      </c>
      <c r="AF1635" s="117" t="s">
        <v>6264</v>
      </c>
      <c r="AG1635" s="28" t="s">
        <v>529</v>
      </c>
      <c r="AK1635" s="60" t="s">
        <v>5515</v>
      </c>
      <c r="AL1635" s="117">
        <f>1/COUNTIF(Tableau6[LAT],B1635)</f>
        <v>1</v>
      </c>
      <c r="AM1635" s="60" t="b">
        <f t="shared" si="178"/>
        <v>0</v>
      </c>
      <c r="AN1635" s="60" t="b">
        <f t="shared" si="179"/>
        <v>0</v>
      </c>
      <c r="AO1635" s="60" t="b">
        <f t="shared" si="180"/>
        <v>0</v>
      </c>
      <c r="AP1635" s="60" t="b">
        <f t="shared" si="181"/>
        <v>0</v>
      </c>
      <c r="AQ1635" s="60" t="b">
        <f t="shared" si="182"/>
        <v>0</v>
      </c>
      <c r="AR1635" s="60" t="str">
        <f t="shared" si="183"/>
        <v>No</v>
      </c>
      <c r="AS1635" s="60" t="str">
        <f t="shared" si="184"/>
        <v>No</v>
      </c>
    </row>
    <row r="1636" spans="1:45" ht="15">
      <c r="A1636" s="103">
        <v>45244</v>
      </c>
      <c r="B1636" s="28" t="s">
        <v>6265</v>
      </c>
      <c r="C1636" s="28" t="s">
        <v>511</v>
      </c>
      <c r="D1636" s="28" t="s">
        <v>6266</v>
      </c>
      <c r="F1636" s="28" t="s">
        <v>1359</v>
      </c>
      <c r="G1636" s="28" t="s">
        <v>657</v>
      </c>
      <c r="H1636" s="28" t="s">
        <v>6267</v>
      </c>
      <c r="I1636" s="28" t="s">
        <v>517</v>
      </c>
      <c r="J1636" s="28" t="s">
        <v>517</v>
      </c>
      <c r="K1636" s="28" t="s">
        <v>518</v>
      </c>
      <c r="L1636" s="28" t="s">
        <v>1548</v>
      </c>
      <c r="M1636" s="28" t="s">
        <v>535</v>
      </c>
      <c r="N1636" s="28" t="s">
        <v>521</v>
      </c>
      <c r="O1636" s="28" t="s">
        <v>934</v>
      </c>
      <c r="P1636" s="28" t="s">
        <v>559</v>
      </c>
      <c r="S1636" s="28" t="s">
        <v>573</v>
      </c>
      <c r="T1636" s="28" t="s">
        <v>1549</v>
      </c>
      <c r="U1636" s="28" t="s">
        <v>1549</v>
      </c>
      <c r="V1636" s="28" t="s">
        <v>517</v>
      </c>
      <c r="W1636" s="28" t="s">
        <v>1058</v>
      </c>
      <c r="Z1636" s="118" t="s">
        <v>563</v>
      </c>
      <c r="AA1636" s="118"/>
      <c r="AB1636" s="118" t="s">
        <v>4506</v>
      </c>
      <c r="AD1636" s="28" t="s">
        <v>954</v>
      </c>
      <c r="AF1636" s="117" t="s">
        <v>6266</v>
      </c>
      <c r="AG1636" s="28" t="s">
        <v>563</v>
      </c>
      <c r="AK1636" s="60" t="s">
        <v>5515</v>
      </c>
      <c r="AL1636" s="117">
        <f>1/COUNTIF(Tableau6[LAT],B1636)</f>
        <v>1</v>
      </c>
      <c r="AM1636" s="60" t="b">
        <f t="shared" si="178"/>
        <v>0</v>
      </c>
      <c r="AN1636" s="60" t="b">
        <f t="shared" si="179"/>
        <v>0</v>
      </c>
      <c r="AO1636" s="60" t="b">
        <f t="shared" si="180"/>
        <v>0</v>
      </c>
      <c r="AP1636" s="60" t="b">
        <f t="shared" si="181"/>
        <v>0</v>
      </c>
      <c r="AQ1636" s="60" t="b">
        <f t="shared" si="182"/>
        <v>0</v>
      </c>
      <c r="AR1636" s="60" t="str">
        <f t="shared" si="183"/>
        <v>No</v>
      </c>
      <c r="AS1636" s="60" t="str">
        <f t="shared" si="184"/>
        <v>No</v>
      </c>
    </row>
    <row r="1637" spans="1:45" ht="15">
      <c r="A1637" s="103">
        <v>45244</v>
      </c>
      <c r="B1637" s="28" t="s">
        <v>6268</v>
      </c>
      <c r="C1637" s="28" t="s">
        <v>511</v>
      </c>
      <c r="D1637" s="28" t="s">
        <v>6269</v>
      </c>
      <c r="F1637" s="28" t="s">
        <v>3821</v>
      </c>
      <c r="G1637" s="28" t="s">
        <v>514</v>
      </c>
      <c r="H1637" s="28" t="s">
        <v>1580</v>
      </c>
      <c r="I1637" s="28" t="s">
        <v>517</v>
      </c>
      <c r="J1637" s="28" t="s">
        <v>517</v>
      </c>
      <c r="K1637" s="28" t="s">
        <v>518</v>
      </c>
      <c r="L1637" s="28" t="s">
        <v>2833</v>
      </c>
      <c r="M1637" s="28" t="s">
        <v>535</v>
      </c>
      <c r="N1637" s="28" t="s">
        <v>521</v>
      </c>
      <c r="O1637" s="28" t="s">
        <v>1523</v>
      </c>
      <c r="S1637" s="28" t="s">
        <v>573</v>
      </c>
      <c r="T1637" s="28" t="s">
        <v>2834</v>
      </c>
      <c r="U1637" s="28" t="s">
        <v>2834</v>
      </c>
      <c r="V1637" s="28" t="s">
        <v>517</v>
      </c>
      <c r="W1637" s="28" t="s">
        <v>6270</v>
      </c>
      <c r="Z1637" s="118" t="s">
        <v>563</v>
      </c>
      <c r="AA1637" s="118"/>
      <c r="AB1637" s="118" t="s">
        <v>4506</v>
      </c>
      <c r="AD1637" s="28" t="s">
        <v>954</v>
      </c>
      <c r="AF1637" s="117" t="s">
        <v>6269</v>
      </c>
      <c r="AG1637" s="28" t="s">
        <v>563</v>
      </c>
      <c r="AK1637" s="60" t="s">
        <v>5515</v>
      </c>
      <c r="AL1637" s="117">
        <f>1/COUNTIF(Tableau6[LAT],B1637)</f>
        <v>1</v>
      </c>
      <c r="AM1637" s="60" t="b">
        <f t="shared" si="178"/>
        <v>0</v>
      </c>
      <c r="AN1637" s="60" t="b">
        <f t="shared" si="179"/>
        <v>0</v>
      </c>
      <c r="AO1637" s="60" t="b">
        <f t="shared" si="180"/>
        <v>0</v>
      </c>
      <c r="AP1637" s="60" t="b">
        <f t="shared" si="181"/>
        <v>0</v>
      </c>
      <c r="AQ1637" s="60" t="b">
        <f t="shared" si="182"/>
        <v>0</v>
      </c>
      <c r="AR1637" s="60" t="str">
        <f t="shared" si="183"/>
        <v>No</v>
      </c>
      <c r="AS1637" s="60" t="str">
        <f t="shared" si="184"/>
        <v>No</v>
      </c>
    </row>
    <row r="1638" spans="1:45" ht="15">
      <c r="A1638" s="103">
        <v>45244</v>
      </c>
      <c r="B1638" s="28" t="s">
        <v>6271</v>
      </c>
      <c r="C1638" s="28" t="s">
        <v>511</v>
      </c>
      <c r="D1638" s="28" t="s">
        <v>6272</v>
      </c>
      <c r="E1638" s="28" t="s">
        <v>6273</v>
      </c>
      <c r="F1638" s="28" t="s">
        <v>6274</v>
      </c>
      <c r="G1638" s="28" t="s">
        <v>979</v>
      </c>
      <c r="H1638" s="28" t="s">
        <v>6275</v>
      </c>
      <c r="I1638" s="28" t="s">
        <v>516</v>
      </c>
      <c r="J1638" s="28" t="s">
        <v>517</v>
      </c>
      <c r="K1638" s="28" t="s">
        <v>682</v>
      </c>
      <c r="L1638" s="28" t="s">
        <v>5680</v>
      </c>
      <c r="M1638" s="28" t="s">
        <v>535</v>
      </c>
      <c r="N1638" s="28" t="s">
        <v>557</v>
      </c>
      <c r="O1638" s="28" t="s">
        <v>544</v>
      </c>
      <c r="S1638" s="28" t="s">
        <v>1014</v>
      </c>
      <c r="T1638" s="28" t="s">
        <v>1918</v>
      </c>
      <c r="U1638" s="28" t="s">
        <v>1918</v>
      </c>
      <c r="V1638" s="28" t="s">
        <v>517</v>
      </c>
      <c r="W1638" s="28" t="s">
        <v>6276</v>
      </c>
      <c r="Z1638" s="118" t="s">
        <v>563</v>
      </c>
      <c r="AA1638" s="118"/>
      <c r="AB1638" s="118" t="s">
        <v>527</v>
      </c>
      <c r="AD1638" s="28" t="s">
        <v>528</v>
      </c>
      <c r="AF1638" s="117" t="s">
        <v>6272</v>
      </c>
      <c r="AG1638" s="28" t="s">
        <v>563</v>
      </c>
      <c r="AK1638" s="60" t="s">
        <v>5515</v>
      </c>
      <c r="AL1638" s="117">
        <f>1/COUNTIF(Tableau6[LAT],B1638)</f>
        <v>0.5</v>
      </c>
      <c r="AM1638" s="60" t="b">
        <f t="shared" si="178"/>
        <v>0</v>
      </c>
      <c r="AN1638" s="60" t="b">
        <f t="shared" si="179"/>
        <v>0</v>
      </c>
      <c r="AO1638" s="60" t="b">
        <f t="shared" si="180"/>
        <v>0</v>
      </c>
      <c r="AP1638" s="60" t="b">
        <f t="shared" si="181"/>
        <v>0</v>
      </c>
      <c r="AQ1638" s="60" t="b">
        <f t="shared" si="182"/>
        <v>0</v>
      </c>
      <c r="AR1638" s="60" t="str">
        <f t="shared" si="183"/>
        <v>No</v>
      </c>
      <c r="AS1638" s="60" t="str">
        <f t="shared" si="184"/>
        <v>No</v>
      </c>
    </row>
    <row r="1639" spans="1:45" ht="15">
      <c r="A1639" s="103">
        <v>45244</v>
      </c>
      <c r="B1639" s="28" t="s">
        <v>6271</v>
      </c>
      <c r="C1639" s="28" t="s">
        <v>548</v>
      </c>
      <c r="D1639" s="28" t="s">
        <v>6277</v>
      </c>
      <c r="E1639" s="28" t="s">
        <v>6278</v>
      </c>
      <c r="F1639" s="28" t="s">
        <v>6279</v>
      </c>
      <c r="G1639" s="28" t="s">
        <v>2895</v>
      </c>
      <c r="H1639" s="28" t="s">
        <v>2031</v>
      </c>
      <c r="I1639" s="28" t="s">
        <v>516</v>
      </c>
      <c r="J1639" s="28" t="s">
        <v>517</v>
      </c>
      <c r="K1639" s="28" t="s">
        <v>682</v>
      </c>
      <c r="L1639" s="28" t="s">
        <v>5680</v>
      </c>
      <c r="M1639" s="28" t="s">
        <v>535</v>
      </c>
      <c r="N1639" s="28" t="s">
        <v>557</v>
      </c>
      <c r="S1639" s="28" t="s">
        <v>1014</v>
      </c>
      <c r="T1639" s="28" t="s">
        <v>1918</v>
      </c>
      <c r="U1639" s="28" t="s">
        <v>1918</v>
      </c>
      <c r="V1639" s="28" t="s">
        <v>517</v>
      </c>
      <c r="W1639" s="28" t="s">
        <v>6280</v>
      </c>
      <c r="Z1639" s="118" t="s">
        <v>563</v>
      </c>
      <c r="AA1639" s="118"/>
      <c r="AB1639" s="118" t="s">
        <v>527</v>
      </c>
      <c r="AD1639" s="28" t="s">
        <v>528</v>
      </c>
      <c r="AF1639" s="117" t="s">
        <v>6277</v>
      </c>
      <c r="AG1639" s="28" t="s">
        <v>563</v>
      </c>
      <c r="AK1639" s="60" t="s">
        <v>5515</v>
      </c>
      <c r="AL1639" s="117">
        <f>1/COUNTIF(Tableau6[LAT],B1639)</f>
        <v>0.5</v>
      </c>
      <c r="AM1639" s="60" t="b">
        <f t="shared" si="178"/>
        <v>0</v>
      </c>
      <c r="AN1639" s="60" t="b">
        <f t="shared" si="179"/>
        <v>0</v>
      </c>
      <c r="AO1639" s="60" t="b">
        <f t="shared" si="180"/>
        <v>0</v>
      </c>
      <c r="AP1639" s="60" t="b">
        <f t="shared" si="181"/>
        <v>0</v>
      </c>
      <c r="AQ1639" s="60" t="b">
        <f t="shared" si="182"/>
        <v>0</v>
      </c>
      <c r="AR1639" s="60" t="str">
        <f t="shared" si="183"/>
        <v>No</v>
      </c>
      <c r="AS1639" s="60" t="str">
        <f t="shared" si="184"/>
        <v>No</v>
      </c>
    </row>
    <row r="1640" spans="1:45" ht="15">
      <c r="A1640" s="103">
        <v>45244</v>
      </c>
      <c r="B1640" s="28" t="s">
        <v>6281</v>
      </c>
      <c r="C1640" s="28" t="s">
        <v>511</v>
      </c>
      <c r="D1640" s="28" t="s">
        <v>6282</v>
      </c>
      <c r="F1640" s="28" t="s">
        <v>6283</v>
      </c>
      <c r="G1640" s="28" t="s">
        <v>958</v>
      </c>
      <c r="H1640" s="28" t="s">
        <v>2964</v>
      </c>
      <c r="I1640" s="28" t="s">
        <v>516</v>
      </c>
      <c r="J1640" s="28" t="s">
        <v>517</v>
      </c>
      <c r="K1640" s="28" t="s">
        <v>518</v>
      </c>
      <c r="L1640" s="28" t="s">
        <v>4394</v>
      </c>
      <c r="M1640" s="28" t="s">
        <v>535</v>
      </c>
      <c r="N1640" s="28" t="s">
        <v>1415</v>
      </c>
      <c r="O1640" s="28" t="s">
        <v>521</v>
      </c>
      <c r="S1640" s="28" t="s">
        <v>1226</v>
      </c>
      <c r="T1640" s="28" t="s">
        <v>659</v>
      </c>
      <c r="U1640" s="28" t="s">
        <v>659</v>
      </c>
      <c r="V1640" s="28" t="s">
        <v>517</v>
      </c>
      <c r="W1640" s="28" t="s">
        <v>6284</v>
      </c>
      <c r="Z1640" s="118" t="s">
        <v>563</v>
      </c>
      <c r="AA1640" s="118"/>
      <c r="AB1640" s="118" t="s">
        <v>527</v>
      </c>
      <c r="AF1640" s="117" t="s">
        <v>1083</v>
      </c>
      <c r="AK1640" s="60" t="s">
        <v>5515</v>
      </c>
      <c r="AL1640" s="117">
        <f>1/COUNTIF(Tableau6[LAT],B1640)</f>
        <v>1</v>
      </c>
      <c r="AM1640" s="60" t="str">
        <f t="shared" si="178"/>
        <v>Yes</v>
      </c>
      <c r="AN1640" s="60" t="b">
        <f t="shared" si="179"/>
        <v>0</v>
      </c>
      <c r="AO1640" s="60" t="b">
        <f t="shared" si="180"/>
        <v>0</v>
      </c>
      <c r="AP1640" s="60" t="b">
        <f t="shared" si="181"/>
        <v>0</v>
      </c>
      <c r="AQ1640" s="60" t="b">
        <f t="shared" si="182"/>
        <v>0</v>
      </c>
      <c r="AR1640" s="60" t="str">
        <f t="shared" si="183"/>
        <v>Yes</v>
      </c>
      <c r="AS1640" s="60" t="str">
        <f t="shared" si="184"/>
        <v>No</v>
      </c>
    </row>
    <row r="1641" spans="1:45" ht="15">
      <c r="A1641" s="103">
        <v>45244</v>
      </c>
      <c r="B1641" s="28" t="s">
        <v>6285</v>
      </c>
      <c r="C1641" s="28" t="s">
        <v>511</v>
      </c>
      <c r="D1641" s="28" t="s">
        <v>6286</v>
      </c>
      <c r="F1641" s="28" t="s">
        <v>6287</v>
      </c>
      <c r="G1641" s="28" t="s">
        <v>514</v>
      </c>
      <c r="H1641" s="28" t="s">
        <v>2486</v>
      </c>
      <c r="I1641" s="28" t="s">
        <v>516</v>
      </c>
      <c r="J1641" s="28" t="s">
        <v>517</v>
      </c>
      <c r="K1641" s="28" t="s">
        <v>518</v>
      </c>
      <c r="L1641" s="28" t="s">
        <v>751</v>
      </c>
      <c r="M1641" s="28" t="s">
        <v>520</v>
      </c>
      <c r="N1641" s="28" t="s">
        <v>1415</v>
      </c>
      <c r="O1641" s="28" t="s">
        <v>557</v>
      </c>
      <c r="P1641" s="28" t="s">
        <v>559</v>
      </c>
      <c r="S1641" s="28" t="s">
        <v>1226</v>
      </c>
      <c r="T1641" s="28" t="s">
        <v>753</v>
      </c>
      <c r="U1641" s="28" t="s">
        <v>753</v>
      </c>
      <c r="V1641" s="28" t="s">
        <v>517</v>
      </c>
      <c r="W1641" s="28" t="s">
        <v>6288</v>
      </c>
      <c r="Z1641" s="118" t="s">
        <v>563</v>
      </c>
      <c r="AA1641" s="118"/>
      <c r="AB1641" s="118" t="s">
        <v>527</v>
      </c>
      <c r="AF1641" s="117" t="s">
        <v>1083</v>
      </c>
      <c r="AK1641" s="60" t="s">
        <v>5515</v>
      </c>
      <c r="AL1641" s="117">
        <f>1/COUNTIF(Tableau6[LAT],B1641)</f>
        <v>1</v>
      </c>
      <c r="AM1641" s="60" t="str">
        <f t="shared" si="178"/>
        <v>Yes</v>
      </c>
      <c r="AN1641" s="60" t="b">
        <f t="shared" si="179"/>
        <v>0</v>
      </c>
      <c r="AO1641" s="60" t="b">
        <f t="shared" si="180"/>
        <v>0</v>
      </c>
      <c r="AP1641" s="60" t="b">
        <f t="shared" si="181"/>
        <v>0</v>
      </c>
      <c r="AQ1641" s="60" t="b">
        <f t="shared" si="182"/>
        <v>0</v>
      </c>
      <c r="AR1641" s="60" t="str">
        <f t="shared" si="183"/>
        <v>Yes</v>
      </c>
      <c r="AS1641" s="60" t="str">
        <f t="shared" si="184"/>
        <v>No</v>
      </c>
    </row>
    <row r="1642" spans="1:45" ht="15">
      <c r="A1642" s="103">
        <v>45244</v>
      </c>
      <c r="B1642" s="28" t="s">
        <v>6289</v>
      </c>
      <c r="C1642" s="28" t="s">
        <v>511</v>
      </c>
      <c r="D1642" s="28" t="s">
        <v>6290</v>
      </c>
      <c r="F1642" s="28" t="s">
        <v>6291</v>
      </c>
      <c r="G1642" s="28" t="s">
        <v>724</v>
      </c>
      <c r="H1642" s="28" t="s">
        <v>794</v>
      </c>
      <c r="I1642" s="28" t="s">
        <v>516</v>
      </c>
      <c r="J1642" s="28" t="s">
        <v>517</v>
      </c>
      <c r="K1642" s="28" t="s">
        <v>518</v>
      </c>
      <c r="L1642" s="28" t="s">
        <v>809</v>
      </c>
      <c r="M1642" s="28" t="s">
        <v>535</v>
      </c>
      <c r="N1642" s="28" t="s">
        <v>557</v>
      </c>
      <c r="O1642" s="28" t="s">
        <v>934</v>
      </c>
      <c r="P1642" s="28" t="s">
        <v>522</v>
      </c>
      <c r="S1642" s="28" t="s">
        <v>732</v>
      </c>
      <c r="T1642" s="28" t="s">
        <v>811</v>
      </c>
      <c r="U1642" s="28" t="s">
        <v>811</v>
      </c>
      <c r="V1642" s="28" t="s">
        <v>517</v>
      </c>
      <c r="W1642" s="28" t="s">
        <v>6292</v>
      </c>
      <c r="Z1642" s="118" t="s">
        <v>563</v>
      </c>
      <c r="AA1642" s="118"/>
      <c r="AB1642" s="118" t="s">
        <v>4506</v>
      </c>
      <c r="AD1642" s="28" t="s">
        <v>528</v>
      </c>
      <c r="AF1642" s="117" t="s">
        <v>6290</v>
      </c>
      <c r="AG1642" s="28" t="s">
        <v>563</v>
      </c>
      <c r="AK1642" s="60" t="s">
        <v>5515</v>
      </c>
      <c r="AL1642" s="117">
        <f>1/COUNTIF(Tableau6[LAT],B1642)</f>
        <v>1</v>
      </c>
      <c r="AM1642" s="60" t="b">
        <f t="shared" si="178"/>
        <v>0</v>
      </c>
      <c r="AN1642" s="60" t="b">
        <f t="shared" si="179"/>
        <v>0</v>
      </c>
      <c r="AO1642" s="60" t="b">
        <f t="shared" si="180"/>
        <v>0</v>
      </c>
      <c r="AP1642" s="60" t="b">
        <f t="shared" si="181"/>
        <v>0</v>
      </c>
      <c r="AQ1642" s="60" t="b">
        <f t="shared" si="182"/>
        <v>0</v>
      </c>
      <c r="AR1642" s="60" t="str">
        <f t="shared" si="183"/>
        <v>No</v>
      </c>
      <c r="AS1642" s="60" t="str">
        <f t="shared" si="184"/>
        <v>No</v>
      </c>
    </row>
    <row r="1643" spans="1:45" ht="15">
      <c r="A1643" s="103">
        <v>45244</v>
      </c>
      <c r="B1643" s="28" t="s">
        <v>6293</v>
      </c>
      <c r="C1643" s="28" t="s">
        <v>511</v>
      </c>
      <c r="D1643" s="28" t="s">
        <v>6294</v>
      </c>
      <c r="F1643" s="28" t="s">
        <v>2035</v>
      </c>
      <c r="G1643" s="28" t="s">
        <v>514</v>
      </c>
      <c r="H1643" s="28" t="s">
        <v>1512</v>
      </c>
      <c r="I1643" s="28" t="s">
        <v>516</v>
      </c>
      <c r="J1643" s="28" t="s">
        <v>517</v>
      </c>
      <c r="K1643" s="28" t="s">
        <v>518</v>
      </c>
      <c r="L1643" s="28" t="s">
        <v>2234</v>
      </c>
      <c r="M1643" s="28" t="s">
        <v>535</v>
      </c>
      <c r="N1643" s="28" t="s">
        <v>557</v>
      </c>
      <c r="O1643" s="28" t="s">
        <v>559</v>
      </c>
      <c r="S1643" s="28" t="s">
        <v>732</v>
      </c>
      <c r="T1643" s="28" t="s">
        <v>607</v>
      </c>
      <c r="U1643" s="28" t="s">
        <v>607</v>
      </c>
      <c r="V1643" s="28" t="s">
        <v>517</v>
      </c>
      <c r="W1643" s="28" t="s">
        <v>6295</v>
      </c>
      <c r="Z1643" s="118" t="s">
        <v>563</v>
      </c>
      <c r="AA1643" s="118"/>
      <c r="AB1643" s="118" t="s">
        <v>4506</v>
      </c>
      <c r="AF1643" s="117" t="s">
        <v>6294</v>
      </c>
      <c r="AK1643" s="60" t="s">
        <v>5515</v>
      </c>
      <c r="AL1643" s="117">
        <f>1/COUNTIF(Tableau6[LAT],B1643)</f>
        <v>1</v>
      </c>
      <c r="AM1643" s="60" t="b">
        <f t="shared" si="178"/>
        <v>0</v>
      </c>
      <c r="AN1643" s="60" t="b">
        <f t="shared" si="179"/>
        <v>0</v>
      </c>
      <c r="AO1643" s="60" t="b">
        <f t="shared" si="180"/>
        <v>0</v>
      </c>
      <c r="AP1643" s="60" t="b">
        <f t="shared" si="181"/>
        <v>0</v>
      </c>
      <c r="AQ1643" s="60" t="b">
        <f t="shared" si="182"/>
        <v>0</v>
      </c>
      <c r="AR1643" s="60" t="str">
        <f t="shared" si="183"/>
        <v>No</v>
      </c>
      <c r="AS1643" s="60" t="str">
        <f t="shared" si="184"/>
        <v>No</v>
      </c>
    </row>
    <row r="1644" spans="1:45" ht="15">
      <c r="A1644" s="103">
        <v>45244</v>
      </c>
      <c r="B1644" s="28" t="s">
        <v>6296</v>
      </c>
      <c r="C1644" s="28" t="s">
        <v>612</v>
      </c>
      <c r="D1644" s="28" t="s">
        <v>6297</v>
      </c>
      <c r="E1644" s="28" t="s">
        <v>6298</v>
      </c>
      <c r="F1644" s="28" t="s">
        <v>6299</v>
      </c>
      <c r="G1644" s="28" t="s">
        <v>6300</v>
      </c>
      <c r="H1644" s="28" t="s">
        <v>6301</v>
      </c>
      <c r="I1644" s="28" t="s">
        <v>516</v>
      </c>
      <c r="J1644" s="28" t="s">
        <v>517</v>
      </c>
      <c r="K1644" s="28" t="s">
        <v>682</v>
      </c>
      <c r="L1644" s="28" t="s">
        <v>3648</v>
      </c>
      <c r="M1644" s="28" t="s">
        <v>535</v>
      </c>
      <c r="N1644" s="28" t="s">
        <v>557</v>
      </c>
      <c r="O1644" s="28" t="s">
        <v>559</v>
      </c>
      <c r="S1644" s="28" t="s">
        <v>3949</v>
      </c>
      <c r="T1644" s="28" t="s">
        <v>1918</v>
      </c>
      <c r="U1644" s="28" t="s">
        <v>1857</v>
      </c>
      <c r="V1644" s="28" t="s">
        <v>517</v>
      </c>
      <c r="W1644" s="28" t="s">
        <v>6302</v>
      </c>
      <c r="Z1644" s="118" t="s">
        <v>563</v>
      </c>
      <c r="AA1644" s="118"/>
      <c r="AB1644" s="118" t="s">
        <v>527</v>
      </c>
      <c r="AF1644" s="117" t="s">
        <v>6303</v>
      </c>
      <c r="AK1644" s="60" t="s">
        <v>5515</v>
      </c>
      <c r="AL1644" s="117">
        <f>1/COUNTIF(Tableau6[LAT],B1644)</f>
        <v>0.33333333333333331</v>
      </c>
      <c r="AM1644" s="60" t="b">
        <f t="shared" si="178"/>
        <v>0</v>
      </c>
      <c r="AN1644" s="60" t="b">
        <f t="shared" si="179"/>
        <v>0</v>
      </c>
      <c r="AO1644" s="60" t="b">
        <f t="shared" si="180"/>
        <v>0</v>
      </c>
      <c r="AP1644" s="60" t="b">
        <f t="shared" si="181"/>
        <v>0</v>
      </c>
      <c r="AQ1644" s="60" t="b">
        <f t="shared" si="182"/>
        <v>0</v>
      </c>
      <c r="AR1644" s="60" t="str">
        <f t="shared" si="183"/>
        <v>No</v>
      </c>
      <c r="AS1644" s="60" t="str">
        <f t="shared" si="184"/>
        <v>No</v>
      </c>
    </row>
    <row r="1645" spans="1:45" ht="15">
      <c r="A1645" s="103">
        <v>45244</v>
      </c>
      <c r="B1645" s="28" t="s">
        <v>6296</v>
      </c>
      <c r="C1645" s="28" t="s">
        <v>691</v>
      </c>
      <c r="D1645" s="28" t="s">
        <v>6304</v>
      </c>
      <c r="E1645" s="28" t="s">
        <v>6305</v>
      </c>
      <c r="F1645" s="28" t="s">
        <v>6306</v>
      </c>
      <c r="G1645" s="28" t="s">
        <v>6307</v>
      </c>
      <c r="H1645" s="28" t="s">
        <v>6308</v>
      </c>
      <c r="I1645" s="28" t="s">
        <v>516</v>
      </c>
      <c r="J1645" s="28" t="s">
        <v>517</v>
      </c>
      <c r="K1645" s="28" t="s">
        <v>682</v>
      </c>
      <c r="L1645" s="28" t="s">
        <v>3648</v>
      </c>
      <c r="M1645" s="28" t="s">
        <v>535</v>
      </c>
      <c r="N1645" s="28" t="s">
        <v>557</v>
      </c>
      <c r="O1645" s="28" t="s">
        <v>559</v>
      </c>
      <c r="S1645" s="28" t="s">
        <v>3949</v>
      </c>
      <c r="T1645" s="28" t="s">
        <v>1918</v>
      </c>
      <c r="U1645" s="28" t="s">
        <v>1857</v>
      </c>
      <c r="V1645" s="28" t="s">
        <v>517</v>
      </c>
      <c r="W1645" s="28" t="s">
        <v>6309</v>
      </c>
      <c r="Z1645" s="118" t="s">
        <v>563</v>
      </c>
      <c r="AA1645" s="118"/>
      <c r="AB1645" s="118" t="s">
        <v>527</v>
      </c>
      <c r="AF1645" s="117"/>
      <c r="AK1645" s="60" t="s">
        <v>5515</v>
      </c>
      <c r="AL1645" s="117">
        <f>1/COUNTIF(Tableau6[LAT],B1645)</f>
        <v>0.33333333333333331</v>
      </c>
      <c r="AM1645" s="60" t="b">
        <f t="shared" si="178"/>
        <v>0</v>
      </c>
      <c r="AN1645" s="60" t="b">
        <f t="shared" si="179"/>
        <v>0</v>
      </c>
      <c r="AO1645" s="60" t="b">
        <f t="shared" si="180"/>
        <v>0</v>
      </c>
      <c r="AP1645" s="60" t="b">
        <f t="shared" si="181"/>
        <v>0</v>
      </c>
      <c r="AQ1645" s="60" t="b">
        <f t="shared" si="182"/>
        <v>0</v>
      </c>
      <c r="AR1645" s="60" t="str">
        <f t="shared" si="183"/>
        <v>No</v>
      </c>
      <c r="AS1645" s="60" t="str">
        <f t="shared" si="184"/>
        <v>No</v>
      </c>
    </row>
    <row r="1646" spans="1:45" ht="15">
      <c r="A1646" s="103">
        <v>45244</v>
      </c>
      <c r="B1646" s="28" t="s">
        <v>6296</v>
      </c>
      <c r="C1646" s="28" t="s">
        <v>859</v>
      </c>
      <c r="D1646" s="28" t="s">
        <v>6310</v>
      </c>
      <c r="E1646" s="28" t="s">
        <v>6311</v>
      </c>
      <c r="F1646" s="28" t="s">
        <v>6312</v>
      </c>
      <c r="G1646" s="28" t="s">
        <v>6313</v>
      </c>
      <c r="H1646" s="28" t="s">
        <v>6314</v>
      </c>
      <c r="I1646" s="28" t="s">
        <v>516</v>
      </c>
      <c r="J1646" s="28" t="s">
        <v>517</v>
      </c>
      <c r="K1646" s="28" t="s">
        <v>682</v>
      </c>
      <c r="L1646" s="28" t="s">
        <v>3648</v>
      </c>
      <c r="M1646" s="28" t="s">
        <v>535</v>
      </c>
      <c r="N1646" s="28" t="s">
        <v>557</v>
      </c>
      <c r="O1646" s="28" t="s">
        <v>559</v>
      </c>
      <c r="S1646" s="28" t="s">
        <v>3949</v>
      </c>
      <c r="T1646" s="28" t="s">
        <v>1918</v>
      </c>
      <c r="U1646" s="28" t="s">
        <v>1857</v>
      </c>
      <c r="V1646" s="28" t="s">
        <v>517</v>
      </c>
      <c r="W1646" s="28" t="s">
        <v>6315</v>
      </c>
      <c r="Z1646" s="118" t="s">
        <v>563</v>
      </c>
      <c r="AA1646" s="118"/>
      <c r="AB1646" s="118" t="s">
        <v>527</v>
      </c>
      <c r="AF1646" s="117" t="s">
        <v>6297</v>
      </c>
      <c r="AK1646" s="60" t="s">
        <v>5515</v>
      </c>
      <c r="AL1646" s="117">
        <f>1/COUNTIF(Tableau6[LAT],B1646)</f>
        <v>0.33333333333333331</v>
      </c>
      <c r="AM1646" s="60" t="b">
        <f t="shared" si="178"/>
        <v>0</v>
      </c>
      <c r="AN1646" s="60" t="b">
        <f t="shared" si="179"/>
        <v>0</v>
      </c>
      <c r="AO1646" s="60" t="b">
        <f t="shared" si="180"/>
        <v>0</v>
      </c>
      <c r="AP1646" s="60" t="b">
        <f t="shared" si="181"/>
        <v>0</v>
      </c>
      <c r="AQ1646" s="60" t="b">
        <f t="shared" si="182"/>
        <v>0</v>
      </c>
      <c r="AR1646" s="60" t="str">
        <f t="shared" si="183"/>
        <v>No</v>
      </c>
      <c r="AS1646" s="60" t="str">
        <f t="shared" si="184"/>
        <v>No</v>
      </c>
    </row>
    <row r="1647" spans="1:45" ht="15">
      <c r="A1647" s="103">
        <v>45244</v>
      </c>
      <c r="B1647" s="28" t="s">
        <v>6316</v>
      </c>
      <c r="C1647" s="28" t="s">
        <v>511</v>
      </c>
      <c r="D1647" s="28" t="s">
        <v>6317</v>
      </c>
      <c r="F1647" s="28" t="s">
        <v>6318</v>
      </c>
      <c r="G1647" s="28" t="s">
        <v>514</v>
      </c>
      <c r="H1647" s="28" t="s">
        <v>1715</v>
      </c>
      <c r="I1647" s="28" t="s">
        <v>516</v>
      </c>
      <c r="J1647" s="28" t="s">
        <v>517</v>
      </c>
      <c r="K1647" s="28" t="s">
        <v>518</v>
      </c>
      <c r="L1647" s="28" t="s">
        <v>1157</v>
      </c>
      <c r="M1647" s="28" t="s">
        <v>520</v>
      </c>
      <c r="N1647" s="28" t="s">
        <v>521</v>
      </c>
      <c r="O1647" s="28" t="s">
        <v>544</v>
      </c>
      <c r="P1647" s="28" t="s">
        <v>522</v>
      </c>
      <c r="S1647" s="28" t="s">
        <v>732</v>
      </c>
      <c r="T1647" s="28" t="s">
        <v>1159</v>
      </c>
      <c r="U1647" s="28" t="s">
        <v>1159</v>
      </c>
      <c r="V1647" s="28" t="s">
        <v>517</v>
      </c>
      <c r="W1647" s="28" t="s">
        <v>6319</v>
      </c>
      <c r="Z1647" s="118" t="s">
        <v>563</v>
      </c>
      <c r="AA1647" s="118"/>
      <c r="AB1647" s="118" t="s">
        <v>527</v>
      </c>
      <c r="AF1647" s="117" t="s">
        <v>6317</v>
      </c>
      <c r="AK1647" s="60" t="s">
        <v>5515</v>
      </c>
      <c r="AL1647" s="117">
        <f>1/COUNTIF(Tableau6[LAT],B1647)</f>
        <v>0.33333333333333331</v>
      </c>
      <c r="AM1647" s="60" t="b">
        <f t="shared" si="178"/>
        <v>0</v>
      </c>
      <c r="AN1647" s="60" t="b">
        <f t="shared" si="179"/>
        <v>0</v>
      </c>
      <c r="AO1647" s="60" t="b">
        <f t="shared" si="180"/>
        <v>0</v>
      </c>
      <c r="AP1647" s="60" t="b">
        <f t="shared" si="181"/>
        <v>0</v>
      </c>
      <c r="AQ1647" s="60" t="b">
        <f t="shared" si="182"/>
        <v>0</v>
      </c>
      <c r="AR1647" s="60" t="str">
        <f t="shared" si="183"/>
        <v>No</v>
      </c>
      <c r="AS1647" s="60" t="str">
        <f t="shared" si="184"/>
        <v>No</v>
      </c>
    </row>
    <row r="1648" spans="1:45" ht="15">
      <c r="A1648" s="103">
        <v>45244</v>
      </c>
      <c r="B1648" s="28" t="s">
        <v>6316</v>
      </c>
      <c r="C1648" s="28" t="s">
        <v>548</v>
      </c>
      <c r="D1648" s="28" t="s">
        <v>6320</v>
      </c>
      <c r="F1648" s="28" t="s">
        <v>6318</v>
      </c>
      <c r="G1648" s="28" t="s">
        <v>514</v>
      </c>
      <c r="H1648" s="28" t="s">
        <v>1715</v>
      </c>
      <c r="I1648" s="28" t="s">
        <v>516</v>
      </c>
      <c r="J1648" s="28" t="s">
        <v>517</v>
      </c>
      <c r="K1648" s="28" t="s">
        <v>518</v>
      </c>
      <c r="L1648" s="28" t="s">
        <v>1157</v>
      </c>
      <c r="M1648" s="28" t="s">
        <v>520</v>
      </c>
      <c r="N1648" s="28" t="s">
        <v>521</v>
      </c>
      <c r="O1648" s="28" t="s">
        <v>544</v>
      </c>
      <c r="P1648" s="28" t="s">
        <v>522</v>
      </c>
      <c r="S1648" s="28" t="s">
        <v>732</v>
      </c>
      <c r="T1648" s="28" t="s">
        <v>1159</v>
      </c>
      <c r="U1648" s="28" t="s">
        <v>1159</v>
      </c>
      <c r="V1648" s="28" t="s">
        <v>517</v>
      </c>
      <c r="W1648" s="28" t="s">
        <v>6321</v>
      </c>
      <c r="Z1648" s="118" t="s">
        <v>563</v>
      </c>
      <c r="AA1648" s="118"/>
      <c r="AB1648" s="118" t="s">
        <v>527</v>
      </c>
      <c r="AF1648" s="117" t="s">
        <v>6320</v>
      </c>
      <c r="AK1648" s="60" t="s">
        <v>5515</v>
      </c>
      <c r="AL1648" s="117">
        <f>1/COUNTIF(Tableau6[LAT],B1648)</f>
        <v>0.33333333333333331</v>
      </c>
      <c r="AM1648" s="60" t="b">
        <f t="shared" si="178"/>
        <v>0</v>
      </c>
      <c r="AN1648" s="60" t="b">
        <f t="shared" si="179"/>
        <v>0</v>
      </c>
      <c r="AO1648" s="60" t="b">
        <f t="shared" si="180"/>
        <v>0</v>
      </c>
      <c r="AP1648" s="60" t="b">
        <f t="shared" si="181"/>
        <v>0</v>
      </c>
      <c r="AQ1648" s="60" t="b">
        <f t="shared" si="182"/>
        <v>0</v>
      </c>
      <c r="AR1648" s="60" t="str">
        <f t="shared" si="183"/>
        <v>No</v>
      </c>
      <c r="AS1648" s="60" t="str">
        <f t="shared" si="184"/>
        <v>No</v>
      </c>
    </row>
    <row r="1649" spans="1:45" ht="15">
      <c r="A1649" s="103">
        <v>45244</v>
      </c>
      <c r="B1649" s="28" t="s">
        <v>6316</v>
      </c>
      <c r="C1649" s="28" t="s">
        <v>612</v>
      </c>
      <c r="D1649" s="28" t="s">
        <v>6322</v>
      </c>
      <c r="F1649" s="28" t="s">
        <v>6318</v>
      </c>
      <c r="G1649" s="28" t="s">
        <v>514</v>
      </c>
      <c r="H1649" s="28" t="s">
        <v>1715</v>
      </c>
      <c r="I1649" s="28" t="s">
        <v>516</v>
      </c>
      <c r="J1649" s="28" t="s">
        <v>517</v>
      </c>
      <c r="K1649" s="28" t="s">
        <v>518</v>
      </c>
      <c r="L1649" s="28" t="s">
        <v>1157</v>
      </c>
      <c r="M1649" s="28" t="s">
        <v>520</v>
      </c>
      <c r="N1649" s="28" t="s">
        <v>521</v>
      </c>
      <c r="O1649" s="28" t="s">
        <v>544</v>
      </c>
      <c r="P1649" s="28" t="s">
        <v>522</v>
      </c>
      <c r="S1649" s="28" t="s">
        <v>732</v>
      </c>
      <c r="T1649" s="28" t="s">
        <v>1159</v>
      </c>
      <c r="U1649" s="28" t="s">
        <v>1159</v>
      </c>
      <c r="V1649" s="28" t="s">
        <v>517</v>
      </c>
      <c r="W1649" s="28" t="s">
        <v>6323</v>
      </c>
      <c r="Z1649" s="118" t="s">
        <v>563</v>
      </c>
      <c r="AA1649" s="118"/>
      <c r="AB1649" s="118" t="s">
        <v>527</v>
      </c>
      <c r="AF1649" s="117" t="s">
        <v>6322</v>
      </c>
      <c r="AK1649" s="60" t="s">
        <v>5515</v>
      </c>
      <c r="AL1649" s="117">
        <f>1/COUNTIF(Tableau6[LAT],B1649)</f>
        <v>0.33333333333333331</v>
      </c>
      <c r="AM1649" s="60" t="b">
        <f t="shared" si="178"/>
        <v>0</v>
      </c>
      <c r="AN1649" s="60" t="b">
        <f t="shared" si="179"/>
        <v>0</v>
      </c>
      <c r="AO1649" s="60" t="b">
        <f t="shared" si="180"/>
        <v>0</v>
      </c>
      <c r="AP1649" s="60" t="b">
        <f t="shared" si="181"/>
        <v>0</v>
      </c>
      <c r="AQ1649" s="60" t="b">
        <f t="shared" si="182"/>
        <v>0</v>
      </c>
      <c r="AR1649" s="60" t="str">
        <f t="shared" si="183"/>
        <v>No</v>
      </c>
      <c r="AS1649" s="60" t="str">
        <f t="shared" si="184"/>
        <v>No</v>
      </c>
    </row>
    <row r="1650" spans="1:45" ht="15">
      <c r="A1650" s="103">
        <v>45244</v>
      </c>
      <c r="B1650" s="28" t="s">
        <v>6324</v>
      </c>
      <c r="C1650" s="28" t="s">
        <v>511</v>
      </c>
      <c r="D1650" s="28" t="s">
        <v>6325</v>
      </c>
      <c r="F1650" s="28" t="s">
        <v>6326</v>
      </c>
      <c r="G1650" s="28" t="s">
        <v>648</v>
      </c>
      <c r="H1650" s="28" t="s">
        <v>1051</v>
      </c>
      <c r="I1650" s="28" t="s">
        <v>516</v>
      </c>
      <c r="J1650" s="28" t="s">
        <v>517</v>
      </c>
      <c r="K1650" s="28" t="s">
        <v>518</v>
      </c>
      <c r="L1650" s="28" t="s">
        <v>675</v>
      </c>
      <c r="M1650" s="28" t="s">
        <v>535</v>
      </c>
      <c r="N1650" s="28" t="s">
        <v>521</v>
      </c>
      <c r="O1650" s="28" t="s">
        <v>522</v>
      </c>
      <c r="S1650" s="28" t="s">
        <v>1581</v>
      </c>
      <c r="T1650" s="28" t="s">
        <v>676</v>
      </c>
      <c r="U1650" s="28" t="s">
        <v>676</v>
      </c>
      <c r="V1650" s="28" t="s">
        <v>517</v>
      </c>
      <c r="W1650" s="28" t="s">
        <v>6327</v>
      </c>
      <c r="Z1650" s="118" t="s">
        <v>526</v>
      </c>
      <c r="AA1650" s="118"/>
      <c r="AB1650" s="118"/>
      <c r="AF1650" s="117" t="s">
        <v>6325</v>
      </c>
      <c r="AK1650" s="60" t="s">
        <v>5515</v>
      </c>
      <c r="AL1650" s="117">
        <f>1/COUNTIF(Tableau6[LAT],B1650)</f>
        <v>1</v>
      </c>
      <c r="AM1650" s="60" t="b">
        <f t="shared" ref="AM1650:AM1713" si="185">IF(N1650="ALM","Yes",IF(N1650="ALI","Yes",IF(N1650="CAO","Yes",IF(N1650="ICE","Yes",IF(N1650="MAG","Yes",IF(N1650="MAG","Yes",IF(N1650="RBI","Yes",IF(N1650="RBM","Yes",IF(N1650="RCL","Yes",IF(N1650="RCM","Yes",IF(N1650="RCX","Yes",IF(N1650="RDS","Yes",IF(N1650="REQ","Yes",IF(N1650="REX","Yes",IF(N1650="RFG","Yes",IF(N1650="RFL","Yes",IF(N1650="RFS","Yes",IF(N1650="RFW","Yes",IF(N1650="RGX","Yes",IF(N1650="RIS",IF(N1650="RLI","Yes",IF(N1650="RLM","Yes",IF(N1650="RMD","Yes",IF(N1650="RNG","Yes",IF(N1650="ROP","Yes",IF(N1650="ROX","Yes",IF(N1650="RPB","Yes",IF(N1650="RPG","Yes",IF(N1650="RRE","Yes",IF(N1650="RRW","Yes",IF(N1650="RRY","Yes",IF(N1650="RSB","Yes",IF(N1650="RSC","Yes",IF(N1650="RXB","Yes",IF(N1650="RXC","Yes",IF(N1650="RXD","Yes",IF(N1650="RXE","Yes",IF(N1650="RXG","Yes",IF(N1650="RXS","Yes",)))))))))))))))))))))))))))))))))))))))</f>
        <v>0</v>
      </c>
      <c r="AN1650" s="60" t="b">
        <f t="shared" ref="AN1650:AN1713" si="186">IF(O1650="ALM","Yes",IF(O1650="ALI","Yes",IF(O1650="CAO","Yes",IF(O1650="ICE","Yes",IF(O1650="MAG","Yes",IF(O1650="MAG","Yes",IF(O1650="RBI","Yes",IF(O1650="RBM","Yes",IF(O1650="RCL","Yes",IF(O1650="RCM","Yes",IF(O1650="RCX","Yes",IF(O1650="RDS","Yes",IF(O1650="REQ","Yes",IF(O1650="REX","Yes",IF(O1650="RFG","Yes",IF(O1650="RFL","Yes",IF(O1650="RFS","Yes",IF(O1650="RFW","Yes",IF(O1650="RGX","Yes",IF(O1650="RIS",IF(O1650="RLI","Yes",IF(O1650="RLM","Yes",IF(O1650="RMD","Yes",IF(O1650="RNG","Yes",IF(O1650="ROP","Yes",IF(O1650="ROX","Yes",IF(O1650="RPB","Yes",IF(O1650="RPG","Yes",IF(O1650="RRE","Yes",IF(O1650="RRW","Yes",IF(O1650="RRY","Yes",IF(O1650="RSB","Yes",IF(O1650="RSC","Yes",IF(O1650="RXB","Yes",IF(O1650="RXC","Yes",IF(O1650="RXD","Yes",IF(O1650="RXE","Yes",IF(O1650="RXG","Yes",IF(O1650="RXS","Yes",)))))))))))))))))))))))))))))))))))))))</f>
        <v>0</v>
      </c>
      <c r="AO1650" s="60" t="b">
        <f t="shared" ref="AO1650:AO1713" si="187">IF(P1650="ALM","Yes",IF(P1650="ALI","Yes",IF(P1650="CAO","Yes",IF(P1650="ICE","Yes",IF(P1650="MAG","Yes",IF(P1650="MAG","Yes",IF(P1650="RBI","Yes",IF(P1650="RBM","Yes",IF(P1650="RCL","Yes",IF(P1650="RCM","Yes",IF(P1650="RCX","Yes",IF(P1650="RDS","Yes",IF(P1650="REQ","Yes",IF(P1650="REX","Yes",IF(P1650="RFG","Yes",IF(P1650="RFL","Yes",IF(P1650="RFS","Yes",IF(P1650="RFW","Yes",IF(P1650="RGX","Yes",IF(P1650="RIS",IF(P1650="RLI","Yes",IF(P1650="RLM","Yes",IF(P1650="RMD","Yes",IF(P1650="RNG","Yes",IF(P1650="ROP","Yes",IF(P1650="ROX","Yes",IF(P1650="RPB","Yes",IF(P1650="RPG","Yes",IF(P1650="RRE","Yes",IF(P1650="RRW","Yes",IF(P1650="RRY","Yes",IF(P1650="RSB","Yes",IF(P1650="RSC","Yes",IF(P1650="RXB","Yes",IF(P1650="RXC","Yes",IF(P1650="RXD","Yes",IF(P1650="RXE","Yes",IF(P1650="RXG","Yes",IF(P1650="RXS","Yes",)))))))))))))))))))))))))))))))))))))))</f>
        <v>0</v>
      </c>
      <c r="AP1650" s="60" t="b">
        <f t="shared" ref="AP1650:AP1713" si="188">IF(Q1650="ALM","Yes",IF(Q1650="ALI","Yes",IF(Q1650="CAO","Yes",IF(Q1650="ICE","Yes",IF(Q1650="MAG","Yes",IF(Q1650="MAG","Yes",IF(Q1650="RBI","Yes",IF(Q1650="RBM","Yes",IF(Q1650="RCL","Yes",IF(Q1650="RCM","Yes",IF(Q1650="RCX","Yes",IF(Q1650="RDS","Yes",IF(Q1650="REQ","Yes",IF(Q1650="REX","Yes",IF(Q1650="RFG","Yes",IF(Q1650="RFL","Yes",IF(Q1650="RFS","Yes",IF(Q1650="RFW","Yes",IF(Q1650="RGX","Yes",IF(Q1650="RIS",IF(Q1650="RLI","Yes",IF(Q1650="RLM","Yes",IF(Q1650="RMD","Yes",IF(Q1650="RNG","Yes",IF(Q1650="ROP","Yes",IF(Q1650="ROX","Yes",IF(Q1650="RPB","Yes",IF(Q1650="RPG","Yes",IF(Q1650="RRE","Yes",IF(Q1650="RRW","Yes",IF(Q1650="RRY","Yes",IF(Q1650="RSB","Yes",IF(Q1650="RSC","Yes",IF(Q1650="RXB","Yes",IF(Q1650="RXC","Yes",IF(Q1650="RXD","Yes",IF(Q1650="RXE","Yes",IF(Q1650="RXG","Yes",IF(Q1650="RXS","Yes",)))))))))))))))))))))))))))))))))))))))</f>
        <v>0</v>
      </c>
      <c r="AQ1650" s="60" t="b">
        <f t="shared" ref="AQ1650:AQ1713" si="189">IF(R1650="ALM","Yes",IF(R1650="ALI","Yes",IF(R1650="CAO","Yes",IF(R1650="ICE","Yes",IF(R1650="MAG","Yes",IF(R1650="MAG","Yes",IF(R1650="RBI","Yes",IF(R1650="RBM","Yes",IF(R1650="RCL","Yes",IF(R1650="RCM","Yes",IF(R1650="RCX","Yes",IF(R1650="RDS","Yes",IF(R1650="REQ","Yes",IF(R1650="REX","Yes",IF(R1650="RFG","Yes",IF(R1650="RFL","Yes",IF(R1650="RFS","Yes",IF(R1650="RFW","Yes",IF(R1650="RGX","Yes",IF(R1650="RIS",IF(R1650="RLI","Yes",IF(R1650="RLM","Yes",IF(R1650="RMD","Yes",IF(R1650="RNG","Yes",IF(R1650="ROP","Yes",IF(R1650="ROX","Yes",IF(R1650="RPB","Yes",IF(R1650="RPG","Yes",IF(R1650="RRE","Yes",IF(R1650="RRW","Yes",IF(R1650="RRY","Yes",IF(R1650="RSB","Yes",IF(R1650="RSC","Yes",IF(R1650="RXB","Yes",IF(R1650="RXC","Yes",IF(R1650="RXD","Yes",IF(R1650="RXE","Yes",IF(R1650="RXG","Yes",IF(R1650="RXS","Yes",)))))))))))))))))))))))))))))))))))))))</f>
        <v>0</v>
      </c>
      <c r="AR1650" s="60" t="str">
        <f t="shared" ref="AR1650:AR1713" si="190">IF(AM1650="Yes","Yes",IF(AN1650="Yes","Yes",IF(AO1650="yes","Yes",IF(AP1650="Yes","Yes","No"))))</f>
        <v>No</v>
      </c>
      <c r="AS1650" s="60" t="str">
        <f t="shared" ref="AS1650:AS1713" si="191">IF(S1650="QFA","Yes",IF(S1650="LCJ","Yes",IF(S1650="CAJ","Yes",IF(S1650="WRO","Yes",IF(S1650="BEY","Yes",IF(S1650="TUN","Yes",IF(S1650="LFW","Yes",IF(S1650="DLA","Yes",IF(S1650="NSI","Yes",IF(S1650="OUA","Yes",IF(S1650="IAH","Yes",IF(S1650="LYS","Yes",IF(S1650="DSS","Yes",IF(S1650="BKO","Yes",IF(S1650="BZV","Yes",IF(S1650="COO","Yes",IF(S1650="EZE","Yes",IF(S1650="CKY","Yes",IF(S1650="PTP","Yes",IF(S1650="ORD","Yes",IF(S1650="CFE","Yes",IF(S1650="NKC","Yes",IF(S1650="FDF","Yes",IF(S1650="SDQ","Yes",IF(S1650="PNR","Yes",IF(S1650="ICAY","Yes",IF(S1650="DTW","Yes",IF(S1650="TNR","Yes",IF(S1650="RUN","Yes",IF(S1650="NIM","Yes","No"))))))))))))))))))))))))))))))</f>
        <v>No</v>
      </c>
    </row>
    <row r="1651" spans="1:45" ht="15">
      <c r="A1651" s="103">
        <v>45244</v>
      </c>
      <c r="B1651" s="28" t="s">
        <v>6328</v>
      </c>
      <c r="C1651" s="28" t="s">
        <v>511</v>
      </c>
      <c r="D1651" s="28" t="s">
        <v>6329</v>
      </c>
      <c r="E1651" s="28" t="s">
        <v>5896</v>
      </c>
      <c r="F1651" s="28" t="s">
        <v>5194</v>
      </c>
      <c r="G1651" s="28" t="s">
        <v>514</v>
      </c>
      <c r="H1651" s="28" t="s">
        <v>1120</v>
      </c>
      <c r="I1651" s="28" t="s">
        <v>516</v>
      </c>
      <c r="J1651" s="28" t="s">
        <v>517</v>
      </c>
      <c r="K1651" s="28" t="s">
        <v>682</v>
      </c>
      <c r="L1651" s="28" t="s">
        <v>5680</v>
      </c>
      <c r="M1651" s="28" t="s">
        <v>535</v>
      </c>
      <c r="N1651" s="28" t="s">
        <v>557</v>
      </c>
      <c r="S1651" s="28" t="s">
        <v>1014</v>
      </c>
      <c r="T1651" s="28" t="s">
        <v>1918</v>
      </c>
      <c r="U1651" s="28" t="s">
        <v>1918</v>
      </c>
      <c r="V1651" s="28" t="s">
        <v>517</v>
      </c>
      <c r="W1651" s="28" t="s">
        <v>5897</v>
      </c>
      <c r="Z1651" s="118" t="s">
        <v>563</v>
      </c>
      <c r="AA1651" s="118"/>
      <c r="AB1651" s="118" t="s">
        <v>527</v>
      </c>
      <c r="AF1651" s="117" t="s">
        <v>6329</v>
      </c>
      <c r="AK1651" s="60" t="s">
        <v>5515</v>
      </c>
      <c r="AL1651" s="117">
        <f>1/COUNTIF(Tableau6[LAT],B1651)</f>
        <v>0.5</v>
      </c>
      <c r="AM1651" s="60" t="b">
        <f t="shared" si="185"/>
        <v>0</v>
      </c>
      <c r="AN1651" s="60" t="b">
        <f t="shared" si="186"/>
        <v>0</v>
      </c>
      <c r="AO1651" s="60" t="b">
        <f t="shared" si="187"/>
        <v>0</v>
      </c>
      <c r="AP1651" s="60" t="b">
        <f t="shared" si="188"/>
        <v>0</v>
      </c>
      <c r="AQ1651" s="60" t="b">
        <f t="shared" si="189"/>
        <v>0</v>
      </c>
      <c r="AR1651" s="60" t="str">
        <f t="shared" si="190"/>
        <v>No</v>
      </c>
      <c r="AS1651" s="60" t="str">
        <f t="shared" si="191"/>
        <v>No</v>
      </c>
    </row>
    <row r="1652" spans="1:45" ht="15">
      <c r="A1652" s="103">
        <v>45244</v>
      </c>
      <c r="B1652" s="28" t="s">
        <v>6328</v>
      </c>
      <c r="C1652" s="28" t="s">
        <v>548</v>
      </c>
      <c r="D1652" s="28" t="s">
        <v>6330</v>
      </c>
      <c r="E1652" s="28" t="s">
        <v>5896</v>
      </c>
      <c r="F1652" s="28" t="s">
        <v>5194</v>
      </c>
      <c r="G1652" s="28" t="s">
        <v>514</v>
      </c>
      <c r="H1652" s="28" t="s">
        <v>1120</v>
      </c>
      <c r="I1652" s="28" t="s">
        <v>516</v>
      </c>
      <c r="J1652" s="28" t="s">
        <v>517</v>
      </c>
      <c r="K1652" s="28" t="s">
        <v>682</v>
      </c>
      <c r="L1652" s="28" t="s">
        <v>5680</v>
      </c>
      <c r="M1652" s="28" t="s">
        <v>535</v>
      </c>
      <c r="N1652" s="28" t="s">
        <v>557</v>
      </c>
      <c r="S1652" s="28" t="s">
        <v>1014</v>
      </c>
      <c r="T1652" s="28" t="s">
        <v>1918</v>
      </c>
      <c r="U1652" s="28" t="s">
        <v>1918</v>
      </c>
      <c r="V1652" s="28" t="s">
        <v>517</v>
      </c>
      <c r="W1652" s="28" t="s">
        <v>5897</v>
      </c>
      <c r="Z1652" s="118" t="s">
        <v>563</v>
      </c>
      <c r="AA1652" s="118"/>
      <c r="AB1652" s="118" t="s">
        <v>527</v>
      </c>
      <c r="AF1652" s="117" t="s">
        <v>6330</v>
      </c>
      <c r="AK1652" s="60" t="s">
        <v>5515</v>
      </c>
      <c r="AL1652" s="117">
        <f>1/COUNTIF(Tableau6[LAT],B1652)</f>
        <v>0.5</v>
      </c>
      <c r="AM1652" s="60" t="b">
        <f t="shared" si="185"/>
        <v>0</v>
      </c>
      <c r="AN1652" s="60" t="b">
        <f t="shared" si="186"/>
        <v>0</v>
      </c>
      <c r="AO1652" s="60" t="b">
        <f t="shared" si="187"/>
        <v>0</v>
      </c>
      <c r="AP1652" s="60" t="b">
        <f t="shared" si="188"/>
        <v>0</v>
      </c>
      <c r="AQ1652" s="60" t="b">
        <f t="shared" si="189"/>
        <v>0</v>
      </c>
      <c r="AR1652" s="60" t="str">
        <f t="shared" si="190"/>
        <v>No</v>
      </c>
      <c r="AS1652" s="60" t="str">
        <f t="shared" si="191"/>
        <v>No</v>
      </c>
    </row>
    <row r="1653" spans="1:45" ht="15">
      <c r="A1653" s="103">
        <v>45244</v>
      </c>
      <c r="B1653" s="28" t="s">
        <v>6331</v>
      </c>
      <c r="C1653" s="28" t="s">
        <v>511</v>
      </c>
      <c r="D1653" s="28" t="s">
        <v>6332</v>
      </c>
      <c r="F1653" s="28" t="s">
        <v>6333</v>
      </c>
      <c r="G1653" s="28" t="s">
        <v>1077</v>
      </c>
      <c r="H1653" s="28" t="s">
        <v>966</v>
      </c>
      <c r="I1653" s="28" t="s">
        <v>516</v>
      </c>
      <c r="J1653" s="28" t="s">
        <v>517</v>
      </c>
      <c r="K1653" s="28" t="s">
        <v>518</v>
      </c>
      <c r="L1653" s="28" t="s">
        <v>675</v>
      </c>
      <c r="M1653" s="28" t="s">
        <v>535</v>
      </c>
      <c r="N1653" s="28" t="s">
        <v>619</v>
      </c>
      <c r="S1653" s="28" t="s">
        <v>752</v>
      </c>
      <c r="T1653" s="28" t="s">
        <v>676</v>
      </c>
      <c r="U1653" s="28" t="s">
        <v>676</v>
      </c>
      <c r="V1653" s="28" t="s">
        <v>517</v>
      </c>
      <c r="W1653" s="28" t="s">
        <v>6334</v>
      </c>
      <c r="Z1653" s="118" t="s">
        <v>526</v>
      </c>
      <c r="AA1653" s="118"/>
      <c r="AB1653" s="118"/>
      <c r="AF1653" s="117" t="s">
        <v>6332</v>
      </c>
      <c r="AK1653" s="60" t="s">
        <v>5515</v>
      </c>
      <c r="AL1653" s="117">
        <f>1/COUNTIF(Tableau6[LAT],B1653)</f>
        <v>1</v>
      </c>
      <c r="AM1653" s="60" t="b">
        <f t="shared" si="185"/>
        <v>0</v>
      </c>
      <c r="AN1653" s="60" t="b">
        <f t="shared" si="186"/>
        <v>0</v>
      </c>
      <c r="AO1653" s="60" t="b">
        <f t="shared" si="187"/>
        <v>0</v>
      </c>
      <c r="AP1653" s="60" t="b">
        <f t="shared" si="188"/>
        <v>0</v>
      </c>
      <c r="AQ1653" s="60" t="b">
        <f t="shared" si="189"/>
        <v>0</v>
      </c>
      <c r="AR1653" s="60" t="str">
        <f t="shared" si="190"/>
        <v>No</v>
      </c>
      <c r="AS1653" s="60" t="str">
        <f t="shared" si="191"/>
        <v>No</v>
      </c>
    </row>
    <row r="1654" spans="1:45" ht="15">
      <c r="A1654" s="103">
        <v>45244</v>
      </c>
      <c r="B1654" s="28" t="s">
        <v>6335</v>
      </c>
      <c r="C1654" s="28" t="s">
        <v>511</v>
      </c>
      <c r="D1654" s="28" t="s">
        <v>6336</v>
      </c>
      <c r="F1654" s="28" t="s">
        <v>3821</v>
      </c>
      <c r="G1654" s="28" t="s">
        <v>514</v>
      </c>
      <c r="H1654" s="28" t="s">
        <v>2067</v>
      </c>
      <c r="I1654" s="28" t="s">
        <v>517</v>
      </c>
      <c r="J1654" s="28" t="s">
        <v>517</v>
      </c>
      <c r="K1654" s="28" t="s">
        <v>518</v>
      </c>
      <c r="L1654" s="28" t="s">
        <v>697</v>
      </c>
      <c r="M1654" s="28" t="s">
        <v>535</v>
      </c>
      <c r="N1654" s="28" t="s">
        <v>2412</v>
      </c>
      <c r="O1654" s="28" t="s">
        <v>1637</v>
      </c>
      <c r="S1654" s="28" t="s">
        <v>573</v>
      </c>
      <c r="T1654" s="28" t="s">
        <v>699</v>
      </c>
      <c r="U1654" s="28" t="s">
        <v>699</v>
      </c>
      <c r="V1654" s="28" t="s">
        <v>517</v>
      </c>
      <c r="W1654" s="28" t="s">
        <v>6337</v>
      </c>
      <c r="Z1654" s="118" t="s">
        <v>563</v>
      </c>
      <c r="AA1654" s="118"/>
      <c r="AB1654" s="118" t="s">
        <v>4506</v>
      </c>
      <c r="AF1654" s="117" t="s">
        <v>6336</v>
      </c>
      <c r="AK1654" s="60" t="s">
        <v>5515</v>
      </c>
      <c r="AL1654" s="117">
        <f>1/COUNTIF(Tableau6[LAT],B1654)</f>
        <v>1</v>
      </c>
      <c r="AM1654" s="60" t="b">
        <f t="shared" si="185"/>
        <v>0</v>
      </c>
      <c r="AN1654" s="60" t="b">
        <f t="shared" si="186"/>
        <v>0</v>
      </c>
      <c r="AO1654" s="60" t="b">
        <f t="shared" si="187"/>
        <v>0</v>
      </c>
      <c r="AP1654" s="60" t="b">
        <f t="shared" si="188"/>
        <v>0</v>
      </c>
      <c r="AQ1654" s="60" t="b">
        <f t="shared" si="189"/>
        <v>0</v>
      </c>
      <c r="AR1654" s="60" t="str">
        <f t="shared" si="190"/>
        <v>No</v>
      </c>
      <c r="AS1654" s="60" t="str">
        <f t="shared" si="191"/>
        <v>No</v>
      </c>
    </row>
    <row r="1655" spans="1:45" ht="15">
      <c r="A1655" s="103">
        <v>45244</v>
      </c>
      <c r="B1655" s="28" t="s">
        <v>6338</v>
      </c>
      <c r="C1655" s="28" t="s">
        <v>511</v>
      </c>
      <c r="D1655" s="28" t="s">
        <v>6339</v>
      </c>
      <c r="E1655" s="28" t="s">
        <v>6340</v>
      </c>
      <c r="F1655" s="28" t="s">
        <v>6341</v>
      </c>
      <c r="G1655" s="28" t="s">
        <v>6342</v>
      </c>
      <c r="H1655" s="28" t="s">
        <v>555</v>
      </c>
      <c r="I1655" s="28" t="s">
        <v>516</v>
      </c>
      <c r="J1655" s="28" t="s">
        <v>517</v>
      </c>
      <c r="K1655" s="28" t="s">
        <v>518</v>
      </c>
      <c r="L1655" s="28" t="s">
        <v>1276</v>
      </c>
      <c r="M1655" s="28" t="s">
        <v>535</v>
      </c>
      <c r="N1655" s="28" t="s">
        <v>557</v>
      </c>
      <c r="O1655" s="28" t="s">
        <v>626</v>
      </c>
      <c r="P1655" s="28" t="s">
        <v>522</v>
      </c>
      <c r="S1655" s="28" t="s">
        <v>1934</v>
      </c>
      <c r="T1655" s="28" t="s">
        <v>917</v>
      </c>
      <c r="U1655" s="28" t="s">
        <v>917</v>
      </c>
      <c r="V1655" s="28" t="s">
        <v>517</v>
      </c>
      <c r="W1655" s="28" t="s">
        <v>6343</v>
      </c>
      <c r="Z1655" s="118" t="s">
        <v>563</v>
      </c>
      <c r="AA1655" s="118"/>
      <c r="AB1655" s="118" t="s">
        <v>527</v>
      </c>
      <c r="AF1655" s="117" t="s">
        <v>6339</v>
      </c>
      <c r="AK1655" s="60" t="s">
        <v>5515</v>
      </c>
      <c r="AL1655" s="117">
        <f>1/COUNTIF(Tableau6[LAT],B1655)</f>
        <v>1</v>
      </c>
      <c r="AM1655" s="60" t="b">
        <f t="shared" si="185"/>
        <v>0</v>
      </c>
      <c r="AN1655" s="60" t="b">
        <f t="shared" si="186"/>
        <v>0</v>
      </c>
      <c r="AO1655" s="60" t="b">
        <f t="shared" si="187"/>
        <v>0</v>
      </c>
      <c r="AP1655" s="60" t="b">
        <f t="shared" si="188"/>
        <v>0</v>
      </c>
      <c r="AQ1655" s="60" t="b">
        <f t="shared" si="189"/>
        <v>0</v>
      </c>
      <c r="AR1655" s="60" t="str">
        <f t="shared" si="190"/>
        <v>No</v>
      </c>
      <c r="AS1655" s="60" t="str">
        <f t="shared" si="191"/>
        <v>No</v>
      </c>
    </row>
    <row r="1656" spans="1:45" ht="15">
      <c r="A1656" s="103">
        <v>45244</v>
      </c>
      <c r="B1656" s="28" t="s">
        <v>6344</v>
      </c>
      <c r="C1656" s="28" t="s">
        <v>511</v>
      </c>
      <c r="D1656" s="28" t="s">
        <v>6345</v>
      </c>
      <c r="F1656" s="28" t="s">
        <v>5395</v>
      </c>
      <c r="G1656" s="28" t="s">
        <v>514</v>
      </c>
      <c r="H1656" s="28" t="s">
        <v>952</v>
      </c>
      <c r="I1656" s="28" t="s">
        <v>516</v>
      </c>
      <c r="J1656" s="28" t="s">
        <v>517</v>
      </c>
      <c r="K1656" s="28" t="s">
        <v>518</v>
      </c>
      <c r="L1656" s="28" t="s">
        <v>1079</v>
      </c>
      <c r="M1656" s="28" t="s">
        <v>535</v>
      </c>
      <c r="N1656" s="28" t="s">
        <v>557</v>
      </c>
      <c r="S1656" s="28" t="s">
        <v>905</v>
      </c>
      <c r="T1656" s="28" t="s">
        <v>668</v>
      </c>
      <c r="U1656" s="28" t="s">
        <v>668</v>
      </c>
      <c r="V1656" s="28" t="s">
        <v>517</v>
      </c>
      <c r="W1656" s="28" t="s">
        <v>6346</v>
      </c>
      <c r="Z1656" s="118" t="s">
        <v>563</v>
      </c>
      <c r="AA1656" s="118"/>
      <c r="AB1656" s="118" t="s">
        <v>4506</v>
      </c>
      <c r="AF1656" s="117" t="s">
        <v>6345</v>
      </c>
      <c r="AK1656" s="60" t="s">
        <v>5515</v>
      </c>
      <c r="AL1656" s="117">
        <f>1/COUNTIF(Tableau6[LAT],B1656)</f>
        <v>1</v>
      </c>
      <c r="AM1656" s="60" t="b">
        <f t="shared" si="185"/>
        <v>0</v>
      </c>
      <c r="AN1656" s="60" t="b">
        <f t="shared" si="186"/>
        <v>0</v>
      </c>
      <c r="AO1656" s="60" t="b">
        <f t="shared" si="187"/>
        <v>0</v>
      </c>
      <c r="AP1656" s="60" t="b">
        <f t="shared" si="188"/>
        <v>0</v>
      </c>
      <c r="AQ1656" s="60" t="b">
        <f t="shared" si="189"/>
        <v>0</v>
      </c>
      <c r="AR1656" s="60" t="str">
        <f t="shared" si="190"/>
        <v>No</v>
      </c>
      <c r="AS1656" s="60" t="str">
        <f t="shared" si="191"/>
        <v>No</v>
      </c>
    </row>
    <row r="1657" spans="1:45" ht="15">
      <c r="A1657" s="103">
        <v>45244</v>
      </c>
      <c r="B1657" s="28" t="s">
        <v>6347</v>
      </c>
      <c r="C1657" s="28" t="s">
        <v>511</v>
      </c>
      <c r="D1657" s="28" t="s">
        <v>6348</v>
      </c>
      <c r="F1657" s="28" t="s">
        <v>965</v>
      </c>
      <c r="G1657" s="28" t="s">
        <v>514</v>
      </c>
      <c r="H1657" s="28" t="s">
        <v>1123</v>
      </c>
      <c r="I1657" s="28" t="s">
        <v>516</v>
      </c>
      <c r="J1657" s="28" t="s">
        <v>517</v>
      </c>
      <c r="K1657" s="28" t="s">
        <v>682</v>
      </c>
      <c r="L1657" s="28" t="s">
        <v>4796</v>
      </c>
      <c r="M1657" s="28" t="s">
        <v>535</v>
      </c>
      <c r="N1657" s="28" t="s">
        <v>557</v>
      </c>
      <c r="S1657" s="28" t="s">
        <v>905</v>
      </c>
      <c r="T1657" s="28" t="s">
        <v>733</v>
      </c>
      <c r="U1657" s="28" t="s">
        <v>1150</v>
      </c>
      <c r="V1657" s="28" t="s">
        <v>517</v>
      </c>
      <c r="W1657" s="28" t="s">
        <v>6349</v>
      </c>
      <c r="Z1657" s="118" t="s">
        <v>563</v>
      </c>
      <c r="AA1657" s="118"/>
      <c r="AB1657" s="118" t="s">
        <v>4506</v>
      </c>
      <c r="AF1657" s="117" t="s">
        <v>6348</v>
      </c>
      <c r="AK1657" s="60" t="s">
        <v>5515</v>
      </c>
      <c r="AL1657" s="117">
        <f>1/COUNTIF(Tableau6[LAT],B1657)</f>
        <v>1</v>
      </c>
      <c r="AM1657" s="60" t="b">
        <f t="shared" si="185"/>
        <v>0</v>
      </c>
      <c r="AN1657" s="60" t="b">
        <f t="shared" si="186"/>
        <v>0</v>
      </c>
      <c r="AO1657" s="60" t="b">
        <f t="shared" si="187"/>
        <v>0</v>
      </c>
      <c r="AP1657" s="60" t="b">
        <f t="shared" si="188"/>
        <v>0</v>
      </c>
      <c r="AQ1657" s="60" t="b">
        <f t="shared" si="189"/>
        <v>0</v>
      </c>
      <c r="AR1657" s="60" t="str">
        <f t="shared" si="190"/>
        <v>No</v>
      </c>
      <c r="AS1657" s="60" t="str">
        <f t="shared" si="191"/>
        <v>No</v>
      </c>
    </row>
    <row r="1658" spans="1:45" ht="15">
      <c r="A1658" s="103">
        <v>45244</v>
      </c>
      <c r="B1658" s="28" t="s">
        <v>2454</v>
      </c>
      <c r="C1658" s="28" t="s">
        <v>691</v>
      </c>
      <c r="D1658" s="28" t="s">
        <v>6350</v>
      </c>
      <c r="F1658" s="28" t="s">
        <v>6351</v>
      </c>
      <c r="G1658" s="28" t="s">
        <v>514</v>
      </c>
      <c r="H1658" s="28" t="s">
        <v>3732</v>
      </c>
      <c r="I1658" s="28" t="s">
        <v>516</v>
      </c>
      <c r="J1658" s="28" t="s">
        <v>517</v>
      </c>
      <c r="K1658" s="28" t="s">
        <v>518</v>
      </c>
      <c r="L1658" s="28" t="s">
        <v>667</v>
      </c>
      <c r="M1658" s="28" t="s">
        <v>520</v>
      </c>
      <c r="N1658" s="28" t="s">
        <v>544</v>
      </c>
      <c r="O1658" s="28" t="s">
        <v>559</v>
      </c>
      <c r="S1658" s="28" t="s">
        <v>928</v>
      </c>
      <c r="T1658" s="28" t="s">
        <v>597</v>
      </c>
      <c r="U1658" s="28" t="s">
        <v>597</v>
      </c>
      <c r="V1658" s="28" t="s">
        <v>517</v>
      </c>
      <c r="W1658" s="28" t="s">
        <v>6352</v>
      </c>
      <c r="Z1658" s="118" t="s">
        <v>563</v>
      </c>
      <c r="AA1658" s="118"/>
      <c r="AB1658" s="118" t="s">
        <v>6353</v>
      </c>
      <c r="AF1658" s="117" t="s">
        <v>2455</v>
      </c>
      <c r="AK1658" s="60" t="s">
        <v>5515</v>
      </c>
      <c r="AL1658" s="117">
        <f>1/COUNTIF(Tableau6[LAT],B1658)</f>
        <v>0.25</v>
      </c>
      <c r="AM1658" s="60" t="b">
        <f t="shared" si="185"/>
        <v>0</v>
      </c>
      <c r="AN1658" s="60" t="b">
        <f t="shared" si="186"/>
        <v>0</v>
      </c>
      <c r="AO1658" s="60" t="b">
        <f t="shared" si="187"/>
        <v>0</v>
      </c>
      <c r="AP1658" s="60" t="b">
        <f t="shared" si="188"/>
        <v>0</v>
      </c>
      <c r="AQ1658" s="60" t="b">
        <f t="shared" si="189"/>
        <v>0</v>
      </c>
      <c r="AR1658" s="60" t="str">
        <f t="shared" si="190"/>
        <v>No</v>
      </c>
      <c r="AS1658" s="60" t="str">
        <f t="shared" si="191"/>
        <v>No</v>
      </c>
    </row>
    <row r="1659" spans="1:45" ht="15">
      <c r="A1659" s="103">
        <v>45244</v>
      </c>
      <c r="B1659" s="28" t="s">
        <v>2454</v>
      </c>
      <c r="C1659" s="28" t="s">
        <v>859</v>
      </c>
      <c r="D1659" s="28" t="s">
        <v>6354</v>
      </c>
      <c r="F1659" s="28" t="s">
        <v>6355</v>
      </c>
      <c r="G1659" s="28" t="s">
        <v>514</v>
      </c>
      <c r="H1659" s="28" t="s">
        <v>1619</v>
      </c>
      <c r="I1659" s="28" t="s">
        <v>516</v>
      </c>
      <c r="J1659" s="28" t="s">
        <v>517</v>
      </c>
      <c r="K1659" s="28" t="s">
        <v>518</v>
      </c>
      <c r="L1659" s="28" t="s">
        <v>667</v>
      </c>
      <c r="M1659" s="28" t="s">
        <v>520</v>
      </c>
      <c r="N1659" s="28" t="s">
        <v>544</v>
      </c>
      <c r="O1659" s="28" t="s">
        <v>559</v>
      </c>
      <c r="S1659" s="28" t="s">
        <v>928</v>
      </c>
      <c r="T1659" s="28" t="s">
        <v>597</v>
      </c>
      <c r="U1659" s="28" t="s">
        <v>597</v>
      </c>
      <c r="V1659" s="28" t="s">
        <v>517</v>
      </c>
      <c r="W1659" s="28" t="s">
        <v>835</v>
      </c>
      <c r="Z1659" s="118" t="s">
        <v>563</v>
      </c>
      <c r="AA1659" s="118"/>
      <c r="AB1659" s="118" t="s">
        <v>6353</v>
      </c>
      <c r="AF1659" s="117" t="s">
        <v>6350</v>
      </c>
      <c r="AK1659" s="60" t="s">
        <v>5515</v>
      </c>
      <c r="AL1659" s="117">
        <f>1/COUNTIF(Tableau6[LAT],B1659)</f>
        <v>0.25</v>
      </c>
      <c r="AM1659" s="60" t="b">
        <f t="shared" si="185"/>
        <v>0</v>
      </c>
      <c r="AN1659" s="60" t="b">
        <f t="shared" si="186"/>
        <v>0</v>
      </c>
      <c r="AO1659" s="60" t="b">
        <f t="shared" si="187"/>
        <v>0</v>
      </c>
      <c r="AP1659" s="60" t="b">
        <f t="shared" si="188"/>
        <v>0</v>
      </c>
      <c r="AQ1659" s="60" t="b">
        <f t="shared" si="189"/>
        <v>0</v>
      </c>
      <c r="AR1659" s="60" t="str">
        <f t="shared" si="190"/>
        <v>No</v>
      </c>
      <c r="AS1659" s="60" t="str">
        <f t="shared" si="191"/>
        <v>No</v>
      </c>
    </row>
    <row r="1660" spans="1:45" ht="15">
      <c r="A1660" s="103">
        <v>45244</v>
      </c>
      <c r="B1660" s="28" t="s">
        <v>6356</v>
      </c>
      <c r="C1660" s="28" t="s">
        <v>511</v>
      </c>
      <c r="D1660" s="28" t="s">
        <v>6357</v>
      </c>
      <c r="F1660" s="28" t="s">
        <v>4626</v>
      </c>
      <c r="G1660" s="28" t="s">
        <v>514</v>
      </c>
      <c r="H1660" s="28" t="s">
        <v>3206</v>
      </c>
      <c r="I1660" s="28" t="s">
        <v>516</v>
      </c>
      <c r="J1660" s="28" t="s">
        <v>517</v>
      </c>
      <c r="K1660" s="28" t="s">
        <v>518</v>
      </c>
      <c r="L1660" s="28" t="s">
        <v>3749</v>
      </c>
      <c r="M1660" s="28" t="s">
        <v>535</v>
      </c>
      <c r="S1660" s="28" t="s">
        <v>732</v>
      </c>
      <c r="T1660" s="28" t="s">
        <v>1918</v>
      </c>
      <c r="U1660" s="28" t="s">
        <v>1918</v>
      </c>
      <c r="V1660" s="28" t="s">
        <v>517</v>
      </c>
      <c r="W1660" s="28" t="s">
        <v>5726</v>
      </c>
      <c r="Z1660" s="118" t="s">
        <v>526</v>
      </c>
      <c r="AA1660" s="118"/>
      <c r="AB1660" s="118"/>
      <c r="AF1660" s="117" t="s">
        <v>6357</v>
      </c>
      <c r="AK1660" s="60" t="s">
        <v>5515</v>
      </c>
      <c r="AL1660" s="117">
        <f>1/COUNTIF(Tableau6[LAT],B1660)</f>
        <v>0.5</v>
      </c>
      <c r="AM1660" s="60" t="b">
        <f t="shared" si="185"/>
        <v>0</v>
      </c>
      <c r="AN1660" s="60" t="b">
        <f t="shared" si="186"/>
        <v>0</v>
      </c>
      <c r="AO1660" s="60" t="b">
        <f t="shared" si="187"/>
        <v>0</v>
      </c>
      <c r="AP1660" s="60" t="b">
        <f t="shared" si="188"/>
        <v>0</v>
      </c>
      <c r="AQ1660" s="60" t="b">
        <f t="shared" si="189"/>
        <v>0</v>
      </c>
      <c r="AR1660" s="60" t="str">
        <f t="shared" si="190"/>
        <v>No</v>
      </c>
      <c r="AS1660" s="60" t="str">
        <f t="shared" si="191"/>
        <v>No</v>
      </c>
    </row>
    <row r="1661" spans="1:45" ht="15">
      <c r="A1661" s="103">
        <v>45244</v>
      </c>
      <c r="B1661" s="28" t="s">
        <v>6356</v>
      </c>
      <c r="C1661" s="28" t="s">
        <v>548</v>
      </c>
      <c r="D1661" s="28" t="s">
        <v>6358</v>
      </c>
      <c r="F1661" s="28" t="s">
        <v>4626</v>
      </c>
      <c r="G1661" s="28" t="s">
        <v>514</v>
      </c>
      <c r="H1661" s="28" t="s">
        <v>1217</v>
      </c>
      <c r="I1661" s="28" t="s">
        <v>516</v>
      </c>
      <c r="J1661" s="28" t="s">
        <v>517</v>
      </c>
      <c r="K1661" s="28" t="s">
        <v>518</v>
      </c>
      <c r="L1661" s="28" t="s">
        <v>3749</v>
      </c>
      <c r="M1661" s="28" t="s">
        <v>535</v>
      </c>
      <c r="S1661" s="28" t="s">
        <v>732</v>
      </c>
      <c r="T1661" s="28" t="s">
        <v>1918</v>
      </c>
      <c r="U1661" s="28" t="s">
        <v>1918</v>
      </c>
      <c r="V1661" s="28" t="s">
        <v>517</v>
      </c>
      <c r="W1661" s="28" t="s">
        <v>5726</v>
      </c>
      <c r="Z1661" s="118" t="s">
        <v>526</v>
      </c>
      <c r="AA1661" s="118"/>
      <c r="AB1661" s="118"/>
      <c r="AF1661" s="117"/>
      <c r="AK1661" s="60" t="s">
        <v>5515</v>
      </c>
      <c r="AL1661" s="117">
        <f>1/COUNTIF(Tableau6[LAT],B1661)</f>
        <v>0.5</v>
      </c>
      <c r="AM1661" s="60" t="b">
        <f t="shared" si="185"/>
        <v>0</v>
      </c>
      <c r="AN1661" s="60" t="b">
        <f t="shared" si="186"/>
        <v>0</v>
      </c>
      <c r="AO1661" s="60" t="b">
        <f t="shared" si="187"/>
        <v>0</v>
      </c>
      <c r="AP1661" s="60" t="b">
        <f t="shared" si="188"/>
        <v>0</v>
      </c>
      <c r="AQ1661" s="60" t="b">
        <f t="shared" si="189"/>
        <v>0</v>
      </c>
      <c r="AR1661" s="60" t="str">
        <f t="shared" si="190"/>
        <v>No</v>
      </c>
      <c r="AS1661" s="60" t="str">
        <f t="shared" si="191"/>
        <v>No</v>
      </c>
    </row>
    <row r="1662" spans="1:45" ht="15">
      <c r="A1662" s="103">
        <v>45244</v>
      </c>
      <c r="B1662" s="28" t="s">
        <v>6359</v>
      </c>
      <c r="C1662" s="28" t="s">
        <v>511</v>
      </c>
      <c r="D1662" s="28" t="s">
        <v>6360</v>
      </c>
      <c r="F1662" s="28" t="s">
        <v>5395</v>
      </c>
      <c r="G1662" s="28" t="s">
        <v>514</v>
      </c>
      <c r="H1662" s="28" t="s">
        <v>3206</v>
      </c>
      <c r="I1662" s="28" t="s">
        <v>516</v>
      </c>
      <c r="J1662" s="28" t="s">
        <v>517</v>
      </c>
      <c r="K1662" s="28" t="s">
        <v>518</v>
      </c>
      <c r="L1662" s="28" t="s">
        <v>1276</v>
      </c>
      <c r="M1662" s="28" t="s">
        <v>605</v>
      </c>
      <c r="S1662" s="28" t="s">
        <v>589</v>
      </c>
      <c r="T1662" s="28" t="s">
        <v>1403</v>
      </c>
      <c r="U1662" s="28" t="s">
        <v>917</v>
      </c>
      <c r="V1662" s="28" t="s">
        <v>517</v>
      </c>
      <c r="W1662" s="28" t="s">
        <v>6361</v>
      </c>
      <c r="Z1662" s="118" t="s">
        <v>563</v>
      </c>
      <c r="AA1662" s="118"/>
      <c r="AB1662" s="118" t="s">
        <v>4506</v>
      </c>
      <c r="AF1662" s="117" t="s">
        <v>1083</v>
      </c>
      <c r="AK1662" s="60" t="s">
        <v>5515</v>
      </c>
      <c r="AL1662" s="117">
        <f>1/COUNTIF(Tableau6[LAT],B1662)</f>
        <v>1</v>
      </c>
      <c r="AM1662" s="60" t="b">
        <f t="shared" si="185"/>
        <v>0</v>
      </c>
      <c r="AN1662" s="60" t="b">
        <f t="shared" si="186"/>
        <v>0</v>
      </c>
      <c r="AO1662" s="60" t="b">
        <f t="shared" si="187"/>
        <v>0</v>
      </c>
      <c r="AP1662" s="60" t="b">
        <f t="shared" si="188"/>
        <v>0</v>
      </c>
      <c r="AQ1662" s="60" t="b">
        <f t="shared" si="189"/>
        <v>0</v>
      </c>
      <c r="AR1662" s="60" t="str">
        <f t="shared" si="190"/>
        <v>No</v>
      </c>
      <c r="AS1662" s="60" t="str">
        <f t="shared" si="191"/>
        <v>No</v>
      </c>
    </row>
    <row r="1663" spans="1:45" ht="15">
      <c r="A1663" s="103">
        <v>45244</v>
      </c>
      <c r="B1663" s="28" t="s">
        <v>6362</v>
      </c>
      <c r="C1663" s="28" t="s">
        <v>511</v>
      </c>
      <c r="D1663" s="28" t="s">
        <v>6363</v>
      </c>
      <c r="F1663" s="28" t="s">
        <v>2003</v>
      </c>
      <c r="G1663" s="28" t="s">
        <v>514</v>
      </c>
      <c r="H1663" s="28" t="s">
        <v>1144</v>
      </c>
      <c r="I1663" s="28" t="s">
        <v>516</v>
      </c>
      <c r="J1663" s="28" t="s">
        <v>517</v>
      </c>
      <c r="K1663" s="28" t="s">
        <v>518</v>
      </c>
      <c r="L1663" s="28" t="s">
        <v>588</v>
      </c>
      <c r="M1663" s="28" t="s">
        <v>1374</v>
      </c>
      <c r="N1663" s="28" t="s">
        <v>544</v>
      </c>
      <c r="S1663" s="28" t="s">
        <v>589</v>
      </c>
      <c r="T1663" s="28" t="s">
        <v>590</v>
      </c>
      <c r="U1663" s="28" t="s">
        <v>590</v>
      </c>
      <c r="V1663" s="28" t="s">
        <v>517</v>
      </c>
      <c r="W1663" s="28" t="s">
        <v>6364</v>
      </c>
      <c r="Z1663" s="118" t="s">
        <v>563</v>
      </c>
      <c r="AA1663" s="118"/>
      <c r="AB1663" s="118" t="s">
        <v>4506</v>
      </c>
      <c r="AF1663" s="117" t="s">
        <v>1083</v>
      </c>
      <c r="AK1663" s="60" t="s">
        <v>5515</v>
      </c>
      <c r="AL1663" s="117">
        <f>1/COUNTIF(Tableau6[LAT],B1663)</f>
        <v>1</v>
      </c>
      <c r="AM1663" s="60" t="b">
        <f t="shared" si="185"/>
        <v>0</v>
      </c>
      <c r="AN1663" s="60" t="b">
        <f t="shared" si="186"/>
        <v>0</v>
      </c>
      <c r="AO1663" s="60" t="b">
        <f t="shared" si="187"/>
        <v>0</v>
      </c>
      <c r="AP1663" s="60" t="b">
        <f t="shared" si="188"/>
        <v>0</v>
      </c>
      <c r="AQ1663" s="60" t="b">
        <f t="shared" si="189"/>
        <v>0</v>
      </c>
      <c r="AR1663" s="60" t="str">
        <f t="shared" si="190"/>
        <v>No</v>
      </c>
      <c r="AS1663" s="60" t="str">
        <f t="shared" si="191"/>
        <v>No</v>
      </c>
    </row>
    <row r="1664" spans="1:45" ht="15">
      <c r="A1664" s="103">
        <v>45244</v>
      </c>
      <c r="B1664" s="28" t="s">
        <v>6365</v>
      </c>
      <c r="C1664" s="28" t="s">
        <v>511</v>
      </c>
      <c r="D1664" s="28" t="s">
        <v>6366</v>
      </c>
      <c r="F1664" s="28" t="s">
        <v>2271</v>
      </c>
      <c r="G1664" s="28" t="s">
        <v>514</v>
      </c>
      <c r="H1664" s="28" t="s">
        <v>3941</v>
      </c>
      <c r="I1664" s="28" t="s">
        <v>516</v>
      </c>
      <c r="J1664" s="28" t="s">
        <v>517</v>
      </c>
      <c r="K1664" s="28" t="s">
        <v>518</v>
      </c>
      <c r="L1664" s="28" t="s">
        <v>739</v>
      </c>
      <c r="M1664" s="28" t="s">
        <v>535</v>
      </c>
      <c r="S1664" s="28" t="s">
        <v>589</v>
      </c>
      <c r="T1664" s="28" t="s">
        <v>741</v>
      </c>
      <c r="U1664" s="28" t="s">
        <v>741</v>
      </c>
      <c r="V1664" s="28" t="s">
        <v>517</v>
      </c>
      <c r="W1664" s="28" t="s">
        <v>6367</v>
      </c>
      <c r="Z1664" s="118" t="s">
        <v>563</v>
      </c>
      <c r="AA1664" s="118"/>
      <c r="AB1664" s="118" t="s">
        <v>4506</v>
      </c>
      <c r="AF1664" s="117" t="s">
        <v>6366</v>
      </c>
      <c r="AK1664" s="60" t="s">
        <v>5515</v>
      </c>
      <c r="AL1664" s="117">
        <f>1/COUNTIF(Tableau6[LAT],B1664)</f>
        <v>1</v>
      </c>
      <c r="AM1664" s="60" t="b">
        <f t="shared" si="185"/>
        <v>0</v>
      </c>
      <c r="AN1664" s="60" t="b">
        <f t="shared" si="186"/>
        <v>0</v>
      </c>
      <c r="AO1664" s="60" t="b">
        <f t="shared" si="187"/>
        <v>0</v>
      </c>
      <c r="AP1664" s="60" t="b">
        <f t="shared" si="188"/>
        <v>0</v>
      </c>
      <c r="AQ1664" s="60" t="b">
        <f t="shared" si="189"/>
        <v>0</v>
      </c>
      <c r="AR1664" s="60" t="str">
        <f t="shared" si="190"/>
        <v>No</v>
      </c>
      <c r="AS1664" s="60" t="str">
        <f t="shared" si="191"/>
        <v>No</v>
      </c>
    </row>
    <row r="1665" spans="1:45" ht="15">
      <c r="A1665" s="103">
        <v>45244</v>
      </c>
      <c r="B1665" s="28" t="s">
        <v>6368</v>
      </c>
      <c r="C1665" s="28" t="s">
        <v>511</v>
      </c>
      <c r="D1665" s="28" t="s">
        <v>6369</v>
      </c>
      <c r="F1665" s="28" t="s">
        <v>6370</v>
      </c>
      <c r="G1665" s="28" t="s">
        <v>514</v>
      </c>
      <c r="H1665" s="28" t="s">
        <v>933</v>
      </c>
      <c r="I1665" s="28" t="s">
        <v>516</v>
      </c>
      <c r="J1665" s="28" t="s">
        <v>517</v>
      </c>
      <c r="K1665" s="28" t="s">
        <v>518</v>
      </c>
      <c r="L1665" s="28" t="s">
        <v>4505</v>
      </c>
      <c r="M1665" s="28" t="s">
        <v>535</v>
      </c>
      <c r="N1665" s="28" t="s">
        <v>521</v>
      </c>
      <c r="O1665" s="28" t="s">
        <v>544</v>
      </c>
      <c r="S1665" s="28" t="s">
        <v>1263</v>
      </c>
      <c r="T1665" s="28" t="s">
        <v>1934</v>
      </c>
      <c r="U1665" s="28" t="s">
        <v>1934</v>
      </c>
      <c r="V1665" s="28" t="s">
        <v>517</v>
      </c>
      <c r="W1665" s="28" t="s">
        <v>1280</v>
      </c>
      <c r="Z1665" s="118" t="s">
        <v>563</v>
      </c>
      <c r="AA1665" s="118"/>
      <c r="AB1665" s="118" t="s">
        <v>527</v>
      </c>
      <c r="AF1665" s="117" t="s">
        <v>6369</v>
      </c>
      <c r="AK1665" s="60" t="s">
        <v>5515</v>
      </c>
      <c r="AL1665" s="117">
        <f>1/COUNTIF(Tableau6[LAT],B1665)</f>
        <v>0.5</v>
      </c>
      <c r="AM1665" s="60" t="b">
        <f t="shared" si="185"/>
        <v>0</v>
      </c>
      <c r="AN1665" s="60" t="b">
        <f t="shared" si="186"/>
        <v>0</v>
      </c>
      <c r="AO1665" s="60" t="b">
        <f t="shared" si="187"/>
        <v>0</v>
      </c>
      <c r="AP1665" s="60" t="b">
        <f t="shared" si="188"/>
        <v>0</v>
      </c>
      <c r="AQ1665" s="60" t="b">
        <f t="shared" si="189"/>
        <v>0</v>
      </c>
      <c r="AR1665" s="60" t="str">
        <f t="shared" si="190"/>
        <v>No</v>
      </c>
      <c r="AS1665" s="60" t="str">
        <f t="shared" si="191"/>
        <v>No</v>
      </c>
    </row>
    <row r="1666" spans="1:45" ht="15">
      <c r="A1666" s="103">
        <v>45244</v>
      </c>
      <c r="B1666" s="28" t="s">
        <v>6368</v>
      </c>
      <c r="C1666" s="28" t="s">
        <v>548</v>
      </c>
      <c r="D1666" s="28" t="s">
        <v>6371</v>
      </c>
      <c r="F1666" s="28" t="s">
        <v>6370</v>
      </c>
      <c r="G1666" s="28" t="s">
        <v>514</v>
      </c>
      <c r="H1666" s="28" t="s">
        <v>933</v>
      </c>
      <c r="I1666" s="28" t="s">
        <v>516</v>
      </c>
      <c r="J1666" s="28" t="s">
        <v>517</v>
      </c>
      <c r="K1666" s="28" t="s">
        <v>518</v>
      </c>
      <c r="L1666" s="28" t="s">
        <v>4505</v>
      </c>
      <c r="M1666" s="28" t="s">
        <v>535</v>
      </c>
      <c r="N1666" s="28" t="s">
        <v>521</v>
      </c>
      <c r="O1666" s="28" t="s">
        <v>544</v>
      </c>
      <c r="S1666" s="28" t="s">
        <v>1263</v>
      </c>
      <c r="T1666" s="28" t="s">
        <v>1934</v>
      </c>
      <c r="U1666" s="28" t="s">
        <v>1934</v>
      </c>
      <c r="V1666" s="28" t="s">
        <v>517</v>
      </c>
      <c r="W1666" s="28" t="s">
        <v>6372</v>
      </c>
      <c r="Z1666" s="118" t="s">
        <v>563</v>
      </c>
      <c r="AA1666" s="118"/>
      <c r="AB1666" s="118" t="s">
        <v>527</v>
      </c>
      <c r="AF1666" s="117" t="s">
        <v>6371</v>
      </c>
      <c r="AK1666" s="60" t="s">
        <v>5515</v>
      </c>
      <c r="AL1666" s="117">
        <f>1/COUNTIF(Tableau6[LAT],B1666)</f>
        <v>0.5</v>
      </c>
      <c r="AM1666" s="60" t="b">
        <f t="shared" si="185"/>
        <v>0</v>
      </c>
      <c r="AN1666" s="60" t="b">
        <f t="shared" si="186"/>
        <v>0</v>
      </c>
      <c r="AO1666" s="60" t="b">
        <f t="shared" si="187"/>
        <v>0</v>
      </c>
      <c r="AP1666" s="60" t="b">
        <f t="shared" si="188"/>
        <v>0</v>
      </c>
      <c r="AQ1666" s="60" t="b">
        <f t="shared" si="189"/>
        <v>0</v>
      </c>
      <c r="AR1666" s="60" t="str">
        <f t="shared" si="190"/>
        <v>No</v>
      </c>
      <c r="AS1666" s="60" t="str">
        <f t="shared" si="191"/>
        <v>No</v>
      </c>
    </row>
    <row r="1667" spans="1:45" ht="15">
      <c r="A1667" s="103">
        <v>45244</v>
      </c>
      <c r="B1667" s="28" t="s">
        <v>6373</v>
      </c>
      <c r="C1667" s="28" t="s">
        <v>511</v>
      </c>
      <c r="D1667" s="28" t="s">
        <v>6374</v>
      </c>
      <c r="F1667" s="28" t="s">
        <v>1143</v>
      </c>
      <c r="G1667" s="28" t="s">
        <v>514</v>
      </c>
      <c r="H1667" s="28" t="s">
        <v>1156</v>
      </c>
      <c r="I1667" s="28" t="s">
        <v>516</v>
      </c>
      <c r="J1667" s="28" t="s">
        <v>517</v>
      </c>
      <c r="K1667" s="28" t="s">
        <v>518</v>
      </c>
      <c r="L1667" s="28" t="s">
        <v>3313</v>
      </c>
      <c r="M1667" s="28" t="s">
        <v>520</v>
      </c>
      <c r="N1667" s="28" t="s">
        <v>619</v>
      </c>
      <c r="O1667" s="28" t="s">
        <v>557</v>
      </c>
      <c r="P1667" s="28" t="s">
        <v>544</v>
      </c>
      <c r="Q1667" s="28" t="s">
        <v>559</v>
      </c>
      <c r="S1667" s="28" t="s">
        <v>560</v>
      </c>
      <c r="T1667" s="28" t="s">
        <v>698</v>
      </c>
      <c r="U1667" s="28" t="s">
        <v>698</v>
      </c>
      <c r="V1667" s="28" t="s">
        <v>517</v>
      </c>
      <c r="W1667" s="28" t="s">
        <v>5552</v>
      </c>
      <c r="Z1667" s="118" t="s">
        <v>563</v>
      </c>
      <c r="AA1667" s="118"/>
      <c r="AB1667" s="118" t="s">
        <v>527</v>
      </c>
      <c r="AF1667" s="117" t="s">
        <v>6374</v>
      </c>
      <c r="AK1667" s="60" t="s">
        <v>5515</v>
      </c>
      <c r="AL1667" s="117">
        <f>1/COUNTIF(Tableau6[LAT],B1667)</f>
        <v>0.33333333333333331</v>
      </c>
      <c r="AM1667" s="60" t="b">
        <f t="shared" si="185"/>
        <v>0</v>
      </c>
      <c r="AN1667" s="60" t="b">
        <f t="shared" si="186"/>
        <v>0</v>
      </c>
      <c r="AO1667" s="60" t="b">
        <f t="shared" si="187"/>
        <v>0</v>
      </c>
      <c r="AP1667" s="60" t="b">
        <f t="shared" si="188"/>
        <v>0</v>
      </c>
      <c r="AQ1667" s="60" t="b">
        <f t="shared" si="189"/>
        <v>0</v>
      </c>
      <c r="AR1667" s="60" t="str">
        <f t="shared" si="190"/>
        <v>No</v>
      </c>
      <c r="AS1667" s="60" t="str">
        <f t="shared" si="191"/>
        <v>No</v>
      </c>
    </row>
    <row r="1668" spans="1:45" ht="15">
      <c r="A1668" s="103">
        <v>45244</v>
      </c>
      <c r="B1668" s="28" t="s">
        <v>6373</v>
      </c>
      <c r="C1668" s="28" t="s">
        <v>548</v>
      </c>
      <c r="D1668" s="28" t="s">
        <v>6375</v>
      </c>
      <c r="F1668" s="28" t="s">
        <v>1143</v>
      </c>
      <c r="G1668" s="28" t="s">
        <v>514</v>
      </c>
      <c r="H1668" s="28" t="s">
        <v>1156</v>
      </c>
      <c r="I1668" s="28" t="s">
        <v>516</v>
      </c>
      <c r="J1668" s="28" t="s">
        <v>517</v>
      </c>
      <c r="K1668" s="28" t="s">
        <v>518</v>
      </c>
      <c r="L1668" s="28" t="s">
        <v>3313</v>
      </c>
      <c r="M1668" s="28" t="s">
        <v>520</v>
      </c>
      <c r="N1668" s="28" t="s">
        <v>619</v>
      </c>
      <c r="O1668" s="28" t="s">
        <v>557</v>
      </c>
      <c r="P1668" s="28" t="s">
        <v>544</v>
      </c>
      <c r="Q1668" s="28" t="s">
        <v>559</v>
      </c>
      <c r="S1668" s="28" t="s">
        <v>560</v>
      </c>
      <c r="T1668" s="28" t="s">
        <v>698</v>
      </c>
      <c r="U1668" s="28" t="s">
        <v>698</v>
      </c>
      <c r="V1668" s="28" t="s">
        <v>517</v>
      </c>
      <c r="W1668" s="28" t="s">
        <v>6376</v>
      </c>
      <c r="Z1668" s="118" t="s">
        <v>563</v>
      </c>
      <c r="AA1668" s="118"/>
      <c r="AB1668" s="118" t="s">
        <v>527</v>
      </c>
      <c r="AF1668" s="117" t="s">
        <v>6375</v>
      </c>
      <c r="AK1668" s="60" t="s">
        <v>5515</v>
      </c>
      <c r="AL1668" s="117">
        <f>1/COUNTIF(Tableau6[LAT],B1668)</f>
        <v>0.33333333333333331</v>
      </c>
      <c r="AM1668" s="60" t="b">
        <f t="shared" si="185"/>
        <v>0</v>
      </c>
      <c r="AN1668" s="60" t="b">
        <f t="shared" si="186"/>
        <v>0</v>
      </c>
      <c r="AO1668" s="60" t="b">
        <f t="shared" si="187"/>
        <v>0</v>
      </c>
      <c r="AP1668" s="60" t="b">
        <f t="shared" si="188"/>
        <v>0</v>
      </c>
      <c r="AQ1668" s="60" t="b">
        <f t="shared" si="189"/>
        <v>0</v>
      </c>
      <c r="AR1668" s="60" t="str">
        <f t="shared" si="190"/>
        <v>No</v>
      </c>
      <c r="AS1668" s="60" t="str">
        <f t="shared" si="191"/>
        <v>No</v>
      </c>
    </row>
    <row r="1669" spans="1:45" ht="15">
      <c r="A1669" s="103">
        <v>45244</v>
      </c>
      <c r="B1669" s="28" t="s">
        <v>6373</v>
      </c>
      <c r="C1669" s="28" t="s">
        <v>612</v>
      </c>
      <c r="D1669" s="28" t="s">
        <v>6377</v>
      </c>
      <c r="F1669" s="28" t="s">
        <v>1143</v>
      </c>
      <c r="G1669" s="28" t="s">
        <v>514</v>
      </c>
      <c r="H1669" s="28" t="s">
        <v>1512</v>
      </c>
      <c r="I1669" s="28" t="s">
        <v>516</v>
      </c>
      <c r="J1669" s="28" t="s">
        <v>517</v>
      </c>
      <c r="K1669" s="28" t="s">
        <v>518</v>
      </c>
      <c r="L1669" s="28" t="s">
        <v>3313</v>
      </c>
      <c r="M1669" s="28" t="s">
        <v>520</v>
      </c>
      <c r="N1669" s="28" t="s">
        <v>619</v>
      </c>
      <c r="O1669" s="28" t="s">
        <v>557</v>
      </c>
      <c r="P1669" s="28" t="s">
        <v>544</v>
      </c>
      <c r="Q1669" s="28" t="s">
        <v>559</v>
      </c>
      <c r="S1669" s="28" t="s">
        <v>560</v>
      </c>
      <c r="T1669" s="28" t="s">
        <v>698</v>
      </c>
      <c r="U1669" s="28" t="s">
        <v>698</v>
      </c>
      <c r="V1669" s="28" t="s">
        <v>517</v>
      </c>
      <c r="W1669" s="28" t="s">
        <v>5552</v>
      </c>
      <c r="Z1669" s="118" t="s">
        <v>563</v>
      </c>
      <c r="AA1669" s="118"/>
      <c r="AB1669" s="118" t="s">
        <v>527</v>
      </c>
      <c r="AF1669" s="117" t="s">
        <v>6377</v>
      </c>
      <c r="AK1669" s="60" t="s">
        <v>5515</v>
      </c>
      <c r="AL1669" s="117">
        <f>1/COUNTIF(Tableau6[LAT],B1669)</f>
        <v>0.33333333333333331</v>
      </c>
      <c r="AM1669" s="60" t="b">
        <f t="shared" si="185"/>
        <v>0</v>
      </c>
      <c r="AN1669" s="60" t="b">
        <f t="shared" si="186"/>
        <v>0</v>
      </c>
      <c r="AO1669" s="60" t="b">
        <f t="shared" si="187"/>
        <v>0</v>
      </c>
      <c r="AP1669" s="60" t="b">
        <f t="shared" si="188"/>
        <v>0</v>
      </c>
      <c r="AQ1669" s="60" t="b">
        <f t="shared" si="189"/>
        <v>0</v>
      </c>
      <c r="AR1669" s="60" t="str">
        <f t="shared" si="190"/>
        <v>No</v>
      </c>
      <c r="AS1669" s="60" t="str">
        <f t="shared" si="191"/>
        <v>No</v>
      </c>
    </row>
    <row r="1670" spans="1:45" ht="15">
      <c r="A1670" s="103">
        <v>45244</v>
      </c>
      <c r="B1670" s="28" t="s">
        <v>6378</v>
      </c>
      <c r="C1670" s="28" t="s">
        <v>511</v>
      </c>
      <c r="D1670" s="28" t="s">
        <v>6379</v>
      </c>
      <c r="F1670" s="28" t="s">
        <v>6380</v>
      </c>
      <c r="G1670" s="28" t="s">
        <v>514</v>
      </c>
      <c r="H1670" s="28" t="s">
        <v>1845</v>
      </c>
      <c r="I1670" s="28" t="s">
        <v>516</v>
      </c>
      <c r="J1670" s="28" t="s">
        <v>517</v>
      </c>
      <c r="K1670" s="28" t="s">
        <v>518</v>
      </c>
      <c r="L1670" s="28" t="s">
        <v>1097</v>
      </c>
      <c r="M1670" s="28" t="s">
        <v>535</v>
      </c>
      <c r="N1670" s="28" t="s">
        <v>557</v>
      </c>
      <c r="O1670" s="28" t="s">
        <v>544</v>
      </c>
      <c r="P1670" s="28" t="s">
        <v>522</v>
      </c>
      <c r="S1670" s="28" t="s">
        <v>589</v>
      </c>
      <c r="T1670" s="28" t="s">
        <v>1098</v>
      </c>
      <c r="U1670" s="28" t="s">
        <v>1098</v>
      </c>
      <c r="V1670" s="28" t="s">
        <v>517</v>
      </c>
      <c r="W1670" s="28" t="s">
        <v>6381</v>
      </c>
      <c r="Z1670" s="118" t="s">
        <v>563</v>
      </c>
      <c r="AA1670" s="118"/>
      <c r="AB1670" s="118" t="s">
        <v>4506</v>
      </c>
      <c r="AF1670" s="117" t="s">
        <v>6379</v>
      </c>
      <c r="AK1670" s="60" t="s">
        <v>5515</v>
      </c>
      <c r="AL1670" s="117">
        <f>1/COUNTIF(Tableau6[LAT],B1670)</f>
        <v>0.33333333333333331</v>
      </c>
      <c r="AM1670" s="60" t="b">
        <f t="shared" si="185"/>
        <v>0</v>
      </c>
      <c r="AN1670" s="60" t="b">
        <f t="shared" si="186"/>
        <v>0</v>
      </c>
      <c r="AO1670" s="60" t="b">
        <f t="shared" si="187"/>
        <v>0</v>
      </c>
      <c r="AP1670" s="60" t="b">
        <f t="shared" si="188"/>
        <v>0</v>
      </c>
      <c r="AQ1670" s="60" t="b">
        <f t="shared" si="189"/>
        <v>0</v>
      </c>
      <c r="AR1670" s="60" t="str">
        <f t="shared" si="190"/>
        <v>No</v>
      </c>
      <c r="AS1670" s="60" t="str">
        <f t="shared" si="191"/>
        <v>No</v>
      </c>
    </row>
    <row r="1671" spans="1:45" ht="15">
      <c r="A1671" s="103">
        <v>45244</v>
      </c>
      <c r="B1671" s="28" t="s">
        <v>6378</v>
      </c>
      <c r="C1671" s="28" t="s">
        <v>548</v>
      </c>
      <c r="D1671" s="28" t="s">
        <v>6382</v>
      </c>
      <c r="F1671" s="28" t="s">
        <v>6380</v>
      </c>
      <c r="G1671" s="28" t="s">
        <v>514</v>
      </c>
      <c r="H1671" s="28" t="s">
        <v>1845</v>
      </c>
      <c r="I1671" s="28" t="s">
        <v>516</v>
      </c>
      <c r="J1671" s="28" t="s">
        <v>517</v>
      </c>
      <c r="K1671" s="28" t="s">
        <v>518</v>
      </c>
      <c r="L1671" s="28" t="s">
        <v>1097</v>
      </c>
      <c r="M1671" s="28" t="s">
        <v>535</v>
      </c>
      <c r="N1671" s="28" t="s">
        <v>557</v>
      </c>
      <c r="O1671" s="28" t="s">
        <v>544</v>
      </c>
      <c r="P1671" s="28" t="s">
        <v>522</v>
      </c>
      <c r="S1671" s="28" t="s">
        <v>589</v>
      </c>
      <c r="T1671" s="28" t="s">
        <v>1098</v>
      </c>
      <c r="U1671" s="28" t="s">
        <v>1098</v>
      </c>
      <c r="V1671" s="28" t="s">
        <v>517</v>
      </c>
      <c r="W1671" s="28" t="s">
        <v>6383</v>
      </c>
      <c r="Z1671" s="118" t="s">
        <v>563</v>
      </c>
      <c r="AA1671" s="118"/>
      <c r="AB1671" s="118" t="s">
        <v>4506</v>
      </c>
      <c r="AF1671" s="117" t="s">
        <v>6382</v>
      </c>
      <c r="AK1671" s="60" t="s">
        <v>5515</v>
      </c>
      <c r="AL1671" s="117">
        <f>1/COUNTIF(Tableau6[LAT],B1671)</f>
        <v>0.33333333333333331</v>
      </c>
      <c r="AM1671" s="60" t="b">
        <f t="shared" si="185"/>
        <v>0</v>
      </c>
      <c r="AN1671" s="60" t="b">
        <f t="shared" si="186"/>
        <v>0</v>
      </c>
      <c r="AO1671" s="60" t="b">
        <f t="shared" si="187"/>
        <v>0</v>
      </c>
      <c r="AP1671" s="60" t="b">
        <f t="shared" si="188"/>
        <v>0</v>
      </c>
      <c r="AQ1671" s="60" t="b">
        <f t="shared" si="189"/>
        <v>0</v>
      </c>
      <c r="AR1671" s="60" t="str">
        <f t="shared" si="190"/>
        <v>No</v>
      </c>
      <c r="AS1671" s="60" t="str">
        <f t="shared" si="191"/>
        <v>No</v>
      </c>
    </row>
    <row r="1672" spans="1:45" ht="15">
      <c r="A1672" s="103">
        <v>45244</v>
      </c>
      <c r="B1672" s="28" t="s">
        <v>6378</v>
      </c>
      <c r="C1672" s="28" t="s">
        <v>612</v>
      </c>
      <c r="D1672" s="28" t="s">
        <v>6384</v>
      </c>
      <c r="F1672" s="28" t="s">
        <v>6380</v>
      </c>
      <c r="G1672" s="28" t="s">
        <v>514</v>
      </c>
      <c r="H1672" s="28" t="s">
        <v>1845</v>
      </c>
      <c r="I1672" s="28" t="s">
        <v>516</v>
      </c>
      <c r="J1672" s="28" t="s">
        <v>517</v>
      </c>
      <c r="K1672" s="28" t="s">
        <v>518</v>
      </c>
      <c r="L1672" s="28" t="s">
        <v>1097</v>
      </c>
      <c r="M1672" s="28" t="s">
        <v>535</v>
      </c>
      <c r="N1672" s="28" t="s">
        <v>557</v>
      </c>
      <c r="O1672" s="28" t="s">
        <v>544</v>
      </c>
      <c r="P1672" s="28" t="s">
        <v>522</v>
      </c>
      <c r="S1672" s="28" t="s">
        <v>589</v>
      </c>
      <c r="T1672" s="28" t="s">
        <v>1098</v>
      </c>
      <c r="U1672" s="28" t="s">
        <v>1098</v>
      </c>
      <c r="V1672" s="28" t="s">
        <v>517</v>
      </c>
      <c r="W1672" s="28" t="s">
        <v>6385</v>
      </c>
      <c r="Z1672" s="118" t="s">
        <v>563</v>
      </c>
      <c r="AA1672" s="118"/>
      <c r="AB1672" s="118" t="s">
        <v>4506</v>
      </c>
      <c r="AF1672" s="117" t="s">
        <v>6384</v>
      </c>
      <c r="AK1672" s="60" t="s">
        <v>5515</v>
      </c>
      <c r="AL1672" s="117">
        <f>1/COUNTIF(Tableau6[LAT],B1672)</f>
        <v>0.33333333333333331</v>
      </c>
      <c r="AM1672" s="60" t="b">
        <f t="shared" si="185"/>
        <v>0</v>
      </c>
      <c r="AN1672" s="60" t="b">
        <f t="shared" si="186"/>
        <v>0</v>
      </c>
      <c r="AO1672" s="60" t="b">
        <f t="shared" si="187"/>
        <v>0</v>
      </c>
      <c r="AP1672" s="60" t="b">
        <f t="shared" si="188"/>
        <v>0</v>
      </c>
      <c r="AQ1672" s="60" t="b">
        <f t="shared" si="189"/>
        <v>0</v>
      </c>
      <c r="AR1672" s="60" t="str">
        <f t="shared" si="190"/>
        <v>No</v>
      </c>
      <c r="AS1672" s="60" t="str">
        <f t="shared" si="191"/>
        <v>No</v>
      </c>
    </row>
    <row r="1673" spans="1:45" ht="15">
      <c r="A1673" s="103">
        <v>45244</v>
      </c>
      <c r="B1673" s="28" t="s">
        <v>6386</v>
      </c>
      <c r="C1673" s="28" t="s">
        <v>511</v>
      </c>
      <c r="D1673" s="28" t="s">
        <v>6387</v>
      </c>
      <c r="F1673" s="28" t="s">
        <v>6388</v>
      </c>
      <c r="G1673" s="28" t="s">
        <v>514</v>
      </c>
      <c r="H1673" s="28" t="s">
        <v>1619</v>
      </c>
      <c r="I1673" s="28" t="s">
        <v>516</v>
      </c>
      <c r="J1673" s="28" t="s">
        <v>517</v>
      </c>
      <c r="K1673" s="28" t="s">
        <v>518</v>
      </c>
      <c r="L1673" s="28" t="s">
        <v>1373</v>
      </c>
      <c r="M1673" s="28" t="s">
        <v>520</v>
      </c>
      <c r="S1673" s="28" t="s">
        <v>589</v>
      </c>
      <c r="T1673" s="28" t="s">
        <v>6048</v>
      </c>
      <c r="U1673" s="28" t="s">
        <v>6048</v>
      </c>
      <c r="V1673" s="28" t="s">
        <v>517</v>
      </c>
      <c r="W1673" s="28" t="s">
        <v>6389</v>
      </c>
      <c r="Z1673" s="118" t="s">
        <v>526</v>
      </c>
      <c r="AA1673" s="118"/>
      <c r="AB1673" s="118"/>
      <c r="AF1673" s="117" t="s">
        <v>6387</v>
      </c>
      <c r="AK1673" s="60" t="s">
        <v>5515</v>
      </c>
      <c r="AL1673" s="117">
        <f>1/COUNTIF(Tableau6[LAT],B1673)</f>
        <v>0.25</v>
      </c>
      <c r="AM1673" s="60" t="b">
        <f t="shared" si="185"/>
        <v>0</v>
      </c>
      <c r="AN1673" s="60" t="b">
        <f t="shared" si="186"/>
        <v>0</v>
      </c>
      <c r="AO1673" s="60" t="b">
        <f t="shared" si="187"/>
        <v>0</v>
      </c>
      <c r="AP1673" s="60" t="b">
        <f t="shared" si="188"/>
        <v>0</v>
      </c>
      <c r="AQ1673" s="60" t="b">
        <f t="shared" si="189"/>
        <v>0</v>
      </c>
      <c r="AR1673" s="60" t="str">
        <f t="shared" si="190"/>
        <v>No</v>
      </c>
      <c r="AS1673" s="60" t="str">
        <f t="shared" si="191"/>
        <v>No</v>
      </c>
    </row>
    <row r="1674" spans="1:45" ht="15">
      <c r="A1674" s="103">
        <v>45244</v>
      </c>
      <c r="B1674" s="28" t="s">
        <v>6386</v>
      </c>
      <c r="C1674" s="28" t="s">
        <v>548</v>
      </c>
      <c r="D1674" s="28" t="s">
        <v>6390</v>
      </c>
      <c r="F1674" s="28" t="s">
        <v>6391</v>
      </c>
      <c r="G1674" s="28" t="s">
        <v>514</v>
      </c>
      <c r="H1674" s="28" t="s">
        <v>2904</v>
      </c>
      <c r="I1674" s="28" t="s">
        <v>516</v>
      </c>
      <c r="J1674" s="28" t="s">
        <v>517</v>
      </c>
      <c r="K1674" s="28" t="s">
        <v>518</v>
      </c>
      <c r="L1674" s="28" t="s">
        <v>1373</v>
      </c>
      <c r="M1674" s="28" t="s">
        <v>520</v>
      </c>
      <c r="S1674" s="28" t="s">
        <v>589</v>
      </c>
      <c r="T1674" s="28" t="s">
        <v>6048</v>
      </c>
      <c r="U1674" s="28" t="s">
        <v>6048</v>
      </c>
      <c r="V1674" s="28" t="s">
        <v>517</v>
      </c>
      <c r="W1674" s="28" t="s">
        <v>6389</v>
      </c>
      <c r="Z1674" s="118" t="s">
        <v>526</v>
      </c>
      <c r="AA1674" s="118"/>
      <c r="AB1674" s="118"/>
      <c r="AF1674" s="117" t="s">
        <v>6387</v>
      </c>
      <c r="AK1674" s="60" t="s">
        <v>5515</v>
      </c>
      <c r="AL1674" s="117">
        <f>1/COUNTIF(Tableau6[LAT],B1674)</f>
        <v>0.25</v>
      </c>
      <c r="AM1674" s="60" t="b">
        <f t="shared" si="185"/>
        <v>0</v>
      </c>
      <c r="AN1674" s="60" t="b">
        <f t="shared" si="186"/>
        <v>0</v>
      </c>
      <c r="AO1674" s="60" t="b">
        <f t="shared" si="187"/>
        <v>0</v>
      </c>
      <c r="AP1674" s="60" t="b">
        <f t="shared" si="188"/>
        <v>0</v>
      </c>
      <c r="AQ1674" s="60" t="b">
        <f t="shared" si="189"/>
        <v>0</v>
      </c>
      <c r="AR1674" s="60" t="str">
        <f t="shared" si="190"/>
        <v>No</v>
      </c>
      <c r="AS1674" s="60" t="str">
        <f t="shared" si="191"/>
        <v>No</v>
      </c>
    </row>
    <row r="1675" spans="1:45" ht="15">
      <c r="A1675" s="103">
        <v>45244</v>
      </c>
      <c r="B1675" s="28" t="s">
        <v>6386</v>
      </c>
      <c r="C1675" s="28" t="s">
        <v>612</v>
      </c>
      <c r="D1675" s="28" t="s">
        <v>6392</v>
      </c>
      <c r="F1675" s="28" t="s">
        <v>6388</v>
      </c>
      <c r="G1675" s="28" t="s">
        <v>514</v>
      </c>
      <c r="H1675" s="28" t="s">
        <v>1619</v>
      </c>
      <c r="I1675" s="28" t="s">
        <v>516</v>
      </c>
      <c r="J1675" s="28" t="s">
        <v>517</v>
      </c>
      <c r="K1675" s="28" t="s">
        <v>518</v>
      </c>
      <c r="L1675" s="28" t="s">
        <v>1373</v>
      </c>
      <c r="M1675" s="28" t="s">
        <v>520</v>
      </c>
      <c r="S1675" s="28" t="s">
        <v>589</v>
      </c>
      <c r="T1675" s="28" t="s">
        <v>6048</v>
      </c>
      <c r="U1675" s="28" t="s">
        <v>6048</v>
      </c>
      <c r="V1675" s="28" t="s">
        <v>517</v>
      </c>
      <c r="W1675" s="28" t="s">
        <v>6389</v>
      </c>
      <c r="Z1675" s="118" t="s">
        <v>526</v>
      </c>
      <c r="AA1675" s="118"/>
      <c r="AB1675" s="118"/>
      <c r="AF1675" s="117" t="s">
        <v>6390</v>
      </c>
      <c r="AK1675" s="60" t="s">
        <v>5515</v>
      </c>
      <c r="AL1675" s="117">
        <f>1/COUNTIF(Tableau6[LAT],B1675)</f>
        <v>0.25</v>
      </c>
      <c r="AM1675" s="60" t="b">
        <f t="shared" si="185"/>
        <v>0</v>
      </c>
      <c r="AN1675" s="60" t="b">
        <f t="shared" si="186"/>
        <v>0</v>
      </c>
      <c r="AO1675" s="60" t="b">
        <f t="shared" si="187"/>
        <v>0</v>
      </c>
      <c r="AP1675" s="60" t="b">
        <f t="shared" si="188"/>
        <v>0</v>
      </c>
      <c r="AQ1675" s="60" t="b">
        <f t="shared" si="189"/>
        <v>0</v>
      </c>
      <c r="AR1675" s="60" t="str">
        <f t="shared" si="190"/>
        <v>No</v>
      </c>
      <c r="AS1675" s="60" t="str">
        <f t="shared" si="191"/>
        <v>No</v>
      </c>
    </row>
    <row r="1676" spans="1:45" ht="15">
      <c r="A1676" s="103">
        <v>45244</v>
      </c>
      <c r="B1676" s="28" t="s">
        <v>6386</v>
      </c>
      <c r="C1676" s="28" t="s">
        <v>691</v>
      </c>
      <c r="D1676" s="28" t="s">
        <v>6393</v>
      </c>
      <c r="F1676" s="28" t="s">
        <v>6391</v>
      </c>
      <c r="G1676" s="28" t="s">
        <v>514</v>
      </c>
      <c r="H1676" s="28" t="s">
        <v>2904</v>
      </c>
      <c r="I1676" s="28" t="s">
        <v>516</v>
      </c>
      <c r="J1676" s="28" t="s">
        <v>517</v>
      </c>
      <c r="K1676" s="28" t="s">
        <v>518</v>
      </c>
      <c r="L1676" s="28" t="s">
        <v>1373</v>
      </c>
      <c r="M1676" s="28" t="s">
        <v>520</v>
      </c>
      <c r="S1676" s="28" t="s">
        <v>589</v>
      </c>
      <c r="T1676" s="28" t="s">
        <v>6048</v>
      </c>
      <c r="U1676" s="28" t="s">
        <v>6048</v>
      </c>
      <c r="V1676" s="28" t="s">
        <v>517</v>
      </c>
      <c r="W1676" s="28" t="s">
        <v>6389</v>
      </c>
      <c r="Z1676" s="118" t="s">
        <v>526</v>
      </c>
      <c r="AA1676" s="118"/>
      <c r="AB1676" s="118"/>
      <c r="AF1676" s="117" t="s">
        <v>6392</v>
      </c>
      <c r="AK1676" s="60" t="s">
        <v>5515</v>
      </c>
      <c r="AL1676" s="117">
        <f>1/COUNTIF(Tableau6[LAT],B1676)</f>
        <v>0.25</v>
      </c>
      <c r="AM1676" s="60" t="b">
        <f t="shared" si="185"/>
        <v>0</v>
      </c>
      <c r="AN1676" s="60" t="b">
        <f t="shared" si="186"/>
        <v>0</v>
      </c>
      <c r="AO1676" s="60" t="b">
        <f t="shared" si="187"/>
        <v>0</v>
      </c>
      <c r="AP1676" s="60" t="b">
        <f t="shared" si="188"/>
        <v>0</v>
      </c>
      <c r="AQ1676" s="60" t="b">
        <f t="shared" si="189"/>
        <v>0</v>
      </c>
      <c r="AR1676" s="60" t="str">
        <f t="shared" si="190"/>
        <v>No</v>
      </c>
      <c r="AS1676" s="60" t="str">
        <f t="shared" si="191"/>
        <v>No</v>
      </c>
    </row>
    <row r="1677" spans="1:45" ht="15">
      <c r="A1677" s="103">
        <v>45244</v>
      </c>
      <c r="B1677" s="28" t="s">
        <v>6394</v>
      </c>
      <c r="C1677" s="28" t="s">
        <v>511</v>
      </c>
      <c r="D1677" s="28" t="s">
        <v>6395</v>
      </c>
      <c r="E1677" s="28" t="s">
        <v>5896</v>
      </c>
      <c r="F1677" s="28" t="s">
        <v>5786</v>
      </c>
      <c r="G1677" s="28" t="s">
        <v>514</v>
      </c>
      <c r="H1677" s="28" t="s">
        <v>2679</v>
      </c>
      <c r="I1677" s="28" t="s">
        <v>516</v>
      </c>
      <c r="J1677" s="28" t="s">
        <v>517</v>
      </c>
      <c r="K1677" s="28" t="s">
        <v>682</v>
      </c>
      <c r="L1677" s="28" t="s">
        <v>5680</v>
      </c>
      <c r="M1677" s="28" t="s">
        <v>535</v>
      </c>
      <c r="N1677" s="28" t="s">
        <v>557</v>
      </c>
      <c r="S1677" s="28" t="s">
        <v>6396</v>
      </c>
      <c r="T1677" s="28" t="s">
        <v>1918</v>
      </c>
      <c r="U1677" s="28" t="s">
        <v>1918</v>
      </c>
      <c r="V1677" s="28" t="s">
        <v>517</v>
      </c>
      <c r="W1677" s="28" t="s">
        <v>5897</v>
      </c>
      <c r="Z1677" s="118" t="s">
        <v>526</v>
      </c>
      <c r="AA1677" s="118"/>
      <c r="AB1677" s="118"/>
      <c r="AF1677" s="117" t="s">
        <v>6395</v>
      </c>
      <c r="AK1677" s="60" t="s">
        <v>5515</v>
      </c>
      <c r="AL1677" s="117">
        <f>1/COUNTIF(Tableau6[LAT],B1677)</f>
        <v>1</v>
      </c>
      <c r="AM1677" s="60" t="b">
        <f t="shared" si="185"/>
        <v>0</v>
      </c>
      <c r="AN1677" s="60" t="b">
        <f t="shared" si="186"/>
        <v>0</v>
      </c>
      <c r="AO1677" s="60" t="b">
        <f t="shared" si="187"/>
        <v>0</v>
      </c>
      <c r="AP1677" s="60" t="b">
        <f t="shared" si="188"/>
        <v>0</v>
      </c>
      <c r="AQ1677" s="60" t="b">
        <f t="shared" si="189"/>
        <v>0</v>
      </c>
      <c r="AR1677" s="60" t="str">
        <f t="shared" si="190"/>
        <v>No</v>
      </c>
      <c r="AS1677" s="60" t="str">
        <f t="shared" si="191"/>
        <v>No</v>
      </c>
    </row>
    <row r="1678" spans="1:45" ht="15">
      <c r="A1678" s="103">
        <v>45244</v>
      </c>
      <c r="B1678" s="28" t="s">
        <v>6397</v>
      </c>
      <c r="C1678" s="28" t="s">
        <v>511</v>
      </c>
      <c r="D1678" s="28" t="s">
        <v>6398</v>
      </c>
      <c r="F1678" s="28" t="s">
        <v>6399</v>
      </c>
      <c r="G1678" s="28" t="s">
        <v>514</v>
      </c>
      <c r="H1678" s="28" t="s">
        <v>1822</v>
      </c>
      <c r="I1678" s="28" t="s">
        <v>517</v>
      </c>
      <c r="J1678" s="28" t="s">
        <v>517</v>
      </c>
      <c r="K1678" s="28" t="s">
        <v>518</v>
      </c>
      <c r="L1678" s="28" t="s">
        <v>3639</v>
      </c>
      <c r="M1678" s="28" t="s">
        <v>535</v>
      </c>
      <c r="N1678" s="28" t="s">
        <v>4006</v>
      </c>
      <c r="O1678" s="28" t="s">
        <v>1124</v>
      </c>
      <c r="P1678" s="28" t="s">
        <v>2359</v>
      </c>
      <c r="Q1678" s="28" t="s">
        <v>522</v>
      </c>
      <c r="S1678" s="28" t="s">
        <v>573</v>
      </c>
      <c r="T1678" s="28" t="s">
        <v>3640</v>
      </c>
      <c r="U1678" s="28" t="s">
        <v>3640</v>
      </c>
      <c r="V1678" s="28" t="s">
        <v>517</v>
      </c>
      <c r="W1678" s="28" t="s">
        <v>4894</v>
      </c>
      <c r="Z1678" s="118" t="s">
        <v>563</v>
      </c>
      <c r="AA1678" s="118"/>
      <c r="AB1678" s="118" t="s">
        <v>527</v>
      </c>
      <c r="AF1678" s="117" t="s">
        <v>1083</v>
      </c>
      <c r="AK1678" s="60" t="s">
        <v>5515</v>
      </c>
      <c r="AL1678" s="117">
        <f>1/COUNTIF(Tableau6[LAT],B1678)</f>
        <v>1</v>
      </c>
      <c r="AM1678" s="60" t="str">
        <f t="shared" si="185"/>
        <v>Yes</v>
      </c>
      <c r="AN1678" s="60" t="b">
        <f t="shared" si="186"/>
        <v>0</v>
      </c>
      <c r="AO1678" s="60" t="b">
        <f t="shared" si="187"/>
        <v>0</v>
      </c>
      <c r="AP1678" s="60" t="b">
        <f t="shared" si="188"/>
        <v>0</v>
      </c>
      <c r="AQ1678" s="60" t="b">
        <f t="shared" si="189"/>
        <v>0</v>
      </c>
      <c r="AR1678" s="60" t="str">
        <f t="shared" si="190"/>
        <v>Yes</v>
      </c>
      <c r="AS1678" s="60" t="str">
        <f t="shared" si="191"/>
        <v>No</v>
      </c>
    </row>
    <row r="1679" spans="1:45" ht="15">
      <c r="A1679" s="103">
        <v>45244</v>
      </c>
      <c r="B1679" s="28">
        <v>5749109992</v>
      </c>
      <c r="C1679" s="28" t="s">
        <v>511</v>
      </c>
      <c r="D1679" s="28" t="s">
        <v>6400</v>
      </c>
      <c r="F1679" s="28" t="s">
        <v>6401</v>
      </c>
      <c r="G1679" s="28" t="s">
        <v>514</v>
      </c>
      <c r="H1679" s="28" t="s">
        <v>1413</v>
      </c>
      <c r="I1679" s="28" t="s">
        <v>517</v>
      </c>
      <c r="J1679" s="28" t="s">
        <v>517</v>
      </c>
      <c r="K1679" s="28" t="s">
        <v>518</v>
      </c>
      <c r="L1679" s="28" t="s">
        <v>2884</v>
      </c>
      <c r="M1679" s="28" t="s">
        <v>535</v>
      </c>
      <c r="N1679" s="28" t="s">
        <v>810</v>
      </c>
      <c r="O1679" s="28" t="s">
        <v>1383</v>
      </c>
      <c r="P1679" s="28" t="s">
        <v>521</v>
      </c>
      <c r="Q1679" s="28" t="s">
        <v>522</v>
      </c>
      <c r="S1679" s="28" t="s">
        <v>573</v>
      </c>
      <c r="T1679" s="28" t="s">
        <v>2885</v>
      </c>
      <c r="U1679" s="28" t="s">
        <v>2885</v>
      </c>
      <c r="V1679" s="28" t="s">
        <v>517</v>
      </c>
      <c r="W1679" s="28" t="s">
        <v>5844</v>
      </c>
      <c r="Z1679" s="118" t="s">
        <v>526</v>
      </c>
      <c r="AA1679" s="118"/>
      <c r="AB1679" s="118"/>
      <c r="AF1679" s="117" t="s">
        <v>1504</v>
      </c>
      <c r="AK1679" s="60" t="s">
        <v>5515</v>
      </c>
      <c r="AL1679" s="117">
        <f>1/COUNTIF(Tableau6[LAT],B1679)</f>
        <v>1</v>
      </c>
      <c r="AM1679" s="60" t="b">
        <f t="shared" si="185"/>
        <v>0</v>
      </c>
      <c r="AN1679" s="60" t="b">
        <f t="shared" si="186"/>
        <v>0</v>
      </c>
      <c r="AO1679" s="60" t="b">
        <f t="shared" si="187"/>
        <v>0</v>
      </c>
      <c r="AP1679" s="60" t="b">
        <f t="shared" si="188"/>
        <v>0</v>
      </c>
      <c r="AQ1679" s="60" t="b">
        <f t="shared" si="189"/>
        <v>0</v>
      </c>
      <c r="AR1679" s="60" t="str">
        <f t="shared" si="190"/>
        <v>No</v>
      </c>
      <c r="AS1679" s="60" t="str">
        <f t="shared" si="191"/>
        <v>No</v>
      </c>
    </row>
    <row r="1680" spans="1:45" ht="15">
      <c r="A1680" s="103">
        <v>45244</v>
      </c>
      <c r="B1680" s="28" t="s">
        <v>6402</v>
      </c>
      <c r="C1680" s="28" t="s">
        <v>511</v>
      </c>
      <c r="D1680" s="28" t="s">
        <v>6403</v>
      </c>
      <c r="F1680" s="28" t="s">
        <v>827</v>
      </c>
      <c r="G1680" s="28" t="s">
        <v>724</v>
      </c>
      <c r="H1680" s="28" t="s">
        <v>5137</v>
      </c>
      <c r="I1680" s="28" t="s">
        <v>517</v>
      </c>
      <c r="J1680" s="28" t="s">
        <v>517</v>
      </c>
      <c r="K1680" s="28" t="s">
        <v>518</v>
      </c>
      <c r="L1680" s="28" t="s">
        <v>774</v>
      </c>
      <c r="M1680" s="28" t="s">
        <v>535</v>
      </c>
      <c r="N1680" s="28" t="s">
        <v>521</v>
      </c>
      <c r="O1680" s="28" t="s">
        <v>934</v>
      </c>
      <c r="S1680" s="28" t="s">
        <v>573</v>
      </c>
      <c r="T1680" s="28" t="s">
        <v>1537</v>
      </c>
      <c r="U1680" s="28" t="s">
        <v>1537</v>
      </c>
      <c r="V1680" s="28" t="s">
        <v>517</v>
      </c>
      <c r="W1680" s="28" t="s">
        <v>6404</v>
      </c>
      <c r="Z1680" s="118" t="s">
        <v>563</v>
      </c>
      <c r="AA1680" s="118"/>
      <c r="AB1680" s="118" t="s">
        <v>6405</v>
      </c>
      <c r="AF1680" s="117" t="s">
        <v>1083</v>
      </c>
      <c r="AK1680" s="60" t="s">
        <v>5515</v>
      </c>
      <c r="AL1680" s="117">
        <f>1/COUNTIF(Tableau6[LAT],B1680)</f>
        <v>1</v>
      </c>
      <c r="AM1680" s="60" t="b">
        <f t="shared" si="185"/>
        <v>0</v>
      </c>
      <c r="AN1680" s="60" t="b">
        <f t="shared" si="186"/>
        <v>0</v>
      </c>
      <c r="AO1680" s="60" t="b">
        <f t="shared" si="187"/>
        <v>0</v>
      </c>
      <c r="AP1680" s="60" t="b">
        <f t="shared" si="188"/>
        <v>0</v>
      </c>
      <c r="AQ1680" s="60" t="b">
        <f t="shared" si="189"/>
        <v>0</v>
      </c>
      <c r="AR1680" s="60" t="str">
        <f t="shared" si="190"/>
        <v>No</v>
      </c>
      <c r="AS1680" s="60" t="str">
        <f t="shared" si="191"/>
        <v>No</v>
      </c>
    </row>
    <row r="1681" spans="1:45" ht="15">
      <c r="A1681" s="103">
        <v>45244</v>
      </c>
      <c r="B1681" s="28" t="s">
        <v>6406</v>
      </c>
      <c r="C1681" s="28" t="s">
        <v>511</v>
      </c>
      <c r="D1681" s="28" t="s">
        <v>6407</v>
      </c>
      <c r="F1681" s="28" t="s">
        <v>6408</v>
      </c>
      <c r="G1681" s="28" t="s">
        <v>514</v>
      </c>
      <c r="H1681" s="28" t="s">
        <v>568</v>
      </c>
      <c r="I1681" s="28" t="s">
        <v>517</v>
      </c>
      <c r="J1681" s="28" t="s">
        <v>517</v>
      </c>
      <c r="K1681" s="28" t="s">
        <v>518</v>
      </c>
      <c r="L1681" s="28" t="s">
        <v>717</v>
      </c>
      <c r="M1681" s="28" t="s">
        <v>535</v>
      </c>
      <c r="N1681" s="28" t="s">
        <v>619</v>
      </c>
      <c r="O1681" s="28" t="s">
        <v>934</v>
      </c>
      <c r="S1681" s="28" t="s">
        <v>573</v>
      </c>
      <c r="T1681" s="28" t="s">
        <v>719</v>
      </c>
      <c r="U1681" s="28" t="s">
        <v>719</v>
      </c>
      <c r="V1681" s="28" t="s">
        <v>517</v>
      </c>
      <c r="W1681" s="28" t="s">
        <v>6409</v>
      </c>
      <c r="Z1681" s="118" t="s">
        <v>563</v>
      </c>
      <c r="AA1681" s="118"/>
      <c r="AB1681" s="118" t="s">
        <v>4506</v>
      </c>
      <c r="AF1681" s="117" t="s">
        <v>6407</v>
      </c>
      <c r="AK1681" s="60" t="s">
        <v>5515</v>
      </c>
      <c r="AL1681" s="117">
        <f>1/COUNTIF(Tableau6[LAT],B1681)</f>
        <v>1</v>
      </c>
      <c r="AM1681" s="60" t="b">
        <f t="shared" si="185"/>
        <v>0</v>
      </c>
      <c r="AN1681" s="60" t="b">
        <f t="shared" si="186"/>
        <v>0</v>
      </c>
      <c r="AO1681" s="60" t="b">
        <f t="shared" si="187"/>
        <v>0</v>
      </c>
      <c r="AP1681" s="60" t="b">
        <f t="shared" si="188"/>
        <v>0</v>
      </c>
      <c r="AQ1681" s="60" t="b">
        <f t="shared" si="189"/>
        <v>0</v>
      </c>
      <c r="AR1681" s="60" t="str">
        <f t="shared" si="190"/>
        <v>No</v>
      </c>
      <c r="AS1681" s="60" t="str">
        <f t="shared" si="191"/>
        <v>No</v>
      </c>
    </row>
    <row r="1682" spans="1:45" ht="15">
      <c r="A1682" s="103">
        <v>45244</v>
      </c>
      <c r="B1682" s="28" t="s">
        <v>6410</v>
      </c>
      <c r="C1682" s="28" t="s">
        <v>511</v>
      </c>
      <c r="D1682" s="28" t="s">
        <v>6411</v>
      </c>
      <c r="F1682" s="28" t="s">
        <v>2516</v>
      </c>
      <c r="G1682" s="28" t="s">
        <v>665</v>
      </c>
      <c r="H1682" s="28" t="s">
        <v>1236</v>
      </c>
      <c r="I1682" s="28" t="s">
        <v>517</v>
      </c>
      <c r="J1682" s="28" t="s">
        <v>517</v>
      </c>
      <c r="K1682" s="28" t="s">
        <v>518</v>
      </c>
      <c r="L1682" s="28" t="s">
        <v>2363</v>
      </c>
      <c r="M1682" s="28" t="s">
        <v>535</v>
      </c>
      <c r="N1682" s="28" t="s">
        <v>619</v>
      </c>
      <c r="O1682" s="28" t="s">
        <v>934</v>
      </c>
      <c r="S1682" s="28" t="s">
        <v>573</v>
      </c>
      <c r="T1682" s="28" t="s">
        <v>2364</v>
      </c>
      <c r="U1682" s="28" t="s">
        <v>2364</v>
      </c>
      <c r="V1682" s="28" t="s">
        <v>517</v>
      </c>
      <c r="W1682" s="28" t="s">
        <v>6412</v>
      </c>
      <c r="Z1682" s="118" t="s">
        <v>563</v>
      </c>
      <c r="AA1682" s="118"/>
      <c r="AB1682" s="118" t="s">
        <v>4506</v>
      </c>
      <c r="AF1682" s="117" t="s">
        <v>6411</v>
      </c>
      <c r="AK1682" s="60" t="s">
        <v>5515</v>
      </c>
      <c r="AL1682" s="117">
        <f>1/COUNTIF(Tableau6[LAT],B1682)</f>
        <v>1</v>
      </c>
      <c r="AM1682" s="60" t="b">
        <f t="shared" si="185"/>
        <v>0</v>
      </c>
      <c r="AN1682" s="60" t="b">
        <f t="shared" si="186"/>
        <v>0</v>
      </c>
      <c r="AO1682" s="60" t="b">
        <f t="shared" si="187"/>
        <v>0</v>
      </c>
      <c r="AP1682" s="60" t="b">
        <f t="shared" si="188"/>
        <v>0</v>
      </c>
      <c r="AQ1682" s="60" t="b">
        <f t="shared" si="189"/>
        <v>0</v>
      </c>
      <c r="AR1682" s="60" t="str">
        <f t="shared" si="190"/>
        <v>No</v>
      </c>
      <c r="AS1682" s="60" t="str">
        <f t="shared" si="191"/>
        <v>No</v>
      </c>
    </row>
    <row r="1683" spans="1:45" ht="15">
      <c r="A1683" s="103">
        <v>45244</v>
      </c>
      <c r="B1683" s="28" t="s">
        <v>6413</v>
      </c>
      <c r="C1683" s="28" t="s">
        <v>511</v>
      </c>
      <c r="D1683" s="28" t="s">
        <v>6414</v>
      </c>
      <c r="F1683" s="28" t="s">
        <v>6415</v>
      </c>
      <c r="G1683" s="28" t="s">
        <v>724</v>
      </c>
      <c r="H1683" s="28" t="s">
        <v>1957</v>
      </c>
      <c r="I1683" s="28" t="s">
        <v>517</v>
      </c>
      <c r="J1683" s="28" t="s">
        <v>517</v>
      </c>
      <c r="K1683" s="28" t="s">
        <v>518</v>
      </c>
      <c r="L1683" s="28" t="s">
        <v>569</v>
      </c>
      <c r="M1683" s="28" t="s">
        <v>535</v>
      </c>
      <c r="N1683" s="28" t="s">
        <v>619</v>
      </c>
      <c r="O1683" s="28" t="s">
        <v>934</v>
      </c>
      <c r="S1683" s="28" t="s">
        <v>573</v>
      </c>
      <c r="T1683" s="28" t="s">
        <v>574</v>
      </c>
      <c r="U1683" s="28" t="s">
        <v>574</v>
      </c>
      <c r="V1683" s="28" t="s">
        <v>517</v>
      </c>
      <c r="W1683" s="28" t="s">
        <v>6416</v>
      </c>
      <c r="Z1683" s="118" t="s">
        <v>563</v>
      </c>
      <c r="AA1683" s="118"/>
      <c r="AB1683" s="118" t="s">
        <v>4506</v>
      </c>
      <c r="AF1683" s="117" t="s">
        <v>6414</v>
      </c>
      <c r="AK1683" s="60" t="s">
        <v>5515</v>
      </c>
      <c r="AL1683" s="117">
        <f>1/COUNTIF(Tableau6[LAT],B1683)</f>
        <v>1</v>
      </c>
      <c r="AM1683" s="60" t="b">
        <f t="shared" si="185"/>
        <v>0</v>
      </c>
      <c r="AN1683" s="60" t="b">
        <f t="shared" si="186"/>
        <v>0</v>
      </c>
      <c r="AO1683" s="60" t="b">
        <f t="shared" si="187"/>
        <v>0</v>
      </c>
      <c r="AP1683" s="60" t="b">
        <f t="shared" si="188"/>
        <v>0</v>
      </c>
      <c r="AQ1683" s="60" t="b">
        <f t="shared" si="189"/>
        <v>0</v>
      </c>
      <c r="AR1683" s="60" t="str">
        <f t="shared" si="190"/>
        <v>No</v>
      </c>
      <c r="AS1683" s="60" t="str">
        <f t="shared" si="191"/>
        <v>No</v>
      </c>
    </row>
    <row r="1684" spans="1:45" ht="15">
      <c r="A1684" s="103">
        <v>45244</v>
      </c>
      <c r="B1684" s="28" t="s">
        <v>6417</v>
      </c>
      <c r="C1684" s="28" t="s">
        <v>548</v>
      </c>
      <c r="D1684" s="28" t="s">
        <v>6418</v>
      </c>
      <c r="E1684" s="28" t="s">
        <v>6419</v>
      </c>
      <c r="F1684" s="28" t="s">
        <v>6420</v>
      </c>
      <c r="G1684" s="28" t="s">
        <v>6421</v>
      </c>
      <c r="H1684" s="28" t="s">
        <v>6422</v>
      </c>
      <c r="I1684" s="28" t="s">
        <v>516</v>
      </c>
      <c r="J1684" s="28" t="s">
        <v>517</v>
      </c>
      <c r="K1684" s="28" t="s">
        <v>518</v>
      </c>
      <c r="L1684" s="28" t="s">
        <v>3749</v>
      </c>
      <c r="M1684" s="28" t="s">
        <v>535</v>
      </c>
      <c r="N1684" s="28" t="s">
        <v>934</v>
      </c>
      <c r="O1684" s="28" t="s">
        <v>4367</v>
      </c>
      <c r="P1684" s="28" t="s">
        <v>522</v>
      </c>
      <c r="S1684" s="28" t="s">
        <v>1712</v>
      </c>
      <c r="T1684" s="28" t="s">
        <v>1918</v>
      </c>
      <c r="U1684" s="28" t="s">
        <v>1918</v>
      </c>
      <c r="V1684" s="28" t="s">
        <v>517</v>
      </c>
      <c r="W1684" s="28" t="s">
        <v>3332</v>
      </c>
      <c r="Z1684" s="118" t="s">
        <v>563</v>
      </c>
      <c r="AA1684" s="118"/>
      <c r="AB1684" s="118" t="s">
        <v>4506</v>
      </c>
      <c r="AF1684" s="117" t="s">
        <v>6423</v>
      </c>
      <c r="AK1684" s="60" t="s">
        <v>5515</v>
      </c>
      <c r="AL1684" s="117">
        <f>1/COUNTIF(Tableau6[LAT],B1684)</f>
        <v>1</v>
      </c>
      <c r="AM1684" s="60" t="b">
        <f t="shared" si="185"/>
        <v>0</v>
      </c>
      <c r="AN1684" s="60" t="b">
        <f t="shared" si="186"/>
        <v>0</v>
      </c>
      <c r="AO1684" s="60" t="b">
        <f t="shared" si="187"/>
        <v>0</v>
      </c>
      <c r="AP1684" s="60" t="b">
        <f t="shared" si="188"/>
        <v>0</v>
      </c>
      <c r="AQ1684" s="60" t="b">
        <f t="shared" si="189"/>
        <v>0</v>
      </c>
      <c r="AR1684" s="60" t="str">
        <f t="shared" si="190"/>
        <v>No</v>
      </c>
      <c r="AS1684" s="60" t="str">
        <f t="shared" si="191"/>
        <v>No</v>
      </c>
    </row>
    <row r="1685" spans="1:45" ht="15">
      <c r="A1685" s="103">
        <v>45244</v>
      </c>
      <c r="B1685" s="28" t="s">
        <v>6424</v>
      </c>
      <c r="C1685" s="28" t="s">
        <v>511</v>
      </c>
      <c r="D1685" s="28" t="s">
        <v>6425</v>
      </c>
      <c r="F1685" s="28" t="s">
        <v>1086</v>
      </c>
      <c r="G1685" s="28" t="s">
        <v>958</v>
      </c>
      <c r="H1685" s="28" t="s">
        <v>6426</v>
      </c>
      <c r="I1685" s="28" t="s">
        <v>516</v>
      </c>
      <c r="J1685" s="28" t="s">
        <v>517</v>
      </c>
      <c r="K1685" s="28" t="s">
        <v>518</v>
      </c>
      <c r="L1685" s="28" t="s">
        <v>1097</v>
      </c>
      <c r="M1685" s="28" t="s">
        <v>535</v>
      </c>
      <c r="N1685" s="28" t="s">
        <v>544</v>
      </c>
      <c r="S1685" s="28" t="s">
        <v>589</v>
      </c>
      <c r="T1685" s="28" t="s">
        <v>1098</v>
      </c>
      <c r="U1685" s="28" t="s">
        <v>1098</v>
      </c>
      <c r="V1685" s="28" t="s">
        <v>517</v>
      </c>
      <c r="W1685" s="28" t="s">
        <v>6427</v>
      </c>
      <c r="Z1685" s="118" t="s">
        <v>563</v>
      </c>
      <c r="AA1685" s="118"/>
      <c r="AB1685" s="118" t="s">
        <v>4506</v>
      </c>
      <c r="AF1685" s="117" t="s">
        <v>6425</v>
      </c>
      <c r="AK1685" s="60" t="s">
        <v>5515</v>
      </c>
      <c r="AL1685" s="117">
        <f>1/COUNTIF(Tableau6[LAT],B1685)</f>
        <v>0.33333333333333331</v>
      </c>
      <c r="AM1685" s="60" t="b">
        <f t="shared" si="185"/>
        <v>0</v>
      </c>
      <c r="AN1685" s="60" t="b">
        <f t="shared" si="186"/>
        <v>0</v>
      </c>
      <c r="AO1685" s="60" t="b">
        <f t="shared" si="187"/>
        <v>0</v>
      </c>
      <c r="AP1685" s="60" t="b">
        <f t="shared" si="188"/>
        <v>0</v>
      </c>
      <c r="AQ1685" s="60" t="b">
        <f t="shared" si="189"/>
        <v>0</v>
      </c>
      <c r="AR1685" s="60" t="str">
        <f t="shared" si="190"/>
        <v>No</v>
      </c>
      <c r="AS1685" s="60" t="str">
        <f t="shared" si="191"/>
        <v>No</v>
      </c>
    </row>
    <row r="1686" spans="1:45" ht="15">
      <c r="A1686" s="103">
        <v>45244</v>
      </c>
      <c r="B1686" s="28" t="s">
        <v>6424</v>
      </c>
      <c r="C1686" s="28" t="s">
        <v>548</v>
      </c>
      <c r="D1686" s="28" t="s">
        <v>6428</v>
      </c>
      <c r="F1686" s="28" t="s">
        <v>3664</v>
      </c>
      <c r="G1686" s="28" t="s">
        <v>514</v>
      </c>
      <c r="H1686" s="28" t="s">
        <v>2146</v>
      </c>
      <c r="I1686" s="28" t="s">
        <v>516</v>
      </c>
      <c r="J1686" s="28" t="s">
        <v>517</v>
      </c>
      <c r="K1686" s="28" t="s">
        <v>518</v>
      </c>
      <c r="L1686" s="28" t="s">
        <v>1097</v>
      </c>
      <c r="M1686" s="28" t="s">
        <v>535</v>
      </c>
      <c r="N1686" s="28" t="s">
        <v>544</v>
      </c>
      <c r="S1686" s="28" t="s">
        <v>589</v>
      </c>
      <c r="T1686" s="28" t="s">
        <v>1098</v>
      </c>
      <c r="U1686" s="28" t="s">
        <v>1098</v>
      </c>
      <c r="V1686" s="28" t="s">
        <v>517</v>
      </c>
      <c r="W1686" s="28" t="s">
        <v>6427</v>
      </c>
      <c r="Z1686" s="118" t="s">
        <v>563</v>
      </c>
      <c r="AA1686" s="118"/>
      <c r="AB1686" s="118" t="s">
        <v>4506</v>
      </c>
      <c r="AF1686" s="117" t="s">
        <v>6428</v>
      </c>
      <c r="AK1686" s="60" t="s">
        <v>5515</v>
      </c>
      <c r="AL1686" s="117">
        <f>1/COUNTIF(Tableau6[LAT],B1686)</f>
        <v>0.33333333333333331</v>
      </c>
      <c r="AM1686" s="60" t="b">
        <f t="shared" si="185"/>
        <v>0</v>
      </c>
      <c r="AN1686" s="60" t="b">
        <f t="shared" si="186"/>
        <v>0</v>
      </c>
      <c r="AO1686" s="60" t="b">
        <f t="shared" si="187"/>
        <v>0</v>
      </c>
      <c r="AP1686" s="60" t="b">
        <f t="shared" si="188"/>
        <v>0</v>
      </c>
      <c r="AQ1686" s="60" t="b">
        <f t="shared" si="189"/>
        <v>0</v>
      </c>
      <c r="AR1686" s="60" t="str">
        <f t="shared" si="190"/>
        <v>No</v>
      </c>
      <c r="AS1686" s="60" t="str">
        <f t="shared" si="191"/>
        <v>No</v>
      </c>
    </row>
    <row r="1687" spans="1:45" ht="15">
      <c r="A1687" s="103">
        <v>45244</v>
      </c>
      <c r="B1687" s="28" t="s">
        <v>6424</v>
      </c>
      <c r="C1687" s="28" t="s">
        <v>612</v>
      </c>
      <c r="D1687" s="28" t="s">
        <v>6429</v>
      </c>
      <c r="F1687" s="28" t="s">
        <v>3664</v>
      </c>
      <c r="G1687" s="28" t="s">
        <v>514</v>
      </c>
      <c r="H1687" s="28" t="s">
        <v>2146</v>
      </c>
      <c r="I1687" s="28" t="s">
        <v>516</v>
      </c>
      <c r="J1687" s="28" t="s">
        <v>517</v>
      </c>
      <c r="K1687" s="28" t="s">
        <v>518</v>
      </c>
      <c r="L1687" s="28" t="s">
        <v>1097</v>
      </c>
      <c r="M1687" s="28" t="s">
        <v>535</v>
      </c>
      <c r="N1687" s="28" t="s">
        <v>544</v>
      </c>
      <c r="S1687" s="28" t="s">
        <v>589</v>
      </c>
      <c r="T1687" s="28" t="s">
        <v>1098</v>
      </c>
      <c r="U1687" s="28" t="s">
        <v>1098</v>
      </c>
      <c r="V1687" s="28" t="s">
        <v>517</v>
      </c>
      <c r="W1687" s="28" t="s">
        <v>6427</v>
      </c>
      <c r="Z1687" s="118" t="s">
        <v>563</v>
      </c>
      <c r="AA1687" s="118"/>
      <c r="AB1687" s="118" t="s">
        <v>4506</v>
      </c>
      <c r="AF1687" s="117" t="s">
        <v>3418</v>
      </c>
      <c r="AK1687" s="60" t="s">
        <v>5515</v>
      </c>
      <c r="AL1687" s="117">
        <f>1/COUNTIF(Tableau6[LAT],B1687)</f>
        <v>0.33333333333333331</v>
      </c>
      <c r="AM1687" s="60" t="b">
        <f t="shared" si="185"/>
        <v>0</v>
      </c>
      <c r="AN1687" s="60" t="b">
        <f t="shared" si="186"/>
        <v>0</v>
      </c>
      <c r="AO1687" s="60" t="b">
        <f t="shared" si="187"/>
        <v>0</v>
      </c>
      <c r="AP1687" s="60" t="b">
        <f t="shared" si="188"/>
        <v>0</v>
      </c>
      <c r="AQ1687" s="60" t="b">
        <f t="shared" si="189"/>
        <v>0</v>
      </c>
      <c r="AR1687" s="60" t="str">
        <f t="shared" si="190"/>
        <v>No</v>
      </c>
      <c r="AS1687" s="60" t="str">
        <f t="shared" si="191"/>
        <v>No</v>
      </c>
    </row>
    <row r="1688" spans="1:45" ht="15">
      <c r="A1688" s="103">
        <v>45244</v>
      </c>
      <c r="B1688" s="28" t="s">
        <v>6430</v>
      </c>
      <c r="C1688" s="28" t="s">
        <v>511</v>
      </c>
      <c r="D1688" s="28" t="s">
        <v>6431</v>
      </c>
      <c r="E1688" s="28" t="s">
        <v>6432</v>
      </c>
      <c r="F1688" s="28" t="s">
        <v>6408</v>
      </c>
      <c r="G1688" s="28" t="s">
        <v>514</v>
      </c>
      <c r="H1688" s="28" t="s">
        <v>1957</v>
      </c>
      <c r="I1688" s="28" t="s">
        <v>516</v>
      </c>
      <c r="J1688" s="28" t="s">
        <v>517</v>
      </c>
      <c r="K1688" s="28" t="s">
        <v>518</v>
      </c>
      <c r="L1688" s="28" t="s">
        <v>5279</v>
      </c>
      <c r="M1688" s="28" t="s">
        <v>520</v>
      </c>
      <c r="N1688" s="28" t="s">
        <v>810</v>
      </c>
      <c r="O1688" s="28" t="s">
        <v>1383</v>
      </c>
      <c r="P1688" s="28" t="s">
        <v>522</v>
      </c>
      <c r="S1688" s="28" t="s">
        <v>917</v>
      </c>
      <c r="T1688" s="28" t="s">
        <v>5280</v>
      </c>
      <c r="U1688" s="28" t="s">
        <v>5280</v>
      </c>
      <c r="V1688" s="28" t="s">
        <v>517</v>
      </c>
      <c r="W1688" s="28" t="s">
        <v>6433</v>
      </c>
      <c r="Z1688" s="118" t="s">
        <v>563</v>
      </c>
      <c r="AA1688" s="118"/>
      <c r="AB1688" s="118" t="s">
        <v>4506</v>
      </c>
      <c r="AF1688" s="117" t="s">
        <v>1083</v>
      </c>
      <c r="AK1688" s="60" t="s">
        <v>5515</v>
      </c>
      <c r="AL1688" s="117">
        <f>1/COUNTIF(Tableau6[LAT],B1688)</f>
        <v>1</v>
      </c>
      <c r="AM1688" s="60" t="b">
        <f t="shared" si="185"/>
        <v>0</v>
      </c>
      <c r="AN1688" s="60" t="b">
        <f t="shared" si="186"/>
        <v>0</v>
      </c>
      <c r="AO1688" s="60" t="b">
        <f t="shared" si="187"/>
        <v>0</v>
      </c>
      <c r="AP1688" s="60" t="b">
        <f t="shared" si="188"/>
        <v>0</v>
      </c>
      <c r="AQ1688" s="60" t="b">
        <f t="shared" si="189"/>
        <v>0</v>
      </c>
      <c r="AR1688" s="60" t="str">
        <f t="shared" si="190"/>
        <v>No</v>
      </c>
      <c r="AS1688" s="60" t="str">
        <f t="shared" si="191"/>
        <v>No</v>
      </c>
    </row>
    <row r="1689" spans="1:45" ht="15">
      <c r="A1689" s="103">
        <v>45244</v>
      </c>
      <c r="B1689" s="28" t="s">
        <v>6434</v>
      </c>
      <c r="C1689" s="28" t="s">
        <v>511</v>
      </c>
      <c r="D1689" s="28" t="s">
        <v>6435</v>
      </c>
      <c r="F1689" s="28" t="s">
        <v>6436</v>
      </c>
      <c r="G1689" s="28" t="s">
        <v>514</v>
      </c>
      <c r="H1689" s="28" t="s">
        <v>4738</v>
      </c>
      <c r="I1689" s="28" t="s">
        <v>516</v>
      </c>
      <c r="J1689" s="28" t="s">
        <v>517</v>
      </c>
      <c r="K1689" s="28" t="s">
        <v>518</v>
      </c>
      <c r="L1689" s="28" t="s">
        <v>751</v>
      </c>
      <c r="M1689" s="28" t="s">
        <v>535</v>
      </c>
      <c r="N1689" s="28" t="s">
        <v>557</v>
      </c>
      <c r="O1689" s="28" t="s">
        <v>1107</v>
      </c>
      <c r="P1689" s="28" t="s">
        <v>559</v>
      </c>
      <c r="S1689" s="28" t="s">
        <v>733</v>
      </c>
      <c r="T1689" s="28" t="s">
        <v>753</v>
      </c>
      <c r="U1689" s="28" t="s">
        <v>753</v>
      </c>
      <c r="V1689" s="28" t="s">
        <v>517</v>
      </c>
      <c r="W1689" s="28" t="s">
        <v>6437</v>
      </c>
      <c r="Z1689" s="118" t="s">
        <v>563</v>
      </c>
      <c r="AA1689" s="118"/>
      <c r="AB1689" s="118" t="s">
        <v>527</v>
      </c>
      <c r="AF1689" s="117" t="s">
        <v>6435</v>
      </c>
      <c r="AK1689" s="60" t="s">
        <v>5515</v>
      </c>
      <c r="AL1689" s="117">
        <f>1/COUNTIF(Tableau6[LAT],B1689)</f>
        <v>1</v>
      </c>
      <c r="AM1689" s="60" t="b">
        <f t="shared" si="185"/>
        <v>0</v>
      </c>
      <c r="AN1689" s="60" t="b">
        <f t="shared" si="186"/>
        <v>0</v>
      </c>
      <c r="AO1689" s="60" t="b">
        <f t="shared" si="187"/>
        <v>0</v>
      </c>
      <c r="AP1689" s="60" t="b">
        <f t="shared" si="188"/>
        <v>0</v>
      </c>
      <c r="AQ1689" s="60" t="b">
        <f t="shared" si="189"/>
        <v>0</v>
      </c>
      <c r="AR1689" s="60" t="str">
        <f t="shared" si="190"/>
        <v>No</v>
      </c>
      <c r="AS1689" s="60" t="str">
        <f t="shared" si="191"/>
        <v>Yes</v>
      </c>
    </row>
    <row r="1690" spans="1:45" ht="15">
      <c r="A1690" s="103">
        <v>45244</v>
      </c>
      <c r="B1690" s="28" t="s">
        <v>6438</v>
      </c>
      <c r="C1690" s="28" t="s">
        <v>511</v>
      </c>
      <c r="D1690" s="28" t="s">
        <v>6439</v>
      </c>
      <c r="F1690" s="28" t="s">
        <v>6440</v>
      </c>
      <c r="G1690" s="28" t="s">
        <v>665</v>
      </c>
      <c r="H1690" s="28" t="s">
        <v>3878</v>
      </c>
      <c r="I1690" s="28" t="s">
        <v>516</v>
      </c>
      <c r="J1690" s="28" t="s">
        <v>517</v>
      </c>
      <c r="K1690" s="28" t="s">
        <v>518</v>
      </c>
      <c r="L1690" s="28" t="s">
        <v>751</v>
      </c>
      <c r="M1690" s="28" t="s">
        <v>535</v>
      </c>
      <c r="N1690" s="28" t="s">
        <v>544</v>
      </c>
      <c r="O1690" s="28" t="s">
        <v>559</v>
      </c>
      <c r="S1690" s="28" t="s">
        <v>545</v>
      </c>
      <c r="T1690" s="28" t="s">
        <v>753</v>
      </c>
      <c r="U1690" s="28" t="s">
        <v>753</v>
      </c>
      <c r="V1690" s="28" t="s">
        <v>517</v>
      </c>
      <c r="W1690" s="28" t="s">
        <v>6441</v>
      </c>
      <c r="Z1690" s="118" t="s">
        <v>563</v>
      </c>
      <c r="AA1690" s="118"/>
      <c r="AB1690" s="118" t="s">
        <v>527</v>
      </c>
      <c r="AF1690" s="117" t="s">
        <v>6439</v>
      </c>
      <c r="AK1690" s="60" t="s">
        <v>5515</v>
      </c>
      <c r="AL1690" s="117">
        <f>1/COUNTIF(Tableau6[LAT],B1690)</f>
        <v>0.5</v>
      </c>
      <c r="AM1690" s="60" t="b">
        <f t="shared" si="185"/>
        <v>0</v>
      </c>
      <c r="AN1690" s="60" t="b">
        <f t="shared" si="186"/>
        <v>0</v>
      </c>
      <c r="AO1690" s="60" t="b">
        <f t="shared" si="187"/>
        <v>0</v>
      </c>
      <c r="AP1690" s="60" t="b">
        <f t="shared" si="188"/>
        <v>0</v>
      </c>
      <c r="AQ1690" s="60" t="b">
        <f t="shared" si="189"/>
        <v>0</v>
      </c>
      <c r="AR1690" s="60" t="str">
        <f t="shared" si="190"/>
        <v>No</v>
      </c>
      <c r="AS1690" s="60" t="str">
        <f t="shared" si="191"/>
        <v>No</v>
      </c>
    </row>
    <row r="1691" spans="1:45" ht="15">
      <c r="A1691" s="103">
        <v>45244</v>
      </c>
      <c r="B1691" s="28" t="s">
        <v>6438</v>
      </c>
      <c r="C1691" s="28" t="s">
        <v>548</v>
      </c>
      <c r="D1691" s="28" t="s">
        <v>6442</v>
      </c>
      <c r="F1691" s="28" t="s">
        <v>6443</v>
      </c>
      <c r="G1691" s="28" t="s">
        <v>958</v>
      </c>
      <c r="H1691" s="28" t="s">
        <v>1501</v>
      </c>
      <c r="I1691" s="28" t="s">
        <v>516</v>
      </c>
      <c r="J1691" s="28" t="s">
        <v>517</v>
      </c>
      <c r="K1691" s="28" t="s">
        <v>518</v>
      </c>
      <c r="L1691" s="28" t="s">
        <v>751</v>
      </c>
      <c r="M1691" s="28" t="s">
        <v>535</v>
      </c>
      <c r="N1691" s="28" t="s">
        <v>544</v>
      </c>
      <c r="O1691" s="28" t="s">
        <v>559</v>
      </c>
      <c r="S1691" s="28" t="s">
        <v>545</v>
      </c>
      <c r="T1691" s="28" t="s">
        <v>753</v>
      </c>
      <c r="U1691" s="28" t="s">
        <v>753</v>
      </c>
      <c r="V1691" s="28" t="s">
        <v>517</v>
      </c>
      <c r="W1691" s="28" t="s">
        <v>2393</v>
      </c>
      <c r="Z1691" s="118" t="s">
        <v>563</v>
      </c>
      <c r="AA1691" s="118"/>
      <c r="AB1691" s="118" t="s">
        <v>527</v>
      </c>
      <c r="AF1691" s="117" t="s">
        <v>6442</v>
      </c>
      <c r="AK1691" s="60" t="s">
        <v>5515</v>
      </c>
      <c r="AL1691" s="117">
        <f>1/COUNTIF(Tableau6[LAT],B1691)</f>
        <v>0.5</v>
      </c>
      <c r="AM1691" s="60" t="b">
        <f t="shared" si="185"/>
        <v>0</v>
      </c>
      <c r="AN1691" s="60" t="b">
        <f t="shared" si="186"/>
        <v>0</v>
      </c>
      <c r="AO1691" s="60" t="b">
        <f t="shared" si="187"/>
        <v>0</v>
      </c>
      <c r="AP1691" s="60" t="b">
        <f t="shared" si="188"/>
        <v>0</v>
      </c>
      <c r="AQ1691" s="60" t="b">
        <f t="shared" si="189"/>
        <v>0</v>
      </c>
      <c r="AR1691" s="60" t="str">
        <f t="shared" si="190"/>
        <v>No</v>
      </c>
      <c r="AS1691" s="60" t="str">
        <f t="shared" si="191"/>
        <v>No</v>
      </c>
    </row>
    <row r="1692" spans="1:45" ht="15">
      <c r="A1692" s="103">
        <v>45244</v>
      </c>
      <c r="B1692" s="28" t="s">
        <v>6444</v>
      </c>
      <c r="C1692" s="28" t="s">
        <v>511</v>
      </c>
      <c r="D1692" s="28" t="s">
        <v>6445</v>
      </c>
      <c r="F1692" s="28" t="s">
        <v>6446</v>
      </c>
      <c r="G1692" s="28" t="s">
        <v>514</v>
      </c>
      <c r="H1692" s="28" t="s">
        <v>2062</v>
      </c>
      <c r="I1692" s="28" t="s">
        <v>516</v>
      </c>
      <c r="J1692" s="28" t="s">
        <v>517</v>
      </c>
      <c r="K1692" s="28" t="s">
        <v>518</v>
      </c>
      <c r="L1692" s="28" t="s">
        <v>751</v>
      </c>
      <c r="M1692" s="28" t="s">
        <v>535</v>
      </c>
      <c r="N1692" s="28" t="s">
        <v>557</v>
      </c>
      <c r="O1692" s="28" t="s">
        <v>544</v>
      </c>
      <c r="P1692" s="28" t="s">
        <v>522</v>
      </c>
      <c r="S1692" s="28" t="s">
        <v>928</v>
      </c>
      <c r="T1692" s="28" t="s">
        <v>753</v>
      </c>
      <c r="U1692" s="28" t="s">
        <v>753</v>
      </c>
      <c r="V1692" s="28" t="s">
        <v>517</v>
      </c>
      <c r="W1692" s="28" t="s">
        <v>6447</v>
      </c>
      <c r="Z1692" s="118" t="s">
        <v>563</v>
      </c>
      <c r="AA1692" s="118"/>
      <c r="AB1692" s="118" t="s">
        <v>527</v>
      </c>
      <c r="AF1692" s="117" t="s">
        <v>6445</v>
      </c>
      <c r="AK1692" s="60" t="s">
        <v>5515</v>
      </c>
      <c r="AL1692" s="117">
        <f>1/COUNTIF(Tableau6[LAT],B1692)</f>
        <v>1</v>
      </c>
      <c r="AM1692" s="60" t="b">
        <f t="shared" si="185"/>
        <v>0</v>
      </c>
      <c r="AN1692" s="60" t="b">
        <f t="shared" si="186"/>
        <v>0</v>
      </c>
      <c r="AO1692" s="60" t="b">
        <f t="shared" si="187"/>
        <v>0</v>
      </c>
      <c r="AP1692" s="60" t="b">
        <f t="shared" si="188"/>
        <v>0</v>
      </c>
      <c r="AQ1692" s="60" t="b">
        <f t="shared" si="189"/>
        <v>0</v>
      </c>
      <c r="AR1692" s="60" t="str">
        <f t="shared" si="190"/>
        <v>No</v>
      </c>
      <c r="AS1692" s="60" t="str">
        <f t="shared" si="191"/>
        <v>No</v>
      </c>
    </row>
    <row r="1693" spans="1:45" ht="15">
      <c r="A1693" s="103">
        <v>45244</v>
      </c>
      <c r="B1693" s="28" t="s">
        <v>6448</v>
      </c>
      <c r="C1693" s="28" t="s">
        <v>511</v>
      </c>
      <c r="D1693" s="28" t="s">
        <v>6449</v>
      </c>
      <c r="F1693" s="28" t="s">
        <v>1133</v>
      </c>
      <c r="G1693" s="28" t="s">
        <v>514</v>
      </c>
      <c r="H1693" s="28" t="s">
        <v>4438</v>
      </c>
      <c r="I1693" s="28" t="s">
        <v>516</v>
      </c>
      <c r="J1693" s="28" t="s">
        <v>517</v>
      </c>
      <c r="K1693" s="28" t="s">
        <v>518</v>
      </c>
      <c r="L1693" s="28" t="s">
        <v>751</v>
      </c>
      <c r="M1693" s="28" t="s">
        <v>520</v>
      </c>
      <c r="N1693" s="28" t="s">
        <v>557</v>
      </c>
      <c r="O1693" s="28" t="s">
        <v>544</v>
      </c>
      <c r="P1693" s="28" t="s">
        <v>559</v>
      </c>
      <c r="S1693" s="28" t="s">
        <v>928</v>
      </c>
      <c r="T1693" s="28" t="s">
        <v>753</v>
      </c>
      <c r="U1693" s="28" t="s">
        <v>753</v>
      </c>
      <c r="V1693" s="28" t="s">
        <v>517</v>
      </c>
      <c r="W1693" s="28" t="s">
        <v>6450</v>
      </c>
      <c r="Z1693" s="118" t="s">
        <v>563</v>
      </c>
      <c r="AA1693" s="118"/>
      <c r="AB1693" s="118" t="s">
        <v>4506</v>
      </c>
      <c r="AF1693" s="117" t="s">
        <v>1083</v>
      </c>
      <c r="AK1693" s="60" t="s">
        <v>5515</v>
      </c>
      <c r="AL1693" s="117">
        <f>1/COUNTIF(Tableau6[LAT],B1693)</f>
        <v>1</v>
      </c>
      <c r="AM1693" s="60" t="b">
        <f t="shared" si="185"/>
        <v>0</v>
      </c>
      <c r="AN1693" s="60" t="b">
        <f t="shared" si="186"/>
        <v>0</v>
      </c>
      <c r="AO1693" s="60" t="b">
        <f t="shared" si="187"/>
        <v>0</v>
      </c>
      <c r="AP1693" s="60" t="b">
        <f t="shared" si="188"/>
        <v>0</v>
      </c>
      <c r="AQ1693" s="60" t="b">
        <f t="shared" si="189"/>
        <v>0</v>
      </c>
      <c r="AR1693" s="60" t="str">
        <f t="shared" si="190"/>
        <v>No</v>
      </c>
      <c r="AS1693" s="60" t="str">
        <f t="shared" si="191"/>
        <v>No</v>
      </c>
    </row>
    <row r="1694" spans="1:45" ht="15">
      <c r="A1694" s="103">
        <v>45244</v>
      </c>
      <c r="B1694" s="28" t="s">
        <v>6451</v>
      </c>
      <c r="C1694" s="28" t="s">
        <v>511</v>
      </c>
      <c r="D1694" s="28" t="s">
        <v>6452</v>
      </c>
      <c r="F1694" s="28" t="s">
        <v>3234</v>
      </c>
      <c r="G1694" s="28" t="s">
        <v>514</v>
      </c>
      <c r="H1694" s="28" t="s">
        <v>1217</v>
      </c>
      <c r="I1694" s="28" t="s">
        <v>516</v>
      </c>
      <c r="J1694" s="28" t="s">
        <v>517</v>
      </c>
      <c r="K1694" s="28" t="s">
        <v>518</v>
      </c>
      <c r="L1694" s="28" t="s">
        <v>751</v>
      </c>
      <c r="M1694" s="28" t="s">
        <v>520</v>
      </c>
      <c r="N1694" s="28" t="s">
        <v>544</v>
      </c>
      <c r="O1694" s="28" t="s">
        <v>1107</v>
      </c>
      <c r="S1694" s="28" t="s">
        <v>1158</v>
      </c>
      <c r="T1694" s="28" t="s">
        <v>753</v>
      </c>
      <c r="U1694" s="28" t="s">
        <v>753</v>
      </c>
      <c r="V1694" s="28" t="s">
        <v>517</v>
      </c>
      <c r="W1694" s="28" t="s">
        <v>889</v>
      </c>
      <c r="Z1694" s="118" t="s">
        <v>563</v>
      </c>
      <c r="AA1694" s="118"/>
      <c r="AB1694" s="118" t="s">
        <v>527</v>
      </c>
      <c r="AF1694" s="117" t="s">
        <v>6452</v>
      </c>
      <c r="AK1694" s="60" t="s">
        <v>5515</v>
      </c>
      <c r="AL1694" s="117">
        <f>1/COUNTIF(Tableau6[LAT],B1694)</f>
        <v>0.5</v>
      </c>
      <c r="AM1694" s="60" t="b">
        <f t="shared" si="185"/>
        <v>0</v>
      </c>
      <c r="AN1694" s="60" t="b">
        <f t="shared" si="186"/>
        <v>0</v>
      </c>
      <c r="AO1694" s="60" t="b">
        <f t="shared" si="187"/>
        <v>0</v>
      </c>
      <c r="AP1694" s="60" t="b">
        <f t="shared" si="188"/>
        <v>0</v>
      </c>
      <c r="AQ1694" s="60" t="b">
        <f t="shared" si="189"/>
        <v>0</v>
      </c>
      <c r="AR1694" s="60" t="str">
        <f t="shared" si="190"/>
        <v>No</v>
      </c>
      <c r="AS1694" s="60" t="str">
        <f t="shared" si="191"/>
        <v>No</v>
      </c>
    </row>
    <row r="1695" spans="1:45" ht="15">
      <c r="A1695" s="103">
        <v>45244</v>
      </c>
      <c r="B1695" s="28" t="s">
        <v>6451</v>
      </c>
      <c r="C1695" s="28" t="s">
        <v>548</v>
      </c>
      <c r="D1695" s="28" t="s">
        <v>6453</v>
      </c>
      <c r="F1695" s="28" t="s">
        <v>3234</v>
      </c>
      <c r="G1695" s="28" t="s">
        <v>514</v>
      </c>
      <c r="H1695" s="28" t="s">
        <v>1217</v>
      </c>
      <c r="I1695" s="28" t="s">
        <v>516</v>
      </c>
      <c r="J1695" s="28" t="s">
        <v>517</v>
      </c>
      <c r="K1695" s="28" t="s">
        <v>518</v>
      </c>
      <c r="L1695" s="28" t="s">
        <v>751</v>
      </c>
      <c r="M1695" s="28" t="s">
        <v>520</v>
      </c>
      <c r="N1695" s="28" t="s">
        <v>544</v>
      </c>
      <c r="O1695" s="28" t="s">
        <v>1107</v>
      </c>
      <c r="S1695" s="28" t="s">
        <v>1158</v>
      </c>
      <c r="T1695" s="28" t="s">
        <v>753</v>
      </c>
      <c r="U1695" s="28" t="s">
        <v>753</v>
      </c>
      <c r="V1695" s="28" t="s">
        <v>517</v>
      </c>
      <c r="W1695" s="28" t="s">
        <v>6454</v>
      </c>
      <c r="Z1695" s="118" t="s">
        <v>563</v>
      </c>
      <c r="AA1695" s="118"/>
      <c r="AB1695" s="118" t="s">
        <v>527</v>
      </c>
      <c r="AF1695" s="117" t="s">
        <v>6453</v>
      </c>
      <c r="AK1695" s="60" t="s">
        <v>5515</v>
      </c>
      <c r="AL1695" s="117">
        <f>1/COUNTIF(Tableau6[LAT],B1695)</f>
        <v>0.5</v>
      </c>
      <c r="AM1695" s="60" t="b">
        <f t="shared" si="185"/>
        <v>0</v>
      </c>
      <c r="AN1695" s="60" t="b">
        <f t="shared" si="186"/>
        <v>0</v>
      </c>
      <c r="AO1695" s="60" t="b">
        <f t="shared" si="187"/>
        <v>0</v>
      </c>
      <c r="AP1695" s="60" t="b">
        <f t="shared" si="188"/>
        <v>0</v>
      </c>
      <c r="AQ1695" s="60" t="b">
        <f t="shared" si="189"/>
        <v>0</v>
      </c>
      <c r="AR1695" s="60" t="str">
        <f t="shared" si="190"/>
        <v>No</v>
      </c>
      <c r="AS1695" s="60" t="str">
        <f t="shared" si="191"/>
        <v>No</v>
      </c>
    </row>
    <row r="1696" spans="1:45" ht="15">
      <c r="A1696" s="103">
        <v>45244</v>
      </c>
      <c r="B1696" s="28" t="s">
        <v>4982</v>
      </c>
      <c r="C1696" s="28" t="s">
        <v>1066</v>
      </c>
      <c r="D1696" s="28" t="s">
        <v>6455</v>
      </c>
      <c r="E1696" s="28" t="s">
        <v>3043</v>
      </c>
      <c r="F1696" s="28" t="s">
        <v>6456</v>
      </c>
      <c r="G1696" s="28" t="s">
        <v>514</v>
      </c>
      <c r="H1696" s="28" t="s">
        <v>3161</v>
      </c>
      <c r="I1696" s="28" t="s">
        <v>517</v>
      </c>
      <c r="J1696" s="28" t="s">
        <v>517</v>
      </c>
      <c r="K1696" s="28" t="s">
        <v>518</v>
      </c>
      <c r="L1696" s="28" t="s">
        <v>801</v>
      </c>
      <c r="M1696" s="28" t="s">
        <v>535</v>
      </c>
      <c r="N1696" s="28" t="s">
        <v>521</v>
      </c>
      <c r="O1696" s="28" t="s">
        <v>544</v>
      </c>
      <c r="P1696" s="28" t="s">
        <v>626</v>
      </c>
      <c r="Q1696" s="28" t="s">
        <v>559</v>
      </c>
      <c r="R1696" s="28" t="s">
        <v>627</v>
      </c>
      <c r="S1696" s="28" t="s">
        <v>573</v>
      </c>
      <c r="T1696" s="28" t="s">
        <v>803</v>
      </c>
      <c r="U1696" s="28" t="s">
        <v>803</v>
      </c>
      <c r="V1696" s="28" t="s">
        <v>517</v>
      </c>
      <c r="W1696" s="28" t="s">
        <v>5790</v>
      </c>
      <c r="Z1696" s="118" t="s">
        <v>563</v>
      </c>
      <c r="AA1696" s="118"/>
      <c r="AB1696" s="118" t="s">
        <v>4506</v>
      </c>
      <c r="AF1696" s="117" t="s">
        <v>4983</v>
      </c>
      <c r="AK1696" s="60" t="s">
        <v>5515</v>
      </c>
      <c r="AL1696" s="117">
        <f>1/COUNTIF(Tableau6[LAT],B1696)</f>
        <v>0.33333333333333331</v>
      </c>
      <c r="AM1696" s="60" t="b">
        <f t="shared" si="185"/>
        <v>0</v>
      </c>
      <c r="AN1696" s="60" t="b">
        <f t="shared" si="186"/>
        <v>0</v>
      </c>
      <c r="AO1696" s="60" t="b">
        <f t="shared" si="187"/>
        <v>0</v>
      </c>
      <c r="AP1696" s="60" t="b">
        <f t="shared" si="188"/>
        <v>0</v>
      </c>
      <c r="AQ1696" s="60" t="b">
        <f t="shared" si="189"/>
        <v>0</v>
      </c>
      <c r="AR1696" s="60" t="str">
        <f t="shared" si="190"/>
        <v>No</v>
      </c>
      <c r="AS1696" s="60" t="str">
        <f t="shared" si="191"/>
        <v>No</v>
      </c>
    </row>
    <row r="1697" spans="1:45" ht="15">
      <c r="A1697" s="103">
        <v>45244</v>
      </c>
      <c r="B1697" s="28" t="s">
        <v>6457</v>
      </c>
      <c r="C1697" s="28" t="s">
        <v>511</v>
      </c>
      <c r="D1697" s="28" t="s">
        <v>6458</v>
      </c>
      <c r="E1697" s="28" t="s">
        <v>6432</v>
      </c>
      <c r="F1697" s="28" t="s">
        <v>6408</v>
      </c>
      <c r="G1697" s="28" t="s">
        <v>514</v>
      </c>
      <c r="H1697" s="28" t="s">
        <v>1957</v>
      </c>
      <c r="I1697" s="28" t="s">
        <v>516</v>
      </c>
      <c r="J1697" s="28" t="s">
        <v>517</v>
      </c>
      <c r="K1697" s="28" t="s">
        <v>518</v>
      </c>
      <c r="L1697" s="28" t="s">
        <v>5279</v>
      </c>
      <c r="M1697" s="28" t="s">
        <v>520</v>
      </c>
      <c r="N1697" s="28" t="s">
        <v>810</v>
      </c>
      <c r="O1697" s="28" t="s">
        <v>1383</v>
      </c>
      <c r="P1697" s="28" t="s">
        <v>572</v>
      </c>
      <c r="Q1697" s="28" t="s">
        <v>522</v>
      </c>
      <c r="S1697" s="28" t="s">
        <v>917</v>
      </c>
      <c r="T1697" s="28" t="s">
        <v>5280</v>
      </c>
      <c r="U1697" s="28" t="s">
        <v>5280</v>
      </c>
      <c r="V1697" s="28" t="s">
        <v>517</v>
      </c>
      <c r="W1697" s="28" t="s">
        <v>6433</v>
      </c>
      <c r="Z1697" s="118" t="s">
        <v>526</v>
      </c>
      <c r="AA1697" s="118"/>
      <c r="AB1697" s="118"/>
      <c r="AF1697" s="117"/>
      <c r="AK1697" s="60" t="s">
        <v>5515</v>
      </c>
      <c r="AL1697" s="117">
        <f>1/COUNTIF(Tableau6[LAT],B1697)</f>
        <v>1</v>
      </c>
      <c r="AM1697" s="60" t="b">
        <f t="shared" si="185"/>
        <v>0</v>
      </c>
      <c r="AN1697" s="60" t="b">
        <f t="shared" si="186"/>
        <v>0</v>
      </c>
      <c r="AO1697" s="60" t="b">
        <f t="shared" si="187"/>
        <v>0</v>
      </c>
      <c r="AP1697" s="60" t="b">
        <f t="shared" si="188"/>
        <v>0</v>
      </c>
      <c r="AQ1697" s="60" t="b">
        <f t="shared" si="189"/>
        <v>0</v>
      </c>
      <c r="AR1697" s="60" t="str">
        <f t="shared" si="190"/>
        <v>No</v>
      </c>
      <c r="AS1697" s="60" t="str">
        <f t="shared" si="191"/>
        <v>No</v>
      </c>
    </row>
    <row r="1698" spans="1:45" ht="15">
      <c r="A1698" s="103">
        <v>45244</v>
      </c>
      <c r="B1698" s="28" t="s">
        <v>6459</v>
      </c>
      <c r="C1698" s="28" t="s">
        <v>511</v>
      </c>
      <c r="D1698" s="28" t="s">
        <v>6460</v>
      </c>
      <c r="E1698" s="28" t="s">
        <v>6088</v>
      </c>
      <c r="F1698" s="28" t="s">
        <v>6461</v>
      </c>
      <c r="G1698" s="28" t="s">
        <v>958</v>
      </c>
      <c r="H1698" s="28" t="s">
        <v>1365</v>
      </c>
      <c r="I1698" s="28" t="s">
        <v>516</v>
      </c>
      <c r="J1698" s="28" t="s">
        <v>517</v>
      </c>
      <c r="K1698" s="28" t="s">
        <v>518</v>
      </c>
      <c r="L1698" s="28" t="s">
        <v>739</v>
      </c>
      <c r="M1698" s="28" t="s">
        <v>535</v>
      </c>
      <c r="N1698" s="28" t="s">
        <v>572</v>
      </c>
      <c r="O1698" s="28" t="s">
        <v>544</v>
      </c>
      <c r="S1698" s="28" t="s">
        <v>928</v>
      </c>
      <c r="T1698" s="28" t="s">
        <v>741</v>
      </c>
      <c r="U1698" s="28" t="s">
        <v>741</v>
      </c>
      <c r="V1698" s="28" t="s">
        <v>517</v>
      </c>
      <c r="W1698" s="28" t="s">
        <v>6091</v>
      </c>
      <c r="Z1698" s="118" t="s">
        <v>526</v>
      </c>
      <c r="AA1698" s="118"/>
      <c r="AB1698" s="118"/>
      <c r="AF1698" s="117"/>
      <c r="AK1698" s="60" t="s">
        <v>5515</v>
      </c>
      <c r="AL1698" s="117">
        <f>1/COUNTIF(Tableau6[LAT],B1698)</f>
        <v>1</v>
      </c>
      <c r="AM1698" s="60" t="b">
        <f t="shared" si="185"/>
        <v>0</v>
      </c>
      <c r="AN1698" s="60" t="b">
        <f t="shared" si="186"/>
        <v>0</v>
      </c>
      <c r="AO1698" s="60" t="b">
        <f t="shared" si="187"/>
        <v>0</v>
      </c>
      <c r="AP1698" s="60" t="b">
        <f t="shared" si="188"/>
        <v>0</v>
      </c>
      <c r="AQ1698" s="60" t="b">
        <f t="shared" si="189"/>
        <v>0</v>
      </c>
      <c r="AR1698" s="60" t="str">
        <f t="shared" si="190"/>
        <v>No</v>
      </c>
      <c r="AS1698" s="60" t="str">
        <f t="shared" si="191"/>
        <v>No</v>
      </c>
    </row>
    <row r="1699" spans="1:45" ht="15">
      <c r="A1699" s="103">
        <v>45244</v>
      </c>
      <c r="B1699" s="28" t="s">
        <v>6462</v>
      </c>
      <c r="C1699" s="28" t="s">
        <v>511</v>
      </c>
      <c r="D1699" s="28" t="s">
        <v>6463</v>
      </c>
      <c r="F1699" s="28" t="s">
        <v>3731</v>
      </c>
      <c r="G1699" s="28" t="s">
        <v>514</v>
      </c>
      <c r="H1699" s="28" t="s">
        <v>1330</v>
      </c>
      <c r="I1699" s="28" t="s">
        <v>516</v>
      </c>
      <c r="J1699" s="28" t="s">
        <v>517</v>
      </c>
      <c r="K1699" s="28" t="s">
        <v>518</v>
      </c>
      <c r="L1699" s="28" t="s">
        <v>675</v>
      </c>
      <c r="M1699" s="28" t="s">
        <v>535</v>
      </c>
      <c r="S1699" s="28" t="s">
        <v>928</v>
      </c>
      <c r="T1699" s="28" t="s">
        <v>676</v>
      </c>
      <c r="U1699" s="28" t="s">
        <v>676</v>
      </c>
      <c r="V1699" s="28" t="s">
        <v>517</v>
      </c>
      <c r="W1699" s="28" t="s">
        <v>6464</v>
      </c>
      <c r="Z1699" s="118" t="s">
        <v>563</v>
      </c>
      <c r="AA1699" s="118"/>
      <c r="AB1699" s="118" t="s">
        <v>4506</v>
      </c>
      <c r="AF1699" s="117" t="s">
        <v>6463</v>
      </c>
      <c r="AK1699" s="60" t="s">
        <v>5515</v>
      </c>
      <c r="AL1699" s="117">
        <f>1/COUNTIF(Tableau6[LAT],B1699)</f>
        <v>1</v>
      </c>
      <c r="AM1699" s="60" t="b">
        <f t="shared" si="185"/>
        <v>0</v>
      </c>
      <c r="AN1699" s="60" t="b">
        <f t="shared" si="186"/>
        <v>0</v>
      </c>
      <c r="AO1699" s="60" t="b">
        <f t="shared" si="187"/>
        <v>0</v>
      </c>
      <c r="AP1699" s="60" t="b">
        <f t="shared" si="188"/>
        <v>0</v>
      </c>
      <c r="AQ1699" s="60" t="b">
        <f t="shared" si="189"/>
        <v>0</v>
      </c>
      <c r="AR1699" s="60" t="str">
        <f t="shared" si="190"/>
        <v>No</v>
      </c>
      <c r="AS1699" s="60" t="str">
        <f t="shared" si="191"/>
        <v>No</v>
      </c>
    </row>
    <row r="1700" spans="1:45" ht="15">
      <c r="A1700" s="103">
        <v>45244</v>
      </c>
      <c r="B1700" s="28" t="s">
        <v>5187</v>
      </c>
      <c r="C1700" s="28" t="s">
        <v>548</v>
      </c>
      <c r="D1700" s="28" t="s">
        <v>5191</v>
      </c>
      <c r="E1700" s="28" t="s">
        <v>6465</v>
      </c>
      <c r="F1700" s="28" t="s">
        <v>6466</v>
      </c>
      <c r="G1700" s="28" t="s">
        <v>958</v>
      </c>
      <c r="H1700" s="28" t="s">
        <v>6467</v>
      </c>
      <c r="I1700" s="28" t="s">
        <v>516</v>
      </c>
      <c r="J1700" s="28" t="s">
        <v>517</v>
      </c>
      <c r="K1700" s="28" t="s">
        <v>518</v>
      </c>
      <c r="L1700" s="28" t="s">
        <v>2363</v>
      </c>
      <c r="M1700" s="28" t="s">
        <v>535</v>
      </c>
      <c r="N1700" s="28" t="s">
        <v>557</v>
      </c>
      <c r="O1700" s="28" t="s">
        <v>544</v>
      </c>
      <c r="S1700" s="28" t="s">
        <v>733</v>
      </c>
      <c r="T1700" s="28" t="s">
        <v>2364</v>
      </c>
      <c r="U1700" s="28" t="s">
        <v>2364</v>
      </c>
      <c r="V1700" s="28" t="s">
        <v>517</v>
      </c>
      <c r="W1700" s="28" t="s">
        <v>6468</v>
      </c>
      <c r="Z1700" s="118" t="s">
        <v>526</v>
      </c>
      <c r="AA1700" s="118"/>
      <c r="AB1700" s="118"/>
      <c r="AF1700" s="117" t="s">
        <v>5191</v>
      </c>
      <c r="AK1700" s="60" t="s">
        <v>5515</v>
      </c>
      <c r="AL1700" s="117">
        <f>1/COUNTIF(Tableau6[LAT],B1700)</f>
        <v>0.5</v>
      </c>
      <c r="AM1700" s="60" t="b">
        <f t="shared" si="185"/>
        <v>0</v>
      </c>
      <c r="AN1700" s="60" t="b">
        <f t="shared" si="186"/>
        <v>0</v>
      </c>
      <c r="AO1700" s="60" t="b">
        <f t="shared" si="187"/>
        <v>0</v>
      </c>
      <c r="AP1700" s="60" t="b">
        <f t="shared" si="188"/>
        <v>0</v>
      </c>
      <c r="AQ1700" s="60" t="b">
        <f t="shared" si="189"/>
        <v>0</v>
      </c>
      <c r="AR1700" s="60" t="str">
        <f t="shared" si="190"/>
        <v>No</v>
      </c>
      <c r="AS1700" s="60" t="str">
        <f t="shared" si="191"/>
        <v>Yes</v>
      </c>
    </row>
    <row r="1701" spans="1:45" ht="15">
      <c r="A1701" s="103">
        <v>45244</v>
      </c>
      <c r="B1701" s="28" t="s">
        <v>6469</v>
      </c>
      <c r="C1701" s="28" t="s">
        <v>511</v>
      </c>
      <c r="D1701" s="28" t="s">
        <v>6470</v>
      </c>
      <c r="F1701" s="28" t="s">
        <v>1600</v>
      </c>
      <c r="G1701" s="28" t="s">
        <v>514</v>
      </c>
      <c r="H1701" s="28" t="s">
        <v>624</v>
      </c>
      <c r="I1701" s="28" t="s">
        <v>516</v>
      </c>
      <c r="J1701" s="28" t="s">
        <v>517</v>
      </c>
      <c r="K1701" s="28" t="s">
        <v>518</v>
      </c>
      <c r="L1701" s="28" t="s">
        <v>739</v>
      </c>
      <c r="M1701" s="28" t="s">
        <v>1374</v>
      </c>
      <c r="N1701" s="28" t="s">
        <v>522</v>
      </c>
      <c r="S1701" s="28" t="s">
        <v>589</v>
      </c>
      <c r="T1701" s="28" t="s">
        <v>741</v>
      </c>
      <c r="U1701" s="28" t="s">
        <v>741</v>
      </c>
      <c r="V1701" s="28" t="s">
        <v>517</v>
      </c>
      <c r="W1701" s="28" t="s">
        <v>821</v>
      </c>
      <c r="Z1701" s="118" t="s">
        <v>563</v>
      </c>
      <c r="AA1701" s="118"/>
      <c r="AB1701" s="118" t="s">
        <v>527</v>
      </c>
      <c r="AF1701" s="117"/>
      <c r="AK1701" s="60" t="s">
        <v>5515</v>
      </c>
      <c r="AL1701" s="117">
        <f>1/COUNTIF(Tableau6[LAT],B1701)</f>
        <v>0.2</v>
      </c>
      <c r="AM1701" s="60" t="b">
        <f t="shared" si="185"/>
        <v>0</v>
      </c>
      <c r="AN1701" s="60" t="b">
        <f t="shared" si="186"/>
        <v>0</v>
      </c>
      <c r="AO1701" s="60" t="b">
        <f t="shared" si="187"/>
        <v>0</v>
      </c>
      <c r="AP1701" s="60" t="b">
        <f t="shared" si="188"/>
        <v>0</v>
      </c>
      <c r="AQ1701" s="60" t="b">
        <f t="shared" si="189"/>
        <v>0</v>
      </c>
      <c r="AR1701" s="60" t="str">
        <f t="shared" si="190"/>
        <v>No</v>
      </c>
      <c r="AS1701" s="60" t="str">
        <f t="shared" si="191"/>
        <v>No</v>
      </c>
    </row>
    <row r="1702" spans="1:45" ht="15">
      <c r="A1702" s="103">
        <v>45244</v>
      </c>
      <c r="B1702" s="28" t="s">
        <v>6469</v>
      </c>
      <c r="C1702" s="28" t="s">
        <v>548</v>
      </c>
      <c r="D1702" s="28" t="s">
        <v>6471</v>
      </c>
      <c r="F1702" s="28" t="s">
        <v>1600</v>
      </c>
      <c r="G1702" s="28" t="s">
        <v>514</v>
      </c>
      <c r="H1702" s="28" t="s">
        <v>624</v>
      </c>
      <c r="I1702" s="28" t="s">
        <v>516</v>
      </c>
      <c r="J1702" s="28" t="s">
        <v>517</v>
      </c>
      <c r="K1702" s="28" t="s">
        <v>518</v>
      </c>
      <c r="L1702" s="28" t="s">
        <v>739</v>
      </c>
      <c r="M1702" s="28" t="s">
        <v>1374</v>
      </c>
      <c r="N1702" s="28" t="s">
        <v>522</v>
      </c>
      <c r="S1702" s="28" t="s">
        <v>589</v>
      </c>
      <c r="T1702" s="28" t="s">
        <v>741</v>
      </c>
      <c r="U1702" s="28" t="s">
        <v>741</v>
      </c>
      <c r="V1702" s="28" t="s">
        <v>517</v>
      </c>
      <c r="W1702" s="28" t="s">
        <v>821</v>
      </c>
      <c r="Z1702" s="118" t="s">
        <v>563</v>
      </c>
      <c r="AA1702" s="118"/>
      <c r="AB1702" s="118" t="s">
        <v>527</v>
      </c>
      <c r="AF1702" s="117"/>
      <c r="AK1702" s="60" t="s">
        <v>5515</v>
      </c>
      <c r="AL1702" s="117">
        <f>1/COUNTIF(Tableau6[LAT],B1702)</f>
        <v>0.2</v>
      </c>
      <c r="AM1702" s="60" t="b">
        <f t="shared" si="185"/>
        <v>0</v>
      </c>
      <c r="AN1702" s="60" t="b">
        <f t="shared" si="186"/>
        <v>0</v>
      </c>
      <c r="AO1702" s="60" t="b">
        <f t="shared" si="187"/>
        <v>0</v>
      </c>
      <c r="AP1702" s="60" t="b">
        <f t="shared" si="188"/>
        <v>0</v>
      </c>
      <c r="AQ1702" s="60" t="b">
        <f t="shared" si="189"/>
        <v>0</v>
      </c>
      <c r="AR1702" s="60" t="str">
        <f t="shared" si="190"/>
        <v>No</v>
      </c>
      <c r="AS1702" s="60" t="str">
        <f t="shared" si="191"/>
        <v>No</v>
      </c>
    </row>
    <row r="1703" spans="1:45" ht="15">
      <c r="A1703" s="103">
        <v>45244</v>
      </c>
      <c r="B1703" s="28" t="s">
        <v>6469</v>
      </c>
      <c r="C1703" s="28" t="s">
        <v>612</v>
      </c>
      <c r="D1703" s="28" t="s">
        <v>6472</v>
      </c>
      <c r="F1703" s="28" t="s">
        <v>1600</v>
      </c>
      <c r="G1703" s="28" t="s">
        <v>514</v>
      </c>
      <c r="H1703" s="28" t="s">
        <v>624</v>
      </c>
      <c r="I1703" s="28" t="s">
        <v>516</v>
      </c>
      <c r="J1703" s="28" t="s">
        <v>517</v>
      </c>
      <c r="K1703" s="28" t="s">
        <v>518</v>
      </c>
      <c r="L1703" s="28" t="s">
        <v>739</v>
      </c>
      <c r="M1703" s="28" t="s">
        <v>1374</v>
      </c>
      <c r="N1703" s="28" t="s">
        <v>522</v>
      </c>
      <c r="S1703" s="28" t="s">
        <v>589</v>
      </c>
      <c r="T1703" s="28" t="s">
        <v>741</v>
      </c>
      <c r="U1703" s="28" t="s">
        <v>741</v>
      </c>
      <c r="V1703" s="28" t="s">
        <v>517</v>
      </c>
      <c r="W1703" s="28" t="s">
        <v>821</v>
      </c>
      <c r="Z1703" s="118" t="s">
        <v>563</v>
      </c>
      <c r="AA1703" s="118"/>
      <c r="AB1703" s="118" t="s">
        <v>527</v>
      </c>
      <c r="AF1703" s="117"/>
      <c r="AK1703" s="60" t="s">
        <v>5515</v>
      </c>
      <c r="AL1703" s="117">
        <f>1/COUNTIF(Tableau6[LAT],B1703)</f>
        <v>0.2</v>
      </c>
      <c r="AM1703" s="60" t="b">
        <f t="shared" si="185"/>
        <v>0</v>
      </c>
      <c r="AN1703" s="60" t="b">
        <f t="shared" si="186"/>
        <v>0</v>
      </c>
      <c r="AO1703" s="60" t="b">
        <f t="shared" si="187"/>
        <v>0</v>
      </c>
      <c r="AP1703" s="60" t="b">
        <f t="shared" si="188"/>
        <v>0</v>
      </c>
      <c r="AQ1703" s="60" t="b">
        <f t="shared" si="189"/>
        <v>0</v>
      </c>
      <c r="AR1703" s="60" t="str">
        <f t="shared" si="190"/>
        <v>No</v>
      </c>
      <c r="AS1703" s="60" t="str">
        <f t="shared" si="191"/>
        <v>No</v>
      </c>
    </row>
    <row r="1704" spans="1:45" ht="15">
      <c r="A1704" s="103">
        <v>45244</v>
      </c>
      <c r="B1704" s="28" t="s">
        <v>6469</v>
      </c>
      <c r="C1704" s="28" t="s">
        <v>691</v>
      </c>
      <c r="D1704" s="28" t="s">
        <v>6473</v>
      </c>
      <c r="F1704" s="28" t="s">
        <v>1600</v>
      </c>
      <c r="G1704" s="28" t="s">
        <v>514</v>
      </c>
      <c r="H1704" s="28" t="s">
        <v>624</v>
      </c>
      <c r="I1704" s="28" t="s">
        <v>516</v>
      </c>
      <c r="J1704" s="28" t="s">
        <v>517</v>
      </c>
      <c r="K1704" s="28" t="s">
        <v>518</v>
      </c>
      <c r="L1704" s="28" t="s">
        <v>739</v>
      </c>
      <c r="M1704" s="28" t="s">
        <v>1374</v>
      </c>
      <c r="N1704" s="28" t="s">
        <v>522</v>
      </c>
      <c r="S1704" s="28" t="s">
        <v>589</v>
      </c>
      <c r="T1704" s="28" t="s">
        <v>741</v>
      </c>
      <c r="U1704" s="28" t="s">
        <v>741</v>
      </c>
      <c r="V1704" s="28" t="s">
        <v>517</v>
      </c>
      <c r="W1704" s="28" t="s">
        <v>821</v>
      </c>
      <c r="Z1704" s="118" t="s">
        <v>563</v>
      </c>
      <c r="AA1704" s="118"/>
      <c r="AB1704" s="118" t="s">
        <v>527</v>
      </c>
      <c r="AF1704" s="117"/>
      <c r="AK1704" s="60" t="s">
        <v>5515</v>
      </c>
      <c r="AL1704" s="117">
        <f>1/COUNTIF(Tableau6[LAT],B1704)</f>
        <v>0.2</v>
      </c>
      <c r="AM1704" s="60" t="b">
        <f t="shared" si="185"/>
        <v>0</v>
      </c>
      <c r="AN1704" s="60" t="b">
        <f t="shared" si="186"/>
        <v>0</v>
      </c>
      <c r="AO1704" s="60" t="b">
        <f t="shared" si="187"/>
        <v>0</v>
      </c>
      <c r="AP1704" s="60" t="b">
        <f t="shared" si="188"/>
        <v>0</v>
      </c>
      <c r="AQ1704" s="60" t="b">
        <f t="shared" si="189"/>
        <v>0</v>
      </c>
      <c r="AR1704" s="60" t="str">
        <f t="shared" si="190"/>
        <v>No</v>
      </c>
      <c r="AS1704" s="60" t="str">
        <f t="shared" si="191"/>
        <v>No</v>
      </c>
    </row>
    <row r="1705" spans="1:45" ht="15">
      <c r="A1705" s="103">
        <v>45244</v>
      </c>
      <c r="B1705" s="28" t="s">
        <v>6469</v>
      </c>
      <c r="C1705" s="28" t="s">
        <v>859</v>
      </c>
      <c r="D1705" s="28" t="s">
        <v>6474</v>
      </c>
      <c r="F1705" s="28" t="s">
        <v>1600</v>
      </c>
      <c r="G1705" s="28" t="s">
        <v>514</v>
      </c>
      <c r="H1705" s="28" t="s">
        <v>624</v>
      </c>
      <c r="I1705" s="28" t="s">
        <v>516</v>
      </c>
      <c r="J1705" s="28" t="s">
        <v>517</v>
      </c>
      <c r="K1705" s="28" t="s">
        <v>518</v>
      </c>
      <c r="L1705" s="28" t="s">
        <v>739</v>
      </c>
      <c r="M1705" s="28" t="s">
        <v>1374</v>
      </c>
      <c r="N1705" s="28" t="s">
        <v>522</v>
      </c>
      <c r="S1705" s="28" t="s">
        <v>589</v>
      </c>
      <c r="T1705" s="28" t="s">
        <v>741</v>
      </c>
      <c r="U1705" s="28" t="s">
        <v>741</v>
      </c>
      <c r="V1705" s="28" t="s">
        <v>517</v>
      </c>
      <c r="W1705" s="28" t="s">
        <v>821</v>
      </c>
      <c r="Z1705" s="118" t="s">
        <v>563</v>
      </c>
      <c r="AA1705" s="118"/>
      <c r="AB1705" s="118" t="s">
        <v>527</v>
      </c>
      <c r="AF1705" s="117"/>
      <c r="AK1705" s="60" t="s">
        <v>5515</v>
      </c>
      <c r="AL1705" s="117">
        <f>1/COUNTIF(Tableau6[LAT],B1705)</f>
        <v>0.2</v>
      </c>
      <c r="AM1705" s="60" t="b">
        <f t="shared" si="185"/>
        <v>0</v>
      </c>
      <c r="AN1705" s="60" t="b">
        <f t="shared" si="186"/>
        <v>0</v>
      </c>
      <c r="AO1705" s="60" t="b">
        <f t="shared" si="187"/>
        <v>0</v>
      </c>
      <c r="AP1705" s="60" t="b">
        <f t="shared" si="188"/>
        <v>0</v>
      </c>
      <c r="AQ1705" s="60" t="b">
        <f t="shared" si="189"/>
        <v>0</v>
      </c>
      <c r="AR1705" s="60" t="str">
        <f t="shared" si="190"/>
        <v>No</v>
      </c>
      <c r="AS1705" s="60" t="str">
        <f t="shared" si="191"/>
        <v>No</v>
      </c>
    </row>
    <row r="1706" spans="1:45" ht="15">
      <c r="A1706" s="103">
        <v>45244</v>
      </c>
      <c r="B1706" s="28" t="s">
        <v>6475</v>
      </c>
      <c r="C1706" s="28" t="s">
        <v>511</v>
      </c>
      <c r="D1706" s="28" t="s">
        <v>6476</v>
      </c>
      <c r="F1706" s="28" t="s">
        <v>5599</v>
      </c>
      <c r="G1706" s="28" t="s">
        <v>514</v>
      </c>
      <c r="H1706" s="28" t="s">
        <v>639</v>
      </c>
      <c r="I1706" s="28" t="s">
        <v>516</v>
      </c>
      <c r="J1706" s="28" t="s">
        <v>517</v>
      </c>
      <c r="K1706" s="28" t="s">
        <v>518</v>
      </c>
      <c r="L1706" s="28" t="s">
        <v>2662</v>
      </c>
      <c r="M1706" s="28" t="s">
        <v>535</v>
      </c>
      <c r="S1706" s="28" t="s">
        <v>718</v>
      </c>
      <c r="T1706" s="28" t="s">
        <v>2663</v>
      </c>
      <c r="U1706" s="28" t="s">
        <v>2663</v>
      </c>
      <c r="V1706" s="28" t="s">
        <v>517</v>
      </c>
      <c r="W1706" s="28" t="s">
        <v>1620</v>
      </c>
      <c r="Z1706" s="118" t="s">
        <v>526</v>
      </c>
      <c r="AA1706" s="118"/>
      <c r="AB1706" s="118" t="s">
        <v>6477</v>
      </c>
      <c r="AF1706" s="117"/>
      <c r="AK1706" s="60" t="s">
        <v>5515</v>
      </c>
      <c r="AL1706" s="117">
        <f>1/COUNTIF(Tableau6[LAT],B1706)</f>
        <v>1</v>
      </c>
      <c r="AM1706" s="60" t="b">
        <f t="shared" si="185"/>
        <v>0</v>
      </c>
      <c r="AN1706" s="60" t="b">
        <f t="shared" si="186"/>
        <v>0</v>
      </c>
      <c r="AO1706" s="60" t="b">
        <f t="shared" si="187"/>
        <v>0</v>
      </c>
      <c r="AP1706" s="60" t="b">
        <f t="shared" si="188"/>
        <v>0</v>
      </c>
      <c r="AQ1706" s="60" t="b">
        <f t="shared" si="189"/>
        <v>0</v>
      </c>
      <c r="AR1706" s="60" t="str">
        <f t="shared" si="190"/>
        <v>No</v>
      </c>
      <c r="AS1706" s="60" t="str">
        <f t="shared" si="191"/>
        <v>No</v>
      </c>
    </row>
    <row r="1707" spans="1:45" ht="15">
      <c r="A1707" s="103">
        <v>45244</v>
      </c>
      <c r="B1707" s="28" t="s">
        <v>6478</v>
      </c>
      <c r="C1707" s="28" t="s">
        <v>511</v>
      </c>
      <c r="D1707" s="28" t="s">
        <v>6479</v>
      </c>
      <c r="F1707" s="28" t="s">
        <v>6237</v>
      </c>
      <c r="G1707" s="28" t="s">
        <v>514</v>
      </c>
      <c r="H1707" s="28" t="s">
        <v>1428</v>
      </c>
      <c r="I1707" s="28" t="s">
        <v>516</v>
      </c>
      <c r="J1707" s="28" t="s">
        <v>517</v>
      </c>
      <c r="K1707" s="28" t="s">
        <v>518</v>
      </c>
      <c r="L1707" s="28" t="s">
        <v>981</v>
      </c>
      <c r="M1707" s="28" t="s">
        <v>535</v>
      </c>
      <c r="N1707" s="28" t="s">
        <v>1140</v>
      </c>
      <c r="S1707" s="28" t="s">
        <v>6480</v>
      </c>
      <c r="T1707" s="28" t="s">
        <v>982</v>
      </c>
      <c r="U1707" s="28" t="s">
        <v>982</v>
      </c>
      <c r="V1707" s="28" t="s">
        <v>517</v>
      </c>
      <c r="W1707" s="28" t="s">
        <v>6481</v>
      </c>
      <c r="Z1707" s="118" t="s">
        <v>563</v>
      </c>
      <c r="AA1707" s="118"/>
      <c r="AB1707" s="118" t="s">
        <v>923</v>
      </c>
      <c r="AF1707" s="117"/>
      <c r="AK1707" s="60" t="s">
        <v>5515</v>
      </c>
      <c r="AL1707" s="117">
        <f>1/COUNTIF(Tableau6[LAT],B1707)</f>
        <v>0.5</v>
      </c>
      <c r="AM1707" s="60" t="b">
        <f t="shared" si="185"/>
        <v>0</v>
      </c>
      <c r="AN1707" s="60" t="b">
        <f t="shared" si="186"/>
        <v>0</v>
      </c>
      <c r="AO1707" s="60" t="b">
        <f t="shared" si="187"/>
        <v>0</v>
      </c>
      <c r="AP1707" s="60" t="b">
        <f t="shared" si="188"/>
        <v>0</v>
      </c>
      <c r="AQ1707" s="60" t="b">
        <f t="shared" si="189"/>
        <v>0</v>
      </c>
      <c r="AR1707" s="60" t="str">
        <f t="shared" si="190"/>
        <v>No</v>
      </c>
      <c r="AS1707" s="60" t="str">
        <f t="shared" si="191"/>
        <v>No</v>
      </c>
    </row>
    <row r="1708" spans="1:45" ht="15">
      <c r="A1708" s="103">
        <v>45244</v>
      </c>
      <c r="B1708" s="28" t="s">
        <v>6478</v>
      </c>
      <c r="C1708" s="28" t="s">
        <v>548</v>
      </c>
      <c r="D1708" s="28" t="s">
        <v>6482</v>
      </c>
      <c r="F1708" s="28" t="s">
        <v>6483</v>
      </c>
      <c r="G1708" s="28" t="s">
        <v>514</v>
      </c>
      <c r="H1708" s="28" t="s">
        <v>1428</v>
      </c>
      <c r="I1708" s="28" t="s">
        <v>516</v>
      </c>
      <c r="J1708" s="28" t="s">
        <v>517</v>
      </c>
      <c r="K1708" s="28" t="s">
        <v>518</v>
      </c>
      <c r="L1708" s="28" t="s">
        <v>981</v>
      </c>
      <c r="M1708" s="28" t="s">
        <v>535</v>
      </c>
      <c r="N1708" s="28" t="s">
        <v>1140</v>
      </c>
      <c r="S1708" s="28" t="s">
        <v>6480</v>
      </c>
      <c r="T1708" s="28" t="s">
        <v>982</v>
      </c>
      <c r="U1708" s="28" t="s">
        <v>982</v>
      </c>
      <c r="V1708" s="28" t="s">
        <v>517</v>
      </c>
      <c r="W1708" s="28" t="s">
        <v>6484</v>
      </c>
      <c r="Z1708" s="118" t="s">
        <v>563</v>
      </c>
      <c r="AA1708" s="118"/>
      <c r="AB1708" s="118" t="s">
        <v>923</v>
      </c>
      <c r="AF1708" s="117"/>
      <c r="AK1708" s="60" t="s">
        <v>5515</v>
      </c>
      <c r="AL1708" s="117">
        <f>1/COUNTIF(Tableau6[LAT],B1708)</f>
        <v>0.5</v>
      </c>
      <c r="AM1708" s="60" t="b">
        <f t="shared" si="185"/>
        <v>0</v>
      </c>
      <c r="AN1708" s="60" t="b">
        <f t="shared" si="186"/>
        <v>0</v>
      </c>
      <c r="AO1708" s="60" t="b">
        <f t="shared" si="187"/>
        <v>0</v>
      </c>
      <c r="AP1708" s="60" t="b">
        <f t="shared" si="188"/>
        <v>0</v>
      </c>
      <c r="AQ1708" s="60" t="b">
        <f t="shared" si="189"/>
        <v>0</v>
      </c>
      <c r="AR1708" s="60" t="str">
        <f t="shared" si="190"/>
        <v>No</v>
      </c>
      <c r="AS1708" s="60" t="str">
        <f t="shared" si="191"/>
        <v>No</v>
      </c>
    </row>
    <row r="1709" spans="1:45" ht="15">
      <c r="A1709" s="103">
        <v>45244</v>
      </c>
      <c r="B1709" s="28" t="s">
        <v>6485</v>
      </c>
      <c r="C1709" s="28" t="s">
        <v>511</v>
      </c>
      <c r="D1709" s="28" t="s">
        <v>6486</v>
      </c>
      <c r="F1709" s="28" t="s">
        <v>6487</v>
      </c>
      <c r="G1709" s="28" t="s">
        <v>514</v>
      </c>
      <c r="H1709" s="28" t="s">
        <v>1413</v>
      </c>
      <c r="I1709" s="28" t="s">
        <v>517</v>
      </c>
      <c r="J1709" s="28" t="s">
        <v>517</v>
      </c>
      <c r="K1709" s="28" t="s">
        <v>518</v>
      </c>
      <c r="L1709" s="28" t="s">
        <v>6488</v>
      </c>
      <c r="M1709" s="28" t="s">
        <v>520</v>
      </c>
      <c r="N1709" s="28" t="s">
        <v>1523</v>
      </c>
      <c r="S1709" s="28" t="s">
        <v>573</v>
      </c>
      <c r="T1709" s="28" t="s">
        <v>1823</v>
      </c>
      <c r="U1709" s="28" t="s">
        <v>1823</v>
      </c>
      <c r="V1709" s="28" t="s">
        <v>517</v>
      </c>
      <c r="W1709" s="28" t="s">
        <v>3686</v>
      </c>
      <c r="Z1709" s="118" t="s">
        <v>563</v>
      </c>
      <c r="AA1709" s="118"/>
      <c r="AB1709" s="118" t="s">
        <v>4506</v>
      </c>
      <c r="AF1709" s="117"/>
      <c r="AK1709" s="60" t="s">
        <v>5515</v>
      </c>
      <c r="AL1709" s="117">
        <f>1/COUNTIF(Tableau6[LAT],B1709)</f>
        <v>1</v>
      </c>
      <c r="AM1709" s="60" t="b">
        <f t="shared" si="185"/>
        <v>0</v>
      </c>
      <c r="AN1709" s="60" t="b">
        <f t="shared" si="186"/>
        <v>0</v>
      </c>
      <c r="AO1709" s="60" t="b">
        <f t="shared" si="187"/>
        <v>0</v>
      </c>
      <c r="AP1709" s="60" t="b">
        <f t="shared" si="188"/>
        <v>0</v>
      </c>
      <c r="AQ1709" s="60" t="b">
        <f t="shared" si="189"/>
        <v>0</v>
      </c>
      <c r="AR1709" s="60" t="str">
        <f t="shared" si="190"/>
        <v>No</v>
      </c>
      <c r="AS1709" s="60" t="str">
        <f t="shared" si="191"/>
        <v>No</v>
      </c>
    </row>
    <row r="1710" spans="1:45" ht="15">
      <c r="A1710" s="103">
        <v>45244</v>
      </c>
      <c r="B1710" s="28" t="s">
        <v>6489</v>
      </c>
      <c r="C1710" s="28" t="s">
        <v>511</v>
      </c>
      <c r="D1710" s="28" t="s">
        <v>6490</v>
      </c>
      <c r="F1710" s="28" t="s">
        <v>5733</v>
      </c>
      <c r="G1710" s="28" t="s">
        <v>958</v>
      </c>
      <c r="H1710" s="28" t="s">
        <v>2832</v>
      </c>
      <c r="I1710" s="28" t="s">
        <v>517</v>
      </c>
      <c r="J1710" s="28" t="s">
        <v>517</v>
      </c>
      <c r="K1710" s="28" t="s">
        <v>518</v>
      </c>
      <c r="L1710" s="28" t="s">
        <v>717</v>
      </c>
      <c r="M1710" s="28" t="s">
        <v>535</v>
      </c>
      <c r="N1710" s="28" t="s">
        <v>1523</v>
      </c>
      <c r="S1710" s="28" t="s">
        <v>573</v>
      </c>
      <c r="T1710" s="28" t="s">
        <v>719</v>
      </c>
      <c r="U1710" s="28" t="s">
        <v>719</v>
      </c>
      <c r="V1710" s="28" t="s">
        <v>517</v>
      </c>
      <c r="W1710" s="28" t="s">
        <v>3686</v>
      </c>
      <c r="Z1710" s="118" t="s">
        <v>563</v>
      </c>
      <c r="AA1710" s="118"/>
      <c r="AB1710" s="118" t="s">
        <v>4506</v>
      </c>
      <c r="AF1710" s="117"/>
      <c r="AK1710" s="60" t="s">
        <v>5515</v>
      </c>
      <c r="AL1710" s="117">
        <f>1/COUNTIF(Tableau6[LAT],B1710)</f>
        <v>1</v>
      </c>
      <c r="AM1710" s="60" t="b">
        <f t="shared" si="185"/>
        <v>0</v>
      </c>
      <c r="AN1710" s="60" t="b">
        <f t="shared" si="186"/>
        <v>0</v>
      </c>
      <c r="AO1710" s="60" t="b">
        <f t="shared" si="187"/>
        <v>0</v>
      </c>
      <c r="AP1710" s="60" t="b">
        <f t="shared" si="188"/>
        <v>0</v>
      </c>
      <c r="AQ1710" s="60" t="b">
        <f t="shared" si="189"/>
        <v>0</v>
      </c>
      <c r="AR1710" s="60" t="str">
        <f t="shared" si="190"/>
        <v>No</v>
      </c>
      <c r="AS1710" s="60" t="str">
        <f t="shared" si="191"/>
        <v>No</v>
      </c>
    </row>
    <row r="1711" spans="1:45" ht="15">
      <c r="A1711" s="103">
        <v>45244</v>
      </c>
      <c r="B1711" s="28" t="s">
        <v>6491</v>
      </c>
      <c r="C1711" s="28" t="s">
        <v>511</v>
      </c>
      <c r="D1711" s="28" t="s">
        <v>6492</v>
      </c>
      <c r="F1711" s="28" t="s">
        <v>1353</v>
      </c>
      <c r="G1711" s="28" t="s">
        <v>514</v>
      </c>
      <c r="H1711" s="28" t="s">
        <v>1413</v>
      </c>
      <c r="I1711" s="28" t="s">
        <v>517</v>
      </c>
      <c r="J1711" s="28" t="s">
        <v>517</v>
      </c>
      <c r="K1711" s="28" t="s">
        <v>518</v>
      </c>
      <c r="L1711" s="28" t="s">
        <v>649</v>
      </c>
      <c r="M1711" s="28" t="s">
        <v>535</v>
      </c>
      <c r="N1711" s="28" t="s">
        <v>934</v>
      </c>
      <c r="O1711" s="28" t="s">
        <v>544</v>
      </c>
      <c r="S1711" s="28" t="s">
        <v>573</v>
      </c>
      <c r="T1711" s="28" t="s">
        <v>651</v>
      </c>
      <c r="U1711" s="28" t="s">
        <v>651</v>
      </c>
      <c r="V1711" s="28" t="s">
        <v>517</v>
      </c>
      <c r="W1711" s="28" t="s">
        <v>6493</v>
      </c>
      <c r="Z1711" s="118" t="s">
        <v>563</v>
      </c>
      <c r="AA1711" s="118"/>
      <c r="AB1711" s="118" t="s">
        <v>4506</v>
      </c>
      <c r="AF1711" s="117"/>
      <c r="AK1711" s="60" t="s">
        <v>5515</v>
      </c>
      <c r="AL1711" s="117">
        <f>1/COUNTIF(Tableau6[LAT],B1711)</f>
        <v>1</v>
      </c>
      <c r="AM1711" s="60" t="b">
        <f t="shared" si="185"/>
        <v>0</v>
      </c>
      <c r="AN1711" s="60" t="b">
        <f t="shared" si="186"/>
        <v>0</v>
      </c>
      <c r="AO1711" s="60" t="b">
        <f t="shared" si="187"/>
        <v>0</v>
      </c>
      <c r="AP1711" s="60" t="b">
        <f t="shared" si="188"/>
        <v>0</v>
      </c>
      <c r="AQ1711" s="60" t="b">
        <f t="shared" si="189"/>
        <v>0</v>
      </c>
      <c r="AR1711" s="60" t="str">
        <f t="shared" si="190"/>
        <v>No</v>
      </c>
      <c r="AS1711" s="60" t="str">
        <f t="shared" si="191"/>
        <v>No</v>
      </c>
    </row>
    <row r="1712" spans="1:45" ht="15">
      <c r="A1712" s="103">
        <v>45244</v>
      </c>
      <c r="B1712" s="28" t="s">
        <v>6494</v>
      </c>
      <c r="C1712" s="28" t="s">
        <v>511</v>
      </c>
      <c r="D1712" s="28" t="s">
        <v>6495</v>
      </c>
      <c r="F1712" s="28" t="s">
        <v>6496</v>
      </c>
      <c r="G1712" s="28" t="s">
        <v>514</v>
      </c>
      <c r="H1712" s="28" t="s">
        <v>1129</v>
      </c>
      <c r="I1712" s="28" t="s">
        <v>516</v>
      </c>
      <c r="J1712" s="28" t="s">
        <v>517</v>
      </c>
      <c r="K1712" s="28" t="s">
        <v>518</v>
      </c>
      <c r="L1712" s="28" t="s">
        <v>751</v>
      </c>
      <c r="M1712" s="28" t="s">
        <v>605</v>
      </c>
      <c r="N1712" s="28" t="s">
        <v>1140</v>
      </c>
      <c r="O1712" s="28" t="s">
        <v>557</v>
      </c>
      <c r="P1712" s="28" t="s">
        <v>522</v>
      </c>
      <c r="S1712" s="28" t="s">
        <v>732</v>
      </c>
      <c r="T1712" s="28" t="s">
        <v>6059</v>
      </c>
      <c r="U1712" s="28" t="s">
        <v>753</v>
      </c>
      <c r="V1712" s="28" t="s">
        <v>517</v>
      </c>
      <c r="W1712" s="28" t="s">
        <v>5726</v>
      </c>
      <c r="Z1712" s="118" t="s">
        <v>563</v>
      </c>
      <c r="AA1712" s="118"/>
      <c r="AB1712" s="118" t="s">
        <v>4506</v>
      </c>
      <c r="AF1712" s="117"/>
      <c r="AK1712" s="60" t="s">
        <v>5515</v>
      </c>
      <c r="AL1712" s="117">
        <f>1/COUNTIF(Tableau6[LAT],B1712)</f>
        <v>1</v>
      </c>
      <c r="AM1712" s="60" t="b">
        <f t="shared" si="185"/>
        <v>0</v>
      </c>
      <c r="AN1712" s="60" t="b">
        <f t="shared" si="186"/>
        <v>0</v>
      </c>
      <c r="AO1712" s="60" t="b">
        <f t="shared" si="187"/>
        <v>0</v>
      </c>
      <c r="AP1712" s="60" t="b">
        <f t="shared" si="188"/>
        <v>0</v>
      </c>
      <c r="AQ1712" s="60" t="b">
        <f t="shared" si="189"/>
        <v>0</v>
      </c>
      <c r="AR1712" s="60" t="str">
        <f t="shared" si="190"/>
        <v>No</v>
      </c>
      <c r="AS1712" s="60" t="str">
        <f t="shared" si="191"/>
        <v>No</v>
      </c>
    </row>
    <row r="1713" spans="1:45" ht="15">
      <c r="A1713" s="103">
        <v>45244</v>
      </c>
      <c r="B1713" s="28" t="s">
        <v>6497</v>
      </c>
      <c r="C1713" s="28" t="s">
        <v>511</v>
      </c>
      <c r="D1713" s="28" t="s">
        <v>6498</v>
      </c>
      <c r="F1713" s="28" t="s">
        <v>1672</v>
      </c>
      <c r="G1713" s="28" t="s">
        <v>514</v>
      </c>
      <c r="H1713" s="28" t="s">
        <v>1845</v>
      </c>
      <c r="I1713" s="28" t="s">
        <v>516</v>
      </c>
      <c r="J1713" s="28" t="s">
        <v>517</v>
      </c>
      <c r="K1713" s="28" t="s">
        <v>682</v>
      </c>
      <c r="L1713" s="28" t="s">
        <v>3261</v>
      </c>
      <c r="M1713" s="28" t="s">
        <v>535</v>
      </c>
      <c r="N1713" s="28" t="s">
        <v>544</v>
      </c>
      <c r="S1713" s="28" t="s">
        <v>718</v>
      </c>
      <c r="T1713" s="28" t="s">
        <v>1918</v>
      </c>
      <c r="U1713" s="28" t="s">
        <v>1918</v>
      </c>
      <c r="V1713" s="28" t="s">
        <v>517</v>
      </c>
      <c r="W1713" s="28" t="s">
        <v>1620</v>
      </c>
      <c r="Z1713" s="118" t="s">
        <v>563</v>
      </c>
      <c r="AA1713" s="118"/>
      <c r="AB1713" s="118" t="s">
        <v>527</v>
      </c>
      <c r="AF1713" s="117"/>
      <c r="AK1713" s="60" t="s">
        <v>5515</v>
      </c>
      <c r="AL1713" s="117">
        <f>1/COUNTIF(Tableau6[LAT],B1713)</f>
        <v>1</v>
      </c>
      <c r="AM1713" s="60" t="b">
        <f t="shared" si="185"/>
        <v>0</v>
      </c>
      <c r="AN1713" s="60" t="b">
        <f t="shared" si="186"/>
        <v>0</v>
      </c>
      <c r="AO1713" s="60" t="b">
        <f t="shared" si="187"/>
        <v>0</v>
      </c>
      <c r="AP1713" s="60" t="b">
        <f t="shared" si="188"/>
        <v>0</v>
      </c>
      <c r="AQ1713" s="60" t="b">
        <f t="shared" si="189"/>
        <v>0</v>
      </c>
      <c r="AR1713" s="60" t="str">
        <f t="shared" si="190"/>
        <v>No</v>
      </c>
      <c r="AS1713" s="60" t="str">
        <f t="shared" si="191"/>
        <v>No</v>
      </c>
    </row>
    <row r="1714" spans="1:45" ht="15">
      <c r="A1714" s="103">
        <v>45244</v>
      </c>
      <c r="B1714" s="28" t="s">
        <v>6499</v>
      </c>
      <c r="C1714" s="28" t="s">
        <v>511</v>
      </c>
      <c r="D1714" s="28" t="s">
        <v>6500</v>
      </c>
      <c r="F1714" s="28" t="s">
        <v>5387</v>
      </c>
      <c r="G1714" s="28" t="s">
        <v>958</v>
      </c>
      <c r="H1714" s="28" t="s">
        <v>1463</v>
      </c>
      <c r="I1714" s="28" t="s">
        <v>516</v>
      </c>
      <c r="J1714" s="28" t="s">
        <v>517</v>
      </c>
      <c r="K1714" s="28" t="s">
        <v>518</v>
      </c>
      <c r="L1714" s="28" t="s">
        <v>3639</v>
      </c>
      <c r="M1714" s="28" t="s">
        <v>535</v>
      </c>
      <c r="N1714" s="28" t="s">
        <v>521</v>
      </c>
      <c r="O1714" s="28" t="s">
        <v>934</v>
      </c>
      <c r="P1714" s="28" t="s">
        <v>559</v>
      </c>
      <c r="S1714" s="28" t="s">
        <v>1226</v>
      </c>
      <c r="T1714" s="28" t="s">
        <v>3640</v>
      </c>
      <c r="U1714" s="28" t="s">
        <v>3640</v>
      </c>
      <c r="V1714" s="28" t="s">
        <v>517</v>
      </c>
      <c r="W1714" s="28" t="s">
        <v>6501</v>
      </c>
      <c r="Z1714" s="118" t="s">
        <v>563</v>
      </c>
      <c r="AA1714" s="118"/>
      <c r="AB1714" s="118" t="s">
        <v>527</v>
      </c>
      <c r="AF1714" s="117"/>
      <c r="AK1714" s="60" t="s">
        <v>5515</v>
      </c>
      <c r="AL1714" s="117">
        <f>1/COUNTIF(Tableau6[LAT],B1714)</f>
        <v>1</v>
      </c>
      <c r="AM1714" s="60" t="b">
        <f t="shared" ref="AM1714:AM1733" si="192">IF(N1714="ALM","Yes",IF(N1714="ALI","Yes",IF(N1714="CAO","Yes",IF(N1714="ICE","Yes",IF(N1714="MAG","Yes",IF(N1714="MAG","Yes",IF(N1714="RBI","Yes",IF(N1714="RBM","Yes",IF(N1714="RCL","Yes",IF(N1714="RCM","Yes",IF(N1714="RCX","Yes",IF(N1714="RDS","Yes",IF(N1714="REQ","Yes",IF(N1714="REX","Yes",IF(N1714="RFG","Yes",IF(N1714="RFL","Yes",IF(N1714="RFS","Yes",IF(N1714="RFW","Yes",IF(N1714="RGX","Yes",IF(N1714="RIS",IF(N1714="RLI","Yes",IF(N1714="RLM","Yes",IF(N1714="RMD","Yes",IF(N1714="RNG","Yes",IF(N1714="ROP","Yes",IF(N1714="ROX","Yes",IF(N1714="RPB","Yes",IF(N1714="RPG","Yes",IF(N1714="RRE","Yes",IF(N1714="RRW","Yes",IF(N1714="RRY","Yes",IF(N1714="RSB","Yes",IF(N1714="RSC","Yes",IF(N1714="RXB","Yes",IF(N1714="RXC","Yes",IF(N1714="RXD","Yes",IF(N1714="RXE","Yes",IF(N1714="RXG","Yes",IF(N1714="RXS","Yes",)))))))))))))))))))))))))))))))))))))))</f>
        <v>0</v>
      </c>
      <c r="AN1714" s="60" t="b">
        <f t="shared" ref="AN1714:AN1733" si="193">IF(O1714="ALM","Yes",IF(O1714="ALI","Yes",IF(O1714="CAO","Yes",IF(O1714="ICE","Yes",IF(O1714="MAG","Yes",IF(O1714="MAG","Yes",IF(O1714="RBI","Yes",IF(O1714="RBM","Yes",IF(O1714="RCL","Yes",IF(O1714="RCM","Yes",IF(O1714="RCX","Yes",IF(O1714="RDS","Yes",IF(O1714="REQ","Yes",IF(O1714="REX","Yes",IF(O1714="RFG","Yes",IF(O1714="RFL","Yes",IF(O1714="RFS","Yes",IF(O1714="RFW","Yes",IF(O1714="RGX","Yes",IF(O1714="RIS",IF(O1714="RLI","Yes",IF(O1714="RLM","Yes",IF(O1714="RMD","Yes",IF(O1714="RNG","Yes",IF(O1714="ROP","Yes",IF(O1714="ROX","Yes",IF(O1714="RPB","Yes",IF(O1714="RPG","Yes",IF(O1714="RRE","Yes",IF(O1714="RRW","Yes",IF(O1714="RRY","Yes",IF(O1714="RSB","Yes",IF(O1714="RSC","Yes",IF(O1714="RXB","Yes",IF(O1714="RXC","Yes",IF(O1714="RXD","Yes",IF(O1714="RXE","Yes",IF(O1714="RXG","Yes",IF(O1714="RXS","Yes",)))))))))))))))))))))))))))))))))))))))</f>
        <v>0</v>
      </c>
      <c r="AO1714" s="60" t="b">
        <f t="shared" ref="AO1714:AO1733" si="194">IF(P1714="ALM","Yes",IF(P1714="ALI","Yes",IF(P1714="CAO","Yes",IF(P1714="ICE","Yes",IF(P1714="MAG","Yes",IF(P1714="MAG","Yes",IF(P1714="RBI","Yes",IF(P1714="RBM","Yes",IF(P1714="RCL","Yes",IF(P1714="RCM","Yes",IF(P1714="RCX","Yes",IF(P1714="RDS","Yes",IF(P1714="REQ","Yes",IF(P1714="REX","Yes",IF(P1714="RFG","Yes",IF(P1714="RFL","Yes",IF(P1714="RFS","Yes",IF(P1714="RFW","Yes",IF(P1714="RGX","Yes",IF(P1714="RIS",IF(P1714="RLI","Yes",IF(P1714="RLM","Yes",IF(P1714="RMD","Yes",IF(P1714="RNG","Yes",IF(P1714="ROP","Yes",IF(P1714="ROX","Yes",IF(P1714="RPB","Yes",IF(P1714="RPG","Yes",IF(P1714="RRE","Yes",IF(P1714="RRW","Yes",IF(P1714="RRY","Yes",IF(P1714="RSB","Yes",IF(P1714="RSC","Yes",IF(P1714="RXB","Yes",IF(P1714="RXC","Yes",IF(P1714="RXD","Yes",IF(P1714="RXE","Yes",IF(P1714="RXG","Yes",IF(P1714="RXS","Yes",)))))))))))))))))))))))))))))))))))))))</f>
        <v>0</v>
      </c>
      <c r="AP1714" s="60" t="b">
        <f t="shared" ref="AP1714:AP1733" si="195">IF(Q1714="ALM","Yes",IF(Q1714="ALI","Yes",IF(Q1714="CAO","Yes",IF(Q1714="ICE","Yes",IF(Q1714="MAG","Yes",IF(Q1714="MAG","Yes",IF(Q1714="RBI","Yes",IF(Q1714="RBM","Yes",IF(Q1714="RCL","Yes",IF(Q1714="RCM","Yes",IF(Q1714="RCX","Yes",IF(Q1714="RDS","Yes",IF(Q1714="REQ","Yes",IF(Q1714="REX","Yes",IF(Q1714="RFG","Yes",IF(Q1714="RFL","Yes",IF(Q1714="RFS","Yes",IF(Q1714="RFW","Yes",IF(Q1714="RGX","Yes",IF(Q1714="RIS",IF(Q1714="RLI","Yes",IF(Q1714="RLM","Yes",IF(Q1714="RMD","Yes",IF(Q1714="RNG","Yes",IF(Q1714="ROP","Yes",IF(Q1714="ROX","Yes",IF(Q1714="RPB","Yes",IF(Q1714="RPG","Yes",IF(Q1714="RRE","Yes",IF(Q1714="RRW","Yes",IF(Q1714="RRY","Yes",IF(Q1714="RSB","Yes",IF(Q1714="RSC","Yes",IF(Q1714="RXB","Yes",IF(Q1714="RXC","Yes",IF(Q1714="RXD","Yes",IF(Q1714="RXE","Yes",IF(Q1714="RXG","Yes",IF(Q1714="RXS","Yes",)))))))))))))))))))))))))))))))))))))))</f>
        <v>0</v>
      </c>
      <c r="AQ1714" s="60" t="b">
        <f t="shared" ref="AQ1714:AQ1733" si="196">IF(R1714="ALM","Yes",IF(R1714="ALI","Yes",IF(R1714="CAO","Yes",IF(R1714="ICE","Yes",IF(R1714="MAG","Yes",IF(R1714="MAG","Yes",IF(R1714="RBI","Yes",IF(R1714="RBM","Yes",IF(R1714="RCL","Yes",IF(R1714="RCM","Yes",IF(R1714="RCX","Yes",IF(R1714="RDS","Yes",IF(R1714="REQ","Yes",IF(R1714="REX","Yes",IF(R1714="RFG","Yes",IF(R1714="RFL","Yes",IF(R1714="RFS","Yes",IF(R1714="RFW","Yes",IF(R1714="RGX","Yes",IF(R1714="RIS",IF(R1714="RLI","Yes",IF(R1714="RLM","Yes",IF(R1714="RMD","Yes",IF(R1714="RNG","Yes",IF(R1714="ROP","Yes",IF(R1714="ROX","Yes",IF(R1714="RPB","Yes",IF(R1714="RPG","Yes",IF(R1714="RRE","Yes",IF(R1714="RRW","Yes",IF(R1714="RRY","Yes",IF(R1714="RSB","Yes",IF(R1714="RSC","Yes",IF(R1714="RXB","Yes",IF(R1714="RXC","Yes",IF(R1714="RXD","Yes",IF(R1714="RXE","Yes",IF(R1714="RXG","Yes",IF(R1714="RXS","Yes",)))))))))))))))))))))))))))))))))))))))</f>
        <v>0</v>
      </c>
      <c r="AR1714" s="60" t="str">
        <f t="shared" ref="AR1714:AR1733" si="197">IF(AM1714="Yes","Yes",IF(AN1714="Yes","Yes",IF(AO1714="yes","Yes",IF(AP1714="Yes","Yes","No"))))</f>
        <v>No</v>
      </c>
      <c r="AS1714" s="60" t="str">
        <f t="shared" ref="AS1714:AS1733" si="198">IF(S1714="QFA","Yes",IF(S1714="LCJ","Yes",IF(S1714="CAJ","Yes",IF(S1714="WRO","Yes",IF(S1714="BEY","Yes",IF(S1714="TUN","Yes",IF(S1714="LFW","Yes",IF(S1714="DLA","Yes",IF(S1714="NSI","Yes",IF(S1714="OUA","Yes",IF(S1714="IAH","Yes",IF(S1714="LYS","Yes",IF(S1714="DSS","Yes",IF(S1714="BKO","Yes",IF(S1714="BZV","Yes",IF(S1714="COO","Yes",IF(S1714="EZE","Yes",IF(S1714="CKY","Yes",IF(S1714="PTP","Yes",IF(S1714="ORD","Yes",IF(S1714="CFE","Yes",IF(S1714="NKC","Yes",IF(S1714="FDF","Yes",IF(S1714="SDQ","Yes",IF(S1714="PNR","Yes",IF(S1714="ICAY","Yes",IF(S1714="DTW","Yes",IF(S1714="TNR","Yes",IF(S1714="RUN","Yes",IF(S1714="NIM","Yes","No"))))))))))))))))))))))))))))))</f>
        <v>No</v>
      </c>
    </row>
    <row r="1715" spans="1:45" ht="15">
      <c r="A1715" s="103">
        <v>45244</v>
      </c>
      <c r="B1715" s="28" t="s">
        <v>6502</v>
      </c>
      <c r="C1715" s="28" t="s">
        <v>511</v>
      </c>
      <c r="D1715" s="28" t="s">
        <v>6503</v>
      </c>
      <c r="F1715" s="28" t="s">
        <v>4524</v>
      </c>
      <c r="G1715" s="28" t="s">
        <v>514</v>
      </c>
      <c r="H1715" s="28" t="s">
        <v>1554</v>
      </c>
      <c r="I1715" s="28" t="s">
        <v>516</v>
      </c>
      <c r="J1715" s="28" t="s">
        <v>517</v>
      </c>
      <c r="K1715" s="28" t="s">
        <v>518</v>
      </c>
      <c r="L1715" s="28" t="s">
        <v>5848</v>
      </c>
      <c r="M1715" s="28" t="s">
        <v>535</v>
      </c>
      <c r="N1715" s="28" t="s">
        <v>1523</v>
      </c>
      <c r="O1715" s="28" t="s">
        <v>522</v>
      </c>
      <c r="S1715" s="28" t="s">
        <v>6504</v>
      </c>
      <c r="T1715" s="28" t="s">
        <v>560</v>
      </c>
      <c r="U1715" s="28" t="s">
        <v>560</v>
      </c>
      <c r="V1715" s="28" t="s">
        <v>517</v>
      </c>
      <c r="W1715" s="28" t="s">
        <v>6505</v>
      </c>
      <c r="Z1715" s="118" t="s">
        <v>563</v>
      </c>
      <c r="AA1715" s="118"/>
      <c r="AB1715" s="118" t="s">
        <v>4506</v>
      </c>
      <c r="AF1715" s="117"/>
      <c r="AK1715" s="60" t="s">
        <v>5515</v>
      </c>
      <c r="AL1715" s="117">
        <f>1/COUNTIF(Tableau6[LAT],B1715)</f>
        <v>1</v>
      </c>
      <c r="AM1715" s="60" t="b">
        <f t="shared" si="192"/>
        <v>0</v>
      </c>
      <c r="AN1715" s="60" t="b">
        <f t="shared" si="193"/>
        <v>0</v>
      </c>
      <c r="AO1715" s="60" t="b">
        <f t="shared" si="194"/>
        <v>0</v>
      </c>
      <c r="AP1715" s="60" t="b">
        <f t="shared" si="195"/>
        <v>0</v>
      </c>
      <c r="AQ1715" s="60" t="b">
        <f t="shared" si="196"/>
        <v>0</v>
      </c>
      <c r="AR1715" s="60" t="str">
        <f t="shared" si="197"/>
        <v>No</v>
      </c>
      <c r="AS1715" s="60" t="str">
        <f t="shared" si="198"/>
        <v>No</v>
      </c>
    </row>
    <row r="1716" spans="1:45" ht="15">
      <c r="A1716" s="103">
        <v>45244</v>
      </c>
      <c r="B1716" s="28" t="s">
        <v>6506</v>
      </c>
      <c r="C1716" s="28" t="s">
        <v>511</v>
      </c>
      <c r="D1716" s="28" t="s">
        <v>6507</v>
      </c>
      <c r="F1716" s="28" t="s">
        <v>6508</v>
      </c>
      <c r="G1716" s="28" t="s">
        <v>514</v>
      </c>
      <c r="H1716" s="28" t="s">
        <v>2564</v>
      </c>
      <c r="I1716" s="28" t="s">
        <v>516</v>
      </c>
      <c r="J1716" s="28" t="s">
        <v>517</v>
      </c>
      <c r="K1716" s="28" t="s">
        <v>518</v>
      </c>
      <c r="L1716" s="28" t="s">
        <v>895</v>
      </c>
      <c r="M1716" s="28" t="s">
        <v>535</v>
      </c>
      <c r="N1716" s="28" t="s">
        <v>1415</v>
      </c>
      <c r="O1716" s="28" t="s">
        <v>1140</v>
      </c>
      <c r="P1716" s="28" t="s">
        <v>544</v>
      </c>
      <c r="Q1716" s="28" t="s">
        <v>522</v>
      </c>
      <c r="S1716" s="28" t="s">
        <v>6504</v>
      </c>
      <c r="T1716" s="28" t="s">
        <v>897</v>
      </c>
      <c r="U1716" s="28" t="s">
        <v>897</v>
      </c>
      <c r="V1716" s="28" t="s">
        <v>517</v>
      </c>
      <c r="W1716" s="28" t="s">
        <v>6509</v>
      </c>
      <c r="Z1716" s="118" t="s">
        <v>563</v>
      </c>
      <c r="AA1716" s="118"/>
      <c r="AB1716" s="118" t="s">
        <v>4506</v>
      </c>
      <c r="AF1716" s="117"/>
      <c r="AK1716" s="60" t="s">
        <v>5515</v>
      </c>
      <c r="AL1716" s="117">
        <f>1/COUNTIF(Tableau6[LAT],B1716)</f>
        <v>0.5</v>
      </c>
      <c r="AM1716" s="60" t="str">
        <f t="shared" si="192"/>
        <v>Yes</v>
      </c>
      <c r="AN1716" s="60" t="b">
        <f t="shared" si="193"/>
        <v>0</v>
      </c>
      <c r="AO1716" s="60" t="b">
        <f t="shared" si="194"/>
        <v>0</v>
      </c>
      <c r="AP1716" s="60" t="b">
        <f t="shared" si="195"/>
        <v>0</v>
      </c>
      <c r="AQ1716" s="60" t="b">
        <f t="shared" si="196"/>
        <v>0</v>
      </c>
      <c r="AR1716" s="60" t="str">
        <f t="shared" si="197"/>
        <v>Yes</v>
      </c>
      <c r="AS1716" s="60" t="str">
        <f t="shared" si="198"/>
        <v>No</v>
      </c>
    </row>
    <row r="1717" spans="1:45" ht="15">
      <c r="A1717" s="103">
        <v>45244</v>
      </c>
      <c r="B1717" s="28" t="s">
        <v>6506</v>
      </c>
      <c r="C1717" s="28" t="s">
        <v>548</v>
      </c>
      <c r="D1717" s="28" t="s">
        <v>6510</v>
      </c>
      <c r="F1717" s="28" t="s">
        <v>6508</v>
      </c>
      <c r="G1717" s="28" t="s">
        <v>514</v>
      </c>
      <c r="H1717" s="28" t="s">
        <v>6511</v>
      </c>
      <c r="I1717" s="28" t="s">
        <v>516</v>
      </c>
      <c r="J1717" s="28" t="s">
        <v>517</v>
      </c>
      <c r="K1717" s="28" t="s">
        <v>518</v>
      </c>
      <c r="L1717" s="28" t="s">
        <v>895</v>
      </c>
      <c r="M1717" s="28" t="s">
        <v>535</v>
      </c>
      <c r="N1717" s="28" t="s">
        <v>1415</v>
      </c>
      <c r="O1717" s="28" t="s">
        <v>1140</v>
      </c>
      <c r="P1717" s="28" t="s">
        <v>544</v>
      </c>
      <c r="Q1717" s="28" t="s">
        <v>522</v>
      </c>
      <c r="S1717" s="28" t="s">
        <v>6504</v>
      </c>
      <c r="T1717" s="28" t="s">
        <v>897</v>
      </c>
      <c r="U1717" s="28" t="s">
        <v>897</v>
      </c>
      <c r="V1717" s="28" t="s">
        <v>517</v>
      </c>
      <c r="W1717" s="28" t="s">
        <v>6512</v>
      </c>
      <c r="Z1717" s="118" t="s">
        <v>563</v>
      </c>
      <c r="AA1717" s="118"/>
      <c r="AB1717" s="118" t="s">
        <v>4506</v>
      </c>
      <c r="AF1717" s="117"/>
      <c r="AK1717" s="60" t="s">
        <v>5515</v>
      </c>
      <c r="AL1717" s="117">
        <f>1/COUNTIF(Tableau6[LAT],B1717)</f>
        <v>0.5</v>
      </c>
      <c r="AM1717" s="60" t="str">
        <f t="shared" si="192"/>
        <v>Yes</v>
      </c>
      <c r="AN1717" s="60" t="b">
        <f t="shared" si="193"/>
        <v>0</v>
      </c>
      <c r="AO1717" s="60" t="b">
        <f t="shared" si="194"/>
        <v>0</v>
      </c>
      <c r="AP1717" s="60" t="b">
        <f t="shared" si="195"/>
        <v>0</v>
      </c>
      <c r="AQ1717" s="60" t="b">
        <f t="shared" si="196"/>
        <v>0</v>
      </c>
      <c r="AR1717" s="60" t="str">
        <f t="shared" si="197"/>
        <v>Yes</v>
      </c>
      <c r="AS1717" s="60" t="str">
        <f t="shared" si="198"/>
        <v>No</v>
      </c>
    </row>
    <row r="1718" spans="1:45" ht="15">
      <c r="A1718" s="103">
        <v>45244</v>
      </c>
      <c r="B1718" s="28" t="s">
        <v>6513</v>
      </c>
      <c r="C1718" s="28" t="s">
        <v>511</v>
      </c>
      <c r="D1718" s="28" t="s">
        <v>6514</v>
      </c>
      <c r="F1718" s="28" t="s">
        <v>1848</v>
      </c>
      <c r="G1718" s="28" t="s">
        <v>514</v>
      </c>
      <c r="H1718" s="28" t="s">
        <v>2904</v>
      </c>
      <c r="I1718" s="28" t="s">
        <v>516</v>
      </c>
      <c r="J1718" s="28" t="s">
        <v>517</v>
      </c>
      <c r="K1718" s="28" t="s">
        <v>518</v>
      </c>
      <c r="L1718" s="28" t="s">
        <v>3553</v>
      </c>
      <c r="M1718" s="28" t="s">
        <v>535</v>
      </c>
      <c r="N1718" s="28" t="s">
        <v>521</v>
      </c>
      <c r="O1718" s="28" t="s">
        <v>544</v>
      </c>
      <c r="S1718" s="28" t="s">
        <v>1226</v>
      </c>
      <c r="T1718" s="28" t="s">
        <v>1366</v>
      </c>
      <c r="U1718" s="28" t="s">
        <v>1366</v>
      </c>
      <c r="V1718" s="28" t="s">
        <v>517</v>
      </c>
      <c r="W1718" s="28" t="s">
        <v>975</v>
      </c>
      <c r="Z1718" s="118" t="s">
        <v>563</v>
      </c>
      <c r="AA1718" s="118"/>
      <c r="AB1718" s="118" t="s">
        <v>4506</v>
      </c>
      <c r="AF1718" s="117"/>
      <c r="AK1718" s="60" t="s">
        <v>5515</v>
      </c>
      <c r="AL1718" s="117">
        <f>1/COUNTIF(Tableau6[LAT],B1718)</f>
        <v>1</v>
      </c>
      <c r="AM1718" s="60" t="b">
        <f t="shared" si="192"/>
        <v>0</v>
      </c>
      <c r="AN1718" s="60" t="b">
        <f t="shared" si="193"/>
        <v>0</v>
      </c>
      <c r="AO1718" s="60" t="b">
        <f t="shared" si="194"/>
        <v>0</v>
      </c>
      <c r="AP1718" s="60" t="b">
        <f t="shared" si="195"/>
        <v>0</v>
      </c>
      <c r="AQ1718" s="60" t="b">
        <f t="shared" si="196"/>
        <v>0</v>
      </c>
      <c r="AR1718" s="60" t="str">
        <f t="shared" si="197"/>
        <v>No</v>
      </c>
      <c r="AS1718" s="60" t="str">
        <f t="shared" si="198"/>
        <v>No</v>
      </c>
    </row>
    <row r="1719" spans="1:45" ht="15">
      <c r="A1719" s="103">
        <v>45244</v>
      </c>
      <c r="B1719" s="28" t="s">
        <v>6515</v>
      </c>
      <c r="C1719" s="28" t="s">
        <v>511</v>
      </c>
      <c r="D1719" s="28" t="s">
        <v>6516</v>
      </c>
      <c r="F1719" s="28" t="s">
        <v>6517</v>
      </c>
      <c r="G1719" s="28" t="s">
        <v>514</v>
      </c>
      <c r="H1719" s="28" t="s">
        <v>2701</v>
      </c>
      <c r="I1719" s="28" t="s">
        <v>516</v>
      </c>
      <c r="J1719" s="28" t="s">
        <v>517</v>
      </c>
      <c r="K1719" s="28" t="s">
        <v>518</v>
      </c>
      <c r="L1719" s="28" t="s">
        <v>1157</v>
      </c>
      <c r="M1719" s="28" t="s">
        <v>520</v>
      </c>
      <c r="N1719" s="28" t="s">
        <v>521</v>
      </c>
      <c r="O1719" s="28" t="s">
        <v>544</v>
      </c>
      <c r="P1719" s="28" t="s">
        <v>522</v>
      </c>
      <c r="S1719" s="28" t="s">
        <v>1366</v>
      </c>
      <c r="T1719" s="28" t="s">
        <v>1159</v>
      </c>
      <c r="U1719" s="28" t="s">
        <v>1159</v>
      </c>
      <c r="V1719" s="28" t="s">
        <v>517</v>
      </c>
      <c r="W1719" s="28" t="s">
        <v>6518</v>
      </c>
      <c r="Z1719" s="118" t="s">
        <v>563</v>
      </c>
      <c r="AA1719" s="118"/>
      <c r="AB1719" s="118" t="s">
        <v>527</v>
      </c>
      <c r="AF1719" s="117"/>
      <c r="AK1719" s="60" t="s">
        <v>5515</v>
      </c>
      <c r="AL1719" s="117">
        <f>1/COUNTIF(Tableau6[LAT],B1719)</f>
        <v>0.33333333333333331</v>
      </c>
      <c r="AM1719" s="60" t="b">
        <f t="shared" si="192"/>
        <v>0</v>
      </c>
      <c r="AN1719" s="60" t="b">
        <f t="shared" si="193"/>
        <v>0</v>
      </c>
      <c r="AO1719" s="60" t="b">
        <f t="shared" si="194"/>
        <v>0</v>
      </c>
      <c r="AP1719" s="60" t="b">
        <f t="shared" si="195"/>
        <v>0</v>
      </c>
      <c r="AQ1719" s="60" t="b">
        <f t="shared" si="196"/>
        <v>0</v>
      </c>
      <c r="AR1719" s="60" t="str">
        <f t="shared" si="197"/>
        <v>No</v>
      </c>
      <c r="AS1719" s="60" t="str">
        <f t="shared" si="198"/>
        <v>No</v>
      </c>
    </row>
    <row r="1720" spans="1:45" ht="15">
      <c r="A1720" s="103">
        <v>45244</v>
      </c>
      <c r="B1720" s="28" t="s">
        <v>6515</v>
      </c>
      <c r="C1720" s="28" t="s">
        <v>548</v>
      </c>
      <c r="D1720" s="28" t="s">
        <v>6519</v>
      </c>
      <c r="F1720" s="28" t="s">
        <v>6517</v>
      </c>
      <c r="G1720" s="28" t="s">
        <v>514</v>
      </c>
      <c r="H1720" s="28" t="s">
        <v>2701</v>
      </c>
      <c r="I1720" s="28" t="s">
        <v>516</v>
      </c>
      <c r="J1720" s="28" t="s">
        <v>517</v>
      </c>
      <c r="K1720" s="28" t="s">
        <v>518</v>
      </c>
      <c r="L1720" s="28" t="s">
        <v>1157</v>
      </c>
      <c r="M1720" s="28" t="s">
        <v>520</v>
      </c>
      <c r="N1720" s="28" t="s">
        <v>521</v>
      </c>
      <c r="O1720" s="28" t="s">
        <v>544</v>
      </c>
      <c r="P1720" s="28" t="s">
        <v>522</v>
      </c>
      <c r="S1720" s="28" t="s">
        <v>1366</v>
      </c>
      <c r="T1720" s="28" t="s">
        <v>1159</v>
      </c>
      <c r="U1720" s="28" t="s">
        <v>1159</v>
      </c>
      <c r="V1720" s="28" t="s">
        <v>517</v>
      </c>
      <c r="W1720" s="28" t="s">
        <v>1620</v>
      </c>
      <c r="Z1720" s="118" t="s">
        <v>563</v>
      </c>
      <c r="AA1720" s="118"/>
      <c r="AB1720" s="118" t="s">
        <v>527</v>
      </c>
      <c r="AF1720" s="117"/>
      <c r="AK1720" s="60" t="s">
        <v>5515</v>
      </c>
      <c r="AL1720" s="117">
        <f>1/COUNTIF(Tableau6[LAT],B1720)</f>
        <v>0.33333333333333331</v>
      </c>
      <c r="AM1720" s="60" t="b">
        <f t="shared" si="192"/>
        <v>0</v>
      </c>
      <c r="AN1720" s="60" t="b">
        <f t="shared" si="193"/>
        <v>0</v>
      </c>
      <c r="AO1720" s="60" t="b">
        <f t="shared" si="194"/>
        <v>0</v>
      </c>
      <c r="AP1720" s="60" t="b">
        <f t="shared" si="195"/>
        <v>0</v>
      </c>
      <c r="AQ1720" s="60" t="b">
        <f t="shared" si="196"/>
        <v>0</v>
      </c>
      <c r="AR1720" s="60" t="str">
        <f t="shared" si="197"/>
        <v>No</v>
      </c>
      <c r="AS1720" s="60" t="str">
        <f t="shared" si="198"/>
        <v>No</v>
      </c>
    </row>
    <row r="1721" spans="1:45" ht="15">
      <c r="A1721" s="103">
        <v>45244</v>
      </c>
      <c r="B1721" s="28" t="s">
        <v>6515</v>
      </c>
      <c r="C1721" s="28" t="s">
        <v>612</v>
      </c>
      <c r="D1721" s="28" t="s">
        <v>6520</v>
      </c>
      <c r="F1721" s="28" t="s">
        <v>6517</v>
      </c>
      <c r="G1721" s="28" t="s">
        <v>514</v>
      </c>
      <c r="H1721" s="28" t="s">
        <v>2701</v>
      </c>
      <c r="I1721" s="28" t="s">
        <v>516</v>
      </c>
      <c r="J1721" s="28" t="s">
        <v>517</v>
      </c>
      <c r="K1721" s="28" t="s">
        <v>518</v>
      </c>
      <c r="L1721" s="28" t="s">
        <v>1157</v>
      </c>
      <c r="M1721" s="28" t="s">
        <v>520</v>
      </c>
      <c r="N1721" s="28" t="s">
        <v>521</v>
      </c>
      <c r="O1721" s="28" t="s">
        <v>544</v>
      </c>
      <c r="P1721" s="28" t="s">
        <v>522</v>
      </c>
      <c r="S1721" s="28" t="s">
        <v>1366</v>
      </c>
      <c r="T1721" s="28" t="s">
        <v>1159</v>
      </c>
      <c r="U1721" s="28" t="s">
        <v>1159</v>
      </c>
      <c r="V1721" s="28" t="s">
        <v>517</v>
      </c>
      <c r="W1721" s="28" t="s">
        <v>1620</v>
      </c>
      <c r="Z1721" s="118" t="s">
        <v>563</v>
      </c>
      <c r="AA1721" s="118"/>
      <c r="AB1721" s="118" t="s">
        <v>527</v>
      </c>
      <c r="AF1721" s="117"/>
      <c r="AK1721" s="60" t="s">
        <v>5515</v>
      </c>
      <c r="AL1721" s="117">
        <f>1/COUNTIF(Tableau6[LAT],B1721)</f>
        <v>0.33333333333333331</v>
      </c>
      <c r="AM1721" s="60" t="b">
        <f t="shared" si="192"/>
        <v>0</v>
      </c>
      <c r="AN1721" s="60" t="b">
        <f t="shared" si="193"/>
        <v>0</v>
      </c>
      <c r="AO1721" s="60" t="b">
        <f t="shared" si="194"/>
        <v>0</v>
      </c>
      <c r="AP1721" s="60" t="b">
        <f t="shared" si="195"/>
        <v>0</v>
      </c>
      <c r="AQ1721" s="60" t="b">
        <f t="shared" si="196"/>
        <v>0</v>
      </c>
      <c r="AR1721" s="60" t="str">
        <f t="shared" si="197"/>
        <v>No</v>
      </c>
      <c r="AS1721" s="60" t="str">
        <f t="shared" si="198"/>
        <v>No</v>
      </c>
    </row>
    <row r="1722" spans="1:45" ht="15">
      <c r="A1722" s="103">
        <v>45244</v>
      </c>
      <c r="B1722" s="28" t="s">
        <v>6521</v>
      </c>
      <c r="C1722" s="28" t="s">
        <v>548</v>
      </c>
      <c r="D1722" s="28" t="s">
        <v>6522</v>
      </c>
      <c r="F1722" s="28" t="s">
        <v>3120</v>
      </c>
      <c r="G1722" s="28" t="s">
        <v>958</v>
      </c>
      <c r="H1722" s="28" t="s">
        <v>2741</v>
      </c>
      <c r="I1722" s="28" t="s">
        <v>516</v>
      </c>
      <c r="J1722" s="28" t="s">
        <v>517</v>
      </c>
      <c r="K1722" s="28" t="s">
        <v>518</v>
      </c>
      <c r="L1722" s="28" t="s">
        <v>739</v>
      </c>
      <c r="M1722" s="28" t="s">
        <v>535</v>
      </c>
      <c r="N1722" s="28" t="s">
        <v>557</v>
      </c>
      <c r="O1722" s="28" t="s">
        <v>544</v>
      </c>
      <c r="P1722" s="28" t="s">
        <v>559</v>
      </c>
      <c r="S1722" s="28" t="s">
        <v>1529</v>
      </c>
      <c r="T1722" s="28" t="s">
        <v>741</v>
      </c>
      <c r="U1722" s="28" t="s">
        <v>741</v>
      </c>
      <c r="V1722" s="28" t="s">
        <v>517</v>
      </c>
      <c r="W1722" s="28" t="s">
        <v>4472</v>
      </c>
      <c r="Z1722" s="118" t="s">
        <v>563</v>
      </c>
      <c r="AA1722" s="118"/>
      <c r="AB1722" s="118" t="s">
        <v>6523</v>
      </c>
      <c r="AF1722" s="117"/>
      <c r="AK1722" s="60" t="s">
        <v>5515</v>
      </c>
      <c r="AL1722" s="117">
        <f>1/COUNTIF(Tableau6[LAT],B1722)</f>
        <v>1</v>
      </c>
      <c r="AM1722" s="60" t="b">
        <f t="shared" si="192"/>
        <v>0</v>
      </c>
      <c r="AN1722" s="60" t="b">
        <f t="shared" si="193"/>
        <v>0</v>
      </c>
      <c r="AO1722" s="60" t="b">
        <f t="shared" si="194"/>
        <v>0</v>
      </c>
      <c r="AP1722" s="60" t="b">
        <f t="shared" si="195"/>
        <v>0</v>
      </c>
      <c r="AQ1722" s="60" t="b">
        <f t="shared" si="196"/>
        <v>0</v>
      </c>
      <c r="AR1722" s="60" t="str">
        <f t="shared" si="197"/>
        <v>No</v>
      </c>
      <c r="AS1722" s="60" t="str">
        <f t="shared" si="198"/>
        <v>No</v>
      </c>
    </row>
    <row r="1723" spans="1:45" ht="15">
      <c r="A1723" s="103">
        <v>45244</v>
      </c>
      <c r="B1723" s="28" t="s">
        <v>6524</v>
      </c>
      <c r="C1723" s="28" t="s">
        <v>511</v>
      </c>
      <c r="D1723" s="28" t="s">
        <v>6525</v>
      </c>
      <c r="F1723" s="28" t="s">
        <v>3623</v>
      </c>
      <c r="G1723" s="28" t="s">
        <v>514</v>
      </c>
      <c r="H1723" s="28" t="s">
        <v>1360</v>
      </c>
      <c r="I1723" s="28" t="s">
        <v>516</v>
      </c>
      <c r="J1723" s="28" t="s">
        <v>517</v>
      </c>
      <c r="K1723" s="28" t="s">
        <v>518</v>
      </c>
      <c r="L1723" s="28" t="s">
        <v>1269</v>
      </c>
      <c r="M1723" s="28" t="s">
        <v>535</v>
      </c>
      <c r="N1723" s="28" t="s">
        <v>522</v>
      </c>
      <c r="S1723" s="28" t="s">
        <v>1529</v>
      </c>
      <c r="T1723" s="28" t="s">
        <v>4244</v>
      </c>
      <c r="U1723" s="28" t="s">
        <v>1041</v>
      </c>
      <c r="V1723" s="28" t="s">
        <v>517</v>
      </c>
      <c r="W1723" s="28" t="s">
        <v>1271</v>
      </c>
      <c r="Z1723" s="118" t="s">
        <v>563</v>
      </c>
      <c r="AA1723" s="118"/>
      <c r="AB1723" s="118" t="s">
        <v>4506</v>
      </c>
      <c r="AF1723" s="117"/>
      <c r="AK1723" s="60" t="s">
        <v>5515</v>
      </c>
      <c r="AL1723" s="117">
        <f>1/COUNTIF(Tableau6[LAT],B1723)</f>
        <v>1</v>
      </c>
      <c r="AM1723" s="60" t="b">
        <f t="shared" si="192"/>
        <v>0</v>
      </c>
      <c r="AN1723" s="60" t="b">
        <f t="shared" si="193"/>
        <v>0</v>
      </c>
      <c r="AO1723" s="60" t="b">
        <f t="shared" si="194"/>
        <v>0</v>
      </c>
      <c r="AP1723" s="60" t="b">
        <f t="shared" si="195"/>
        <v>0</v>
      </c>
      <c r="AQ1723" s="60" t="b">
        <f t="shared" si="196"/>
        <v>0</v>
      </c>
      <c r="AR1723" s="60" t="str">
        <f t="shared" si="197"/>
        <v>No</v>
      </c>
      <c r="AS1723" s="60" t="str">
        <f t="shared" si="198"/>
        <v>No</v>
      </c>
    </row>
    <row r="1724" spans="1:45" ht="15">
      <c r="A1724" s="103">
        <v>45244</v>
      </c>
      <c r="B1724" s="28" t="s">
        <v>6526</v>
      </c>
      <c r="C1724" s="28" t="s">
        <v>511</v>
      </c>
      <c r="D1724" s="28" t="s">
        <v>6527</v>
      </c>
      <c r="F1724" s="28" t="s">
        <v>1688</v>
      </c>
      <c r="G1724" s="28" t="s">
        <v>514</v>
      </c>
      <c r="H1724" s="28" t="s">
        <v>1953</v>
      </c>
      <c r="I1724" s="28" t="s">
        <v>516</v>
      </c>
      <c r="J1724" s="28" t="s">
        <v>517</v>
      </c>
      <c r="K1724" s="28" t="s">
        <v>518</v>
      </c>
      <c r="L1724" s="28" t="s">
        <v>1013</v>
      </c>
      <c r="M1724" s="28" t="s">
        <v>605</v>
      </c>
      <c r="N1724" s="28" t="s">
        <v>557</v>
      </c>
      <c r="O1724" s="28" t="s">
        <v>522</v>
      </c>
      <c r="S1724" s="28" t="s">
        <v>606</v>
      </c>
      <c r="T1724" s="28" t="s">
        <v>1015</v>
      </c>
      <c r="U1724" s="28" t="s">
        <v>1015</v>
      </c>
      <c r="V1724" s="28" t="s">
        <v>517</v>
      </c>
      <c r="W1724" s="28" t="s">
        <v>6528</v>
      </c>
      <c r="Z1724" s="118" t="s">
        <v>563</v>
      </c>
      <c r="AA1724" s="118"/>
      <c r="AB1724" s="118" t="s">
        <v>4506</v>
      </c>
      <c r="AF1724" s="117"/>
      <c r="AK1724" s="60" t="s">
        <v>5515</v>
      </c>
      <c r="AL1724" s="117">
        <f>1/COUNTIF(Tableau6[LAT],B1724)</f>
        <v>0.16666666666666666</v>
      </c>
      <c r="AM1724" s="60" t="b">
        <f t="shared" si="192"/>
        <v>0</v>
      </c>
      <c r="AN1724" s="60" t="b">
        <f t="shared" si="193"/>
        <v>0</v>
      </c>
      <c r="AO1724" s="60" t="b">
        <f t="shared" si="194"/>
        <v>0</v>
      </c>
      <c r="AP1724" s="60" t="b">
        <f t="shared" si="195"/>
        <v>0</v>
      </c>
      <c r="AQ1724" s="60" t="b">
        <f t="shared" si="196"/>
        <v>0</v>
      </c>
      <c r="AR1724" s="60" t="str">
        <f t="shared" si="197"/>
        <v>No</v>
      </c>
      <c r="AS1724" s="60" t="str">
        <f t="shared" si="198"/>
        <v>No</v>
      </c>
    </row>
    <row r="1725" spans="1:45" ht="15">
      <c r="A1725" s="103">
        <v>45244</v>
      </c>
      <c r="B1725" s="28" t="s">
        <v>6526</v>
      </c>
      <c r="C1725" s="28" t="s">
        <v>691</v>
      </c>
      <c r="D1725" s="28" t="s">
        <v>6529</v>
      </c>
      <c r="F1725" s="28" t="s">
        <v>1688</v>
      </c>
      <c r="G1725" s="28" t="s">
        <v>514</v>
      </c>
      <c r="H1725" s="28" t="s">
        <v>2135</v>
      </c>
      <c r="I1725" s="28" t="s">
        <v>516</v>
      </c>
      <c r="J1725" s="28" t="s">
        <v>517</v>
      </c>
      <c r="K1725" s="28" t="s">
        <v>518</v>
      </c>
      <c r="L1725" s="28" t="s">
        <v>1013</v>
      </c>
      <c r="M1725" s="28" t="s">
        <v>605</v>
      </c>
      <c r="N1725" s="28" t="s">
        <v>557</v>
      </c>
      <c r="O1725" s="28" t="s">
        <v>522</v>
      </c>
      <c r="S1725" s="28" t="s">
        <v>606</v>
      </c>
      <c r="T1725" s="28" t="s">
        <v>1015</v>
      </c>
      <c r="U1725" s="28" t="s">
        <v>1015</v>
      </c>
      <c r="V1725" s="28" t="s">
        <v>517</v>
      </c>
      <c r="W1725" s="28" t="s">
        <v>6530</v>
      </c>
      <c r="Z1725" s="118" t="s">
        <v>563</v>
      </c>
      <c r="AA1725" s="118"/>
      <c r="AB1725" s="118" t="s">
        <v>4506</v>
      </c>
      <c r="AF1725" s="117"/>
      <c r="AK1725" s="60" t="s">
        <v>5515</v>
      </c>
      <c r="AL1725" s="117">
        <f>1/COUNTIF(Tableau6[LAT],B1725)</f>
        <v>0.16666666666666666</v>
      </c>
      <c r="AM1725" s="60" t="b">
        <f t="shared" si="192"/>
        <v>0</v>
      </c>
      <c r="AN1725" s="60" t="b">
        <f t="shared" si="193"/>
        <v>0</v>
      </c>
      <c r="AO1725" s="60" t="b">
        <f t="shared" si="194"/>
        <v>0</v>
      </c>
      <c r="AP1725" s="60" t="b">
        <f t="shared" si="195"/>
        <v>0</v>
      </c>
      <c r="AQ1725" s="60" t="b">
        <f t="shared" si="196"/>
        <v>0</v>
      </c>
      <c r="AR1725" s="60" t="str">
        <f t="shared" si="197"/>
        <v>No</v>
      </c>
      <c r="AS1725" s="60" t="str">
        <f t="shared" si="198"/>
        <v>No</v>
      </c>
    </row>
    <row r="1726" spans="1:45" ht="15">
      <c r="A1726" s="103">
        <v>45244</v>
      </c>
      <c r="B1726" s="28" t="s">
        <v>6531</v>
      </c>
      <c r="C1726" s="28" t="s">
        <v>511</v>
      </c>
      <c r="D1726" s="28" t="s">
        <v>6532</v>
      </c>
      <c r="F1726" s="28" t="s">
        <v>6533</v>
      </c>
      <c r="G1726" s="28" t="s">
        <v>514</v>
      </c>
      <c r="H1726" s="28" t="s">
        <v>2135</v>
      </c>
      <c r="I1726" s="28" t="s">
        <v>516</v>
      </c>
      <c r="J1726" s="28" t="s">
        <v>517</v>
      </c>
      <c r="K1726" s="28" t="s">
        <v>518</v>
      </c>
      <c r="L1726" s="28" t="s">
        <v>1917</v>
      </c>
      <c r="M1726" s="28" t="s">
        <v>520</v>
      </c>
      <c r="N1726" s="28" t="s">
        <v>557</v>
      </c>
      <c r="O1726" s="28" t="s">
        <v>522</v>
      </c>
      <c r="S1726" s="28" t="s">
        <v>6534</v>
      </c>
      <c r="T1726" s="28" t="s">
        <v>1918</v>
      </c>
      <c r="U1726" s="28" t="s">
        <v>1918</v>
      </c>
      <c r="V1726" s="28" t="s">
        <v>517</v>
      </c>
      <c r="W1726" s="28" t="s">
        <v>1322</v>
      </c>
      <c r="Z1726" s="118" t="s">
        <v>563</v>
      </c>
      <c r="AA1726" s="118"/>
      <c r="AB1726" s="118" t="s">
        <v>527</v>
      </c>
      <c r="AF1726" s="117"/>
      <c r="AK1726" s="60" t="s">
        <v>5515</v>
      </c>
      <c r="AL1726" s="117">
        <f>1/COUNTIF(Tableau6[LAT],B1726)</f>
        <v>1</v>
      </c>
      <c r="AM1726" s="60" t="b">
        <f t="shared" si="192"/>
        <v>0</v>
      </c>
      <c r="AN1726" s="60" t="b">
        <f t="shared" si="193"/>
        <v>0</v>
      </c>
      <c r="AO1726" s="60" t="b">
        <f t="shared" si="194"/>
        <v>0</v>
      </c>
      <c r="AP1726" s="60" t="b">
        <f t="shared" si="195"/>
        <v>0</v>
      </c>
      <c r="AQ1726" s="60" t="b">
        <f t="shared" si="196"/>
        <v>0</v>
      </c>
      <c r="AR1726" s="60" t="str">
        <f t="shared" si="197"/>
        <v>No</v>
      </c>
      <c r="AS1726" s="60" t="str">
        <f t="shared" si="198"/>
        <v>No</v>
      </c>
    </row>
    <row r="1727" spans="1:45" ht="15">
      <c r="A1727" s="103">
        <v>45244</v>
      </c>
      <c r="B1727" s="28" t="s">
        <v>6535</v>
      </c>
      <c r="C1727" s="28" t="s">
        <v>511</v>
      </c>
      <c r="D1727" s="28" t="s">
        <v>6536</v>
      </c>
      <c r="F1727" s="28" t="s">
        <v>6537</v>
      </c>
      <c r="G1727" s="28" t="s">
        <v>514</v>
      </c>
      <c r="H1727" s="28" t="s">
        <v>1291</v>
      </c>
      <c r="I1727" s="28" t="s">
        <v>516</v>
      </c>
      <c r="J1727" s="28" t="s">
        <v>517</v>
      </c>
      <c r="K1727" s="28" t="s">
        <v>518</v>
      </c>
      <c r="L1727" s="28" t="s">
        <v>2951</v>
      </c>
      <c r="M1727" s="28" t="s">
        <v>520</v>
      </c>
      <c r="N1727" s="28" t="s">
        <v>1140</v>
      </c>
      <c r="O1727" s="28" t="s">
        <v>557</v>
      </c>
      <c r="P1727" s="28" t="s">
        <v>544</v>
      </c>
      <c r="S1727" s="28" t="s">
        <v>6538</v>
      </c>
      <c r="T1727" s="28" t="s">
        <v>1263</v>
      </c>
      <c r="U1727" s="28" t="s">
        <v>1263</v>
      </c>
      <c r="V1727" s="28" t="s">
        <v>517</v>
      </c>
      <c r="W1727" s="28" t="s">
        <v>2952</v>
      </c>
      <c r="Z1727" s="118" t="s">
        <v>563</v>
      </c>
      <c r="AA1727" s="118"/>
      <c r="AB1727" s="118" t="s">
        <v>527</v>
      </c>
      <c r="AF1727" s="117"/>
      <c r="AK1727" s="60" t="s">
        <v>5515</v>
      </c>
      <c r="AL1727" s="117">
        <f>1/COUNTIF(Tableau6[LAT],B1727)</f>
        <v>1</v>
      </c>
      <c r="AM1727" s="60" t="b">
        <f t="shared" si="192"/>
        <v>0</v>
      </c>
      <c r="AN1727" s="60" t="b">
        <f t="shared" si="193"/>
        <v>0</v>
      </c>
      <c r="AO1727" s="60" t="b">
        <f t="shared" si="194"/>
        <v>0</v>
      </c>
      <c r="AP1727" s="60" t="b">
        <f t="shared" si="195"/>
        <v>0</v>
      </c>
      <c r="AQ1727" s="60" t="b">
        <f t="shared" si="196"/>
        <v>0</v>
      </c>
      <c r="AR1727" s="60" t="str">
        <f t="shared" si="197"/>
        <v>No</v>
      </c>
      <c r="AS1727" s="60" t="str">
        <f t="shared" si="198"/>
        <v>No</v>
      </c>
    </row>
    <row r="1728" spans="1:45" ht="15">
      <c r="A1728" s="103">
        <v>45244</v>
      </c>
      <c r="B1728" s="28" t="s">
        <v>6539</v>
      </c>
      <c r="C1728" s="28" t="s">
        <v>511</v>
      </c>
      <c r="D1728" s="28" t="s">
        <v>6540</v>
      </c>
      <c r="E1728" s="28" t="s">
        <v>5896</v>
      </c>
      <c r="F1728" s="28" t="s">
        <v>6541</v>
      </c>
      <c r="G1728" s="28" t="s">
        <v>1077</v>
      </c>
      <c r="H1728" s="28" t="s">
        <v>933</v>
      </c>
      <c r="I1728" s="28" t="s">
        <v>516</v>
      </c>
      <c r="J1728" s="28" t="s">
        <v>517</v>
      </c>
      <c r="K1728" s="28" t="s">
        <v>682</v>
      </c>
      <c r="L1728" s="28" t="s">
        <v>5680</v>
      </c>
      <c r="M1728" s="28" t="s">
        <v>535</v>
      </c>
      <c r="N1728" s="28" t="s">
        <v>522</v>
      </c>
      <c r="S1728" s="28" t="s">
        <v>6542</v>
      </c>
      <c r="T1728" s="28" t="s">
        <v>1918</v>
      </c>
      <c r="U1728" s="28" t="s">
        <v>1918</v>
      </c>
      <c r="V1728" s="28" t="s">
        <v>517</v>
      </c>
      <c r="W1728" s="28" t="s">
        <v>5897</v>
      </c>
      <c r="Z1728" s="118" t="s">
        <v>563</v>
      </c>
      <c r="AA1728" s="118"/>
      <c r="AB1728" s="118" t="s">
        <v>527</v>
      </c>
      <c r="AF1728" s="117"/>
      <c r="AK1728" s="60" t="s">
        <v>5515</v>
      </c>
      <c r="AL1728" s="117">
        <f>1/COUNTIF(Tableau6[LAT],B1728)</f>
        <v>0.33333333333333331</v>
      </c>
      <c r="AM1728" s="60" t="b">
        <f t="shared" si="192"/>
        <v>0</v>
      </c>
      <c r="AN1728" s="60" t="b">
        <f t="shared" si="193"/>
        <v>0</v>
      </c>
      <c r="AO1728" s="60" t="b">
        <f t="shared" si="194"/>
        <v>0</v>
      </c>
      <c r="AP1728" s="60" t="b">
        <f t="shared" si="195"/>
        <v>0</v>
      </c>
      <c r="AQ1728" s="60" t="b">
        <f t="shared" si="196"/>
        <v>0</v>
      </c>
      <c r="AR1728" s="60" t="str">
        <f t="shared" si="197"/>
        <v>No</v>
      </c>
      <c r="AS1728" s="60" t="str">
        <f t="shared" si="198"/>
        <v>No</v>
      </c>
    </row>
    <row r="1729" spans="1:45" ht="15">
      <c r="A1729" s="103">
        <v>45244</v>
      </c>
      <c r="B1729" s="28" t="s">
        <v>6539</v>
      </c>
      <c r="C1729" s="28" t="s">
        <v>548</v>
      </c>
      <c r="D1729" s="28" t="s">
        <v>6543</v>
      </c>
      <c r="E1729" s="28" t="s">
        <v>5831</v>
      </c>
      <c r="F1729" s="28" t="s">
        <v>6025</v>
      </c>
      <c r="G1729" s="28" t="s">
        <v>657</v>
      </c>
      <c r="H1729" s="28" t="s">
        <v>4438</v>
      </c>
      <c r="I1729" s="28" t="s">
        <v>516</v>
      </c>
      <c r="J1729" s="28" t="s">
        <v>517</v>
      </c>
      <c r="K1729" s="28" t="s">
        <v>682</v>
      </c>
      <c r="L1729" s="28" t="s">
        <v>5680</v>
      </c>
      <c r="M1729" s="28" t="s">
        <v>535</v>
      </c>
      <c r="N1729" s="28" t="s">
        <v>522</v>
      </c>
      <c r="S1729" s="28" t="s">
        <v>6542</v>
      </c>
      <c r="T1729" s="28" t="s">
        <v>1918</v>
      </c>
      <c r="U1729" s="28" t="s">
        <v>1918</v>
      </c>
      <c r="V1729" s="28" t="s">
        <v>517</v>
      </c>
      <c r="W1729" s="28" t="s">
        <v>5832</v>
      </c>
      <c r="Z1729" s="118" t="s">
        <v>563</v>
      </c>
      <c r="AA1729" s="118"/>
      <c r="AB1729" s="118" t="s">
        <v>527</v>
      </c>
      <c r="AF1729" s="117"/>
      <c r="AK1729" s="60" t="s">
        <v>5515</v>
      </c>
      <c r="AL1729" s="117">
        <f>1/COUNTIF(Tableau6[LAT],B1729)</f>
        <v>0.33333333333333331</v>
      </c>
      <c r="AM1729" s="60" t="b">
        <f t="shared" si="192"/>
        <v>0</v>
      </c>
      <c r="AN1729" s="60" t="b">
        <f t="shared" si="193"/>
        <v>0</v>
      </c>
      <c r="AO1729" s="60" t="b">
        <f t="shared" si="194"/>
        <v>0</v>
      </c>
      <c r="AP1729" s="60" t="b">
        <f t="shared" si="195"/>
        <v>0</v>
      </c>
      <c r="AQ1729" s="60" t="b">
        <f t="shared" si="196"/>
        <v>0</v>
      </c>
      <c r="AR1729" s="60" t="str">
        <f t="shared" si="197"/>
        <v>No</v>
      </c>
      <c r="AS1729" s="60" t="str">
        <f t="shared" si="198"/>
        <v>No</v>
      </c>
    </row>
    <row r="1730" spans="1:45" ht="15">
      <c r="A1730" s="103">
        <v>45244</v>
      </c>
      <c r="B1730" s="28" t="s">
        <v>6539</v>
      </c>
      <c r="C1730" s="28" t="s">
        <v>612</v>
      </c>
      <c r="D1730" s="28" t="s">
        <v>6544</v>
      </c>
      <c r="E1730" s="28" t="s">
        <v>5896</v>
      </c>
      <c r="F1730" s="28" t="s">
        <v>6545</v>
      </c>
      <c r="G1730" s="28" t="s">
        <v>979</v>
      </c>
      <c r="H1730" s="28" t="s">
        <v>542</v>
      </c>
      <c r="I1730" s="28" t="s">
        <v>516</v>
      </c>
      <c r="J1730" s="28" t="s">
        <v>517</v>
      </c>
      <c r="K1730" s="28" t="s">
        <v>682</v>
      </c>
      <c r="L1730" s="28" t="s">
        <v>5680</v>
      </c>
      <c r="M1730" s="28" t="s">
        <v>535</v>
      </c>
      <c r="N1730" s="28" t="s">
        <v>522</v>
      </c>
      <c r="S1730" s="28" t="s">
        <v>6542</v>
      </c>
      <c r="T1730" s="28" t="s">
        <v>1918</v>
      </c>
      <c r="U1730" s="28" t="s">
        <v>1918</v>
      </c>
      <c r="V1730" s="28" t="s">
        <v>517</v>
      </c>
      <c r="W1730" s="28" t="s">
        <v>5897</v>
      </c>
      <c r="Z1730" s="118" t="s">
        <v>563</v>
      </c>
      <c r="AA1730" s="118"/>
      <c r="AB1730" s="118" t="s">
        <v>527</v>
      </c>
      <c r="AF1730" s="117"/>
      <c r="AK1730" s="60" t="s">
        <v>5515</v>
      </c>
      <c r="AL1730" s="117">
        <f>1/COUNTIF(Tableau6[LAT],B1730)</f>
        <v>0.33333333333333331</v>
      </c>
      <c r="AM1730" s="60" t="b">
        <f t="shared" si="192"/>
        <v>0</v>
      </c>
      <c r="AN1730" s="60" t="b">
        <f t="shared" si="193"/>
        <v>0</v>
      </c>
      <c r="AO1730" s="60" t="b">
        <f t="shared" si="194"/>
        <v>0</v>
      </c>
      <c r="AP1730" s="60" t="b">
        <f t="shared" si="195"/>
        <v>0</v>
      </c>
      <c r="AQ1730" s="60" t="b">
        <f t="shared" si="196"/>
        <v>0</v>
      </c>
      <c r="AR1730" s="60" t="str">
        <f t="shared" si="197"/>
        <v>No</v>
      </c>
      <c r="AS1730" s="60" t="str">
        <f t="shared" si="198"/>
        <v>No</v>
      </c>
    </row>
    <row r="1731" spans="1:45" ht="15">
      <c r="A1731" s="103">
        <v>45244</v>
      </c>
      <c r="B1731" s="28" t="s">
        <v>6546</v>
      </c>
      <c r="C1731" s="28" t="s">
        <v>511</v>
      </c>
      <c r="D1731" s="28" t="s">
        <v>6547</v>
      </c>
      <c r="F1731" s="28" t="s">
        <v>1579</v>
      </c>
      <c r="G1731" s="28" t="s">
        <v>1886</v>
      </c>
      <c r="H1731" s="28" t="s">
        <v>3793</v>
      </c>
      <c r="I1731" s="28" t="s">
        <v>516</v>
      </c>
      <c r="J1731" s="28" t="s">
        <v>517</v>
      </c>
      <c r="K1731" s="28" t="s">
        <v>518</v>
      </c>
      <c r="L1731" s="28" t="s">
        <v>2100</v>
      </c>
      <c r="M1731" s="28" t="s">
        <v>535</v>
      </c>
      <c r="S1731" s="28" t="s">
        <v>6542</v>
      </c>
      <c r="T1731" s="28" t="s">
        <v>1918</v>
      </c>
      <c r="U1731" s="28" t="s">
        <v>1918</v>
      </c>
      <c r="V1731" s="28" t="s">
        <v>517</v>
      </c>
      <c r="W1731" s="28" t="s">
        <v>6548</v>
      </c>
      <c r="Z1731" s="118" t="s">
        <v>563</v>
      </c>
      <c r="AA1731" s="118"/>
      <c r="AB1731" s="118" t="s">
        <v>4506</v>
      </c>
      <c r="AF1731" s="117"/>
      <c r="AK1731" s="60" t="s">
        <v>5515</v>
      </c>
      <c r="AL1731" s="117">
        <f>1/COUNTIF(Tableau6[LAT],B1731)</f>
        <v>1</v>
      </c>
      <c r="AM1731" s="60" t="b">
        <f t="shared" si="192"/>
        <v>0</v>
      </c>
      <c r="AN1731" s="60" t="b">
        <f t="shared" si="193"/>
        <v>0</v>
      </c>
      <c r="AO1731" s="60" t="b">
        <f t="shared" si="194"/>
        <v>0</v>
      </c>
      <c r="AP1731" s="60" t="b">
        <f t="shared" si="195"/>
        <v>0</v>
      </c>
      <c r="AQ1731" s="60" t="b">
        <f t="shared" si="196"/>
        <v>0</v>
      </c>
      <c r="AR1731" s="60" t="str">
        <f t="shared" si="197"/>
        <v>No</v>
      </c>
      <c r="AS1731" s="60" t="str">
        <f t="shared" si="198"/>
        <v>No</v>
      </c>
    </row>
    <row r="1732" spans="1:45" ht="15">
      <c r="A1732" s="103">
        <v>45244</v>
      </c>
      <c r="B1732" s="28" t="s">
        <v>6549</v>
      </c>
      <c r="C1732" s="28" t="s">
        <v>511</v>
      </c>
      <c r="D1732" s="28" t="s">
        <v>6550</v>
      </c>
      <c r="F1732" s="28" t="s">
        <v>6551</v>
      </c>
      <c r="G1732" s="28" t="s">
        <v>514</v>
      </c>
      <c r="H1732" s="28" t="s">
        <v>624</v>
      </c>
      <c r="I1732" s="28" t="s">
        <v>516</v>
      </c>
      <c r="J1732" s="28" t="s">
        <v>517</v>
      </c>
      <c r="K1732" s="28" t="s">
        <v>518</v>
      </c>
      <c r="L1732" s="28" t="s">
        <v>1917</v>
      </c>
      <c r="M1732" s="28" t="s">
        <v>520</v>
      </c>
      <c r="N1732" s="28" t="s">
        <v>1124</v>
      </c>
      <c r="O1732" s="28" t="s">
        <v>557</v>
      </c>
      <c r="P1732" s="28" t="s">
        <v>544</v>
      </c>
      <c r="Q1732" s="28" t="s">
        <v>559</v>
      </c>
      <c r="S1732" s="28" t="s">
        <v>1226</v>
      </c>
      <c r="T1732" s="28" t="s">
        <v>1918</v>
      </c>
      <c r="U1732" s="28" t="s">
        <v>1918</v>
      </c>
      <c r="V1732" s="28" t="s">
        <v>517</v>
      </c>
      <c r="W1732" s="28" t="s">
        <v>6552</v>
      </c>
      <c r="Z1732" s="118" t="s">
        <v>563</v>
      </c>
      <c r="AA1732" s="118"/>
      <c r="AB1732" s="118" t="s">
        <v>527</v>
      </c>
      <c r="AF1732" s="117"/>
      <c r="AK1732" s="60" t="s">
        <v>5515</v>
      </c>
      <c r="AL1732" s="117">
        <f>1/COUNTIF(Tableau6[LAT],B1732)</f>
        <v>0.5</v>
      </c>
      <c r="AM1732" s="60" t="b">
        <f t="shared" si="192"/>
        <v>0</v>
      </c>
      <c r="AN1732" s="60" t="b">
        <f t="shared" si="193"/>
        <v>0</v>
      </c>
      <c r="AO1732" s="60" t="b">
        <f t="shared" si="194"/>
        <v>0</v>
      </c>
      <c r="AP1732" s="60" t="b">
        <f t="shared" si="195"/>
        <v>0</v>
      </c>
      <c r="AQ1732" s="60" t="b">
        <f t="shared" si="196"/>
        <v>0</v>
      </c>
      <c r="AR1732" s="60" t="str">
        <f t="shared" si="197"/>
        <v>No</v>
      </c>
      <c r="AS1732" s="60" t="str">
        <f t="shared" si="198"/>
        <v>No</v>
      </c>
    </row>
    <row r="1733" spans="1:45" ht="15">
      <c r="A1733" s="103">
        <v>45244</v>
      </c>
      <c r="B1733" s="28" t="s">
        <v>6549</v>
      </c>
      <c r="C1733" s="28" t="s">
        <v>548</v>
      </c>
      <c r="D1733" s="28" t="s">
        <v>6553</v>
      </c>
      <c r="F1733" s="28" t="s">
        <v>6551</v>
      </c>
      <c r="G1733" s="28" t="s">
        <v>514</v>
      </c>
      <c r="H1733" s="28" t="s">
        <v>579</v>
      </c>
      <c r="I1733" s="28" t="s">
        <v>516</v>
      </c>
      <c r="J1733" s="28" t="s">
        <v>517</v>
      </c>
      <c r="K1733" s="28" t="s">
        <v>518</v>
      </c>
      <c r="L1733" s="28" t="s">
        <v>1917</v>
      </c>
      <c r="M1733" s="28" t="s">
        <v>520</v>
      </c>
      <c r="N1733" s="28" t="s">
        <v>1124</v>
      </c>
      <c r="O1733" s="28" t="s">
        <v>557</v>
      </c>
      <c r="P1733" s="28" t="s">
        <v>544</v>
      </c>
      <c r="Q1733" s="28" t="s">
        <v>559</v>
      </c>
      <c r="S1733" s="28" t="s">
        <v>1226</v>
      </c>
      <c r="T1733" s="28" t="s">
        <v>1918</v>
      </c>
      <c r="U1733" s="28" t="s">
        <v>1918</v>
      </c>
      <c r="V1733" s="28" t="s">
        <v>517</v>
      </c>
      <c r="W1733" s="28" t="s">
        <v>6554</v>
      </c>
      <c r="Z1733" s="118" t="s">
        <v>563</v>
      </c>
      <c r="AA1733" s="118"/>
      <c r="AB1733" s="118" t="s">
        <v>527</v>
      </c>
      <c r="AF1733" s="117"/>
      <c r="AK1733" s="60" t="s">
        <v>5515</v>
      </c>
      <c r="AL1733" s="117">
        <f>1/COUNTIF(Tableau6[LAT],B1733)</f>
        <v>0.5</v>
      </c>
      <c r="AM1733" s="60" t="b">
        <f t="shared" si="192"/>
        <v>0</v>
      </c>
      <c r="AN1733" s="60" t="b">
        <f t="shared" si="193"/>
        <v>0</v>
      </c>
      <c r="AO1733" s="60" t="b">
        <f t="shared" si="194"/>
        <v>0</v>
      </c>
      <c r="AP1733" s="60" t="b">
        <f t="shared" si="195"/>
        <v>0</v>
      </c>
      <c r="AQ1733" s="60" t="b">
        <f t="shared" si="196"/>
        <v>0</v>
      </c>
      <c r="AR1733" s="60" t="str">
        <f t="shared" si="197"/>
        <v>No</v>
      </c>
      <c r="AS1733" s="60" t="str">
        <f t="shared" si="198"/>
        <v>No</v>
      </c>
    </row>
    <row r="1734" spans="1:45" hidden="1">
      <c r="A1734" s="103">
        <v>45244</v>
      </c>
      <c r="B1734" s="117" t="s">
        <v>6555</v>
      </c>
      <c r="C1734" s="28" t="s">
        <v>511</v>
      </c>
      <c r="D1734" s="28" t="s">
        <v>6556</v>
      </c>
      <c r="F1734" s="28" t="s">
        <v>3144</v>
      </c>
      <c r="G1734" s="28" t="s">
        <v>958</v>
      </c>
      <c r="H1734" s="28" t="s">
        <v>1120</v>
      </c>
      <c r="I1734" s="28" t="s">
        <v>517</v>
      </c>
      <c r="J1734" s="28" t="s">
        <v>517</v>
      </c>
      <c r="K1734" s="28" t="s">
        <v>682</v>
      </c>
      <c r="L1734" s="28" t="s">
        <v>683</v>
      </c>
      <c r="M1734" s="28" t="s">
        <v>535</v>
      </c>
      <c r="S1734" s="28" t="s">
        <v>573</v>
      </c>
      <c r="T1734" s="28" t="s">
        <v>545</v>
      </c>
      <c r="U1734" s="28" t="s">
        <v>545</v>
      </c>
      <c r="V1734" s="28" t="s">
        <v>517</v>
      </c>
      <c r="W1734" s="28" t="s">
        <v>6557</v>
      </c>
      <c r="AF1734" s="117"/>
      <c r="AK1734" s="60" t="s">
        <v>6558</v>
      </c>
      <c r="AL1734" s="117">
        <f>1/COUNTIF(Tableau6[LAT],B1734)</f>
        <v>1</v>
      </c>
      <c r="AM1734" s="60" t="b">
        <f t="shared" ref="AM1734:AM1797" si="199">IF(N1734="ALM","Yes",IF(N1734="ALI","Yes",IF(N1734="CAO","Yes",IF(N1734="ICE","Yes",IF(N1734="MAG","Yes",IF(N1734="MAG","Yes",IF(N1734="RBI","Yes",IF(N1734="RBM","Yes",IF(N1734="RCL","Yes",IF(N1734="RCM","Yes",IF(N1734="RCX","Yes",IF(N1734="RDS","Yes",IF(N1734="REQ","Yes",IF(N1734="REX","Yes",IF(N1734="RFG","Yes",IF(N1734="RFL","Yes",IF(N1734="RFS","Yes",IF(N1734="RFW","Yes",IF(N1734="RGX","Yes",IF(N1734="RIS",IF(N1734="RLI","Yes",IF(N1734="RLM","Yes",IF(N1734="RMD","Yes",IF(N1734="RNG","Yes",IF(N1734="ROP","Yes",IF(N1734="ROX","Yes",IF(N1734="RPB","Yes",IF(N1734="RPG","Yes",IF(N1734="RRE","Yes",IF(N1734="RRW","Yes",IF(N1734="RRY","Yes",IF(N1734="RSB","Yes",IF(N1734="RSC","Yes",IF(N1734="RXB","Yes",IF(N1734="RXC","Yes",IF(N1734="RXD","Yes",IF(N1734="RXE","Yes",IF(N1734="RXG","Yes",IF(N1734="RXS","Yes",)))))))))))))))))))))))))))))))))))))))</f>
        <v>0</v>
      </c>
      <c r="AN1734" s="60" t="b">
        <f t="shared" ref="AN1734:AN1797" si="200">IF(O1734="ALM","Yes",IF(O1734="ALI","Yes",IF(O1734="CAO","Yes",IF(O1734="ICE","Yes",IF(O1734="MAG","Yes",IF(O1734="MAG","Yes",IF(O1734="RBI","Yes",IF(O1734="RBM","Yes",IF(O1734="RCL","Yes",IF(O1734="RCM","Yes",IF(O1734="RCX","Yes",IF(O1734="RDS","Yes",IF(O1734="REQ","Yes",IF(O1734="REX","Yes",IF(O1734="RFG","Yes",IF(O1734="RFL","Yes",IF(O1734="RFS","Yes",IF(O1734="RFW","Yes",IF(O1734="RGX","Yes",IF(O1734="RIS",IF(O1734="RLI","Yes",IF(O1734="RLM","Yes",IF(O1734="RMD","Yes",IF(O1734="RNG","Yes",IF(O1734="ROP","Yes",IF(O1734="ROX","Yes",IF(O1734="RPB","Yes",IF(O1734="RPG","Yes",IF(O1734="RRE","Yes",IF(O1734="RRW","Yes",IF(O1734="RRY","Yes",IF(O1734="RSB","Yes",IF(O1734="RSC","Yes",IF(O1734="RXB","Yes",IF(O1734="RXC","Yes",IF(O1734="RXD","Yes",IF(O1734="RXE","Yes",IF(O1734="RXG","Yes",IF(O1734="RXS","Yes",)))))))))))))))))))))))))))))))))))))))</f>
        <v>0</v>
      </c>
      <c r="AO1734" s="60" t="b">
        <f t="shared" ref="AO1734:AO1797" si="201">IF(P1734="ALM","Yes",IF(P1734="ALI","Yes",IF(P1734="CAO","Yes",IF(P1734="ICE","Yes",IF(P1734="MAG","Yes",IF(P1734="MAG","Yes",IF(P1734="RBI","Yes",IF(P1734="RBM","Yes",IF(P1734="RCL","Yes",IF(P1734="RCM","Yes",IF(P1734="RCX","Yes",IF(P1734="RDS","Yes",IF(P1734="REQ","Yes",IF(P1734="REX","Yes",IF(P1734="RFG","Yes",IF(P1734="RFL","Yes",IF(P1734="RFS","Yes",IF(P1734="RFW","Yes",IF(P1734="RGX","Yes",IF(P1734="RIS",IF(P1734="RLI","Yes",IF(P1734="RLM","Yes",IF(P1734="RMD","Yes",IF(P1734="RNG","Yes",IF(P1734="ROP","Yes",IF(P1734="ROX","Yes",IF(P1734="RPB","Yes",IF(P1734="RPG","Yes",IF(P1734="RRE","Yes",IF(P1734="RRW","Yes",IF(P1734="RRY","Yes",IF(P1734="RSB","Yes",IF(P1734="RSC","Yes",IF(P1734="RXB","Yes",IF(P1734="RXC","Yes",IF(P1734="RXD","Yes",IF(P1734="RXE","Yes",IF(P1734="RXG","Yes",IF(P1734="RXS","Yes",)))))))))))))))))))))))))))))))))))))))</f>
        <v>0</v>
      </c>
      <c r="AP1734" s="60" t="b">
        <f t="shared" ref="AP1734:AP1797" si="202">IF(Q1734="ALM","Yes",IF(Q1734="ALI","Yes",IF(Q1734="CAO","Yes",IF(Q1734="ICE","Yes",IF(Q1734="MAG","Yes",IF(Q1734="MAG","Yes",IF(Q1734="RBI","Yes",IF(Q1734="RBM","Yes",IF(Q1734="RCL","Yes",IF(Q1734="RCM","Yes",IF(Q1734="RCX","Yes",IF(Q1734="RDS","Yes",IF(Q1734="REQ","Yes",IF(Q1734="REX","Yes",IF(Q1734="RFG","Yes",IF(Q1734="RFL","Yes",IF(Q1734="RFS","Yes",IF(Q1734="RFW","Yes",IF(Q1734="RGX","Yes",IF(Q1734="RIS",IF(Q1734="RLI","Yes",IF(Q1734="RLM","Yes",IF(Q1734="RMD","Yes",IF(Q1734="RNG","Yes",IF(Q1734="ROP","Yes",IF(Q1734="ROX","Yes",IF(Q1734="RPB","Yes",IF(Q1734="RPG","Yes",IF(Q1734="RRE","Yes",IF(Q1734="RRW","Yes",IF(Q1734="RRY","Yes",IF(Q1734="RSB","Yes",IF(Q1734="RSC","Yes",IF(Q1734="RXB","Yes",IF(Q1734="RXC","Yes",IF(Q1734="RXD","Yes",IF(Q1734="RXE","Yes",IF(Q1734="RXG","Yes",IF(Q1734="RXS","Yes",)))))))))))))))))))))))))))))))))))))))</f>
        <v>0</v>
      </c>
      <c r="AQ1734" s="60" t="b">
        <f t="shared" ref="AQ1734:AQ1797" si="203">IF(R1734="ALM","Yes",IF(R1734="ALI","Yes",IF(R1734="CAO","Yes",IF(R1734="ICE","Yes",IF(R1734="MAG","Yes",IF(R1734="MAG","Yes",IF(R1734="RBI","Yes",IF(R1734="RBM","Yes",IF(R1734="RCL","Yes",IF(R1734="RCM","Yes",IF(R1734="RCX","Yes",IF(R1734="RDS","Yes",IF(R1734="REQ","Yes",IF(R1734="REX","Yes",IF(R1734="RFG","Yes",IF(R1734="RFL","Yes",IF(R1734="RFS","Yes",IF(R1734="RFW","Yes",IF(R1734="RGX","Yes",IF(R1734="RIS",IF(R1734="RLI","Yes",IF(R1734="RLM","Yes",IF(R1734="RMD","Yes",IF(R1734="RNG","Yes",IF(R1734="ROP","Yes",IF(R1734="ROX","Yes",IF(R1734="RPB","Yes",IF(R1734="RPG","Yes",IF(R1734="RRE","Yes",IF(R1734="RRW","Yes",IF(R1734="RRY","Yes",IF(R1734="RSB","Yes",IF(R1734="RSC","Yes",IF(R1734="RXB","Yes",IF(R1734="RXC","Yes",IF(R1734="RXD","Yes",IF(R1734="RXE","Yes",IF(R1734="RXG","Yes",IF(R1734="RXS","Yes",)))))))))))))))))))))))))))))))))))))))</f>
        <v>0</v>
      </c>
      <c r="AR1734" s="60" t="str">
        <f t="shared" ref="AR1734:AR1797" si="204">IF(AM1734="Yes","Yes",IF(AN1734="Yes","Yes",IF(AO1734="yes","Yes",IF(AP1734="Yes","Yes","No"))))</f>
        <v>No</v>
      </c>
      <c r="AS1734" s="60" t="str">
        <f t="shared" ref="AS1734:AS1797" si="205">IF(S1734="QFA","Yes",IF(S1734="LCJ","Yes",IF(S1734="CAJ","Yes",IF(S1734="WRO","Yes",IF(S1734="BEY","Yes",IF(S1734="TUN","Yes",IF(S1734="LFW","Yes",IF(S1734="DLA","Yes",IF(S1734="NSI","Yes",IF(S1734="OUA","Yes",IF(S1734="IAH","Yes",IF(S1734="LYS","Yes",IF(S1734="DSS","Yes",IF(S1734="BKO","Yes",IF(S1734="BZV","Yes",IF(S1734="COO","Yes",IF(S1734="EZE","Yes",IF(S1734="CKY","Yes",IF(S1734="PTP","Yes",IF(S1734="ORD","Yes",IF(S1734="CFE","Yes",IF(S1734="NKC","Yes",IF(S1734="FDF","Yes",IF(S1734="SDQ","Yes",IF(S1734="PNR","Yes",IF(S1734="ICAY","Yes",IF(S1734="DTW","Yes",IF(S1734="TNR","Yes",IF(S1734="RUN","Yes",IF(S1734="NIM","Yes","No"))))))))))))))))))))))))))))))</f>
        <v>No</v>
      </c>
    </row>
    <row r="1735" spans="1:45" hidden="1">
      <c r="A1735" s="103">
        <v>45244</v>
      </c>
      <c r="B1735" s="117" t="s">
        <v>6559</v>
      </c>
      <c r="C1735" s="28" t="s">
        <v>511</v>
      </c>
      <c r="D1735" s="28" t="s">
        <v>6560</v>
      </c>
      <c r="F1735" s="28" t="s">
        <v>2534</v>
      </c>
      <c r="G1735" s="28" t="s">
        <v>514</v>
      </c>
      <c r="H1735" s="28" t="s">
        <v>2614</v>
      </c>
      <c r="I1735" s="28" t="s">
        <v>517</v>
      </c>
      <c r="J1735" s="28" t="s">
        <v>517</v>
      </c>
      <c r="K1735" s="28" t="s">
        <v>682</v>
      </c>
      <c r="L1735" s="28" t="s">
        <v>683</v>
      </c>
      <c r="M1735" s="28" t="s">
        <v>535</v>
      </c>
      <c r="S1735" s="28" t="s">
        <v>573</v>
      </c>
      <c r="T1735" s="28" t="s">
        <v>545</v>
      </c>
      <c r="U1735" s="28" t="s">
        <v>545</v>
      </c>
      <c r="V1735" s="28" t="s">
        <v>517</v>
      </c>
      <c r="W1735" s="28" t="s">
        <v>6561</v>
      </c>
      <c r="AF1735" s="117"/>
      <c r="AK1735" s="60" t="s">
        <v>6558</v>
      </c>
      <c r="AL1735" s="117">
        <f>1/COUNTIF(Tableau6[LAT],B1735)</f>
        <v>1</v>
      </c>
      <c r="AM1735" s="60" t="b">
        <f t="shared" si="199"/>
        <v>0</v>
      </c>
      <c r="AN1735" s="60" t="b">
        <f t="shared" si="200"/>
        <v>0</v>
      </c>
      <c r="AO1735" s="60" t="b">
        <f t="shared" si="201"/>
        <v>0</v>
      </c>
      <c r="AP1735" s="60" t="b">
        <f t="shared" si="202"/>
        <v>0</v>
      </c>
      <c r="AQ1735" s="60" t="b">
        <f t="shared" si="203"/>
        <v>0</v>
      </c>
      <c r="AR1735" s="60" t="str">
        <f t="shared" si="204"/>
        <v>No</v>
      </c>
      <c r="AS1735" s="60" t="str">
        <f t="shared" si="205"/>
        <v>No</v>
      </c>
    </row>
    <row r="1736" spans="1:45" hidden="1">
      <c r="A1736" s="103">
        <v>45244</v>
      </c>
      <c r="B1736" s="117" t="s">
        <v>6562</v>
      </c>
      <c r="C1736" s="28" t="s">
        <v>511</v>
      </c>
      <c r="D1736" s="28" t="s">
        <v>6563</v>
      </c>
      <c r="F1736" s="28" t="s">
        <v>594</v>
      </c>
      <c r="G1736" s="28" t="s">
        <v>514</v>
      </c>
      <c r="H1736" s="28" t="s">
        <v>915</v>
      </c>
      <c r="I1736" s="28" t="s">
        <v>517</v>
      </c>
      <c r="J1736" s="28" t="s">
        <v>517</v>
      </c>
      <c r="K1736" s="28" t="s">
        <v>518</v>
      </c>
      <c r="L1736" s="28" t="s">
        <v>5029</v>
      </c>
      <c r="M1736" s="28" t="s">
        <v>535</v>
      </c>
      <c r="N1736" s="28" t="s">
        <v>521</v>
      </c>
      <c r="O1736" s="28" t="s">
        <v>544</v>
      </c>
      <c r="P1736" s="28" t="s">
        <v>522</v>
      </c>
      <c r="Q1736" s="28" t="s">
        <v>627</v>
      </c>
      <c r="S1736" s="28" t="s">
        <v>573</v>
      </c>
      <c r="T1736" s="28" t="s">
        <v>6048</v>
      </c>
      <c r="U1736" s="28" t="s">
        <v>6048</v>
      </c>
      <c r="V1736" s="28" t="s">
        <v>517</v>
      </c>
      <c r="W1736" s="28" t="s">
        <v>5552</v>
      </c>
      <c r="AF1736" s="117"/>
      <c r="AK1736" s="60" t="s">
        <v>6558</v>
      </c>
      <c r="AL1736" s="117">
        <f>1/COUNTIF(Tableau6[LAT],B1736)</f>
        <v>1</v>
      </c>
      <c r="AM1736" s="60" t="b">
        <f t="shared" si="199"/>
        <v>0</v>
      </c>
      <c r="AN1736" s="60" t="b">
        <f t="shared" si="200"/>
        <v>0</v>
      </c>
      <c r="AO1736" s="60" t="b">
        <f t="shared" si="201"/>
        <v>0</v>
      </c>
      <c r="AP1736" s="60" t="b">
        <f t="shared" si="202"/>
        <v>0</v>
      </c>
      <c r="AQ1736" s="60" t="b">
        <f t="shared" si="203"/>
        <v>0</v>
      </c>
      <c r="AR1736" s="60" t="str">
        <f t="shared" si="204"/>
        <v>No</v>
      </c>
      <c r="AS1736" s="60" t="str">
        <f t="shared" si="205"/>
        <v>No</v>
      </c>
    </row>
    <row r="1737" spans="1:45" hidden="1">
      <c r="A1737" s="103">
        <v>45244</v>
      </c>
      <c r="B1737" s="117" t="s">
        <v>6564</v>
      </c>
      <c r="C1737" s="28" t="s">
        <v>511</v>
      </c>
      <c r="D1737" s="28" t="s">
        <v>6565</v>
      </c>
      <c r="F1737" s="28" t="s">
        <v>6566</v>
      </c>
      <c r="G1737" s="28" t="s">
        <v>514</v>
      </c>
      <c r="H1737" s="28" t="s">
        <v>915</v>
      </c>
      <c r="I1737" s="28" t="s">
        <v>516</v>
      </c>
      <c r="J1737" s="28" t="s">
        <v>517</v>
      </c>
      <c r="K1737" s="28" t="s">
        <v>518</v>
      </c>
      <c r="L1737" s="28" t="s">
        <v>774</v>
      </c>
      <c r="M1737" s="28" t="s">
        <v>605</v>
      </c>
      <c r="N1737" s="28" t="s">
        <v>619</v>
      </c>
      <c r="O1737" s="28" t="s">
        <v>934</v>
      </c>
      <c r="S1737" s="28" t="s">
        <v>897</v>
      </c>
      <c r="T1737" s="28" t="s">
        <v>776</v>
      </c>
      <c r="U1737" s="28" t="s">
        <v>776</v>
      </c>
      <c r="V1737" s="28" t="s">
        <v>517</v>
      </c>
      <c r="W1737" s="28" t="s">
        <v>2390</v>
      </c>
      <c r="AF1737" s="117"/>
      <c r="AK1737" s="60" t="s">
        <v>6558</v>
      </c>
      <c r="AL1737" s="117">
        <f>1/COUNTIF(Tableau6[LAT],B1737)</f>
        <v>1</v>
      </c>
      <c r="AM1737" s="60" t="b">
        <f t="shared" si="199"/>
        <v>0</v>
      </c>
      <c r="AN1737" s="60" t="b">
        <f t="shared" si="200"/>
        <v>0</v>
      </c>
      <c r="AO1737" s="60" t="b">
        <f t="shared" si="201"/>
        <v>0</v>
      </c>
      <c r="AP1737" s="60" t="b">
        <f t="shared" si="202"/>
        <v>0</v>
      </c>
      <c r="AQ1737" s="60" t="b">
        <f t="shared" si="203"/>
        <v>0</v>
      </c>
      <c r="AR1737" s="60" t="str">
        <f t="shared" si="204"/>
        <v>No</v>
      </c>
      <c r="AS1737" s="60" t="str">
        <f t="shared" si="205"/>
        <v>No</v>
      </c>
    </row>
    <row r="1738" spans="1:45" hidden="1">
      <c r="A1738" s="103">
        <v>45244</v>
      </c>
      <c r="B1738" s="117" t="s">
        <v>6567</v>
      </c>
      <c r="C1738" s="28" t="s">
        <v>511</v>
      </c>
      <c r="D1738" s="28" t="s">
        <v>6568</v>
      </c>
      <c r="F1738" s="28" t="s">
        <v>6569</v>
      </c>
      <c r="G1738" s="28" t="s">
        <v>514</v>
      </c>
      <c r="H1738" s="28" t="s">
        <v>3771</v>
      </c>
      <c r="I1738" s="28" t="s">
        <v>516</v>
      </c>
      <c r="J1738" s="28" t="s">
        <v>517</v>
      </c>
      <c r="K1738" s="28" t="s">
        <v>682</v>
      </c>
      <c r="L1738" s="28" t="s">
        <v>1262</v>
      </c>
      <c r="M1738" s="28" t="s">
        <v>535</v>
      </c>
      <c r="N1738" s="28" t="s">
        <v>522</v>
      </c>
      <c r="S1738" s="28" t="s">
        <v>1052</v>
      </c>
      <c r="T1738" s="28" t="s">
        <v>733</v>
      </c>
      <c r="U1738" s="28" t="s">
        <v>1264</v>
      </c>
      <c r="V1738" s="28" t="s">
        <v>517</v>
      </c>
      <c r="W1738" s="28" t="s">
        <v>856</v>
      </c>
      <c r="AF1738" s="117"/>
      <c r="AK1738" s="60" t="s">
        <v>6558</v>
      </c>
      <c r="AL1738" s="117">
        <f>1/COUNTIF(Tableau6[LAT],B1738)</f>
        <v>0.25</v>
      </c>
      <c r="AM1738" s="60" t="b">
        <f t="shared" si="199"/>
        <v>0</v>
      </c>
      <c r="AN1738" s="60" t="b">
        <f t="shared" si="200"/>
        <v>0</v>
      </c>
      <c r="AO1738" s="60" t="b">
        <f t="shared" si="201"/>
        <v>0</v>
      </c>
      <c r="AP1738" s="60" t="b">
        <f t="shared" si="202"/>
        <v>0</v>
      </c>
      <c r="AQ1738" s="60" t="b">
        <f t="shared" si="203"/>
        <v>0</v>
      </c>
      <c r="AR1738" s="60" t="str">
        <f t="shared" si="204"/>
        <v>No</v>
      </c>
      <c r="AS1738" s="60" t="str">
        <f t="shared" si="205"/>
        <v>No</v>
      </c>
    </row>
    <row r="1739" spans="1:45" hidden="1">
      <c r="A1739" s="103">
        <v>45244</v>
      </c>
      <c r="B1739" s="117" t="s">
        <v>6567</v>
      </c>
      <c r="C1739" s="28" t="s">
        <v>548</v>
      </c>
      <c r="D1739" s="28" t="s">
        <v>6570</v>
      </c>
      <c r="F1739" s="28" t="s">
        <v>6569</v>
      </c>
      <c r="G1739" s="28" t="s">
        <v>514</v>
      </c>
      <c r="H1739" s="28" t="s">
        <v>3771</v>
      </c>
      <c r="I1739" s="28" t="s">
        <v>516</v>
      </c>
      <c r="J1739" s="28" t="s">
        <v>517</v>
      </c>
      <c r="K1739" s="28" t="s">
        <v>682</v>
      </c>
      <c r="L1739" s="28" t="s">
        <v>1262</v>
      </c>
      <c r="M1739" s="28" t="s">
        <v>535</v>
      </c>
      <c r="N1739" s="28" t="s">
        <v>522</v>
      </c>
      <c r="S1739" s="28" t="s">
        <v>1052</v>
      </c>
      <c r="T1739" s="28" t="s">
        <v>733</v>
      </c>
      <c r="U1739" s="28" t="s">
        <v>1264</v>
      </c>
      <c r="V1739" s="28" t="s">
        <v>517</v>
      </c>
      <c r="W1739" s="28" t="s">
        <v>6571</v>
      </c>
      <c r="AF1739" s="117"/>
      <c r="AK1739" s="60" t="s">
        <v>6558</v>
      </c>
      <c r="AL1739" s="117">
        <f>1/COUNTIF(Tableau6[LAT],B1739)</f>
        <v>0.25</v>
      </c>
      <c r="AM1739" s="60" t="b">
        <f t="shared" si="199"/>
        <v>0</v>
      </c>
      <c r="AN1739" s="60" t="b">
        <f t="shared" si="200"/>
        <v>0</v>
      </c>
      <c r="AO1739" s="60" t="b">
        <f t="shared" si="201"/>
        <v>0</v>
      </c>
      <c r="AP1739" s="60" t="b">
        <f t="shared" si="202"/>
        <v>0</v>
      </c>
      <c r="AQ1739" s="60" t="b">
        <f t="shared" si="203"/>
        <v>0</v>
      </c>
      <c r="AR1739" s="60" t="str">
        <f t="shared" si="204"/>
        <v>No</v>
      </c>
      <c r="AS1739" s="60" t="str">
        <f t="shared" si="205"/>
        <v>No</v>
      </c>
    </row>
    <row r="1740" spans="1:45" hidden="1">
      <c r="A1740" s="103">
        <v>45244</v>
      </c>
      <c r="B1740" s="117" t="s">
        <v>6567</v>
      </c>
      <c r="C1740" s="28" t="s">
        <v>612</v>
      </c>
      <c r="D1740" s="28" t="s">
        <v>6572</v>
      </c>
      <c r="F1740" s="28" t="s">
        <v>6569</v>
      </c>
      <c r="G1740" s="28" t="s">
        <v>514</v>
      </c>
      <c r="H1740" s="28" t="s">
        <v>3771</v>
      </c>
      <c r="I1740" s="28" t="s">
        <v>516</v>
      </c>
      <c r="J1740" s="28" t="s">
        <v>517</v>
      </c>
      <c r="K1740" s="28" t="s">
        <v>682</v>
      </c>
      <c r="L1740" s="28" t="s">
        <v>1262</v>
      </c>
      <c r="M1740" s="28" t="s">
        <v>535</v>
      </c>
      <c r="N1740" s="28" t="s">
        <v>522</v>
      </c>
      <c r="S1740" s="28" t="s">
        <v>1052</v>
      </c>
      <c r="T1740" s="28" t="s">
        <v>733</v>
      </c>
      <c r="U1740" s="28" t="s">
        <v>1264</v>
      </c>
      <c r="V1740" s="28" t="s">
        <v>517</v>
      </c>
      <c r="W1740" s="28" t="s">
        <v>6571</v>
      </c>
      <c r="AF1740" s="117"/>
      <c r="AK1740" s="60" t="s">
        <v>6558</v>
      </c>
      <c r="AL1740" s="117">
        <f>1/COUNTIF(Tableau6[LAT],B1740)</f>
        <v>0.25</v>
      </c>
      <c r="AM1740" s="60" t="b">
        <f t="shared" si="199"/>
        <v>0</v>
      </c>
      <c r="AN1740" s="60" t="b">
        <f t="shared" si="200"/>
        <v>0</v>
      </c>
      <c r="AO1740" s="60" t="b">
        <f t="shared" si="201"/>
        <v>0</v>
      </c>
      <c r="AP1740" s="60" t="b">
        <f t="shared" si="202"/>
        <v>0</v>
      </c>
      <c r="AQ1740" s="60" t="b">
        <f t="shared" si="203"/>
        <v>0</v>
      </c>
      <c r="AR1740" s="60" t="str">
        <f t="shared" si="204"/>
        <v>No</v>
      </c>
      <c r="AS1740" s="60" t="str">
        <f t="shared" si="205"/>
        <v>No</v>
      </c>
    </row>
    <row r="1741" spans="1:45" hidden="1">
      <c r="A1741" s="103">
        <v>45244</v>
      </c>
      <c r="B1741" s="117" t="s">
        <v>6567</v>
      </c>
      <c r="C1741" s="28" t="s">
        <v>691</v>
      </c>
      <c r="D1741" s="28" t="s">
        <v>6573</v>
      </c>
      <c r="F1741" s="28" t="s">
        <v>6569</v>
      </c>
      <c r="G1741" s="28" t="s">
        <v>514</v>
      </c>
      <c r="H1741" s="28" t="s">
        <v>3771</v>
      </c>
      <c r="I1741" s="28" t="s">
        <v>516</v>
      </c>
      <c r="J1741" s="28" t="s">
        <v>517</v>
      </c>
      <c r="K1741" s="28" t="s">
        <v>682</v>
      </c>
      <c r="L1741" s="28" t="s">
        <v>1262</v>
      </c>
      <c r="M1741" s="28" t="s">
        <v>535</v>
      </c>
      <c r="N1741" s="28" t="s">
        <v>522</v>
      </c>
      <c r="S1741" s="28" t="s">
        <v>1052</v>
      </c>
      <c r="T1741" s="28" t="s">
        <v>733</v>
      </c>
      <c r="U1741" s="28" t="s">
        <v>1264</v>
      </c>
      <c r="V1741" s="28" t="s">
        <v>517</v>
      </c>
      <c r="W1741" s="28" t="s">
        <v>856</v>
      </c>
      <c r="AF1741" s="117"/>
      <c r="AK1741" s="60" t="s">
        <v>6558</v>
      </c>
      <c r="AL1741" s="117">
        <f>1/COUNTIF(Tableau6[LAT],B1741)</f>
        <v>0.25</v>
      </c>
      <c r="AM1741" s="60" t="b">
        <f t="shared" si="199"/>
        <v>0</v>
      </c>
      <c r="AN1741" s="60" t="b">
        <f t="shared" si="200"/>
        <v>0</v>
      </c>
      <c r="AO1741" s="60" t="b">
        <f t="shared" si="201"/>
        <v>0</v>
      </c>
      <c r="AP1741" s="60" t="b">
        <f t="shared" si="202"/>
        <v>0</v>
      </c>
      <c r="AQ1741" s="60" t="b">
        <f t="shared" si="203"/>
        <v>0</v>
      </c>
      <c r="AR1741" s="60" t="str">
        <f t="shared" si="204"/>
        <v>No</v>
      </c>
      <c r="AS1741" s="60" t="str">
        <f t="shared" si="205"/>
        <v>No</v>
      </c>
    </row>
    <row r="1742" spans="1:45" hidden="1">
      <c r="A1742" s="103">
        <v>45244</v>
      </c>
      <c r="B1742" s="117" t="s">
        <v>6574</v>
      </c>
      <c r="C1742" s="28" t="s">
        <v>511</v>
      </c>
      <c r="D1742" s="28" t="s">
        <v>6575</v>
      </c>
      <c r="E1742" s="28" t="s">
        <v>6576</v>
      </c>
      <c r="F1742" s="28" t="s">
        <v>2800</v>
      </c>
      <c r="G1742" s="28" t="s">
        <v>514</v>
      </c>
      <c r="H1742" s="28" t="s">
        <v>794</v>
      </c>
      <c r="I1742" s="28" t="s">
        <v>516</v>
      </c>
      <c r="J1742" s="28" t="s">
        <v>517</v>
      </c>
      <c r="K1742" s="28" t="s">
        <v>518</v>
      </c>
      <c r="L1742" s="28" t="s">
        <v>839</v>
      </c>
      <c r="M1742" s="28" t="s">
        <v>535</v>
      </c>
      <c r="N1742" s="28" t="s">
        <v>557</v>
      </c>
      <c r="O1742" s="28" t="s">
        <v>544</v>
      </c>
      <c r="S1742" s="28" t="s">
        <v>775</v>
      </c>
      <c r="T1742" s="28" t="s">
        <v>840</v>
      </c>
      <c r="U1742" s="28" t="s">
        <v>840</v>
      </c>
      <c r="V1742" s="28" t="s">
        <v>517</v>
      </c>
      <c r="W1742" s="28" t="s">
        <v>6577</v>
      </c>
      <c r="X1742" s="28" t="s">
        <v>1071</v>
      </c>
      <c r="AF1742" s="117"/>
      <c r="AK1742" s="60" t="s">
        <v>6558</v>
      </c>
      <c r="AL1742" s="117">
        <f>1/COUNTIF(Tableau6[LAT],B1742)</f>
        <v>1</v>
      </c>
      <c r="AM1742" s="60" t="b">
        <f t="shared" si="199"/>
        <v>0</v>
      </c>
      <c r="AN1742" s="60" t="b">
        <f t="shared" si="200"/>
        <v>0</v>
      </c>
      <c r="AO1742" s="60" t="b">
        <f t="shared" si="201"/>
        <v>0</v>
      </c>
      <c r="AP1742" s="60" t="b">
        <f t="shared" si="202"/>
        <v>0</v>
      </c>
      <c r="AQ1742" s="60" t="b">
        <f t="shared" si="203"/>
        <v>0</v>
      </c>
      <c r="AR1742" s="60" t="str">
        <f t="shared" si="204"/>
        <v>No</v>
      </c>
      <c r="AS1742" s="60" t="str">
        <f t="shared" si="205"/>
        <v>No</v>
      </c>
    </row>
    <row r="1743" spans="1:45" hidden="1">
      <c r="A1743" s="103">
        <v>45244</v>
      </c>
      <c r="B1743" s="117" t="s">
        <v>6578</v>
      </c>
      <c r="C1743" s="28" t="s">
        <v>511</v>
      </c>
      <c r="D1743" s="28" t="s">
        <v>6579</v>
      </c>
      <c r="E1743" s="28" t="s">
        <v>6580</v>
      </c>
      <c r="F1743" s="28" t="s">
        <v>6581</v>
      </c>
      <c r="G1743" s="28" t="s">
        <v>6582</v>
      </c>
      <c r="H1743" s="28" t="s">
        <v>6583</v>
      </c>
      <c r="I1743" s="28" t="s">
        <v>516</v>
      </c>
      <c r="J1743" s="28" t="s">
        <v>517</v>
      </c>
      <c r="K1743" s="28" t="s">
        <v>682</v>
      </c>
      <c r="L1743" s="28" t="s">
        <v>6584</v>
      </c>
      <c r="M1743" s="28" t="s">
        <v>535</v>
      </c>
      <c r="N1743" s="28" t="s">
        <v>557</v>
      </c>
      <c r="O1743" s="28" t="s">
        <v>522</v>
      </c>
      <c r="S1743" s="28" t="s">
        <v>606</v>
      </c>
      <c r="T1743" s="28" t="s">
        <v>1918</v>
      </c>
      <c r="U1743" s="28" t="s">
        <v>1918</v>
      </c>
      <c r="V1743" s="28" t="s">
        <v>517</v>
      </c>
      <c r="W1743" s="28" t="s">
        <v>6585</v>
      </c>
      <c r="X1743" s="28" t="s">
        <v>670</v>
      </c>
      <c r="AF1743" s="117"/>
      <c r="AK1743" s="60" t="s">
        <v>6558</v>
      </c>
      <c r="AL1743" s="117">
        <f>1/COUNTIF(Tableau6[LAT],B1743)</f>
        <v>1</v>
      </c>
      <c r="AM1743" s="60" t="b">
        <f t="shared" si="199"/>
        <v>0</v>
      </c>
      <c r="AN1743" s="60" t="b">
        <f t="shared" si="200"/>
        <v>0</v>
      </c>
      <c r="AO1743" s="60" t="b">
        <f t="shared" si="201"/>
        <v>0</v>
      </c>
      <c r="AP1743" s="60" t="b">
        <f t="shared" si="202"/>
        <v>0</v>
      </c>
      <c r="AQ1743" s="60" t="b">
        <f t="shared" si="203"/>
        <v>0</v>
      </c>
      <c r="AR1743" s="60" t="str">
        <f t="shared" si="204"/>
        <v>No</v>
      </c>
      <c r="AS1743" s="60" t="str">
        <f t="shared" si="205"/>
        <v>No</v>
      </c>
    </row>
    <row r="1744" spans="1:45" hidden="1">
      <c r="A1744" s="103">
        <v>45244</v>
      </c>
      <c r="B1744" s="117" t="s">
        <v>6586</v>
      </c>
      <c r="C1744" s="28" t="s">
        <v>511</v>
      </c>
      <c r="D1744" s="28" t="s">
        <v>6587</v>
      </c>
      <c r="F1744" s="28" t="s">
        <v>6588</v>
      </c>
      <c r="G1744" s="28" t="s">
        <v>1163</v>
      </c>
      <c r="H1744" s="28" t="s">
        <v>6589</v>
      </c>
      <c r="I1744" s="28" t="s">
        <v>516</v>
      </c>
      <c r="J1744" s="28" t="s">
        <v>517</v>
      </c>
      <c r="K1744" s="28" t="s">
        <v>682</v>
      </c>
      <c r="L1744" s="28" t="s">
        <v>4796</v>
      </c>
      <c r="M1744" s="28" t="s">
        <v>535</v>
      </c>
      <c r="N1744" s="28" t="s">
        <v>557</v>
      </c>
      <c r="O1744" s="28" t="s">
        <v>522</v>
      </c>
      <c r="S1744" s="28" t="s">
        <v>6590</v>
      </c>
      <c r="T1744" s="28" t="s">
        <v>1150</v>
      </c>
      <c r="U1744" s="28" t="s">
        <v>1150</v>
      </c>
      <c r="V1744" s="28" t="s">
        <v>517</v>
      </c>
      <c r="W1744" s="28" t="s">
        <v>6591</v>
      </c>
      <c r="AF1744" s="117"/>
      <c r="AK1744" s="60" t="s">
        <v>6558</v>
      </c>
      <c r="AL1744" s="117">
        <f>1/COUNTIF(Tableau6[LAT],B1744)</f>
        <v>0.25</v>
      </c>
      <c r="AM1744" s="60" t="b">
        <f t="shared" si="199"/>
        <v>0</v>
      </c>
      <c r="AN1744" s="60" t="b">
        <f t="shared" si="200"/>
        <v>0</v>
      </c>
      <c r="AO1744" s="60" t="b">
        <f t="shared" si="201"/>
        <v>0</v>
      </c>
      <c r="AP1744" s="60" t="b">
        <f t="shared" si="202"/>
        <v>0</v>
      </c>
      <c r="AQ1744" s="60" t="b">
        <f t="shared" si="203"/>
        <v>0</v>
      </c>
      <c r="AR1744" s="60" t="str">
        <f t="shared" si="204"/>
        <v>No</v>
      </c>
      <c r="AS1744" s="60" t="str">
        <f t="shared" si="205"/>
        <v>No</v>
      </c>
    </row>
    <row r="1745" spans="1:45" hidden="1">
      <c r="A1745" s="103">
        <v>45244</v>
      </c>
      <c r="B1745" s="117" t="s">
        <v>6586</v>
      </c>
      <c r="C1745" s="28" t="s">
        <v>548</v>
      </c>
      <c r="D1745" s="28" t="s">
        <v>6592</v>
      </c>
      <c r="F1745" s="28" t="s">
        <v>6593</v>
      </c>
      <c r="G1745" s="28" t="s">
        <v>514</v>
      </c>
      <c r="H1745" s="28" t="s">
        <v>947</v>
      </c>
      <c r="I1745" s="28" t="s">
        <v>516</v>
      </c>
      <c r="J1745" s="28" t="s">
        <v>517</v>
      </c>
      <c r="K1745" s="28" t="s">
        <v>682</v>
      </c>
      <c r="L1745" s="28" t="s">
        <v>4796</v>
      </c>
      <c r="M1745" s="28" t="s">
        <v>535</v>
      </c>
      <c r="N1745" s="28" t="s">
        <v>557</v>
      </c>
      <c r="O1745" s="28" t="s">
        <v>522</v>
      </c>
      <c r="S1745" s="28" t="s">
        <v>6590</v>
      </c>
      <c r="T1745" s="28" t="s">
        <v>1150</v>
      </c>
      <c r="U1745" s="28" t="s">
        <v>1150</v>
      </c>
      <c r="V1745" s="28" t="s">
        <v>517</v>
      </c>
      <c r="W1745" s="28" t="s">
        <v>6594</v>
      </c>
      <c r="AF1745" s="117"/>
      <c r="AK1745" s="60" t="s">
        <v>6558</v>
      </c>
      <c r="AL1745" s="117">
        <f>1/COUNTIF(Tableau6[LAT],B1745)</f>
        <v>0.25</v>
      </c>
      <c r="AM1745" s="60" t="b">
        <f t="shared" si="199"/>
        <v>0</v>
      </c>
      <c r="AN1745" s="60" t="b">
        <f t="shared" si="200"/>
        <v>0</v>
      </c>
      <c r="AO1745" s="60" t="b">
        <f t="shared" si="201"/>
        <v>0</v>
      </c>
      <c r="AP1745" s="60" t="b">
        <f t="shared" si="202"/>
        <v>0</v>
      </c>
      <c r="AQ1745" s="60" t="b">
        <f t="shared" si="203"/>
        <v>0</v>
      </c>
      <c r="AR1745" s="60" t="str">
        <f t="shared" si="204"/>
        <v>No</v>
      </c>
      <c r="AS1745" s="60" t="str">
        <f t="shared" si="205"/>
        <v>No</v>
      </c>
    </row>
    <row r="1746" spans="1:45" hidden="1">
      <c r="A1746" s="103">
        <v>45244</v>
      </c>
      <c r="B1746" s="117" t="s">
        <v>6586</v>
      </c>
      <c r="C1746" s="28" t="s">
        <v>612</v>
      </c>
      <c r="D1746" s="28" t="s">
        <v>6595</v>
      </c>
      <c r="F1746" s="28" t="s">
        <v>6593</v>
      </c>
      <c r="G1746" s="28" t="s">
        <v>514</v>
      </c>
      <c r="H1746" s="28" t="s">
        <v>947</v>
      </c>
      <c r="I1746" s="28" t="s">
        <v>516</v>
      </c>
      <c r="J1746" s="28" t="s">
        <v>517</v>
      </c>
      <c r="K1746" s="28" t="s">
        <v>682</v>
      </c>
      <c r="L1746" s="28" t="s">
        <v>4796</v>
      </c>
      <c r="M1746" s="28" t="s">
        <v>535</v>
      </c>
      <c r="N1746" s="28" t="s">
        <v>557</v>
      </c>
      <c r="O1746" s="28" t="s">
        <v>522</v>
      </c>
      <c r="S1746" s="28" t="s">
        <v>6590</v>
      </c>
      <c r="T1746" s="28" t="s">
        <v>1150</v>
      </c>
      <c r="U1746" s="28" t="s">
        <v>1150</v>
      </c>
      <c r="V1746" s="28" t="s">
        <v>517</v>
      </c>
      <c r="W1746" s="28" t="s">
        <v>6596</v>
      </c>
      <c r="AF1746" s="117"/>
      <c r="AK1746" s="60" t="s">
        <v>6558</v>
      </c>
      <c r="AL1746" s="117">
        <f>1/COUNTIF(Tableau6[LAT],B1746)</f>
        <v>0.25</v>
      </c>
      <c r="AM1746" s="60" t="b">
        <f t="shared" si="199"/>
        <v>0</v>
      </c>
      <c r="AN1746" s="60" t="b">
        <f t="shared" si="200"/>
        <v>0</v>
      </c>
      <c r="AO1746" s="60" t="b">
        <f t="shared" si="201"/>
        <v>0</v>
      </c>
      <c r="AP1746" s="60" t="b">
        <f t="shared" si="202"/>
        <v>0</v>
      </c>
      <c r="AQ1746" s="60" t="b">
        <f t="shared" si="203"/>
        <v>0</v>
      </c>
      <c r="AR1746" s="60" t="str">
        <f t="shared" si="204"/>
        <v>No</v>
      </c>
      <c r="AS1746" s="60" t="str">
        <f t="shared" si="205"/>
        <v>No</v>
      </c>
    </row>
    <row r="1747" spans="1:45" hidden="1">
      <c r="A1747" s="103">
        <v>45244</v>
      </c>
      <c r="B1747" s="117" t="s">
        <v>6586</v>
      </c>
      <c r="C1747" s="28" t="s">
        <v>691</v>
      </c>
      <c r="D1747" s="28" t="s">
        <v>6597</v>
      </c>
      <c r="F1747" s="28" t="s">
        <v>6593</v>
      </c>
      <c r="G1747" s="28" t="s">
        <v>514</v>
      </c>
      <c r="H1747" s="28" t="s">
        <v>947</v>
      </c>
      <c r="I1747" s="28" t="s">
        <v>516</v>
      </c>
      <c r="J1747" s="28" t="s">
        <v>517</v>
      </c>
      <c r="K1747" s="28" t="s">
        <v>682</v>
      </c>
      <c r="L1747" s="28" t="s">
        <v>4796</v>
      </c>
      <c r="M1747" s="28" t="s">
        <v>535</v>
      </c>
      <c r="N1747" s="28" t="s">
        <v>557</v>
      </c>
      <c r="O1747" s="28" t="s">
        <v>522</v>
      </c>
      <c r="S1747" s="28" t="s">
        <v>6590</v>
      </c>
      <c r="T1747" s="28" t="s">
        <v>1150</v>
      </c>
      <c r="U1747" s="28" t="s">
        <v>1150</v>
      </c>
      <c r="V1747" s="28" t="s">
        <v>517</v>
      </c>
      <c r="W1747" s="28" t="s">
        <v>6598</v>
      </c>
      <c r="AF1747" s="117"/>
      <c r="AK1747" s="60" t="s">
        <v>6558</v>
      </c>
      <c r="AL1747" s="117">
        <f>1/COUNTIF(Tableau6[LAT],B1747)</f>
        <v>0.25</v>
      </c>
      <c r="AM1747" s="60" t="b">
        <f t="shared" si="199"/>
        <v>0</v>
      </c>
      <c r="AN1747" s="60" t="b">
        <f t="shared" si="200"/>
        <v>0</v>
      </c>
      <c r="AO1747" s="60" t="b">
        <f t="shared" si="201"/>
        <v>0</v>
      </c>
      <c r="AP1747" s="60" t="b">
        <f t="shared" si="202"/>
        <v>0</v>
      </c>
      <c r="AQ1747" s="60" t="b">
        <f t="shared" si="203"/>
        <v>0</v>
      </c>
      <c r="AR1747" s="60" t="str">
        <f t="shared" si="204"/>
        <v>No</v>
      </c>
      <c r="AS1747" s="60" t="str">
        <f t="shared" si="205"/>
        <v>No</v>
      </c>
    </row>
    <row r="1748" spans="1:45" hidden="1">
      <c r="A1748" s="103">
        <v>45244</v>
      </c>
      <c r="B1748" s="117" t="s">
        <v>6599</v>
      </c>
      <c r="C1748" s="28" t="s">
        <v>511</v>
      </c>
      <c r="D1748" s="28" t="s">
        <v>6600</v>
      </c>
      <c r="E1748" s="28" t="s">
        <v>6601</v>
      </c>
      <c r="F1748" s="28" t="s">
        <v>3342</v>
      </c>
      <c r="G1748" s="28" t="s">
        <v>665</v>
      </c>
      <c r="H1748" s="28" t="s">
        <v>3290</v>
      </c>
      <c r="I1748" s="28" t="s">
        <v>516</v>
      </c>
      <c r="J1748" s="28" t="s">
        <v>517</v>
      </c>
      <c r="K1748" s="28" t="s">
        <v>518</v>
      </c>
      <c r="L1748" s="28" t="s">
        <v>916</v>
      </c>
      <c r="M1748" s="28" t="s">
        <v>535</v>
      </c>
      <c r="N1748" s="28" t="s">
        <v>522</v>
      </c>
      <c r="S1748" s="28" t="s">
        <v>740</v>
      </c>
      <c r="T1748" s="28" t="s">
        <v>6602</v>
      </c>
      <c r="U1748" s="28" t="s">
        <v>917</v>
      </c>
      <c r="V1748" s="28" t="s">
        <v>517</v>
      </c>
      <c r="W1748" s="28" t="s">
        <v>6603</v>
      </c>
      <c r="X1748" s="28" t="s">
        <v>670</v>
      </c>
      <c r="AF1748" s="117"/>
      <c r="AK1748" s="60" t="s">
        <v>6558</v>
      </c>
      <c r="AL1748" s="117">
        <f>1/COUNTIF(Tableau6[LAT],B1748)</f>
        <v>1</v>
      </c>
      <c r="AM1748" s="60" t="b">
        <f t="shared" si="199"/>
        <v>0</v>
      </c>
      <c r="AN1748" s="60" t="b">
        <f t="shared" si="200"/>
        <v>0</v>
      </c>
      <c r="AO1748" s="60" t="b">
        <f t="shared" si="201"/>
        <v>0</v>
      </c>
      <c r="AP1748" s="60" t="b">
        <f t="shared" si="202"/>
        <v>0</v>
      </c>
      <c r="AQ1748" s="60" t="b">
        <f t="shared" si="203"/>
        <v>0</v>
      </c>
      <c r="AR1748" s="60" t="str">
        <f t="shared" si="204"/>
        <v>No</v>
      </c>
      <c r="AS1748" s="60" t="str">
        <f t="shared" si="205"/>
        <v>No</v>
      </c>
    </row>
    <row r="1749" spans="1:45" hidden="1">
      <c r="A1749" s="103">
        <v>45244</v>
      </c>
      <c r="B1749" s="117" t="s">
        <v>6604</v>
      </c>
      <c r="C1749" s="28" t="s">
        <v>511</v>
      </c>
      <c r="D1749" s="28" t="s">
        <v>6605</v>
      </c>
      <c r="F1749" s="28" t="s">
        <v>6606</v>
      </c>
      <c r="G1749" s="28" t="s">
        <v>514</v>
      </c>
      <c r="H1749" s="28" t="s">
        <v>947</v>
      </c>
      <c r="I1749" s="28" t="s">
        <v>517</v>
      </c>
      <c r="J1749" s="28" t="s">
        <v>517</v>
      </c>
      <c r="K1749" s="28" t="s">
        <v>518</v>
      </c>
      <c r="L1749" s="28" t="s">
        <v>4505</v>
      </c>
      <c r="M1749" s="28" t="s">
        <v>535</v>
      </c>
      <c r="N1749" s="28" t="s">
        <v>521</v>
      </c>
      <c r="O1749" s="28" t="s">
        <v>934</v>
      </c>
      <c r="S1749" s="28" t="s">
        <v>573</v>
      </c>
      <c r="T1749" s="28" t="s">
        <v>1934</v>
      </c>
      <c r="U1749" s="28" t="s">
        <v>1934</v>
      </c>
      <c r="V1749" s="28" t="s">
        <v>517</v>
      </c>
      <c r="W1749" s="28" t="s">
        <v>3181</v>
      </c>
      <c r="AF1749" s="117"/>
      <c r="AK1749" s="60" t="s">
        <v>6558</v>
      </c>
      <c r="AL1749" s="117">
        <f>1/COUNTIF(Tableau6[LAT],B1749)</f>
        <v>1</v>
      </c>
      <c r="AM1749" s="60" t="b">
        <f t="shared" si="199"/>
        <v>0</v>
      </c>
      <c r="AN1749" s="60" t="b">
        <f t="shared" si="200"/>
        <v>0</v>
      </c>
      <c r="AO1749" s="60" t="b">
        <f t="shared" si="201"/>
        <v>0</v>
      </c>
      <c r="AP1749" s="60" t="b">
        <f t="shared" si="202"/>
        <v>0</v>
      </c>
      <c r="AQ1749" s="60" t="b">
        <f t="shared" si="203"/>
        <v>0</v>
      </c>
      <c r="AR1749" s="60" t="str">
        <f t="shared" si="204"/>
        <v>No</v>
      </c>
      <c r="AS1749" s="60" t="str">
        <f t="shared" si="205"/>
        <v>No</v>
      </c>
    </row>
    <row r="1750" spans="1:45" hidden="1">
      <c r="A1750" s="103">
        <v>45244</v>
      </c>
      <c r="B1750" s="117" t="s">
        <v>6607</v>
      </c>
      <c r="C1750" s="28" t="s">
        <v>511</v>
      </c>
      <c r="D1750" s="28" t="s">
        <v>6608</v>
      </c>
      <c r="E1750" s="28" t="s">
        <v>6576</v>
      </c>
      <c r="F1750" s="28" t="s">
        <v>2712</v>
      </c>
      <c r="G1750" s="28" t="s">
        <v>514</v>
      </c>
      <c r="H1750" s="28" t="s">
        <v>2741</v>
      </c>
      <c r="I1750" s="28" t="s">
        <v>516</v>
      </c>
      <c r="J1750" s="28" t="s">
        <v>517</v>
      </c>
      <c r="K1750" s="28" t="s">
        <v>518</v>
      </c>
      <c r="L1750" s="28" t="s">
        <v>839</v>
      </c>
      <c r="M1750" s="28" t="s">
        <v>535</v>
      </c>
      <c r="S1750" s="28" t="s">
        <v>1108</v>
      </c>
      <c r="T1750" s="28" t="s">
        <v>840</v>
      </c>
      <c r="U1750" s="28" t="s">
        <v>840</v>
      </c>
      <c r="V1750" s="28" t="s">
        <v>517</v>
      </c>
      <c r="W1750" s="28" t="s">
        <v>6577</v>
      </c>
      <c r="X1750" s="28" t="s">
        <v>1071</v>
      </c>
      <c r="AF1750" s="117"/>
      <c r="AK1750" s="60" t="s">
        <v>6558</v>
      </c>
      <c r="AL1750" s="117">
        <f>1/COUNTIF(Tableau6[LAT],B1750)</f>
        <v>0.5</v>
      </c>
      <c r="AM1750" s="60" t="b">
        <f t="shared" si="199"/>
        <v>0</v>
      </c>
      <c r="AN1750" s="60" t="b">
        <f t="shared" si="200"/>
        <v>0</v>
      </c>
      <c r="AO1750" s="60" t="b">
        <f t="shared" si="201"/>
        <v>0</v>
      </c>
      <c r="AP1750" s="60" t="b">
        <f t="shared" si="202"/>
        <v>0</v>
      </c>
      <c r="AQ1750" s="60" t="b">
        <f t="shared" si="203"/>
        <v>0</v>
      </c>
      <c r="AR1750" s="60" t="str">
        <f t="shared" si="204"/>
        <v>No</v>
      </c>
      <c r="AS1750" s="60" t="str">
        <f t="shared" si="205"/>
        <v>No</v>
      </c>
    </row>
    <row r="1751" spans="1:45" hidden="1">
      <c r="A1751" s="103">
        <v>45244</v>
      </c>
      <c r="B1751" s="117" t="s">
        <v>6607</v>
      </c>
      <c r="C1751" s="28" t="s">
        <v>548</v>
      </c>
      <c r="D1751" s="28" t="s">
        <v>6609</v>
      </c>
      <c r="E1751" s="28" t="s">
        <v>6576</v>
      </c>
      <c r="F1751" s="28" t="s">
        <v>2712</v>
      </c>
      <c r="G1751" s="28" t="s">
        <v>514</v>
      </c>
      <c r="H1751" s="28" t="s">
        <v>2741</v>
      </c>
      <c r="I1751" s="28" t="s">
        <v>516</v>
      </c>
      <c r="J1751" s="28" t="s">
        <v>517</v>
      </c>
      <c r="K1751" s="28" t="s">
        <v>518</v>
      </c>
      <c r="L1751" s="28" t="s">
        <v>839</v>
      </c>
      <c r="M1751" s="28" t="s">
        <v>535</v>
      </c>
      <c r="S1751" s="28" t="s">
        <v>1108</v>
      </c>
      <c r="T1751" s="28" t="s">
        <v>840</v>
      </c>
      <c r="U1751" s="28" t="s">
        <v>840</v>
      </c>
      <c r="V1751" s="28" t="s">
        <v>517</v>
      </c>
      <c r="W1751" s="28" t="s">
        <v>6577</v>
      </c>
      <c r="X1751" s="28" t="s">
        <v>1071</v>
      </c>
      <c r="AF1751" s="117"/>
      <c r="AK1751" s="60" t="s">
        <v>6558</v>
      </c>
      <c r="AL1751" s="117">
        <f>1/COUNTIF(Tableau6[LAT],B1751)</f>
        <v>0.5</v>
      </c>
      <c r="AM1751" s="60" t="b">
        <f t="shared" si="199"/>
        <v>0</v>
      </c>
      <c r="AN1751" s="60" t="b">
        <f t="shared" si="200"/>
        <v>0</v>
      </c>
      <c r="AO1751" s="60" t="b">
        <f t="shared" si="201"/>
        <v>0</v>
      </c>
      <c r="AP1751" s="60" t="b">
        <f t="shared" si="202"/>
        <v>0</v>
      </c>
      <c r="AQ1751" s="60" t="b">
        <f t="shared" si="203"/>
        <v>0</v>
      </c>
      <c r="AR1751" s="60" t="str">
        <f t="shared" si="204"/>
        <v>No</v>
      </c>
      <c r="AS1751" s="60" t="str">
        <f t="shared" si="205"/>
        <v>No</v>
      </c>
    </row>
    <row r="1752" spans="1:45" hidden="1">
      <c r="A1752" s="103">
        <v>45244</v>
      </c>
      <c r="B1752" s="117" t="s">
        <v>6610</v>
      </c>
      <c r="C1752" s="28" t="s">
        <v>511</v>
      </c>
      <c r="D1752" s="28" t="s">
        <v>6611</v>
      </c>
      <c r="E1752" s="28" t="s">
        <v>6612</v>
      </c>
      <c r="F1752" s="28" t="s">
        <v>6613</v>
      </c>
      <c r="G1752" s="28" t="s">
        <v>665</v>
      </c>
      <c r="H1752" s="28" t="s">
        <v>6614</v>
      </c>
      <c r="I1752" s="28" t="s">
        <v>516</v>
      </c>
      <c r="J1752" s="28" t="s">
        <v>517</v>
      </c>
      <c r="K1752" s="28" t="s">
        <v>518</v>
      </c>
      <c r="L1752" s="28" t="s">
        <v>4099</v>
      </c>
      <c r="M1752" s="28" t="s">
        <v>535</v>
      </c>
      <c r="N1752" s="28" t="s">
        <v>1382</v>
      </c>
      <c r="O1752" s="28" t="s">
        <v>1383</v>
      </c>
      <c r="P1752" s="28" t="s">
        <v>544</v>
      </c>
      <c r="Q1752" s="28" t="s">
        <v>522</v>
      </c>
      <c r="S1752" s="28" t="s">
        <v>928</v>
      </c>
      <c r="T1752" s="28" t="s">
        <v>4100</v>
      </c>
      <c r="U1752" s="28" t="s">
        <v>4100</v>
      </c>
      <c r="V1752" s="28" t="s">
        <v>517</v>
      </c>
      <c r="W1752" s="28" t="s">
        <v>6615</v>
      </c>
      <c r="X1752" s="28" t="s">
        <v>670</v>
      </c>
      <c r="AF1752" s="117"/>
      <c r="AK1752" s="60" t="s">
        <v>6558</v>
      </c>
      <c r="AL1752" s="117">
        <f>1/COUNTIF(Tableau6[LAT],B1752)</f>
        <v>1</v>
      </c>
      <c r="AM1752" s="60" t="b">
        <f t="shared" si="199"/>
        <v>0</v>
      </c>
      <c r="AN1752" s="60" t="b">
        <f t="shared" si="200"/>
        <v>0</v>
      </c>
      <c r="AO1752" s="60" t="b">
        <f t="shared" si="201"/>
        <v>0</v>
      </c>
      <c r="AP1752" s="60" t="b">
        <f t="shared" si="202"/>
        <v>0</v>
      </c>
      <c r="AQ1752" s="60" t="b">
        <f t="shared" si="203"/>
        <v>0</v>
      </c>
      <c r="AR1752" s="60" t="str">
        <f t="shared" si="204"/>
        <v>No</v>
      </c>
      <c r="AS1752" s="60" t="str">
        <f t="shared" si="205"/>
        <v>No</v>
      </c>
    </row>
    <row r="1753" spans="1:45" hidden="1">
      <c r="A1753" s="103">
        <v>45244</v>
      </c>
      <c r="B1753" s="117" t="s">
        <v>6616</v>
      </c>
      <c r="C1753" s="28" t="s">
        <v>548</v>
      </c>
      <c r="D1753" s="28" t="s">
        <v>6617</v>
      </c>
      <c r="E1753" s="28" t="s">
        <v>6618</v>
      </c>
      <c r="F1753" s="28" t="s">
        <v>6619</v>
      </c>
      <c r="G1753" s="28" t="s">
        <v>979</v>
      </c>
      <c r="H1753" s="28" t="s">
        <v>5869</v>
      </c>
      <c r="I1753" s="28" t="s">
        <v>516</v>
      </c>
      <c r="J1753" s="28" t="s">
        <v>517</v>
      </c>
      <c r="K1753" s="28" t="s">
        <v>518</v>
      </c>
      <c r="L1753" s="28" t="s">
        <v>731</v>
      </c>
      <c r="M1753" s="28" t="s">
        <v>535</v>
      </c>
      <c r="N1753" s="28" t="s">
        <v>544</v>
      </c>
      <c r="S1753" s="28" t="s">
        <v>740</v>
      </c>
      <c r="T1753" s="28" t="s">
        <v>733</v>
      </c>
      <c r="U1753" s="28" t="s">
        <v>733</v>
      </c>
      <c r="V1753" s="28" t="s">
        <v>517</v>
      </c>
      <c r="W1753" s="28" t="s">
        <v>6620</v>
      </c>
      <c r="X1753" s="28" t="s">
        <v>670</v>
      </c>
      <c r="AF1753" s="117"/>
      <c r="AK1753" s="60" t="s">
        <v>6558</v>
      </c>
      <c r="AL1753" s="117">
        <f>1/COUNTIF(Tableau6[LAT],B1753)</f>
        <v>1</v>
      </c>
      <c r="AM1753" s="60" t="b">
        <f t="shared" si="199"/>
        <v>0</v>
      </c>
      <c r="AN1753" s="60" t="b">
        <f t="shared" si="200"/>
        <v>0</v>
      </c>
      <c r="AO1753" s="60" t="b">
        <f t="shared" si="201"/>
        <v>0</v>
      </c>
      <c r="AP1753" s="60" t="b">
        <f t="shared" si="202"/>
        <v>0</v>
      </c>
      <c r="AQ1753" s="60" t="b">
        <f t="shared" si="203"/>
        <v>0</v>
      </c>
      <c r="AR1753" s="60" t="str">
        <f t="shared" si="204"/>
        <v>No</v>
      </c>
      <c r="AS1753" s="60" t="str">
        <f t="shared" si="205"/>
        <v>No</v>
      </c>
    </row>
    <row r="1754" spans="1:45" hidden="1">
      <c r="A1754" s="103">
        <v>45244</v>
      </c>
      <c r="B1754" s="117" t="s">
        <v>6621</v>
      </c>
      <c r="C1754" s="28" t="s">
        <v>511</v>
      </c>
      <c r="D1754" s="28" t="s">
        <v>6622</v>
      </c>
      <c r="F1754" s="28" t="s">
        <v>6623</v>
      </c>
      <c r="G1754" s="28" t="s">
        <v>514</v>
      </c>
      <c r="H1754" s="28" t="s">
        <v>939</v>
      </c>
      <c r="I1754" s="28" t="s">
        <v>516</v>
      </c>
      <c r="J1754" s="28" t="s">
        <v>517</v>
      </c>
      <c r="K1754" s="28" t="s">
        <v>682</v>
      </c>
      <c r="L1754" s="28" t="s">
        <v>4796</v>
      </c>
      <c r="M1754" s="28" t="s">
        <v>535</v>
      </c>
      <c r="N1754" s="28" t="s">
        <v>544</v>
      </c>
      <c r="S1754" s="28" t="s">
        <v>1158</v>
      </c>
      <c r="T1754" s="28" t="s">
        <v>1150</v>
      </c>
      <c r="U1754" s="28" t="s">
        <v>1150</v>
      </c>
      <c r="V1754" s="28" t="s">
        <v>517</v>
      </c>
      <c r="W1754" s="28" t="s">
        <v>6624</v>
      </c>
      <c r="AF1754" s="117"/>
      <c r="AK1754" s="60" t="s">
        <v>6558</v>
      </c>
      <c r="AL1754" s="117">
        <f>1/COUNTIF(Tableau6[LAT],B1754)</f>
        <v>1</v>
      </c>
      <c r="AM1754" s="60" t="b">
        <f t="shared" si="199"/>
        <v>0</v>
      </c>
      <c r="AN1754" s="60" t="b">
        <f t="shared" si="200"/>
        <v>0</v>
      </c>
      <c r="AO1754" s="60" t="b">
        <f t="shared" si="201"/>
        <v>0</v>
      </c>
      <c r="AP1754" s="60" t="b">
        <f t="shared" si="202"/>
        <v>0</v>
      </c>
      <c r="AQ1754" s="60" t="b">
        <f t="shared" si="203"/>
        <v>0</v>
      </c>
      <c r="AR1754" s="60" t="str">
        <f t="shared" si="204"/>
        <v>No</v>
      </c>
      <c r="AS1754" s="60" t="str">
        <f t="shared" si="205"/>
        <v>No</v>
      </c>
    </row>
    <row r="1755" spans="1:45" hidden="1">
      <c r="A1755" s="103">
        <v>45244</v>
      </c>
      <c r="B1755" s="117" t="s">
        <v>6625</v>
      </c>
      <c r="C1755" s="28" t="s">
        <v>511</v>
      </c>
      <c r="D1755" s="28" t="s">
        <v>6626</v>
      </c>
      <c r="F1755" s="28" t="s">
        <v>6627</v>
      </c>
      <c r="G1755" s="28" t="s">
        <v>514</v>
      </c>
      <c r="H1755" s="28" t="s">
        <v>939</v>
      </c>
      <c r="I1755" s="28" t="s">
        <v>517</v>
      </c>
      <c r="J1755" s="28" t="s">
        <v>517</v>
      </c>
      <c r="K1755" s="28" t="s">
        <v>518</v>
      </c>
      <c r="L1755" s="28" t="s">
        <v>6628</v>
      </c>
      <c r="M1755" s="28" t="s">
        <v>535</v>
      </c>
      <c r="N1755" s="28" t="s">
        <v>544</v>
      </c>
      <c r="O1755" s="28" t="s">
        <v>522</v>
      </c>
      <c r="S1755" s="28" t="s">
        <v>573</v>
      </c>
      <c r="T1755" s="28" t="s">
        <v>3806</v>
      </c>
      <c r="U1755" s="28" t="s">
        <v>3806</v>
      </c>
      <c r="V1755" s="28" t="s">
        <v>517</v>
      </c>
      <c r="W1755" s="28" t="s">
        <v>6629</v>
      </c>
      <c r="AF1755" s="117"/>
      <c r="AK1755" s="60" t="s">
        <v>6558</v>
      </c>
      <c r="AL1755" s="117">
        <f>1/COUNTIF(Tableau6[LAT],B1755)</f>
        <v>0.33333333333333331</v>
      </c>
      <c r="AM1755" s="60" t="b">
        <f t="shared" si="199"/>
        <v>0</v>
      </c>
      <c r="AN1755" s="60" t="b">
        <f t="shared" si="200"/>
        <v>0</v>
      </c>
      <c r="AO1755" s="60" t="b">
        <f t="shared" si="201"/>
        <v>0</v>
      </c>
      <c r="AP1755" s="60" t="b">
        <f t="shared" si="202"/>
        <v>0</v>
      </c>
      <c r="AQ1755" s="60" t="b">
        <f t="shared" si="203"/>
        <v>0</v>
      </c>
      <c r="AR1755" s="60" t="str">
        <f t="shared" si="204"/>
        <v>No</v>
      </c>
      <c r="AS1755" s="60" t="str">
        <f t="shared" si="205"/>
        <v>No</v>
      </c>
    </row>
    <row r="1756" spans="1:45" hidden="1">
      <c r="A1756" s="103">
        <v>45244</v>
      </c>
      <c r="B1756" s="117" t="s">
        <v>6625</v>
      </c>
      <c r="C1756" s="28" t="s">
        <v>548</v>
      </c>
      <c r="D1756" s="28" t="s">
        <v>6630</v>
      </c>
      <c r="F1756" s="28" t="s">
        <v>6627</v>
      </c>
      <c r="G1756" s="28" t="s">
        <v>514</v>
      </c>
      <c r="H1756" s="28" t="s">
        <v>939</v>
      </c>
      <c r="I1756" s="28" t="s">
        <v>517</v>
      </c>
      <c r="J1756" s="28" t="s">
        <v>517</v>
      </c>
      <c r="K1756" s="28" t="s">
        <v>518</v>
      </c>
      <c r="L1756" s="28" t="s">
        <v>6628</v>
      </c>
      <c r="M1756" s="28" t="s">
        <v>535</v>
      </c>
      <c r="N1756" s="28" t="s">
        <v>544</v>
      </c>
      <c r="O1756" s="28" t="s">
        <v>522</v>
      </c>
      <c r="S1756" s="28" t="s">
        <v>573</v>
      </c>
      <c r="T1756" s="28" t="s">
        <v>3806</v>
      </c>
      <c r="U1756" s="28" t="s">
        <v>3806</v>
      </c>
      <c r="V1756" s="28" t="s">
        <v>517</v>
      </c>
      <c r="W1756" s="28" t="s">
        <v>6629</v>
      </c>
      <c r="AF1756" s="117"/>
      <c r="AK1756" s="60" t="s">
        <v>6558</v>
      </c>
      <c r="AL1756" s="117">
        <f>1/COUNTIF(Tableau6[LAT],B1756)</f>
        <v>0.33333333333333331</v>
      </c>
      <c r="AM1756" s="60" t="b">
        <f t="shared" si="199"/>
        <v>0</v>
      </c>
      <c r="AN1756" s="60" t="b">
        <f t="shared" si="200"/>
        <v>0</v>
      </c>
      <c r="AO1756" s="60" t="b">
        <f t="shared" si="201"/>
        <v>0</v>
      </c>
      <c r="AP1756" s="60" t="b">
        <f t="shared" si="202"/>
        <v>0</v>
      </c>
      <c r="AQ1756" s="60" t="b">
        <f t="shared" si="203"/>
        <v>0</v>
      </c>
      <c r="AR1756" s="60" t="str">
        <f t="shared" si="204"/>
        <v>No</v>
      </c>
      <c r="AS1756" s="60" t="str">
        <f t="shared" si="205"/>
        <v>No</v>
      </c>
    </row>
    <row r="1757" spans="1:45" hidden="1">
      <c r="A1757" s="103">
        <v>45244</v>
      </c>
      <c r="B1757" s="117" t="s">
        <v>6625</v>
      </c>
      <c r="C1757" s="28" t="s">
        <v>612</v>
      </c>
      <c r="D1757" s="28" t="s">
        <v>6631</v>
      </c>
      <c r="F1757" s="28" t="s">
        <v>6632</v>
      </c>
      <c r="G1757" s="28" t="s">
        <v>514</v>
      </c>
      <c r="H1757" s="28" t="s">
        <v>939</v>
      </c>
      <c r="I1757" s="28" t="s">
        <v>517</v>
      </c>
      <c r="J1757" s="28" t="s">
        <v>517</v>
      </c>
      <c r="K1757" s="28" t="s">
        <v>518</v>
      </c>
      <c r="L1757" s="28" t="s">
        <v>6628</v>
      </c>
      <c r="M1757" s="28" t="s">
        <v>535</v>
      </c>
      <c r="N1757" s="28" t="s">
        <v>544</v>
      </c>
      <c r="O1757" s="28" t="s">
        <v>522</v>
      </c>
      <c r="S1757" s="28" t="s">
        <v>573</v>
      </c>
      <c r="T1757" s="28" t="s">
        <v>3806</v>
      </c>
      <c r="U1757" s="28" t="s">
        <v>3806</v>
      </c>
      <c r="V1757" s="28" t="s">
        <v>517</v>
      </c>
      <c r="W1757" s="28" t="s">
        <v>6629</v>
      </c>
      <c r="AF1757" s="117"/>
      <c r="AK1757" s="60" t="s">
        <v>6558</v>
      </c>
      <c r="AL1757" s="117">
        <f>1/COUNTIF(Tableau6[LAT],B1757)</f>
        <v>0.33333333333333331</v>
      </c>
      <c r="AM1757" s="60" t="b">
        <f t="shared" si="199"/>
        <v>0</v>
      </c>
      <c r="AN1757" s="60" t="b">
        <f t="shared" si="200"/>
        <v>0</v>
      </c>
      <c r="AO1757" s="60" t="b">
        <f t="shared" si="201"/>
        <v>0</v>
      </c>
      <c r="AP1757" s="60" t="b">
        <f t="shared" si="202"/>
        <v>0</v>
      </c>
      <c r="AQ1757" s="60" t="b">
        <f t="shared" si="203"/>
        <v>0</v>
      </c>
      <c r="AR1757" s="60" t="str">
        <f t="shared" si="204"/>
        <v>No</v>
      </c>
      <c r="AS1757" s="60" t="str">
        <f t="shared" si="205"/>
        <v>No</v>
      </c>
    </row>
    <row r="1758" spans="1:45" hidden="1">
      <c r="A1758" s="103">
        <v>45244</v>
      </c>
      <c r="B1758" s="117" t="s">
        <v>6633</v>
      </c>
      <c r="C1758" s="28" t="s">
        <v>511</v>
      </c>
      <c r="D1758" s="28" t="s">
        <v>6634</v>
      </c>
      <c r="F1758" s="28" t="s">
        <v>6635</v>
      </c>
      <c r="G1758" s="28" t="s">
        <v>514</v>
      </c>
      <c r="H1758" s="28" t="s">
        <v>794</v>
      </c>
      <c r="I1758" s="28" t="s">
        <v>517</v>
      </c>
      <c r="J1758" s="28" t="s">
        <v>517</v>
      </c>
      <c r="K1758" s="28" t="s">
        <v>518</v>
      </c>
      <c r="L1758" s="28" t="s">
        <v>6636</v>
      </c>
      <c r="M1758" s="28" t="s">
        <v>535</v>
      </c>
      <c r="N1758" s="28" t="s">
        <v>1382</v>
      </c>
      <c r="O1758" s="28" t="s">
        <v>1383</v>
      </c>
      <c r="P1758" s="28" t="s">
        <v>557</v>
      </c>
      <c r="Q1758" s="28" t="s">
        <v>544</v>
      </c>
      <c r="R1758" s="28" t="s">
        <v>522</v>
      </c>
      <c r="S1758" s="28" t="s">
        <v>573</v>
      </c>
      <c r="T1758" s="28" t="s">
        <v>1529</v>
      </c>
      <c r="U1758" s="28" t="s">
        <v>1529</v>
      </c>
      <c r="V1758" s="28" t="s">
        <v>517</v>
      </c>
      <c r="W1758" s="28" t="s">
        <v>6637</v>
      </c>
      <c r="AF1758" s="117"/>
      <c r="AK1758" s="60" t="s">
        <v>6558</v>
      </c>
      <c r="AL1758" s="117">
        <f>1/COUNTIF(Tableau6[LAT],B1758)</f>
        <v>0.33333333333333331</v>
      </c>
      <c r="AM1758" s="60" t="b">
        <f t="shared" si="199"/>
        <v>0</v>
      </c>
      <c r="AN1758" s="60" t="b">
        <f t="shared" si="200"/>
        <v>0</v>
      </c>
      <c r="AO1758" s="60" t="b">
        <f t="shared" si="201"/>
        <v>0</v>
      </c>
      <c r="AP1758" s="60" t="b">
        <f t="shared" si="202"/>
        <v>0</v>
      </c>
      <c r="AQ1758" s="60" t="b">
        <f t="shared" si="203"/>
        <v>0</v>
      </c>
      <c r="AR1758" s="60" t="str">
        <f t="shared" si="204"/>
        <v>No</v>
      </c>
      <c r="AS1758" s="60" t="str">
        <f t="shared" si="205"/>
        <v>No</v>
      </c>
    </row>
    <row r="1759" spans="1:45" hidden="1">
      <c r="A1759" s="103">
        <v>45244</v>
      </c>
      <c r="B1759" s="117" t="s">
        <v>6633</v>
      </c>
      <c r="C1759" s="28" t="s">
        <v>548</v>
      </c>
      <c r="D1759" s="28" t="s">
        <v>6638</v>
      </c>
      <c r="F1759" s="28" t="s">
        <v>6635</v>
      </c>
      <c r="G1759" s="28" t="s">
        <v>514</v>
      </c>
      <c r="H1759" s="28" t="s">
        <v>794</v>
      </c>
      <c r="I1759" s="28" t="s">
        <v>517</v>
      </c>
      <c r="J1759" s="28" t="s">
        <v>517</v>
      </c>
      <c r="K1759" s="28" t="s">
        <v>518</v>
      </c>
      <c r="L1759" s="28" t="s">
        <v>6636</v>
      </c>
      <c r="M1759" s="28" t="s">
        <v>535</v>
      </c>
      <c r="N1759" s="28" t="s">
        <v>1382</v>
      </c>
      <c r="O1759" s="28" t="s">
        <v>1383</v>
      </c>
      <c r="P1759" s="28" t="s">
        <v>557</v>
      </c>
      <c r="Q1759" s="28" t="s">
        <v>544</v>
      </c>
      <c r="R1759" s="28" t="s">
        <v>522</v>
      </c>
      <c r="S1759" s="28" t="s">
        <v>573</v>
      </c>
      <c r="T1759" s="28" t="s">
        <v>1529</v>
      </c>
      <c r="U1759" s="28" t="s">
        <v>1529</v>
      </c>
      <c r="V1759" s="28" t="s">
        <v>517</v>
      </c>
      <c r="W1759" s="28" t="s">
        <v>6639</v>
      </c>
      <c r="AF1759" s="117"/>
      <c r="AK1759" s="60" t="s">
        <v>6558</v>
      </c>
      <c r="AL1759" s="117">
        <f>1/COUNTIF(Tableau6[LAT],B1759)</f>
        <v>0.33333333333333331</v>
      </c>
      <c r="AM1759" s="60" t="b">
        <f t="shared" si="199"/>
        <v>0</v>
      </c>
      <c r="AN1759" s="60" t="b">
        <f t="shared" si="200"/>
        <v>0</v>
      </c>
      <c r="AO1759" s="60" t="b">
        <f t="shared" si="201"/>
        <v>0</v>
      </c>
      <c r="AP1759" s="60" t="b">
        <f t="shared" si="202"/>
        <v>0</v>
      </c>
      <c r="AQ1759" s="60" t="b">
        <f t="shared" si="203"/>
        <v>0</v>
      </c>
      <c r="AR1759" s="60" t="str">
        <f t="shared" si="204"/>
        <v>No</v>
      </c>
      <c r="AS1759" s="60" t="str">
        <f t="shared" si="205"/>
        <v>No</v>
      </c>
    </row>
    <row r="1760" spans="1:45" hidden="1">
      <c r="A1760" s="103">
        <v>45244</v>
      </c>
      <c r="B1760" s="117" t="s">
        <v>6633</v>
      </c>
      <c r="C1760" s="28" t="s">
        <v>612</v>
      </c>
      <c r="D1760" s="28" t="s">
        <v>6640</v>
      </c>
      <c r="F1760" s="28" t="s">
        <v>6641</v>
      </c>
      <c r="G1760" s="28" t="s">
        <v>514</v>
      </c>
      <c r="H1760" s="28" t="s">
        <v>794</v>
      </c>
      <c r="I1760" s="28" t="s">
        <v>517</v>
      </c>
      <c r="J1760" s="28" t="s">
        <v>517</v>
      </c>
      <c r="K1760" s="28" t="s">
        <v>518</v>
      </c>
      <c r="L1760" s="28" t="s">
        <v>6636</v>
      </c>
      <c r="M1760" s="28" t="s">
        <v>535</v>
      </c>
      <c r="N1760" s="28" t="s">
        <v>1382</v>
      </c>
      <c r="O1760" s="28" t="s">
        <v>1383</v>
      </c>
      <c r="P1760" s="28" t="s">
        <v>557</v>
      </c>
      <c r="Q1760" s="28" t="s">
        <v>544</v>
      </c>
      <c r="R1760" s="28" t="s">
        <v>522</v>
      </c>
      <c r="S1760" s="28" t="s">
        <v>573</v>
      </c>
      <c r="T1760" s="28" t="s">
        <v>1529</v>
      </c>
      <c r="U1760" s="28" t="s">
        <v>1529</v>
      </c>
      <c r="V1760" s="28" t="s">
        <v>517</v>
      </c>
      <c r="W1760" s="28" t="s">
        <v>6642</v>
      </c>
      <c r="AF1760" s="117"/>
      <c r="AK1760" s="60" t="s">
        <v>6558</v>
      </c>
      <c r="AL1760" s="117">
        <f>1/COUNTIF(Tableau6[LAT],B1760)</f>
        <v>0.33333333333333331</v>
      </c>
      <c r="AM1760" s="60" t="b">
        <f t="shared" si="199"/>
        <v>0</v>
      </c>
      <c r="AN1760" s="60" t="b">
        <f t="shared" si="200"/>
        <v>0</v>
      </c>
      <c r="AO1760" s="60" t="b">
        <f t="shared" si="201"/>
        <v>0</v>
      </c>
      <c r="AP1760" s="60" t="b">
        <f t="shared" si="202"/>
        <v>0</v>
      </c>
      <c r="AQ1760" s="60" t="b">
        <f t="shared" si="203"/>
        <v>0</v>
      </c>
      <c r="AR1760" s="60" t="str">
        <f t="shared" si="204"/>
        <v>No</v>
      </c>
      <c r="AS1760" s="60" t="str">
        <f t="shared" si="205"/>
        <v>No</v>
      </c>
    </row>
    <row r="1761" spans="1:45" hidden="1">
      <c r="A1761" s="103">
        <v>45244</v>
      </c>
      <c r="B1761" s="117" t="s">
        <v>6643</v>
      </c>
      <c r="C1761" s="28" t="s">
        <v>511</v>
      </c>
      <c r="D1761" s="28" t="s">
        <v>6644</v>
      </c>
      <c r="E1761" s="28" t="s">
        <v>6645</v>
      </c>
      <c r="F1761" s="28" t="s">
        <v>6646</v>
      </c>
      <c r="G1761" s="28" t="s">
        <v>514</v>
      </c>
      <c r="H1761" s="28" t="s">
        <v>2985</v>
      </c>
      <c r="I1761" s="28" t="s">
        <v>516</v>
      </c>
      <c r="J1761" s="28" t="s">
        <v>517</v>
      </c>
      <c r="K1761" s="28" t="s">
        <v>682</v>
      </c>
      <c r="L1761" s="28" t="s">
        <v>4699</v>
      </c>
      <c r="M1761" s="28" t="s">
        <v>535</v>
      </c>
      <c r="N1761" s="28" t="s">
        <v>544</v>
      </c>
      <c r="S1761" s="28" t="s">
        <v>1158</v>
      </c>
      <c r="T1761" s="28" t="s">
        <v>4700</v>
      </c>
      <c r="U1761" s="28" t="s">
        <v>4700</v>
      </c>
      <c r="V1761" s="28" t="s">
        <v>517</v>
      </c>
      <c r="W1761" s="28" t="s">
        <v>5942</v>
      </c>
      <c r="X1761" s="28" t="s">
        <v>1071</v>
      </c>
      <c r="AF1761" s="117"/>
      <c r="AK1761" s="60" t="s">
        <v>6558</v>
      </c>
      <c r="AL1761" s="117">
        <f>1/COUNTIF(Tableau6[LAT],B1761)</f>
        <v>0.25</v>
      </c>
      <c r="AM1761" s="60" t="b">
        <f t="shared" si="199"/>
        <v>0</v>
      </c>
      <c r="AN1761" s="60" t="b">
        <f t="shared" si="200"/>
        <v>0</v>
      </c>
      <c r="AO1761" s="60" t="b">
        <f t="shared" si="201"/>
        <v>0</v>
      </c>
      <c r="AP1761" s="60" t="b">
        <f t="shared" si="202"/>
        <v>0</v>
      </c>
      <c r="AQ1761" s="60" t="b">
        <f t="shared" si="203"/>
        <v>0</v>
      </c>
      <c r="AR1761" s="60" t="str">
        <f t="shared" si="204"/>
        <v>No</v>
      </c>
      <c r="AS1761" s="60" t="str">
        <f t="shared" si="205"/>
        <v>No</v>
      </c>
    </row>
    <row r="1762" spans="1:45" hidden="1">
      <c r="A1762" s="103">
        <v>45244</v>
      </c>
      <c r="B1762" s="117" t="s">
        <v>6643</v>
      </c>
      <c r="C1762" s="28" t="s">
        <v>548</v>
      </c>
      <c r="D1762" s="28" t="s">
        <v>6647</v>
      </c>
      <c r="E1762" s="28" t="s">
        <v>6645</v>
      </c>
      <c r="F1762" s="28" t="s">
        <v>6646</v>
      </c>
      <c r="G1762" s="28" t="s">
        <v>514</v>
      </c>
      <c r="H1762" s="28" t="s">
        <v>2985</v>
      </c>
      <c r="I1762" s="28" t="s">
        <v>516</v>
      </c>
      <c r="J1762" s="28" t="s">
        <v>517</v>
      </c>
      <c r="K1762" s="28" t="s">
        <v>682</v>
      </c>
      <c r="L1762" s="28" t="s">
        <v>4699</v>
      </c>
      <c r="M1762" s="28" t="s">
        <v>535</v>
      </c>
      <c r="N1762" s="28" t="s">
        <v>544</v>
      </c>
      <c r="S1762" s="28" t="s">
        <v>1158</v>
      </c>
      <c r="T1762" s="28" t="s">
        <v>4700</v>
      </c>
      <c r="U1762" s="28" t="s">
        <v>4700</v>
      </c>
      <c r="V1762" s="28" t="s">
        <v>517</v>
      </c>
      <c r="W1762" s="28" t="s">
        <v>5942</v>
      </c>
      <c r="X1762" s="28" t="s">
        <v>1071</v>
      </c>
      <c r="AF1762" s="117"/>
      <c r="AK1762" s="60" t="s">
        <v>6558</v>
      </c>
      <c r="AL1762" s="117">
        <f>1/COUNTIF(Tableau6[LAT],B1762)</f>
        <v>0.25</v>
      </c>
      <c r="AM1762" s="60" t="b">
        <f t="shared" si="199"/>
        <v>0</v>
      </c>
      <c r="AN1762" s="60" t="b">
        <f t="shared" si="200"/>
        <v>0</v>
      </c>
      <c r="AO1762" s="60" t="b">
        <f t="shared" si="201"/>
        <v>0</v>
      </c>
      <c r="AP1762" s="60" t="b">
        <f t="shared" si="202"/>
        <v>0</v>
      </c>
      <c r="AQ1762" s="60" t="b">
        <f t="shared" si="203"/>
        <v>0</v>
      </c>
      <c r="AR1762" s="60" t="str">
        <f t="shared" si="204"/>
        <v>No</v>
      </c>
      <c r="AS1762" s="60" t="str">
        <f t="shared" si="205"/>
        <v>No</v>
      </c>
    </row>
    <row r="1763" spans="1:45" hidden="1">
      <c r="A1763" s="103">
        <v>45244</v>
      </c>
      <c r="B1763" s="117" t="s">
        <v>6643</v>
      </c>
      <c r="C1763" s="28" t="s">
        <v>612</v>
      </c>
      <c r="D1763" s="28" t="s">
        <v>6648</v>
      </c>
      <c r="E1763" s="28" t="s">
        <v>6645</v>
      </c>
      <c r="F1763" s="28" t="s">
        <v>6646</v>
      </c>
      <c r="G1763" s="28" t="s">
        <v>514</v>
      </c>
      <c r="H1763" s="28" t="s">
        <v>2985</v>
      </c>
      <c r="I1763" s="28" t="s">
        <v>516</v>
      </c>
      <c r="J1763" s="28" t="s">
        <v>517</v>
      </c>
      <c r="K1763" s="28" t="s">
        <v>682</v>
      </c>
      <c r="L1763" s="28" t="s">
        <v>4699</v>
      </c>
      <c r="M1763" s="28" t="s">
        <v>535</v>
      </c>
      <c r="N1763" s="28" t="s">
        <v>544</v>
      </c>
      <c r="S1763" s="28" t="s">
        <v>1158</v>
      </c>
      <c r="T1763" s="28" t="s">
        <v>4700</v>
      </c>
      <c r="U1763" s="28" t="s">
        <v>4700</v>
      </c>
      <c r="V1763" s="28" t="s">
        <v>517</v>
      </c>
      <c r="W1763" s="28" t="s">
        <v>5942</v>
      </c>
      <c r="X1763" s="28" t="s">
        <v>1071</v>
      </c>
      <c r="AF1763" s="117"/>
      <c r="AK1763" s="60" t="s">
        <v>6558</v>
      </c>
      <c r="AL1763" s="117">
        <f>1/COUNTIF(Tableau6[LAT],B1763)</f>
        <v>0.25</v>
      </c>
      <c r="AM1763" s="60" t="b">
        <f t="shared" si="199"/>
        <v>0</v>
      </c>
      <c r="AN1763" s="60" t="b">
        <f t="shared" si="200"/>
        <v>0</v>
      </c>
      <c r="AO1763" s="60" t="b">
        <f t="shared" si="201"/>
        <v>0</v>
      </c>
      <c r="AP1763" s="60" t="b">
        <f t="shared" si="202"/>
        <v>0</v>
      </c>
      <c r="AQ1763" s="60" t="b">
        <f t="shared" si="203"/>
        <v>0</v>
      </c>
      <c r="AR1763" s="60" t="str">
        <f t="shared" si="204"/>
        <v>No</v>
      </c>
      <c r="AS1763" s="60" t="str">
        <f t="shared" si="205"/>
        <v>No</v>
      </c>
    </row>
    <row r="1764" spans="1:45" hidden="1">
      <c r="A1764" s="103">
        <v>45244</v>
      </c>
      <c r="B1764" s="117" t="s">
        <v>6643</v>
      </c>
      <c r="C1764" s="28" t="s">
        <v>691</v>
      </c>
      <c r="D1764" s="28" t="s">
        <v>6649</v>
      </c>
      <c r="E1764" s="28" t="s">
        <v>6645</v>
      </c>
      <c r="F1764" s="28" t="s">
        <v>6646</v>
      </c>
      <c r="G1764" s="28" t="s">
        <v>514</v>
      </c>
      <c r="H1764" s="28" t="s">
        <v>2985</v>
      </c>
      <c r="I1764" s="28" t="s">
        <v>516</v>
      </c>
      <c r="J1764" s="28" t="s">
        <v>517</v>
      </c>
      <c r="K1764" s="28" t="s">
        <v>682</v>
      </c>
      <c r="L1764" s="28" t="s">
        <v>4699</v>
      </c>
      <c r="M1764" s="28" t="s">
        <v>535</v>
      </c>
      <c r="N1764" s="28" t="s">
        <v>544</v>
      </c>
      <c r="S1764" s="28" t="s">
        <v>1158</v>
      </c>
      <c r="T1764" s="28" t="s">
        <v>4700</v>
      </c>
      <c r="U1764" s="28" t="s">
        <v>4700</v>
      </c>
      <c r="V1764" s="28" t="s">
        <v>517</v>
      </c>
      <c r="W1764" s="28" t="s">
        <v>5942</v>
      </c>
      <c r="X1764" s="28" t="s">
        <v>1071</v>
      </c>
      <c r="AF1764" s="117"/>
      <c r="AK1764" s="60" t="s">
        <v>6558</v>
      </c>
      <c r="AL1764" s="117">
        <f>1/COUNTIF(Tableau6[LAT],B1764)</f>
        <v>0.25</v>
      </c>
      <c r="AM1764" s="60" t="b">
        <f t="shared" si="199"/>
        <v>0</v>
      </c>
      <c r="AN1764" s="60" t="b">
        <f t="shared" si="200"/>
        <v>0</v>
      </c>
      <c r="AO1764" s="60" t="b">
        <f t="shared" si="201"/>
        <v>0</v>
      </c>
      <c r="AP1764" s="60" t="b">
        <f t="shared" si="202"/>
        <v>0</v>
      </c>
      <c r="AQ1764" s="60" t="b">
        <f t="shared" si="203"/>
        <v>0</v>
      </c>
      <c r="AR1764" s="60" t="str">
        <f t="shared" si="204"/>
        <v>No</v>
      </c>
      <c r="AS1764" s="60" t="str">
        <f t="shared" si="205"/>
        <v>No</v>
      </c>
    </row>
    <row r="1765" spans="1:45" hidden="1">
      <c r="A1765" s="103">
        <v>45244</v>
      </c>
      <c r="B1765" s="117" t="s">
        <v>6650</v>
      </c>
      <c r="C1765" s="28" t="s">
        <v>511</v>
      </c>
      <c r="D1765" s="28" t="s">
        <v>6651</v>
      </c>
      <c r="F1765" s="28" t="s">
        <v>6652</v>
      </c>
      <c r="G1765" s="28" t="s">
        <v>514</v>
      </c>
      <c r="H1765" s="28" t="s">
        <v>1512</v>
      </c>
      <c r="I1765" s="28" t="s">
        <v>516</v>
      </c>
      <c r="J1765" s="28" t="s">
        <v>517</v>
      </c>
      <c r="K1765" s="28" t="s">
        <v>682</v>
      </c>
      <c r="L1765" s="28" t="s">
        <v>4796</v>
      </c>
      <c r="M1765" s="28" t="s">
        <v>535</v>
      </c>
      <c r="N1765" s="28" t="s">
        <v>557</v>
      </c>
      <c r="O1765" s="28" t="s">
        <v>544</v>
      </c>
      <c r="S1765" s="28" t="s">
        <v>820</v>
      </c>
      <c r="T1765" s="28" t="s">
        <v>1150</v>
      </c>
      <c r="U1765" s="28" t="s">
        <v>1150</v>
      </c>
      <c r="V1765" s="28" t="s">
        <v>517</v>
      </c>
      <c r="W1765" s="28" t="s">
        <v>6653</v>
      </c>
      <c r="AF1765" s="117"/>
      <c r="AK1765" s="60" t="s">
        <v>6558</v>
      </c>
      <c r="AL1765" s="117">
        <f>1/COUNTIF(Tableau6[LAT],B1765)</f>
        <v>1</v>
      </c>
      <c r="AM1765" s="60" t="b">
        <f t="shared" si="199"/>
        <v>0</v>
      </c>
      <c r="AN1765" s="60" t="b">
        <f t="shared" si="200"/>
        <v>0</v>
      </c>
      <c r="AO1765" s="60" t="b">
        <f t="shared" si="201"/>
        <v>0</v>
      </c>
      <c r="AP1765" s="60" t="b">
        <f t="shared" si="202"/>
        <v>0</v>
      </c>
      <c r="AQ1765" s="60" t="b">
        <f t="shared" si="203"/>
        <v>0</v>
      </c>
      <c r="AR1765" s="60" t="str">
        <f t="shared" si="204"/>
        <v>No</v>
      </c>
      <c r="AS1765" s="60" t="str">
        <f t="shared" si="205"/>
        <v>No</v>
      </c>
    </row>
    <row r="1766" spans="1:45" hidden="1">
      <c r="A1766" s="103">
        <v>45244</v>
      </c>
      <c r="B1766" s="117" t="s">
        <v>5593</v>
      </c>
      <c r="C1766" s="28" t="s">
        <v>548</v>
      </c>
      <c r="D1766" s="28" t="s">
        <v>6654</v>
      </c>
      <c r="F1766" s="28" t="s">
        <v>5595</v>
      </c>
      <c r="G1766" s="28" t="s">
        <v>514</v>
      </c>
      <c r="H1766" s="28" t="s">
        <v>1701</v>
      </c>
      <c r="I1766" s="28" t="s">
        <v>517</v>
      </c>
      <c r="J1766" s="28" t="s">
        <v>517</v>
      </c>
      <c r="K1766" s="28" t="s">
        <v>518</v>
      </c>
      <c r="L1766" s="28" t="s">
        <v>675</v>
      </c>
      <c r="M1766" s="28" t="s">
        <v>605</v>
      </c>
      <c r="N1766" s="28" t="s">
        <v>1835</v>
      </c>
      <c r="O1766" s="28" t="s">
        <v>521</v>
      </c>
      <c r="P1766" s="28" t="s">
        <v>544</v>
      </c>
      <c r="Q1766" s="28" t="s">
        <v>522</v>
      </c>
      <c r="S1766" s="28" t="s">
        <v>573</v>
      </c>
      <c r="T1766" s="28" t="s">
        <v>676</v>
      </c>
      <c r="U1766" s="28" t="s">
        <v>676</v>
      </c>
      <c r="V1766" s="28" t="s">
        <v>517</v>
      </c>
      <c r="W1766" s="28" t="s">
        <v>6655</v>
      </c>
      <c r="AF1766" s="117"/>
      <c r="AK1766" s="60" t="s">
        <v>6558</v>
      </c>
      <c r="AL1766" s="117">
        <f>1/COUNTIF(Tableau6[LAT],B1766)</f>
        <v>0.25</v>
      </c>
      <c r="AM1766" s="60" t="b">
        <f t="shared" si="199"/>
        <v>0</v>
      </c>
      <c r="AN1766" s="60" t="b">
        <f t="shared" si="200"/>
        <v>0</v>
      </c>
      <c r="AO1766" s="60" t="b">
        <f t="shared" si="201"/>
        <v>0</v>
      </c>
      <c r="AP1766" s="60" t="b">
        <f t="shared" si="202"/>
        <v>0</v>
      </c>
      <c r="AQ1766" s="60" t="b">
        <f t="shared" si="203"/>
        <v>0</v>
      </c>
      <c r="AR1766" s="60" t="str">
        <f t="shared" si="204"/>
        <v>No</v>
      </c>
      <c r="AS1766" s="60" t="str">
        <f t="shared" si="205"/>
        <v>No</v>
      </c>
    </row>
    <row r="1767" spans="1:45" hidden="1">
      <c r="A1767" s="103">
        <v>45244</v>
      </c>
      <c r="B1767" s="117" t="s">
        <v>5593</v>
      </c>
      <c r="C1767" s="28" t="s">
        <v>612</v>
      </c>
      <c r="D1767" s="28" t="s">
        <v>6656</v>
      </c>
      <c r="F1767" s="28" t="s">
        <v>5595</v>
      </c>
      <c r="G1767" s="28" t="s">
        <v>514</v>
      </c>
      <c r="H1767" s="28" t="s">
        <v>1701</v>
      </c>
      <c r="I1767" s="28" t="s">
        <v>517</v>
      </c>
      <c r="J1767" s="28" t="s">
        <v>517</v>
      </c>
      <c r="K1767" s="28" t="s">
        <v>518</v>
      </c>
      <c r="L1767" s="28" t="s">
        <v>675</v>
      </c>
      <c r="M1767" s="28" t="s">
        <v>605</v>
      </c>
      <c r="N1767" s="28" t="s">
        <v>1835</v>
      </c>
      <c r="O1767" s="28" t="s">
        <v>521</v>
      </c>
      <c r="P1767" s="28" t="s">
        <v>544</v>
      </c>
      <c r="Q1767" s="28" t="s">
        <v>522</v>
      </c>
      <c r="S1767" s="28" t="s">
        <v>573</v>
      </c>
      <c r="T1767" s="28" t="s">
        <v>676</v>
      </c>
      <c r="U1767" s="28" t="s">
        <v>676</v>
      </c>
      <c r="V1767" s="28" t="s">
        <v>517</v>
      </c>
      <c r="W1767" s="28" t="s">
        <v>6655</v>
      </c>
      <c r="AF1767" s="117"/>
      <c r="AK1767" s="60" t="s">
        <v>6558</v>
      </c>
      <c r="AL1767" s="117">
        <f>1/COUNTIF(Tableau6[LAT],B1767)</f>
        <v>0.25</v>
      </c>
      <c r="AM1767" s="60" t="b">
        <f t="shared" si="199"/>
        <v>0</v>
      </c>
      <c r="AN1767" s="60" t="b">
        <f t="shared" si="200"/>
        <v>0</v>
      </c>
      <c r="AO1767" s="60" t="b">
        <f t="shared" si="201"/>
        <v>0</v>
      </c>
      <c r="AP1767" s="60" t="b">
        <f t="shared" si="202"/>
        <v>0</v>
      </c>
      <c r="AQ1767" s="60" t="b">
        <f t="shared" si="203"/>
        <v>0</v>
      </c>
      <c r="AR1767" s="60" t="str">
        <f t="shared" si="204"/>
        <v>No</v>
      </c>
      <c r="AS1767" s="60" t="str">
        <f t="shared" si="205"/>
        <v>No</v>
      </c>
    </row>
    <row r="1768" spans="1:45" hidden="1">
      <c r="A1768" s="103">
        <v>45244</v>
      </c>
      <c r="B1768" s="117" t="s">
        <v>5593</v>
      </c>
      <c r="C1768" s="28" t="s">
        <v>691</v>
      </c>
      <c r="D1768" s="28" t="s">
        <v>6657</v>
      </c>
      <c r="F1768" s="28" t="s">
        <v>5595</v>
      </c>
      <c r="G1768" s="28" t="s">
        <v>514</v>
      </c>
      <c r="H1768" s="28" t="s">
        <v>1701</v>
      </c>
      <c r="I1768" s="28" t="s">
        <v>517</v>
      </c>
      <c r="J1768" s="28" t="s">
        <v>517</v>
      </c>
      <c r="K1768" s="28" t="s">
        <v>518</v>
      </c>
      <c r="L1768" s="28" t="s">
        <v>675</v>
      </c>
      <c r="M1768" s="28" t="s">
        <v>605</v>
      </c>
      <c r="N1768" s="28" t="s">
        <v>1835</v>
      </c>
      <c r="O1768" s="28" t="s">
        <v>521</v>
      </c>
      <c r="P1768" s="28" t="s">
        <v>544</v>
      </c>
      <c r="Q1768" s="28" t="s">
        <v>522</v>
      </c>
      <c r="S1768" s="28" t="s">
        <v>573</v>
      </c>
      <c r="T1768" s="28" t="s">
        <v>676</v>
      </c>
      <c r="U1768" s="28" t="s">
        <v>676</v>
      </c>
      <c r="V1768" s="28" t="s">
        <v>517</v>
      </c>
      <c r="W1768" s="28" t="s">
        <v>6655</v>
      </c>
      <c r="AF1768" s="117"/>
      <c r="AK1768" s="60" t="s">
        <v>6558</v>
      </c>
      <c r="AL1768" s="117">
        <f>1/COUNTIF(Tableau6[LAT],B1768)</f>
        <v>0.25</v>
      </c>
      <c r="AM1768" s="60" t="b">
        <f t="shared" si="199"/>
        <v>0</v>
      </c>
      <c r="AN1768" s="60" t="b">
        <f t="shared" si="200"/>
        <v>0</v>
      </c>
      <c r="AO1768" s="60" t="b">
        <f t="shared" si="201"/>
        <v>0</v>
      </c>
      <c r="AP1768" s="60" t="b">
        <f t="shared" si="202"/>
        <v>0</v>
      </c>
      <c r="AQ1768" s="60" t="b">
        <f t="shared" si="203"/>
        <v>0</v>
      </c>
      <c r="AR1768" s="60" t="str">
        <f t="shared" si="204"/>
        <v>No</v>
      </c>
      <c r="AS1768" s="60" t="str">
        <f t="shared" si="205"/>
        <v>No</v>
      </c>
    </row>
    <row r="1769" spans="1:45" hidden="1">
      <c r="A1769" s="103">
        <v>45244</v>
      </c>
      <c r="B1769" s="117" t="s">
        <v>6658</v>
      </c>
      <c r="C1769" s="28" t="s">
        <v>511</v>
      </c>
      <c r="D1769" s="28" t="s">
        <v>6659</v>
      </c>
      <c r="F1769" s="28" t="s">
        <v>6132</v>
      </c>
      <c r="G1769" s="28" t="s">
        <v>514</v>
      </c>
      <c r="H1769" s="28" t="s">
        <v>3941</v>
      </c>
      <c r="I1769" s="28" t="s">
        <v>517</v>
      </c>
      <c r="J1769" s="28" t="s">
        <v>517</v>
      </c>
      <c r="K1769" s="28" t="s">
        <v>518</v>
      </c>
      <c r="L1769" s="28" t="s">
        <v>801</v>
      </c>
      <c r="M1769" s="28" t="s">
        <v>520</v>
      </c>
      <c r="S1769" s="28" t="s">
        <v>573</v>
      </c>
      <c r="T1769" s="28" t="s">
        <v>803</v>
      </c>
      <c r="U1769" s="28" t="s">
        <v>803</v>
      </c>
      <c r="V1769" s="28" t="s">
        <v>517</v>
      </c>
      <c r="W1769" s="28" t="s">
        <v>6660</v>
      </c>
      <c r="AF1769" s="117"/>
      <c r="AK1769" s="60" t="s">
        <v>6558</v>
      </c>
      <c r="AL1769" s="117">
        <f>1/COUNTIF(Tableau6[LAT],B1769)</f>
        <v>1</v>
      </c>
      <c r="AM1769" s="60" t="b">
        <f t="shared" si="199"/>
        <v>0</v>
      </c>
      <c r="AN1769" s="60" t="b">
        <f t="shared" si="200"/>
        <v>0</v>
      </c>
      <c r="AO1769" s="60" t="b">
        <f t="shared" si="201"/>
        <v>0</v>
      </c>
      <c r="AP1769" s="60" t="b">
        <f t="shared" si="202"/>
        <v>0</v>
      </c>
      <c r="AQ1769" s="60" t="b">
        <f t="shared" si="203"/>
        <v>0</v>
      </c>
      <c r="AR1769" s="60" t="str">
        <f t="shared" si="204"/>
        <v>No</v>
      </c>
      <c r="AS1769" s="60" t="str">
        <f t="shared" si="205"/>
        <v>No</v>
      </c>
    </row>
    <row r="1770" spans="1:45" hidden="1">
      <c r="A1770" s="103">
        <v>45244</v>
      </c>
      <c r="B1770" s="117" t="s">
        <v>6661</v>
      </c>
      <c r="C1770" s="28" t="s">
        <v>511</v>
      </c>
      <c r="D1770" s="28" t="s">
        <v>6662</v>
      </c>
      <c r="F1770" s="28" t="s">
        <v>6663</v>
      </c>
      <c r="G1770" s="28" t="s">
        <v>514</v>
      </c>
      <c r="H1770" s="28" t="s">
        <v>1003</v>
      </c>
      <c r="I1770" s="28" t="s">
        <v>516</v>
      </c>
      <c r="J1770" s="28" t="s">
        <v>517</v>
      </c>
      <c r="K1770" s="28" t="s">
        <v>518</v>
      </c>
      <c r="L1770" s="28" t="s">
        <v>751</v>
      </c>
      <c r="M1770" s="28" t="s">
        <v>605</v>
      </c>
      <c r="N1770" s="28" t="s">
        <v>544</v>
      </c>
      <c r="S1770" s="28" t="s">
        <v>536</v>
      </c>
      <c r="T1770" s="28" t="s">
        <v>6059</v>
      </c>
      <c r="U1770" s="28" t="s">
        <v>753</v>
      </c>
      <c r="V1770" s="28" t="s">
        <v>517</v>
      </c>
      <c r="W1770" s="28" t="s">
        <v>1620</v>
      </c>
      <c r="AF1770" s="117"/>
      <c r="AK1770" s="60" t="s">
        <v>6558</v>
      </c>
      <c r="AL1770" s="117">
        <f>1/COUNTIF(Tableau6[LAT],B1770)</f>
        <v>0.33333333333333331</v>
      </c>
      <c r="AM1770" s="60" t="b">
        <f t="shared" si="199"/>
        <v>0</v>
      </c>
      <c r="AN1770" s="60" t="b">
        <f t="shared" si="200"/>
        <v>0</v>
      </c>
      <c r="AO1770" s="60" t="b">
        <f t="shared" si="201"/>
        <v>0</v>
      </c>
      <c r="AP1770" s="60" t="b">
        <f t="shared" si="202"/>
        <v>0</v>
      </c>
      <c r="AQ1770" s="60" t="b">
        <f t="shared" si="203"/>
        <v>0</v>
      </c>
      <c r="AR1770" s="60" t="str">
        <f t="shared" si="204"/>
        <v>No</v>
      </c>
      <c r="AS1770" s="60" t="str">
        <f t="shared" si="205"/>
        <v>Yes</v>
      </c>
    </row>
    <row r="1771" spans="1:45" hidden="1">
      <c r="A1771" s="103">
        <v>45244</v>
      </c>
      <c r="B1771" s="117" t="s">
        <v>6661</v>
      </c>
      <c r="C1771" s="28" t="s">
        <v>548</v>
      </c>
      <c r="D1771" s="28" t="s">
        <v>6664</v>
      </c>
      <c r="F1771" s="28" t="s">
        <v>6665</v>
      </c>
      <c r="G1771" s="28" t="s">
        <v>665</v>
      </c>
      <c r="H1771" s="28" t="s">
        <v>5043</v>
      </c>
      <c r="I1771" s="28" t="s">
        <v>516</v>
      </c>
      <c r="J1771" s="28" t="s">
        <v>517</v>
      </c>
      <c r="K1771" s="28" t="s">
        <v>518</v>
      </c>
      <c r="L1771" s="28" t="s">
        <v>751</v>
      </c>
      <c r="M1771" s="28" t="s">
        <v>605</v>
      </c>
      <c r="N1771" s="28" t="s">
        <v>544</v>
      </c>
      <c r="S1771" s="28" t="s">
        <v>536</v>
      </c>
      <c r="T1771" s="28" t="s">
        <v>6059</v>
      </c>
      <c r="U1771" s="28" t="s">
        <v>753</v>
      </c>
      <c r="V1771" s="28" t="s">
        <v>517</v>
      </c>
      <c r="W1771" s="28" t="s">
        <v>1620</v>
      </c>
      <c r="AF1771" s="117"/>
      <c r="AK1771" s="60" t="s">
        <v>6558</v>
      </c>
      <c r="AL1771" s="117">
        <f>1/COUNTIF(Tableau6[LAT],B1771)</f>
        <v>0.33333333333333331</v>
      </c>
      <c r="AM1771" s="60" t="b">
        <f t="shared" si="199"/>
        <v>0</v>
      </c>
      <c r="AN1771" s="60" t="b">
        <f t="shared" si="200"/>
        <v>0</v>
      </c>
      <c r="AO1771" s="60" t="b">
        <f t="shared" si="201"/>
        <v>0</v>
      </c>
      <c r="AP1771" s="60" t="b">
        <f t="shared" si="202"/>
        <v>0</v>
      </c>
      <c r="AQ1771" s="60" t="b">
        <f t="shared" si="203"/>
        <v>0</v>
      </c>
      <c r="AR1771" s="60" t="str">
        <f t="shared" si="204"/>
        <v>No</v>
      </c>
      <c r="AS1771" s="60" t="str">
        <f t="shared" si="205"/>
        <v>Yes</v>
      </c>
    </row>
    <row r="1772" spans="1:45" hidden="1">
      <c r="A1772" s="103">
        <v>45244</v>
      </c>
      <c r="B1772" s="117" t="s">
        <v>6661</v>
      </c>
      <c r="C1772" s="28" t="s">
        <v>612</v>
      </c>
      <c r="D1772" s="28" t="s">
        <v>6666</v>
      </c>
      <c r="F1772" s="28" t="s">
        <v>6663</v>
      </c>
      <c r="G1772" s="28" t="s">
        <v>514</v>
      </c>
      <c r="H1772" s="28" t="s">
        <v>1003</v>
      </c>
      <c r="I1772" s="28" t="s">
        <v>516</v>
      </c>
      <c r="J1772" s="28" t="s">
        <v>517</v>
      </c>
      <c r="K1772" s="28" t="s">
        <v>518</v>
      </c>
      <c r="L1772" s="28" t="s">
        <v>751</v>
      </c>
      <c r="M1772" s="28" t="s">
        <v>605</v>
      </c>
      <c r="N1772" s="28" t="s">
        <v>544</v>
      </c>
      <c r="S1772" s="28" t="s">
        <v>536</v>
      </c>
      <c r="T1772" s="28" t="s">
        <v>6059</v>
      </c>
      <c r="U1772" s="28" t="s">
        <v>753</v>
      </c>
      <c r="V1772" s="28" t="s">
        <v>517</v>
      </c>
      <c r="W1772" s="28" t="s">
        <v>1620</v>
      </c>
      <c r="AF1772" s="117"/>
      <c r="AK1772" s="60" t="s">
        <v>6558</v>
      </c>
      <c r="AL1772" s="117">
        <f>1/COUNTIF(Tableau6[LAT],B1772)</f>
        <v>0.33333333333333331</v>
      </c>
      <c r="AM1772" s="60" t="b">
        <f t="shared" si="199"/>
        <v>0</v>
      </c>
      <c r="AN1772" s="60" t="b">
        <f t="shared" si="200"/>
        <v>0</v>
      </c>
      <c r="AO1772" s="60" t="b">
        <f t="shared" si="201"/>
        <v>0</v>
      </c>
      <c r="AP1772" s="60" t="b">
        <f t="shared" si="202"/>
        <v>0</v>
      </c>
      <c r="AQ1772" s="60" t="b">
        <f t="shared" si="203"/>
        <v>0</v>
      </c>
      <c r="AR1772" s="60" t="str">
        <f t="shared" si="204"/>
        <v>No</v>
      </c>
      <c r="AS1772" s="60" t="str">
        <f t="shared" si="205"/>
        <v>Yes</v>
      </c>
    </row>
    <row r="1773" spans="1:45" hidden="1">
      <c r="A1773" s="103">
        <v>45244</v>
      </c>
      <c r="B1773" s="117" t="s">
        <v>6667</v>
      </c>
      <c r="C1773" s="28" t="s">
        <v>548</v>
      </c>
      <c r="D1773" s="28" t="s">
        <v>6668</v>
      </c>
      <c r="F1773" s="28" t="s">
        <v>767</v>
      </c>
      <c r="G1773" s="28" t="s">
        <v>514</v>
      </c>
      <c r="H1773" s="28" t="s">
        <v>2732</v>
      </c>
      <c r="I1773" s="28" t="s">
        <v>516</v>
      </c>
      <c r="J1773" s="28" t="s">
        <v>517</v>
      </c>
      <c r="K1773" s="28" t="s">
        <v>682</v>
      </c>
      <c r="L1773" s="28" t="s">
        <v>4796</v>
      </c>
      <c r="M1773" s="28" t="s">
        <v>535</v>
      </c>
      <c r="N1773" s="28" t="s">
        <v>557</v>
      </c>
      <c r="O1773" s="28" t="s">
        <v>934</v>
      </c>
      <c r="S1773" s="28" t="s">
        <v>732</v>
      </c>
      <c r="T1773" s="28" t="s">
        <v>1150</v>
      </c>
      <c r="U1773" s="28" t="s">
        <v>1150</v>
      </c>
      <c r="V1773" s="28" t="s">
        <v>517</v>
      </c>
      <c r="W1773" s="28" t="s">
        <v>6669</v>
      </c>
      <c r="AF1773" s="117"/>
      <c r="AK1773" s="60" t="s">
        <v>6558</v>
      </c>
      <c r="AL1773" s="117">
        <f>1/COUNTIF(Tableau6[LAT],B1773)</f>
        <v>1</v>
      </c>
      <c r="AM1773" s="60" t="b">
        <f t="shared" si="199"/>
        <v>0</v>
      </c>
      <c r="AN1773" s="60" t="b">
        <f t="shared" si="200"/>
        <v>0</v>
      </c>
      <c r="AO1773" s="60" t="b">
        <f t="shared" si="201"/>
        <v>0</v>
      </c>
      <c r="AP1773" s="60" t="b">
        <f t="shared" si="202"/>
        <v>0</v>
      </c>
      <c r="AQ1773" s="60" t="b">
        <f t="shared" si="203"/>
        <v>0</v>
      </c>
      <c r="AR1773" s="60" t="str">
        <f t="shared" si="204"/>
        <v>No</v>
      </c>
      <c r="AS1773" s="60" t="str">
        <f t="shared" si="205"/>
        <v>No</v>
      </c>
    </row>
    <row r="1774" spans="1:45" hidden="1">
      <c r="A1774" s="103">
        <v>45244</v>
      </c>
      <c r="B1774" s="117" t="s">
        <v>6670</v>
      </c>
      <c r="C1774" s="28" t="s">
        <v>511</v>
      </c>
      <c r="D1774" s="28" t="s">
        <v>6671</v>
      </c>
      <c r="F1774" s="28" t="s">
        <v>3567</v>
      </c>
      <c r="G1774" s="28" t="s">
        <v>514</v>
      </c>
      <c r="H1774" s="28" t="s">
        <v>1728</v>
      </c>
      <c r="I1774" s="28" t="s">
        <v>517</v>
      </c>
      <c r="J1774" s="28" t="s">
        <v>517</v>
      </c>
      <c r="K1774" s="28" t="s">
        <v>682</v>
      </c>
      <c r="L1774" s="28" t="s">
        <v>4699</v>
      </c>
      <c r="M1774" s="28" t="s">
        <v>535</v>
      </c>
      <c r="N1774" s="28" t="s">
        <v>557</v>
      </c>
      <c r="O1774" s="28" t="s">
        <v>544</v>
      </c>
      <c r="P1774" s="28" t="s">
        <v>522</v>
      </c>
      <c r="S1774" s="28" t="s">
        <v>573</v>
      </c>
      <c r="T1774" s="28" t="s">
        <v>4700</v>
      </c>
      <c r="U1774" s="28" t="s">
        <v>4700</v>
      </c>
      <c r="V1774" s="28" t="s">
        <v>517</v>
      </c>
      <c r="W1774" s="28" t="s">
        <v>6672</v>
      </c>
      <c r="AF1774" s="117"/>
      <c r="AK1774" s="60" t="s">
        <v>6558</v>
      </c>
      <c r="AL1774" s="117">
        <f>1/COUNTIF(Tableau6[LAT],B1774)</f>
        <v>1</v>
      </c>
      <c r="AM1774" s="60" t="b">
        <f t="shared" si="199"/>
        <v>0</v>
      </c>
      <c r="AN1774" s="60" t="b">
        <f t="shared" si="200"/>
        <v>0</v>
      </c>
      <c r="AO1774" s="60" t="b">
        <f t="shared" si="201"/>
        <v>0</v>
      </c>
      <c r="AP1774" s="60" t="b">
        <f t="shared" si="202"/>
        <v>0</v>
      </c>
      <c r="AQ1774" s="60" t="b">
        <f t="shared" si="203"/>
        <v>0</v>
      </c>
      <c r="AR1774" s="60" t="str">
        <f t="shared" si="204"/>
        <v>No</v>
      </c>
      <c r="AS1774" s="60" t="str">
        <f t="shared" si="205"/>
        <v>No</v>
      </c>
    </row>
    <row r="1775" spans="1:45" hidden="1">
      <c r="A1775" s="103">
        <v>45244</v>
      </c>
      <c r="B1775" s="117" t="s">
        <v>6673</v>
      </c>
      <c r="C1775" s="28" t="s">
        <v>511</v>
      </c>
      <c r="D1775" s="28" t="s">
        <v>6674</v>
      </c>
      <c r="F1775" s="28" t="s">
        <v>965</v>
      </c>
      <c r="G1775" s="28" t="s">
        <v>514</v>
      </c>
      <c r="H1775" s="28" t="s">
        <v>6675</v>
      </c>
      <c r="I1775" s="28" t="s">
        <v>516</v>
      </c>
      <c r="J1775" s="28" t="s">
        <v>517</v>
      </c>
      <c r="K1775" s="28" t="s">
        <v>682</v>
      </c>
      <c r="L1775" s="28" t="s">
        <v>1262</v>
      </c>
      <c r="M1775" s="28" t="s">
        <v>535</v>
      </c>
      <c r="N1775" s="28" t="s">
        <v>557</v>
      </c>
      <c r="O1775" s="28" t="s">
        <v>559</v>
      </c>
      <c r="S1775" s="28" t="s">
        <v>820</v>
      </c>
      <c r="T1775" s="28" t="s">
        <v>733</v>
      </c>
      <c r="U1775" s="28" t="s">
        <v>1264</v>
      </c>
      <c r="V1775" s="28" t="s">
        <v>517</v>
      </c>
      <c r="W1775" s="28" t="s">
        <v>835</v>
      </c>
      <c r="AF1775" s="117"/>
      <c r="AK1775" s="60" t="s">
        <v>6558</v>
      </c>
      <c r="AL1775" s="117">
        <f>1/COUNTIF(Tableau6[LAT],B1775)</f>
        <v>1</v>
      </c>
      <c r="AM1775" s="60" t="b">
        <f t="shared" si="199"/>
        <v>0</v>
      </c>
      <c r="AN1775" s="60" t="b">
        <f t="shared" si="200"/>
        <v>0</v>
      </c>
      <c r="AO1775" s="60" t="b">
        <f t="shared" si="201"/>
        <v>0</v>
      </c>
      <c r="AP1775" s="60" t="b">
        <f t="shared" si="202"/>
        <v>0</v>
      </c>
      <c r="AQ1775" s="60" t="b">
        <f t="shared" si="203"/>
        <v>0</v>
      </c>
      <c r="AR1775" s="60" t="str">
        <f t="shared" si="204"/>
        <v>No</v>
      </c>
      <c r="AS1775" s="60" t="str">
        <f t="shared" si="205"/>
        <v>No</v>
      </c>
    </row>
    <row r="1776" spans="1:45" hidden="1">
      <c r="A1776" s="103">
        <v>45244</v>
      </c>
      <c r="B1776" s="117" t="s">
        <v>6676</v>
      </c>
      <c r="C1776" s="28" t="s">
        <v>511</v>
      </c>
      <c r="D1776" s="28" t="s">
        <v>6677</v>
      </c>
      <c r="F1776" s="28" t="s">
        <v>1316</v>
      </c>
      <c r="G1776" s="28" t="s">
        <v>514</v>
      </c>
      <c r="H1776" s="28" t="s">
        <v>2904</v>
      </c>
      <c r="I1776" s="28" t="s">
        <v>517</v>
      </c>
      <c r="J1776" s="28" t="s">
        <v>517</v>
      </c>
      <c r="K1776" s="28" t="s">
        <v>518</v>
      </c>
      <c r="L1776" s="28" t="s">
        <v>6628</v>
      </c>
      <c r="M1776" s="28" t="s">
        <v>535</v>
      </c>
      <c r="N1776" s="28" t="s">
        <v>810</v>
      </c>
      <c r="O1776" s="28" t="s">
        <v>1383</v>
      </c>
      <c r="P1776" s="28" t="s">
        <v>522</v>
      </c>
      <c r="S1776" s="28" t="s">
        <v>573</v>
      </c>
      <c r="T1776" s="28" t="s">
        <v>3806</v>
      </c>
      <c r="U1776" s="28" t="s">
        <v>3806</v>
      </c>
      <c r="V1776" s="28" t="s">
        <v>517</v>
      </c>
      <c r="W1776" s="28" t="s">
        <v>5552</v>
      </c>
      <c r="AF1776" s="117"/>
      <c r="AK1776" s="60" t="s">
        <v>6558</v>
      </c>
      <c r="AL1776" s="117">
        <f>1/COUNTIF(Tableau6[LAT],B1776)</f>
        <v>0.5</v>
      </c>
      <c r="AM1776" s="60" t="b">
        <f t="shared" si="199"/>
        <v>0</v>
      </c>
      <c r="AN1776" s="60" t="b">
        <f t="shared" si="200"/>
        <v>0</v>
      </c>
      <c r="AO1776" s="60" t="b">
        <f t="shared" si="201"/>
        <v>0</v>
      </c>
      <c r="AP1776" s="60" t="b">
        <f t="shared" si="202"/>
        <v>0</v>
      </c>
      <c r="AQ1776" s="60" t="b">
        <f t="shared" si="203"/>
        <v>0</v>
      </c>
      <c r="AR1776" s="60" t="str">
        <f t="shared" si="204"/>
        <v>No</v>
      </c>
      <c r="AS1776" s="60" t="str">
        <f t="shared" si="205"/>
        <v>No</v>
      </c>
    </row>
    <row r="1777" spans="1:45" hidden="1">
      <c r="A1777" s="103">
        <v>45244</v>
      </c>
      <c r="B1777" s="117" t="s">
        <v>6676</v>
      </c>
      <c r="C1777" s="28" t="s">
        <v>548</v>
      </c>
      <c r="D1777" s="28" t="s">
        <v>6678</v>
      </c>
      <c r="F1777" s="28" t="s">
        <v>1316</v>
      </c>
      <c r="G1777" s="28" t="s">
        <v>514</v>
      </c>
      <c r="H1777" s="28" t="s">
        <v>2904</v>
      </c>
      <c r="I1777" s="28" t="s">
        <v>517</v>
      </c>
      <c r="J1777" s="28" t="s">
        <v>517</v>
      </c>
      <c r="K1777" s="28" t="s">
        <v>518</v>
      </c>
      <c r="L1777" s="28" t="s">
        <v>6628</v>
      </c>
      <c r="M1777" s="28" t="s">
        <v>535</v>
      </c>
      <c r="N1777" s="28" t="s">
        <v>810</v>
      </c>
      <c r="O1777" s="28" t="s">
        <v>1383</v>
      </c>
      <c r="P1777" s="28" t="s">
        <v>522</v>
      </c>
      <c r="S1777" s="28" t="s">
        <v>573</v>
      </c>
      <c r="T1777" s="28" t="s">
        <v>3806</v>
      </c>
      <c r="U1777" s="28" t="s">
        <v>3806</v>
      </c>
      <c r="V1777" s="28" t="s">
        <v>517</v>
      </c>
      <c r="W1777" s="28" t="s">
        <v>5552</v>
      </c>
      <c r="AF1777" s="117"/>
      <c r="AK1777" s="60" t="s">
        <v>6558</v>
      </c>
      <c r="AL1777" s="117">
        <f>1/COUNTIF(Tableau6[LAT],B1777)</f>
        <v>0.5</v>
      </c>
      <c r="AM1777" s="60" t="b">
        <f t="shared" si="199"/>
        <v>0</v>
      </c>
      <c r="AN1777" s="60" t="b">
        <f t="shared" si="200"/>
        <v>0</v>
      </c>
      <c r="AO1777" s="60" t="b">
        <f t="shared" si="201"/>
        <v>0</v>
      </c>
      <c r="AP1777" s="60" t="b">
        <f t="shared" si="202"/>
        <v>0</v>
      </c>
      <c r="AQ1777" s="60" t="b">
        <f t="shared" si="203"/>
        <v>0</v>
      </c>
      <c r="AR1777" s="60" t="str">
        <f t="shared" si="204"/>
        <v>No</v>
      </c>
      <c r="AS1777" s="60" t="str">
        <f t="shared" si="205"/>
        <v>No</v>
      </c>
    </row>
    <row r="1778" spans="1:45" hidden="1">
      <c r="A1778" s="103">
        <v>45244</v>
      </c>
      <c r="B1778" s="117" t="s">
        <v>6679</v>
      </c>
      <c r="C1778" s="28" t="s">
        <v>511</v>
      </c>
      <c r="D1778" s="28" t="s">
        <v>6680</v>
      </c>
      <c r="F1778" s="28" t="s">
        <v>3365</v>
      </c>
      <c r="G1778" s="28" t="s">
        <v>514</v>
      </c>
      <c r="H1778" s="28" t="s">
        <v>1580</v>
      </c>
      <c r="I1778" s="28" t="s">
        <v>517</v>
      </c>
      <c r="J1778" s="28" t="s">
        <v>517</v>
      </c>
      <c r="K1778" s="28" t="s">
        <v>518</v>
      </c>
      <c r="L1778" s="28" t="s">
        <v>1245</v>
      </c>
      <c r="M1778" s="28" t="s">
        <v>605</v>
      </c>
      <c r="N1778" s="28" t="s">
        <v>544</v>
      </c>
      <c r="S1778" s="28" t="s">
        <v>573</v>
      </c>
      <c r="T1778" s="28" t="s">
        <v>1150</v>
      </c>
      <c r="U1778" s="28" t="s">
        <v>1150</v>
      </c>
      <c r="V1778" s="28" t="s">
        <v>517</v>
      </c>
      <c r="W1778" s="28" t="s">
        <v>6655</v>
      </c>
      <c r="AF1778" s="117"/>
      <c r="AK1778" s="60" t="s">
        <v>6558</v>
      </c>
      <c r="AL1778" s="117">
        <f>1/COUNTIF(Tableau6[LAT],B1778)</f>
        <v>0.5</v>
      </c>
      <c r="AM1778" s="60" t="b">
        <f t="shared" si="199"/>
        <v>0</v>
      </c>
      <c r="AN1778" s="60" t="b">
        <f t="shared" si="200"/>
        <v>0</v>
      </c>
      <c r="AO1778" s="60" t="b">
        <f t="shared" si="201"/>
        <v>0</v>
      </c>
      <c r="AP1778" s="60" t="b">
        <f t="shared" si="202"/>
        <v>0</v>
      </c>
      <c r="AQ1778" s="60" t="b">
        <f t="shared" si="203"/>
        <v>0</v>
      </c>
      <c r="AR1778" s="60" t="str">
        <f t="shared" si="204"/>
        <v>No</v>
      </c>
      <c r="AS1778" s="60" t="str">
        <f t="shared" si="205"/>
        <v>No</v>
      </c>
    </row>
    <row r="1779" spans="1:45" hidden="1">
      <c r="A1779" s="103">
        <v>45244</v>
      </c>
      <c r="B1779" s="117" t="s">
        <v>6679</v>
      </c>
      <c r="C1779" s="28" t="s">
        <v>548</v>
      </c>
      <c r="D1779" s="28" t="s">
        <v>6681</v>
      </c>
      <c r="F1779" s="28" t="s">
        <v>3365</v>
      </c>
      <c r="G1779" s="28" t="s">
        <v>514</v>
      </c>
      <c r="H1779" s="28" t="s">
        <v>1580</v>
      </c>
      <c r="I1779" s="28" t="s">
        <v>517</v>
      </c>
      <c r="J1779" s="28" t="s">
        <v>517</v>
      </c>
      <c r="K1779" s="28" t="s">
        <v>518</v>
      </c>
      <c r="L1779" s="28" t="s">
        <v>1245</v>
      </c>
      <c r="M1779" s="28" t="s">
        <v>605</v>
      </c>
      <c r="N1779" s="28" t="s">
        <v>544</v>
      </c>
      <c r="S1779" s="28" t="s">
        <v>573</v>
      </c>
      <c r="T1779" s="28" t="s">
        <v>1150</v>
      </c>
      <c r="U1779" s="28" t="s">
        <v>1150</v>
      </c>
      <c r="V1779" s="28" t="s">
        <v>517</v>
      </c>
      <c r="W1779" s="28" t="s">
        <v>6655</v>
      </c>
      <c r="AF1779" s="117"/>
      <c r="AK1779" s="60" t="s">
        <v>6558</v>
      </c>
      <c r="AL1779" s="117">
        <f>1/COUNTIF(Tableau6[LAT],B1779)</f>
        <v>0.5</v>
      </c>
      <c r="AM1779" s="60" t="b">
        <f t="shared" si="199"/>
        <v>0</v>
      </c>
      <c r="AN1779" s="60" t="b">
        <f t="shared" si="200"/>
        <v>0</v>
      </c>
      <c r="AO1779" s="60" t="b">
        <f t="shared" si="201"/>
        <v>0</v>
      </c>
      <c r="AP1779" s="60" t="b">
        <f t="shared" si="202"/>
        <v>0</v>
      </c>
      <c r="AQ1779" s="60" t="b">
        <f t="shared" si="203"/>
        <v>0</v>
      </c>
      <c r="AR1779" s="60" t="str">
        <f t="shared" si="204"/>
        <v>No</v>
      </c>
      <c r="AS1779" s="60" t="str">
        <f t="shared" si="205"/>
        <v>No</v>
      </c>
    </row>
    <row r="1780" spans="1:45" hidden="1">
      <c r="A1780" s="103">
        <v>45244</v>
      </c>
      <c r="B1780" s="117" t="s">
        <v>6682</v>
      </c>
      <c r="C1780" s="28" t="s">
        <v>511</v>
      </c>
      <c r="D1780" s="28" t="s">
        <v>6683</v>
      </c>
      <c r="F1780" s="28" t="s">
        <v>6684</v>
      </c>
      <c r="G1780" s="28" t="s">
        <v>514</v>
      </c>
      <c r="H1780" s="28" t="s">
        <v>1129</v>
      </c>
      <c r="I1780" s="28" t="s">
        <v>516</v>
      </c>
      <c r="J1780" s="28" t="s">
        <v>517</v>
      </c>
      <c r="K1780" s="28" t="s">
        <v>682</v>
      </c>
      <c r="L1780" s="28" t="s">
        <v>5762</v>
      </c>
      <c r="M1780" s="28" t="s">
        <v>520</v>
      </c>
      <c r="N1780" s="28" t="s">
        <v>557</v>
      </c>
      <c r="O1780" s="28" t="s">
        <v>1107</v>
      </c>
      <c r="S1780" s="28" t="s">
        <v>1041</v>
      </c>
      <c r="T1780" s="28" t="s">
        <v>4866</v>
      </c>
      <c r="U1780" s="28" t="s">
        <v>4866</v>
      </c>
      <c r="V1780" s="28" t="s">
        <v>517</v>
      </c>
      <c r="W1780" s="28" t="s">
        <v>4472</v>
      </c>
      <c r="AF1780" s="117"/>
      <c r="AK1780" s="60" t="s">
        <v>6558</v>
      </c>
      <c r="AL1780" s="117">
        <f>1/COUNTIF(Tableau6[LAT],B1780)</f>
        <v>0.5</v>
      </c>
      <c r="AM1780" s="60" t="b">
        <f t="shared" si="199"/>
        <v>0</v>
      </c>
      <c r="AN1780" s="60" t="b">
        <f t="shared" si="200"/>
        <v>0</v>
      </c>
      <c r="AO1780" s="60" t="b">
        <f t="shared" si="201"/>
        <v>0</v>
      </c>
      <c r="AP1780" s="60" t="b">
        <f t="shared" si="202"/>
        <v>0</v>
      </c>
      <c r="AQ1780" s="60" t="b">
        <f t="shared" si="203"/>
        <v>0</v>
      </c>
      <c r="AR1780" s="60" t="str">
        <f t="shared" si="204"/>
        <v>No</v>
      </c>
      <c r="AS1780" s="60" t="str">
        <f t="shared" si="205"/>
        <v>No</v>
      </c>
    </row>
    <row r="1781" spans="1:45" hidden="1">
      <c r="A1781" s="103">
        <v>45244</v>
      </c>
      <c r="B1781" s="117" t="s">
        <v>6682</v>
      </c>
      <c r="C1781" s="28" t="s">
        <v>548</v>
      </c>
      <c r="D1781" s="28" t="s">
        <v>6685</v>
      </c>
      <c r="F1781" s="28" t="s">
        <v>6686</v>
      </c>
      <c r="G1781" s="28" t="s">
        <v>665</v>
      </c>
      <c r="H1781" s="28" t="s">
        <v>1134</v>
      </c>
      <c r="I1781" s="28" t="s">
        <v>516</v>
      </c>
      <c r="J1781" s="28" t="s">
        <v>517</v>
      </c>
      <c r="K1781" s="28" t="s">
        <v>682</v>
      </c>
      <c r="L1781" s="28" t="s">
        <v>5762</v>
      </c>
      <c r="M1781" s="28" t="s">
        <v>520</v>
      </c>
      <c r="N1781" s="28" t="s">
        <v>557</v>
      </c>
      <c r="O1781" s="28" t="s">
        <v>1107</v>
      </c>
      <c r="S1781" s="28" t="s">
        <v>1041</v>
      </c>
      <c r="T1781" s="28" t="s">
        <v>4866</v>
      </c>
      <c r="U1781" s="28" t="s">
        <v>4866</v>
      </c>
      <c r="V1781" s="28" t="s">
        <v>517</v>
      </c>
      <c r="W1781" s="28" t="s">
        <v>6687</v>
      </c>
      <c r="AF1781" s="117"/>
      <c r="AK1781" s="60" t="s">
        <v>6558</v>
      </c>
      <c r="AL1781" s="117">
        <f>1/COUNTIF(Tableau6[LAT],B1781)</f>
        <v>0.5</v>
      </c>
      <c r="AM1781" s="60" t="b">
        <f t="shared" si="199"/>
        <v>0</v>
      </c>
      <c r="AN1781" s="60" t="b">
        <f t="shared" si="200"/>
        <v>0</v>
      </c>
      <c r="AO1781" s="60" t="b">
        <f t="shared" si="201"/>
        <v>0</v>
      </c>
      <c r="AP1781" s="60" t="b">
        <f t="shared" si="202"/>
        <v>0</v>
      </c>
      <c r="AQ1781" s="60" t="b">
        <f t="shared" si="203"/>
        <v>0</v>
      </c>
      <c r="AR1781" s="60" t="str">
        <f t="shared" si="204"/>
        <v>No</v>
      </c>
      <c r="AS1781" s="60" t="str">
        <f t="shared" si="205"/>
        <v>No</v>
      </c>
    </row>
    <row r="1782" spans="1:45" hidden="1">
      <c r="A1782" s="103">
        <v>45244</v>
      </c>
      <c r="B1782" s="117" t="s">
        <v>6688</v>
      </c>
      <c r="C1782" s="28" t="s">
        <v>511</v>
      </c>
      <c r="D1782" s="28" t="s">
        <v>6689</v>
      </c>
      <c r="F1782" s="28" t="s">
        <v>1380</v>
      </c>
      <c r="G1782" s="28" t="s">
        <v>514</v>
      </c>
      <c r="H1782" s="28" t="s">
        <v>1138</v>
      </c>
      <c r="I1782" s="28" t="s">
        <v>517</v>
      </c>
      <c r="J1782" s="28" t="s">
        <v>517</v>
      </c>
      <c r="K1782" s="28" t="s">
        <v>682</v>
      </c>
      <c r="L1782" s="28" t="s">
        <v>1262</v>
      </c>
      <c r="M1782" s="28" t="s">
        <v>535</v>
      </c>
      <c r="N1782" s="28" t="s">
        <v>1140</v>
      </c>
      <c r="O1782" s="28" t="s">
        <v>557</v>
      </c>
      <c r="P1782" s="28" t="s">
        <v>544</v>
      </c>
      <c r="S1782" s="28" t="s">
        <v>573</v>
      </c>
      <c r="T1782" s="28" t="s">
        <v>733</v>
      </c>
      <c r="U1782" s="28" t="s">
        <v>1264</v>
      </c>
      <c r="V1782" s="28" t="s">
        <v>517</v>
      </c>
      <c r="W1782" s="28" t="s">
        <v>6690</v>
      </c>
      <c r="AF1782" s="117"/>
      <c r="AK1782" s="60" t="s">
        <v>6558</v>
      </c>
      <c r="AL1782" s="117">
        <f>1/COUNTIF(Tableau6[LAT],B1782)</f>
        <v>1</v>
      </c>
      <c r="AM1782" s="60" t="b">
        <f t="shared" si="199"/>
        <v>0</v>
      </c>
      <c r="AN1782" s="60" t="b">
        <f t="shared" si="200"/>
        <v>0</v>
      </c>
      <c r="AO1782" s="60" t="b">
        <f t="shared" si="201"/>
        <v>0</v>
      </c>
      <c r="AP1782" s="60" t="b">
        <f t="shared" si="202"/>
        <v>0</v>
      </c>
      <c r="AQ1782" s="60" t="b">
        <f t="shared" si="203"/>
        <v>0</v>
      </c>
      <c r="AR1782" s="60" t="str">
        <f t="shared" si="204"/>
        <v>No</v>
      </c>
      <c r="AS1782" s="60" t="str">
        <f t="shared" si="205"/>
        <v>No</v>
      </c>
    </row>
    <row r="1783" spans="1:45" hidden="1">
      <c r="A1783" s="103">
        <v>45244</v>
      </c>
      <c r="B1783" s="117" t="s">
        <v>6691</v>
      </c>
      <c r="C1783" s="28" t="s">
        <v>511</v>
      </c>
      <c r="D1783" s="28" t="s">
        <v>6692</v>
      </c>
      <c r="F1783" s="28" t="s">
        <v>6279</v>
      </c>
      <c r="G1783" s="28" t="s">
        <v>514</v>
      </c>
      <c r="H1783" s="28" t="s">
        <v>6693</v>
      </c>
      <c r="I1783" s="28" t="s">
        <v>516</v>
      </c>
      <c r="J1783" s="28" t="s">
        <v>517</v>
      </c>
      <c r="K1783" s="28" t="s">
        <v>682</v>
      </c>
      <c r="L1783" s="28" t="s">
        <v>4699</v>
      </c>
      <c r="M1783" s="28" t="s">
        <v>535</v>
      </c>
      <c r="N1783" s="28" t="s">
        <v>544</v>
      </c>
      <c r="O1783" s="28" t="s">
        <v>559</v>
      </c>
      <c r="S1783" s="28" t="s">
        <v>991</v>
      </c>
      <c r="T1783" s="28" t="s">
        <v>4700</v>
      </c>
      <c r="U1783" s="28" t="s">
        <v>4700</v>
      </c>
      <c r="V1783" s="28" t="s">
        <v>517</v>
      </c>
      <c r="W1783" s="28" t="s">
        <v>835</v>
      </c>
      <c r="AF1783" s="117"/>
      <c r="AK1783" s="60" t="s">
        <v>6558</v>
      </c>
      <c r="AL1783" s="117">
        <f>1/COUNTIF(Tableau6[LAT],B1783)</f>
        <v>1</v>
      </c>
      <c r="AM1783" s="60" t="b">
        <f t="shared" si="199"/>
        <v>0</v>
      </c>
      <c r="AN1783" s="60" t="b">
        <f t="shared" si="200"/>
        <v>0</v>
      </c>
      <c r="AO1783" s="60" t="b">
        <f t="shared" si="201"/>
        <v>0</v>
      </c>
      <c r="AP1783" s="60" t="b">
        <f t="shared" si="202"/>
        <v>0</v>
      </c>
      <c r="AQ1783" s="60" t="b">
        <f t="shared" si="203"/>
        <v>0</v>
      </c>
      <c r="AR1783" s="60" t="str">
        <f t="shared" si="204"/>
        <v>No</v>
      </c>
      <c r="AS1783" s="60" t="str">
        <f t="shared" si="205"/>
        <v>No</v>
      </c>
    </row>
    <row r="1784" spans="1:45" hidden="1">
      <c r="A1784" s="103">
        <v>45244</v>
      </c>
      <c r="B1784" s="117" t="s">
        <v>6694</v>
      </c>
      <c r="C1784" s="28" t="s">
        <v>511</v>
      </c>
      <c r="D1784" s="28" t="s">
        <v>6695</v>
      </c>
      <c r="F1784" s="28" t="s">
        <v>6696</v>
      </c>
      <c r="G1784" s="28" t="s">
        <v>514</v>
      </c>
      <c r="H1784" s="28" t="s">
        <v>1148</v>
      </c>
      <c r="I1784" s="28" t="s">
        <v>517</v>
      </c>
      <c r="J1784" s="28" t="s">
        <v>517</v>
      </c>
      <c r="K1784" s="28" t="s">
        <v>518</v>
      </c>
      <c r="L1784" s="28" t="s">
        <v>2363</v>
      </c>
      <c r="M1784" s="28" t="s">
        <v>535</v>
      </c>
      <c r="N1784" s="28" t="s">
        <v>572</v>
      </c>
      <c r="O1784" s="28" t="s">
        <v>544</v>
      </c>
      <c r="P1784" s="28" t="s">
        <v>522</v>
      </c>
      <c r="S1784" s="28" t="s">
        <v>573</v>
      </c>
      <c r="T1784" s="28" t="s">
        <v>2364</v>
      </c>
      <c r="U1784" s="28" t="s">
        <v>2364</v>
      </c>
      <c r="V1784" s="28" t="s">
        <v>517</v>
      </c>
      <c r="W1784" s="28" t="s">
        <v>6697</v>
      </c>
      <c r="AF1784" s="117"/>
      <c r="AK1784" s="60" t="s">
        <v>6558</v>
      </c>
      <c r="AL1784" s="117">
        <f>1/COUNTIF(Tableau6[LAT],B1784)</f>
        <v>0.33333333333333331</v>
      </c>
      <c r="AM1784" s="60" t="b">
        <f t="shared" si="199"/>
        <v>0</v>
      </c>
      <c r="AN1784" s="60" t="b">
        <f t="shared" si="200"/>
        <v>0</v>
      </c>
      <c r="AO1784" s="60" t="b">
        <f t="shared" si="201"/>
        <v>0</v>
      </c>
      <c r="AP1784" s="60" t="b">
        <f t="shared" si="202"/>
        <v>0</v>
      </c>
      <c r="AQ1784" s="60" t="b">
        <f t="shared" si="203"/>
        <v>0</v>
      </c>
      <c r="AR1784" s="60" t="str">
        <f t="shared" si="204"/>
        <v>No</v>
      </c>
      <c r="AS1784" s="60" t="str">
        <f t="shared" si="205"/>
        <v>No</v>
      </c>
    </row>
    <row r="1785" spans="1:45" hidden="1">
      <c r="A1785" s="103">
        <v>45244</v>
      </c>
      <c r="B1785" s="117" t="s">
        <v>6694</v>
      </c>
      <c r="C1785" s="28" t="s">
        <v>548</v>
      </c>
      <c r="D1785" s="28" t="s">
        <v>6698</v>
      </c>
      <c r="F1785" s="28" t="s">
        <v>6696</v>
      </c>
      <c r="G1785" s="28" t="s">
        <v>514</v>
      </c>
      <c r="H1785" s="28" t="s">
        <v>1148</v>
      </c>
      <c r="I1785" s="28" t="s">
        <v>517</v>
      </c>
      <c r="J1785" s="28" t="s">
        <v>517</v>
      </c>
      <c r="K1785" s="28" t="s">
        <v>518</v>
      </c>
      <c r="L1785" s="28" t="s">
        <v>2363</v>
      </c>
      <c r="M1785" s="28" t="s">
        <v>535</v>
      </c>
      <c r="N1785" s="28" t="s">
        <v>572</v>
      </c>
      <c r="O1785" s="28" t="s">
        <v>544</v>
      </c>
      <c r="P1785" s="28" t="s">
        <v>522</v>
      </c>
      <c r="S1785" s="28" t="s">
        <v>573</v>
      </c>
      <c r="T1785" s="28" t="s">
        <v>2364</v>
      </c>
      <c r="U1785" s="28" t="s">
        <v>2364</v>
      </c>
      <c r="V1785" s="28" t="s">
        <v>517</v>
      </c>
      <c r="W1785" s="28" t="s">
        <v>6699</v>
      </c>
      <c r="AF1785" s="117"/>
      <c r="AK1785" s="60" t="s">
        <v>6558</v>
      </c>
      <c r="AL1785" s="117">
        <f>1/COUNTIF(Tableau6[LAT],B1785)</f>
        <v>0.33333333333333331</v>
      </c>
      <c r="AM1785" s="60" t="b">
        <f t="shared" si="199"/>
        <v>0</v>
      </c>
      <c r="AN1785" s="60" t="b">
        <f t="shared" si="200"/>
        <v>0</v>
      </c>
      <c r="AO1785" s="60" t="b">
        <f t="shared" si="201"/>
        <v>0</v>
      </c>
      <c r="AP1785" s="60" t="b">
        <f t="shared" si="202"/>
        <v>0</v>
      </c>
      <c r="AQ1785" s="60" t="b">
        <f t="shared" si="203"/>
        <v>0</v>
      </c>
      <c r="AR1785" s="60" t="str">
        <f t="shared" si="204"/>
        <v>No</v>
      </c>
      <c r="AS1785" s="60" t="str">
        <f t="shared" si="205"/>
        <v>No</v>
      </c>
    </row>
    <row r="1786" spans="1:45" hidden="1">
      <c r="A1786" s="103">
        <v>45244</v>
      </c>
      <c r="B1786" s="117" t="s">
        <v>6694</v>
      </c>
      <c r="C1786" s="28" t="s">
        <v>612</v>
      </c>
      <c r="D1786" s="28" t="s">
        <v>6700</v>
      </c>
      <c r="F1786" s="28" t="s">
        <v>6701</v>
      </c>
      <c r="G1786" s="28" t="s">
        <v>514</v>
      </c>
      <c r="H1786" s="28" t="s">
        <v>1148</v>
      </c>
      <c r="I1786" s="28" t="s">
        <v>517</v>
      </c>
      <c r="J1786" s="28" t="s">
        <v>517</v>
      </c>
      <c r="K1786" s="28" t="s">
        <v>518</v>
      </c>
      <c r="L1786" s="28" t="s">
        <v>2363</v>
      </c>
      <c r="M1786" s="28" t="s">
        <v>535</v>
      </c>
      <c r="N1786" s="28" t="s">
        <v>572</v>
      </c>
      <c r="O1786" s="28" t="s">
        <v>544</v>
      </c>
      <c r="P1786" s="28" t="s">
        <v>522</v>
      </c>
      <c r="S1786" s="28" t="s">
        <v>573</v>
      </c>
      <c r="T1786" s="28" t="s">
        <v>2364</v>
      </c>
      <c r="U1786" s="28" t="s">
        <v>2364</v>
      </c>
      <c r="V1786" s="28" t="s">
        <v>517</v>
      </c>
      <c r="W1786" s="28" t="s">
        <v>6702</v>
      </c>
      <c r="AF1786" s="117"/>
      <c r="AK1786" s="60" t="s">
        <v>6558</v>
      </c>
      <c r="AL1786" s="117">
        <f>1/COUNTIF(Tableau6[LAT],B1786)</f>
        <v>0.33333333333333331</v>
      </c>
      <c r="AM1786" s="60" t="b">
        <f t="shared" si="199"/>
        <v>0</v>
      </c>
      <c r="AN1786" s="60" t="b">
        <f t="shared" si="200"/>
        <v>0</v>
      </c>
      <c r="AO1786" s="60" t="b">
        <f t="shared" si="201"/>
        <v>0</v>
      </c>
      <c r="AP1786" s="60" t="b">
        <f t="shared" si="202"/>
        <v>0</v>
      </c>
      <c r="AQ1786" s="60" t="b">
        <f t="shared" si="203"/>
        <v>0</v>
      </c>
      <c r="AR1786" s="60" t="str">
        <f t="shared" si="204"/>
        <v>No</v>
      </c>
      <c r="AS1786" s="60" t="str">
        <f t="shared" si="205"/>
        <v>No</v>
      </c>
    </row>
    <row r="1787" spans="1:45" hidden="1">
      <c r="A1787" s="103">
        <v>45244</v>
      </c>
      <c r="B1787" s="117" t="s">
        <v>6703</v>
      </c>
      <c r="C1787" s="28" t="s">
        <v>511</v>
      </c>
      <c r="D1787" s="28" t="s">
        <v>6704</v>
      </c>
      <c r="F1787" s="28" t="s">
        <v>6705</v>
      </c>
      <c r="G1787" s="28" t="s">
        <v>514</v>
      </c>
      <c r="H1787" s="28" t="s">
        <v>555</v>
      </c>
      <c r="I1787" s="28" t="s">
        <v>517</v>
      </c>
      <c r="J1787" s="28" t="s">
        <v>517</v>
      </c>
      <c r="K1787" s="28" t="s">
        <v>518</v>
      </c>
      <c r="L1787" s="28" t="s">
        <v>5029</v>
      </c>
      <c r="M1787" s="28" t="s">
        <v>535</v>
      </c>
      <c r="N1787" s="28" t="s">
        <v>1835</v>
      </c>
      <c r="O1787" s="28" t="s">
        <v>521</v>
      </c>
      <c r="P1787" s="28" t="s">
        <v>544</v>
      </c>
      <c r="Q1787" s="28" t="s">
        <v>522</v>
      </c>
      <c r="S1787" s="28" t="s">
        <v>573</v>
      </c>
      <c r="T1787" s="28" t="s">
        <v>6048</v>
      </c>
      <c r="U1787" s="28" t="s">
        <v>6048</v>
      </c>
      <c r="V1787" s="28" t="s">
        <v>517</v>
      </c>
      <c r="W1787" s="28" t="s">
        <v>6655</v>
      </c>
      <c r="AF1787" s="117"/>
      <c r="AK1787" s="60" t="s">
        <v>6558</v>
      </c>
      <c r="AL1787" s="117">
        <f>1/COUNTIF(Tableau6[LAT],B1787)</f>
        <v>0.33333333333333331</v>
      </c>
      <c r="AM1787" s="60" t="b">
        <f t="shared" si="199"/>
        <v>0</v>
      </c>
      <c r="AN1787" s="60" t="b">
        <f t="shared" si="200"/>
        <v>0</v>
      </c>
      <c r="AO1787" s="60" t="b">
        <f t="shared" si="201"/>
        <v>0</v>
      </c>
      <c r="AP1787" s="60" t="b">
        <f t="shared" si="202"/>
        <v>0</v>
      </c>
      <c r="AQ1787" s="60" t="b">
        <f t="shared" si="203"/>
        <v>0</v>
      </c>
      <c r="AR1787" s="60" t="str">
        <f t="shared" si="204"/>
        <v>No</v>
      </c>
      <c r="AS1787" s="60" t="str">
        <f t="shared" si="205"/>
        <v>No</v>
      </c>
    </row>
    <row r="1788" spans="1:45" hidden="1">
      <c r="A1788" s="103">
        <v>45244</v>
      </c>
      <c r="B1788" s="117" t="s">
        <v>6703</v>
      </c>
      <c r="C1788" s="28" t="s">
        <v>548</v>
      </c>
      <c r="D1788" s="28" t="s">
        <v>6706</v>
      </c>
      <c r="F1788" s="28" t="s">
        <v>6705</v>
      </c>
      <c r="G1788" s="28" t="s">
        <v>514</v>
      </c>
      <c r="H1788" s="28" t="s">
        <v>555</v>
      </c>
      <c r="I1788" s="28" t="s">
        <v>517</v>
      </c>
      <c r="J1788" s="28" t="s">
        <v>517</v>
      </c>
      <c r="K1788" s="28" t="s">
        <v>518</v>
      </c>
      <c r="L1788" s="28" t="s">
        <v>5029</v>
      </c>
      <c r="M1788" s="28" t="s">
        <v>535</v>
      </c>
      <c r="N1788" s="28" t="s">
        <v>1835</v>
      </c>
      <c r="O1788" s="28" t="s">
        <v>521</v>
      </c>
      <c r="P1788" s="28" t="s">
        <v>544</v>
      </c>
      <c r="Q1788" s="28" t="s">
        <v>522</v>
      </c>
      <c r="S1788" s="28" t="s">
        <v>573</v>
      </c>
      <c r="T1788" s="28" t="s">
        <v>6048</v>
      </c>
      <c r="U1788" s="28" t="s">
        <v>6048</v>
      </c>
      <c r="V1788" s="28" t="s">
        <v>517</v>
      </c>
      <c r="W1788" s="28" t="s">
        <v>6655</v>
      </c>
      <c r="AF1788" s="117"/>
      <c r="AK1788" s="60" t="s">
        <v>6558</v>
      </c>
      <c r="AL1788" s="117">
        <f>1/COUNTIF(Tableau6[LAT],B1788)</f>
        <v>0.33333333333333331</v>
      </c>
      <c r="AM1788" s="60" t="b">
        <f t="shared" si="199"/>
        <v>0</v>
      </c>
      <c r="AN1788" s="60" t="b">
        <f t="shared" si="200"/>
        <v>0</v>
      </c>
      <c r="AO1788" s="60" t="b">
        <f t="shared" si="201"/>
        <v>0</v>
      </c>
      <c r="AP1788" s="60" t="b">
        <f t="shared" si="202"/>
        <v>0</v>
      </c>
      <c r="AQ1788" s="60" t="b">
        <f t="shared" si="203"/>
        <v>0</v>
      </c>
      <c r="AR1788" s="60" t="str">
        <f t="shared" si="204"/>
        <v>No</v>
      </c>
      <c r="AS1788" s="60" t="str">
        <f t="shared" si="205"/>
        <v>No</v>
      </c>
    </row>
    <row r="1789" spans="1:45" hidden="1">
      <c r="A1789" s="103">
        <v>45244</v>
      </c>
      <c r="B1789" s="117" t="s">
        <v>6703</v>
      </c>
      <c r="C1789" s="28" t="s">
        <v>612</v>
      </c>
      <c r="D1789" s="28" t="s">
        <v>6707</v>
      </c>
      <c r="F1789" s="28" t="s">
        <v>6705</v>
      </c>
      <c r="G1789" s="28" t="s">
        <v>514</v>
      </c>
      <c r="H1789" s="28" t="s">
        <v>555</v>
      </c>
      <c r="I1789" s="28" t="s">
        <v>517</v>
      </c>
      <c r="J1789" s="28" t="s">
        <v>517</v>
      </c>
      <c r="K1789" s="28" t="s">
        <v>518</v>
      </c>
      <c r="L1789" s="28" t="s">
        <v>5029</v>
      </c>
      <c r="M1789" s="28" t="s">
        <v>535</v>
      </c>
      <c r="N1789" s="28" t="s">
        <v>1835</v>
      </c>
      <c r="O1789" s="28" t="s">
        <v>521</v>
      </c>
      <c r="P1789" s="28" t="s">
        <v>544</v>
      </c>
      <c r="Q1789" s="28" t="s">
        <v>522</v>
      </c>
      <c r="S1789" s="28" t="s">
        <v>573</v>
      </c>
      <c r="T1789" s="28" t="s">
        <v>6048</v>
      </c>
      <c r="U1789" s="28" t="s">
        <v>6048</v>
      </c>
      <c r="V1789" s="28" t="s">
        <v>517</v>
      </c>
      <c r="W1789" s="28" t="s">
        <v>6655</v>
      </c>
      <c r="AF1789" s="117"/>
      <c r="AK1789" s="60" t="s">
        <v>6558</v>
      </c>
      <c r="AL1789" s="117">
        <f>1/COUNTIF(Tableau6[LAT],B1789)</f>
        <v>0.33333333333333331</v>
      </c>
      <c r="AM1789" s="60" t="b">
        <f t="shared" si="199"/>
        <v>0</v>
      </c>
      <c r="AN1789" s="60" t="b">
        <f t="shared" si="200"/>
        <v>0</v>
      </c>
      <c r="AO1789" s="60" t="b">
        <f t="shared" si="201"/>
        <v>0</v>
      </c>
      <c r="AP1789" s="60" t="b">
        <f t="shared" si="202"/>
        <v>0</v>
      </c>
      <c r="AQ1789" s="60" t="b">
        <f t="shared" si="203"/>
        <v>0</v>
      </c>
      <c r="AR1789" s="60" t="str">
        <f t="shared" si="204"/>
        <v>No</v>
      </c>
      <c r="AS1789" s="60" t="str">
        <f t="shared" si="205"/>
        <v>No</v>
      </c>
    </row>
    <row r="1790" spans="1:45" hidden="1">
      <c r="A1790" s="103">
        <v>45244</v>
      </c>
      <c r="B1790" s="117" t="s">
        <v>6708</v>
      </c>
      <c r="C1790" s="28" t="s">
        <v>511</v>
      </c>
      <c r="D1790" s="28" t="s">
        <v>6709</v>
      </c>
      <c r="F1790" s="28" t="s">
        <v>6710</v>
      </c>
      <c r="G1790" s="28" t="s">
        <v>514</v>
      </c>
      <c r="H1790" s="28" t="s">
        <v>828</v>
      </c>
      <c r="I1790" s="28" t="s">
        <v>516</v>
      </c>
      <c r="J1790" s="28" t="s">
        <v>517</v>
      </c>
      <c r="K1790" s="28" t="s">
        <v>682</v>
      </c>
      <c r="L1790" s="28" t="s">
        <v>4796</v>
      </c>
      <c r="M1790" s="28" t="s">
        <v>535</v>
      </c>
      <c r="N1790" s="28" t="s">
        <v>557</v>
      </c>
      <c r="O1790" s="28" t="s">
        <v>934</v>
      </c>
      <c r="P1790" s="28" t="s">
        <v>544</v>
      </c>
      <c r="Q1790" s="28" t="s">
        <v>559</v>
      </c>
      <c r="S1790" s="28" t="s">
        <v>732</v>
      </c>
      <c r="T1790" s="28" t="s">
        <v>1150</v>
      </c>
      <c r="U1790" s="28" t="s">
        <v>1150</v>
      </c>
      <c r="V1790" s="28" t="s">
        <v>517</v>
      </c>
      <c r="W1790" s="28" t="s">
        <v>3761</v>
      </c>
      <c r="AF1790" s="117"/>
      <c r="AK1790" s="60" t="s">
        <v>6558</v>
      </c>
      <c r="AL1790" s="117">
        <f>1/COUNTIF(Tableau6[LAT],B1790)</f>
        <v>1</v>
      </c>
      <c r="AM1790" s="60" t="b">
        <f t="shared" si="199"/>
        <v>0</v>
      </c>
      <c r="AN1790" s="60" t="b">
        <f t="shared" si="200"/>
        <v>0</v>
      </c>
      <c r="AO1790" s="60" t="b">
        <f t="shared" si="201"/>
        <v>0</v>
      </c>
      <c r="AP1790" s="60" t="b">
        <f t="shared" si="202"/>
        <v>0</v>
      </c>
      <c r="AQ1790" s="60" t="b">
        <f t="shared" si="203"/>
        <v>0</v>
      </c>
      <c r="AR1790" s="60" t="str">
        <f t="shared" si="204"/>
        <v>No</v>
      </c>
      <c r="AS1790" s="60" t="str">
        <f t="shared" si="205"/>
        <v>No</v>
      </c>
    </row>
    <row r="1791" spans="1:45" hidden="1">
      <c r="A1791" s="103">
        <v>45244</v>
      </c>
      <c r="B1791" s="117" t="s">
        <v>6711</v>
      </c>
      <c r="C1791" s="28" t="s">
        <v>511</v>
      </c>
      <c r="D1791" s="28" t="s">
        <v>6712</v>
      </c>
      <c r="F1791" s="28" t="s">
        <v>1872</v>
      </c>
      <c r="G1791" s="28" t="s">
        <v>958</v>
      </c>
      <c r="H1791" s="28" t="s">
        <v>2072</v>
      </c>
      <c r="I1791" s="28" t="s">
        <v>516</v>
      </c>
      <c r="J1791" s="28" t="s">
        <v>517</v>
      </c>
      <c r="K1791" s="28" t="s">
        <v>518</v>
      </c>
      <c r="L1791" s="28" t="s">
        <v>751</v>
      </c>
      <c r="M1791" s="28" t="s">
        <v>520</v>
      </c>
      <c r="N1791" s="28" t="s">
        <v>572</v>
      </c>
      <c r="O1791" s="28" t="s">
        <v>557</v>
      </c>
      <c r="P1791" s="28" t="s">
        <v>522</v>
      </c>
      <c r="S1791" s="28" t="s">
        <v>607</v>
      </c>
      <c r="T1791" s="28" t="s">
        <v>753</v>
      </c>
      <c r="U1791" s="28" t="s">
        <v>753</v>
      </c>
      <c r="V1791" s="28" t="s">
        <v>517</v>
      </c>
      <c r="W1791" s="28" t="s">
        <v>6713</v>
      </c>
      <c r="AF1791" s="117"/>
      <c r="AK1791" s="60" t="s">
        <v>6558</v>
      </c>
      <c r="AL1791" s="117">
        <f>1/COUNTIF(Tableau6[LAT],B1791)</f>
        <v>1</v>
      </c>
      <c r="AM1791" s="60" t="b">
        <f t="shared" si="199"/>
        <v>0</v>
      </c>
      <c r="AN1791" s="60" t="b">
        <f t="shared" si="200"/>
        <v>0</v>
      </c>
      <c r="AO1791" s="60" t="b">
        <f t="shared" si="201"/>
        <v>0</v>
      </c>
      <c r="AP1791" s="60" t="b">
        <f t="shared" si="202"/>
        <v>0</v>
      </c>
      <c r="AQ1791" s="60" t="b">
        <f t="shared" si="203"/>
        <v>0</v>
      </c>
      <c r="AR1791" s="60" t="str">
        <f t="shared" si="204"/>
        <v>No</v>
      </c>
      <c r="AS1791" s="60" t="str">
        <f t="shared" si="205"/>
        <v>No</v>
      </c>
    </row>
    <row r="1792" spans="1:45" hidden="1">
      <c r="A1792" s="103">
        <v>45244</v>
      </c>
      <c r="B1792" s="117" t="s">
        <v>6714</v>
      </c>
      <c r="C1792" s="28" t="s">
        <v>511</v>
      </c>
      <c r="D1792" s="28" t="s">
        <v>6715</v>
      </c>
      <c r="F1792" s="28" t="s">
        <v>3030</v>
      </c>
      <c r="G1792" s="28" t="s">
        <v>514</v>
      </c>
      <c r="H1792" s="28" t="s">
        <v>1413</v>
      </c>
      <c r="I1792" s="28" t="s">
        <v>517</v>
      </c>
      <c r="J1792" s="28" t="s">
        <v>517</v>
      </c>
      <c r="K1792" s="28" t="s">
        <v>518</v>
      </c>
      <c r="L1792" s="28" t="s">
        <v>697</v>
      </c>
      <c r="M1792" s="28" t="s">
        <v>535</v>
      </c>
      <c r="N1792" s="28" t="s">
        <v>557</v>
      </c>
      <c r="O1792" s="28" t="s">
        <v>1523</v>
      </c>
      <c r="S1792" s="28" t="s">
        <v>573</v>
      </c>
      <c r="T1792" s="28" t="s">
        <v>699</v>
      </c>
      <c r="U1792" s="28" t="s">
        <v>699</v>
      </c>
      <c r="V1792" s="28" t="s">
        <v>517</v>
      </c>
      <c r="W1792" s="28" t="s">
        <v>6716</v>
      </c>
      <c r="AF1792" s="117"/>
      <c r="AK1792" s="60" t="s">
        <v>6558</v>
      </c>
      <c r="AL1792" s="117">
        <f>1/COUNTIF(Tableau6[LAT],B1792)</f>
        <v>1</v>
      </c>
      <c r="AM1792" s="60" t="b">
        <f t="shared" si="199"/>
        <v>0</v>
      </c>
      <c r="AN1792" s="60" t="b">
        <f t="shared" si="200"/>
        <v>0</v>
      </c>
      <c r="AO1792" s="60" t="b">
        <f t="shared" si="201"/>
        <v>0</v>
      </c>
      <c r="AP1792" s="60" t="b">
        <f t="shared" si="202"/>
        <v>0</v>
      </c>
      <c r="AQ1792" s="60" t="b">
        <f t="shared" si="203"/>
        <v>0</v>
      </c>
      <c r="AR1792" s="60" t="str">
        <f t="shared" si="204"/>
        <v>No</v>
      </c>
      <c r="AS1792" s="60" t="str">
        <f t="shared" si="205"/>
        <v>No</v>
      </c>
    </row>
    <row r="1793" spans="1:45" hidden="1">
      <c r="A1793" s="103">
        <v>45244</v>
      </c>
      <c r="B1793" s="117" t="s">
        <v>6717</v>
      </c>
      <c r="C1793" s="28" t="s">
        <v>511</v>
      </c>
      <c r="D1793" s="28" t="s">
        <v>6718</v>
      </c>
      <c r="F1793" s="28" t="s">
        <v>6719</v>
      </c>
      <c r="G1793" s="28" t="s">
        <v>1163</v>
      </c>
      <c r="H1793" s="28" t="s">
        <v>3667</v>
      </c>
      <c r="I1793" s="28" t="s">
        <v>517</v>
      </c>
      <c r="J1793" s="28" t="s">
        <v>517</v>
      </c>
      <c r="K1793" s="28" t="s">
        <v>518</v>
      </c>
      <c r="L1793" s="28" t="s">
        <v>5545</v>
      </c>
      <c r="M1793" s="28" t="s">
        <v>535</v>
      </c>
      <c r="N1793" s="28" t="s">
        <v>1415</v>
      </c>
      <c r="O1793" s="28" t="s">
        <v>522</v>
      </c>
      <c r="S1793" s="28" t="s">
        <v>573</v>
      </c>
      <c r="T1793" s="28" t="s">
        <v>3969</v>
      </c>
      <c r="U1793" s="28" t="s">
        <v>3969</v>
      </c>
      <c r="V1793" s="28" t="s">
        <v>517</v>
      </c>
      <c r="W1793" s="28" t="s">
        <v>5552</v>
      </c>
      <c r="AF1793" s="117"/>
      <c r="AK1793" s="60" t="s">
        <v>6558</v>
      </c>
      <c r="AL1793" s="117">
        <f>1/COUNTIF(Tableau6[LAT],B1793)</f>
        <v>1</v>
      </c>
      <c r="AM1793" s="60" t="str">
        <f t="shared" si="199"/>
        <v>Yes</v>
      </c>
      <c r="AN1793" s="60" t="b">
        <f t="shared" si="200"/>
        <v>0</v>
      </c>
      <c r="AO1793" s="60" t="b">
        <f t="shared" si="201"/>
        <v>0</v>
      </c>
      <c r="AP1793" s="60" t="b">
        <f t="shared" si="202"/>
        <v>0</v>
      </c>
      <c r="AQ1793" s="60" t="b">
        <f t="shared" si="203"/>
        <v>0</v>
      </c>
      <c r="AR1793" s="60" t="str">
        <f t="shared" si="204"/>
        <v>Yes</v>
      </c>
      <c r="AS1793" s="60" t="str">
        <f t="shared" si="205"/>
        <v>No</v>
      </c>
    </row>
    <row r="1794" spans="1:45" hidden="1">
      <c r="A1794" s="103">
        <v>45244</v>
      </c>
      <c r="B1794" s="117" t="s">
        <v>6720</v>
      </c>
      <c r="C1794" s="28" t="s">
        <v>511</v>
      </c>
      <c r="D1794" s="28" t="s">
        <v>6721</v>
      </c>
      <c r="F1794" s="28" t="s">
        <v>932</v>
      </c>
      <c r="G1794" s="28" t="s">
        <v>514</v>
      </c>
      <c r="H1794" s="28" t="s">
        <v>1822</v>
      </c>
      <c r="I1794" s="28" t="s">
        <v>517</v>
      </c>
      <c r="J1794" s="28" t="s">
        <v>517</v>
      </c>
      <c r="K1794" s="28" t="s">
        <v>518</v>
      </c>
      <c r="L1794" s="28" t="s">
        <v>1548</v>
      </c>
      <c r="M1794" s="28" t="s">
        <v>535</v>
      </c>
      <c r="N1794" s="28" t="s">
        <v>1124</v>
      </c>
      <c r="O1794" s="28" t="s">
        <v>521</v>
      </c>
      <c r="P1794" s="28" t="s">
        <v>934</v>
      </c>
      <c r="Q1794" s="28" t="s">
        <v>522</v>
      </c>
      <c r="S1794" s="28" t="s">
        <v>573</v>
      </c>
      <c r="T1794" s="28" t="s">
        <v>1549</v>
      </c>
      <c r="U1794" s="28" t="s">
        <v>1549</v>
      </c>
      <c r="V1794" s="28" t="s">
        <v>517</v>
      </c>
      <c r="W1794" s="28" t="s">
        <v>6722</v>
      </c>
      <c r="AF1794" s="117"/>
      <c r="AK1794" s="60" t="s">
        <v>6558</v>
      </c>
      <c r="AL1794" s="117">
        <f>1/COUNTIF(Tableau6[LAT],B1794)</f>
        <v>1</v>
      </c>
      <c r="AM1794" s="60" t="b">
        <f t="shared" si="199"/>
        <v>0</v>
      </c>
      <c r="AN1794" s="60" t="b">
        <f t="shared" si="200"/>
        <v>0</v>
      </c>
      <c r="AO1794" s="60" t="b">
        <f t="shared" si="201"/>
        <v>0</v>
      </c>
      <c r="AP1794" s="60" t="b">
        <f t="shared" si="202"/>
        <v>0</v>
      </c>
      <c r="AQ1794" s="60" t="b">
        <f t="shared" si="203"/>
        <v>0</v>
      </c>
      <c r="AR1794" s="60" t="str">
        <f t="shared" si="204"/>
        <v>No</v>
      </c>
      <c r="AS1794" s="60" t="str">
        <f t="shared" si="205"/>
        <v>No</v>
      </c>
    </row>
    <row r="1795" spans="1:45" hidden="1">
      <c r="A1795" s="103">
        <v>45244</v>
      </c>
      <c r="B1795" s="117" t="s">
        <v>6723</v>
      </c>
      <c r="C1795" s="28" t="s">
        <v>511</v>
      </c>
      <c r="D1795" s="28" t="s">
        <v>6724</v>
      </c>
      <c r="F1795" s="28" t="s">
        <v>4816</v>
      </c>
      <c r="G1795" s="28" t="s">
        <v>514</v>
      </c>
      <c r="H1795" s="28" t="s">
        <v>1463</v>
      </c>
      <c r="I1795" s="28" t="s">
        <v>517</v>
      </c>
      <c r="J1795" s="28" t="s">
        <v>517</v>
      </c>
      <c r="K1795" s="28" t="s">
        <v>518</v>
      </c>
      <c r="L1795" s="28" t="s">
        <v>2363</v>
      </c>
      <c r="M1795" s="28" t="s">
        <v>535</v>
      </c>
      <c r="N1795" s="28" t="s">
        <v>1140</v>
      </c>
      <c r="O1795" s="28" t="s">
        <v>557</v>
      </c>
      <c r="P1795" s="28" t="s">
        <v>934</v>
      </c>
      <c r="Q1795" s="28" t="s">
        <v>522</v>
      </c>
      <c r="S1795" s="28" t="s">
        <v>573</v>
      </c>
      <c r="T1795" s="28" t="s">
        <v>2364</v>
      </c>
      <c r="U1795" s="28" t="s">
        <v>2364</v>
      </c>
      <c r="V1795" s="28" t="s">
        <v>517</v>
      </c>
      <c r="W1795" s="28" t="s">
        <v>6725</v>
      </c>
      <c r="AF1795" s="117"/>
      <c r="AK1795" s="60" t="s">
        <v>6558</v>
      </c>
      <c r="AL1795" s="117">
        <f>1/COUNTIF(Tableau6[LAT],B1795)</f>
        <v>1</v>
      </c>
      <c r="AM1795" s="60" t="b">
        <f t="shared" si="199"/>
        <v>0</v>
      </c>
      <c r="AN1795" s="60" t="b">
        <f t="shared" si="200"/>
        <v>0</v>
      </c>
      <c r="AO1795" s="60" t="b">
        <f t="shared" si="201"/>
        <v>0</v>
      </c>
      <c r="AP1795" s="60" t="b">
        <f t="shared" si="202"/>
        <v>0</v>
      </c>
      <c r="AQ1795" s="60" t="b">
        <f t="shared" si="203"/>
        <v>0</v>
      </c>
      <c r="AR1795" s="60" t="str">
        <f t="shared" si="204"/>
        <v>No</v>
      </c>
      <c r="AS1795" s="60" t="str">
        <f t="shared" si="205"/>
        <v>No</v>
      </c>
    </row>
    <row r="1796" spans="1:45" hidden="1">
      <c r="A1796" s="103">
        <v>45244</v>
      </c>
      <c r="B1796" s="117" t="s">
        <v>6726</v>
      </c>
      <c r="C1796" s="28" t="s">
        <v>511</v>
      </c>
      <c r="D1796" s="28" t="s">
        <v>6727</v>
      </c>
      <c r="F1796" s="28" t="s">
        <v>2534</v>
      </c>
      <c r="G1796" s="28" t="s">
        <v>514</v>
      </c>
      <c r="H1796" s="28" t="s">
        <v>2614</v>
      </c>
      <c r="I1796" s="28" t="s">
        <v>517</v>
      </c>
      <c r="J1796" s="28" t="s">
        <v>517</v>
      </c>
      <c r="K1796" s="28" t="s">
        <v>518</v>
      </c>
      <c r="L1796" s="28" t="s">
        <v>1079</v>
      </c>
      <c r="M1796" s="28" t="s">
        <v>535</v>
      </c>
      <c r="N1796" s="28" t="s">
        <v>1140</v>
      </c>
      <c r="O1796" s="28" t="s">
        <v>557</v>
      </c>
      <c r="P1796" s="28" t="s">
        <v>1523</v>
      </c>
      <c r="Q1796" s="28" t="s">
        <v>522</v>
      </c>
      <c r="S1796" s="28" t="s">
        <v>573</v>
      </c>
      <c r="T1796" s="28" t="s">
        <v>668</v>
      </c>
      <c r="U1796" s="28" t="s">
        <v>668</v>
      </c>
      <c r="V1796" s="28" t="s">
        <v>517</v>
      </c>
      <c r="W1796" s="28" t="s">
        <v>3013</v>
      </c>
      <c r="AF1796" s="117"/>
      <c r="AK1796" s="60" t="s">
        <v>6558</v>
      </c>
      <c r="AL1796" s="117">
        <f>1/COUNTIF(Tableau6[LAT],B1796)</f>
        <v>1</v>
      </c>
      <c r="AM1796" s="60" t="b">
        <f t="shared" si="199"/>
        <v>0</v>
      </c>
      <c r="AN1796" s="60" t="b">
        <f t="shared" si="200"/>
        <v>0</v>
      </c>
      <c r="AO1796" s="60" t="b">
        <f t="shared" si="201"/>
        <v>0</v>
      </c>
      <c r="AP1796" s="60" t="b">
        <f t="shared" si="202"/>
        <v>0</v>
      </c>
      <c r="AQ1796" s="60" t="b">
        <f t="shared" si="203"/>
        <v>0</v>
      </c>
      <c r="AR1796" s="60" t="str">
        <f t="shared" si="204"/>
        <v>No</v>
      </c>
      <c r="AS1796" s="60" t="str">
        <f t="shared" si="205"/>
        <v>No</v>
      </c>
    </row>
    <row r="1797" spans="1:45" hidden="1">
      <c r="A1797" s="103">
        <v>45244</v>
      </c>
      <c r="B1797" s="117" t="s">
        <v>6728</v>
      </c>
      <c r="C1797" s="28" t="s">
        <v>511</v>
      </c>
      <c r="D1797" s="28" t="s">
        <v>6729</v>
      </c>
      <c r="F1797" s="28" t="s">
        <v>3764</v>
      </c>
      <c r="G1797" s="28" t="s">
        <v>665</v>
      </c>
      <c r="H1797" s="28" t="s">
        <v>5950</v>
      </c>
      <c r="I1797" s="28" t="s">
        <v>517</v>
      </c>
      <c r="J1797" s="28" t="s">
        <v>517</v>
      </c>
      <c r="K1797" s="28" t="s">
        <v>518</v>
      </c>
      <c r="L1797" s="28" t="s">
        <v>2662</v>
      </c>
      <c r="M1797" s="28" t="s">
        <v>535</v>
      </c>
      <c r="N1797" s="28" t="s">
        <v>1140</v>
      </c>
      <c r="O1797" s="28" t="s">
        <v>521</v>
      </c>
      <c r="P1797" s="28" t="s">
        <v>1523</v>
      </c>
      <c r="Q1797" s="28" t="s">
        <v>522</v>
      </c>
      <c r="S1797" s="28" t="s">
        <v>573</v>
      </c>
      <c r="T1797" s="28" t="s">
        <v>2663</v>
      </c>
      <c r="U1797" s="28" t="s">
        <v>2663</v>
      </c>
      <c r="V1797" s="28" t="s">
        <v>517</v>
      </c>
      <c r="W1797" s="28" t="s">
        <v>6730</v>
      </c>
      <c r="AF1797" s="117"/>
      <c r="AK1797" s="60" t="s">
        <v>6558</v>
      </c>
      <c r="AL1797" s="117">
        <f>1/COUNTIF(Tableau6[LAT],B1797)</f>
        <v>1</v>
      </c>
      <c r="AM1797" s="60" t="b">
        <f t="shared" si="199"/>
        <v>0</v>
      </c>
      <c r="AN1797" s="60" t="b">
        <f t="shared" si="200"/>
        <v>0</v>
      </c>
      <c r="AO1797" s="60" t="b">
        <f t="shared" si="201"/>
        <v>0</v>
      </c>
      <c r="AP1797" s="60" t="b">
        <f t="shared" si="202"/>
        <v>0</v>
      </c>
      <c r="AQ1797" s="60" t="b">
        <f t="shared" si="203"/>
        <v>0</v>
      </c>
      <c r="AR1797" s="60" t="str">
        <f t="shared" si="204"/>
        <v>No</v>
      </c>
      <c r="AS1797" s="60" t="str">
        <f t="shared" si="205"/>
        <v>No</v>
      </c>
    </row>
    <row r="1798" spans="1:45" hidden="1">
      <c r="A1798" s="103">
        <v>45244</v>
      </c>
      <c r="B1798" s="117" t="s">
        <v>6731</v>
      </c>
      <c r="C1798" s="28" t="s">
        <v>511</v>
      </c>
      <c r="D1798" s="28" t="s">
        <v>6732</v>
      </c>
      <c r="F1798" s="28" t="s">
        <v>1128</v>
      </c>
      <c r="G1798" s="28" t="s">
        <v>514</v>
      </c>
      <c r="H1798" s="28" t="s">
        <v>904</v>
      </c>
      <c r="I1798" s="28" t="s">
        <v>517</v>
      </c>
      <c r="J1798" s="28" t="s">
        <v>517</v>
      </c>
      <c r="K1798" s="28" t="s">
        <v>518</v>
      </c>
      <c r="L1798" s="28" t="s">
        <v>2899</v>
      </c>
      <c r="M1798" s="28" t="s">
        <v>520</v>
      </c>
      <c r="N1798" s="28" t="s">
        <v>1140</v>
      </c>
      <c r="O1798" s="28" t="s">
        <v>557</v>
      </c>
      <c r="P1798" s="28" t="s">
        <v>934</v>
      </c>
      <c r="Q1798" s="28" t="s">
        <v>522</v>
      </c>
      <c r="S1798" s="28" t="s">
        <v>573</v>
      </c>
      <c r="T1798" s="28" t="s">
        <v>2900</v>
      </c>
      <c r="U1798" s="28" t="s">
        <v>2900</v>
      </c>
      <c r="V1798" s="28" t="s">
        <v>517</v>
      </c>
      <c r="W1798" s="28" t="s">
        <v>6733</v>
      </c>
      <c r="AF1798" s="117"/>
      <c r="AK1798" s="60" t="s">
        <v>6558</v>
      </c>
      <c r="AL1798" s="117">
        <f>1/COUNTIF(Tableau6[LAT],B1798)</f>
        <v>1</v>
      </c>
      <c r="AM1798" s="60" t="b">
        <f t="shared" ref="AM1798:AM1861" si="206">IF(N1798="ALM","Yes",IF(N1798="ALI","Yes",IF(N1798="CAO","Yes",IF(N1798="ICE","Yes",IF(N1798="MAG","Yes",IF(N1798="MAG","Yes",IF(N1798="RBI","Yes",IF(N1798="RBM","Yes",IF(N1798="RCL","Yes",IF(N1798="RCM","Yes",IF(N1798="RCX","Yes",IF(N1798="RDS","Yes",IF(N1798="REQ","Yes",IF(N1798="REX","Yes",IF(N1798="RFG","Yes",IF(N1798="RFL","Yes",IF(N1798="RFS","Yes",IF(N1798="RFW","Yes",IF(N1798="RGX","Yes",IF(N1798="RIS",IF(N1798="RLI","Yes",IF(N1798="RLM","Yes",IF(N1798="RMD","Yes",IF(N1798="RNG","Yes",IF(N1798="ROP","Yes",IF(N1798="ROX","Yes",IF(N1798="RPB","Yes",IF(N1798="RPG","Yes",IF(N1798="RRE","Yes",IF(N1798="RRW","Yes",IF(N1798="RRY","Yes",IF(N1798="RSB","Yes",IF(N1798="RSC","Yes",IF(N1798="RXB","Yes",IF(N1798="RXC","Yes",IF(N1798="RXD","Yes",IF(N1798="RXE","Yes",IF(N1798="RXG","Yes",IF(N1798="RXS","Yes",)))))))))))))))))))))))))))))))))))))))</f>
        <v>0</v>
      </c>
      <c r="AN1798" s="60" t="b">
        <f t="shared" ref="AN1798:AN1861" si="207">IF(O1798="ALM","Yes",IF(O1798="ALI","Yes",IF(O1798="CAO","Yes",IF(O1798="ICE","Yes",IF(O1798="MAG","Yes",IF(O1798="MAG","Yes",IF(O1798="RBI","Yes",IF(O1798="RBM","Yes",IF(O1798="RCL","Yes",IF(O1798="RCM","Yes",IF(O1798="RCX","Yes",IF(O1798="RDS","Yes",IF(O1798="REQ","Yes",IF(O1798="REX","Yes",IF(O1798="RFG","Yes",IF(O1798="RFL","Yes",IF(O1798="RFS","Yes",IF(O1798="RFW","Yes",IF(O1798="RGX","Yes",IF(O1798="RIS",IF(O1798="RLI","Yes",IF(O1798="RLM","Yes",IF(O1798="RMD","Yes",IF(O1798="RNG","Yes",IF(O1798="ROP","Yes",IF(O1798="ROX","Yes",IF(O1798="RPB","Yes",IF(O1798="RPG","Yes",IF(O1798="RRE","Yes",IF(O1798="RRW","Yes",IF(O1798="RRY","Yes",IF(O1798="RSB","Yes",IF(O1798="RSC","Yes",IF(O1798="RXB","Yes",IF(O1798="RXC","Yes",IF(O1798="RXD","Yes",IF(O1798="RXE","Yes",IF(O1798="RXG","Yes",IF(O1798="RXS","Yes",)))))))))))))))))))))))))))))))))))))))</f>
        <v>0</v>
      </c>
      <c r="AO1798" s="60" t="b">
        <f t="shared" ref="AO1798:AO1861" si="208">IF(P1798="ALM","Yes",IF(P1798="ALI","Yes",IF(P1798="CAO","Yes",IF(P1798="ICE","Yes",IF(P1798="MAG","Yes",IF(P1798="MAG","Yes",IF(P1798="RBI","Yes",IF(P1798="RBM","Yes",IF(P1798="RCL","Yes",IF(P1798="RCM","Yes",IF(P1798="RCX","Yes",IF(P1798="RDS","Yes",IF(P1798="REQ","Yes",IF(P1798="REX","Yes",IF(P1798="RFG","Yes",IF(P1798="RFL","Yes",IF(P1798="RFS","Yes",IF(P1798="RFW","Yes",IF(P1798="RGX","Yes",IF(P1798="RIS",IF(P1798="RLI","Yes",IF(P1798="RLM","Yes",IF(P1798="RMD","Yes",IF(P1798="RNG","Yes",IF(P1798="ROP","Yes",IF(P1798="ROX","Yes",IF(P1798="RPB","Yes",IF(P1798="RPG","Yes",IF(P1798="RRE","Yes",IF(P1798="RRW","Yes",IF(P1798="RRY","Yes",IF(P1798="RSB","Yes",IF(P1798="RSC","Yes",IF(P1798="RXB","Yes",IF(P1798="RXC","Yes",IF(P1798="RXD","Yes",IF(P1798="RXE","Yes",IF(P1798="RXG","Yes",IF(P1798="RXS","Yes",)))))))))))))))))))))))))))))))))))))))</f>
        <v>0</v>
      </c>
      <c r="AP1798" s="60" t="b">
        <f t="shared" ref="AP1798:AP1861" si="209">IF(Q1798="ALM","Yes",IF(Q1798="ALI","Yes",IF(Q1798="CAO","Yes",IF(Q1798="ICE","Yes",IF(Q1798="MAG","Yes",IF(Q1798="MAG","Yes",IF(Q1798="RBI","Yes",IF(Q1798="RBM","Yes",IF(Q1798="RCL","Yes",IF(Q1798="RCM","Yes",IF(Q1798="RCX","Yes",IF(Q1798="RDS","Yes",IF(Q1798="REQ","Yes",IF(Q1798="REX","Yes",IF(Q1798="RFG","Yes",IF(Q1798="RFL","Yes",IF(Q1798="RFS","Yes",IF(Q1798="RFW","Yes",IF(Q1798="RGX","Yes",IF(Q1798="RIS",IF(Q1798="RLI","Yes",IF(Q1798="RLM","Yes",IF(Q1798="RMD","Yes",IF(Q1798="RNG","Yes",IF(Q1798="ROP","Yes",IF(Q1798="ROX","Yes",IF(Q1798="RPB","Yes",IF(Q1798="RPG","Yes",IF(Q1798="RRE","Yes",IF(Q1798="RRW","Yes",IF(Q1798="RRY","Yes",IF(Q1798="RSB","Yes",IF(Q1798="RSC","Yes",IF(Q1798="RXB","Yes",IF(Q1798="RXC","Yes",IF(Q1798="RXD","Yes",IF(Q1798="RXE","Yes",IF(Q1798="RXG","Yes",IF(Q1798="RXS","Yes",)))))))))))))))))))))))))))))))))))))))</f>
        <v>0</v>
      </c>
      <c r="AQ1798" s="60" t="b">
        <f t="shared" ref="AQ1798:AQ1861" si="210">IF(R1798="ALM","Yes",IF(R1798="ALI","Yes",IF(R1798="CAO","Yes",IF(R1798="ICE","Yes",IF(R1798="MAG","Yes",IF(R1798="MAG","Yes",IF(R1798="RBI","Yes",IF(R1798="RBM","Yes",IF(R1798="RCL","Yes",IF(R1798="RCM","Yes",IF(R1798="RCX","Yes",IF(R1798="RDS","Yes",IF(R1798="REQ","Yes",IF(R1798="REX","Yes",IF(R1798="RFG","Yes",IF(R1798="RFL","Yes",IF(R1798="RFS","Yes",IF(R1798="RFW","Yes",IF(R1798="RGX","Yes",IF(R1798="RIS",IF(R1798="RLI","Yes",IF(R1798="RLM","Yes",IF(R1798="RMD","Yes",IF(R1798="RNG","Yes",IF(R1798="ROP","Yes",IF(R1798="ROX","Yes",IF(R1798="RPB","Yes",IF(R1798="RPG","Yes",IF(R1798="RRE","Yes",IF(R1798="RRW","Yes",IF(R1798="RRY","Yes",IF(R1798="RSB","Yes",IF(R1798="RSC","Yes",IF(R1798="RXB","Yes",IF(R1798="RXC","Yes",IF(R1798="RXD","Yes",IF(R1798="RXE","Yes",IF(R1798="RXG","Yes",IF(R1798="RXS","Yes",)))))))))))))))))))))))))))))))))))))))</f>
        <v>0</v>
      </c>
      <c r="AR1798" s="60" t="str">
        <f t="shared" ref="AR1798:AR1861" si="211">IF(AM1798="Yes","Yes",IF(AN1798="Yes","Yes",IF(AO1798="yes","Yes",IF(AP1798="Yes","Yes","No"))))</f>
        <v>No</v>
      </c>
      <c r="AS1798" s="60" t="str">
        <f t="shared" ref="AS1798:AS1861" si="212">IF(S1798="QFA","Yes",IF(S1798="LCJ","Yes",IF(S1798="CAJ","Yes",IF(S1798="WRO","Yes",IF(S1798="BEY","Yes",IF(S1798="TUN","Yes",IF(S1798="LFW","Yes",IF(S1798="DLA","Yes",IF(S1798="NSI","Yes",IF(S1798="OUA","Yes",IF(S1798="IAH","Yes",IF(S1798="LYS","Yes",IF(S1798="DSS","Yes",IF(S1798="BKO","Yes",IF(S1798="BZV","Yes",IF(S1798="COO","Yes",IF(S1798="EZE","Yes",IF(S1798="CKY","Yes",IF(S1798="PTP","Yes",IF(S1798="ORD","Yes",IF(S1798="CFE","Yes",IF(S1798="NKC","Yes",IF(S1798="FDF","Yes",IF(S1798="SDQ","Yes",IF(S1798="PNR","Yes",IF(S1798="ICAY","Yes",IF(S1798="DTW","Yes",IF(S1798="TNR","Yes",IF(S1798="RUN","Yes",IF(S1798="NIM","Yes","No"))))))))))))))))))))))))))))))</f>
        <v>No</v>
      </c>
    </row>
    <row r="1799" spans="1:45" hidden="1">
      <c r="A1799" s="103">
        <v>45244</v>
      </c>
      <c r="B1799" s="117" t="s">
        <v>6734</v>
      </c>
      <c r="C1799" s="28" t="s">
        <v>511</v>
      </c>
      <c r="D1799" s="28" t="s">
        <v>6735</v>
      </c>
      <c r="F1799" s="28" t="s">
        <v>3180</v>
      </c>
      <c r="G1799" s="28" t="s">
        <v>514</v>
      </c>
      <c r="H1799" s="28" t="s">
        <v>2832</v>
      </c>
      <c r="I1799" s="28" t="s">
        <v>517</v>
      </c>
      <c r="J1799" s="28" t="s">
        <v>517</v>
      </c>
      <c r="K1799" s="28" t="s">
        <v>518</v>
      </c>
      <c r="L1799" s="28" t="s">
        <v>1548</v>
      </c>
      <c r="M1799" s="28" t="s">
        <v>535</v>
      </c>
      <c r="N1799" s="28" t="s">
        <v>4196</v>
      </c>
      <c r="O1799" s="28" t="s">
        <v>1140</v>
      </c>
      <c r="P1799" s="28" t="s">
        <v>521</v>
      </c>
      <c r="Q1799" s="28" t="s">
        <v>1523</v>
      </c>
      <c r="R1799" s="28" t="s">
        <v>522</v>
      </c>
      <c r="S1799" s="28" t="s">
        <v>573</v>
      </c>
      <c r="T1799" s="28" t="s">
        <v>1549</v>
      </c>
      <c r="U1799" s="28" t="s">
        <v>1549</v>
      </c>
      <c r="V1799" s="28" t="s">
        <v>517</v>
      </c>
      <c r="W1799" s="28" t="s">
        <v>4197</v>
      </c>
      <c r="AF1799" s="117"/>
      <c r="AK1799" s="60" t="s">
        <v>6558</v>
      </c>
      <c r="AL1799" s="117">
        <f>1/COUNTIF(Tableau6[LAT],B1799)</f>
        <v>1</v>
      </c>
      <c r="AM1799" s="60" t="str">
        <f t="shared" si="206"/>
        <v>Yes</v>
      </c>
      <c r="AN1799" s="60" t="b">
        <f t="shared" si="207"/>
        <v>0</v>
      </c>
      <c r="AO1799" s="60" t="b">
        <f t="shared" si="208"/>
        <v>0</v>
      </c>
      <c r="AP1799" s="60" t="b">
        <f t="shared" si="209"/>
        <v>0</v>
      </c>
      <c r="AQ1799" s="60" t="b">
        <f t="shared" si="210"/>
        <v>0</v>
      </c>
      <c r="AR1799" s="60" t="str">
        <f t="shared" si="211"/>
        <v>Yes</v>
      </c>
      <c r="AS1799" s="60" t="str">
        <f t="shared" si="212"/>
        <v>No</v>
      </c>
    </row>
    <row r="1800" spans="1:45" hidden="1">
      <c r="A1800" s="103">
        <v>45244</v>
      </c>
      <c r="B1800" s="117" t="s">
        <v>6736</v>
      </c>
      <c r="C1800" s="28" t="s">
        <v>511</v>
      </c>
      <c r="D1800" s="28" t="s">
        <v>6737</v>
      </c>
      <c r="F1800" s="28" t="s">
        <v>3889</v>
      </c>
      <c r="G1800" s="28" t="s">
        <v>514</v>
      </c>
      <c r="H1800" s="28" t="s">
        <v>2964</v>
      </c>
      <c r="I1800" s="28" t="s">
        <v>517</v>
      </c>
      <c r="J1800" s="28" t="s">
        <v>517</v>
      </c>
      <c r="K1800" s="28" t="s">
        <v>518</v>
      </c>
      <c r="L1800" s="28" t="s">
        <v>895</v>
      </c>
      <c r="M1800" s="28" t="s">
        <v>535</v>
      </c>
      <c r="N1800" s="28" t="s">
        <v>1124</v>
      </c>
      <c r="O1800" s="28" t="s">
        <v>557</v>
      </c>
      <c r="P1800" s="28" t="s">
        <v>1523</v>
      </c>
      <c r="Q1800" s="28" t="s">
        <v>522</v>
      </c>
      <c r="S1800" s="28" t="s">
        <v>573</v>
      </c>
      <c r="T1800" s="28" t="s">
        <v>897</v>
      </c>
      <c r="U1800" s="28" t="s">
        <v>897</v>
      </c>
      <c r="V1800" s="28" t="s">
        <v>517</v>
      </c>
      <c r="W1800" s="28" t="s">
        <v>3181</v>
      </c>
      <c r="AF1800" s="117"/>
      <c r="AK1800" s="60" t="s">
        <v>6558</v>
      </c>
      <c r="AL1800" s="117">
        <f>1/COUNTIF(Tableau6[LAT],B1800)</f>
        <v>1</v>
      </c>
      <c r="AM1800" s="60" t="b">
        <f t="shared" si="206"/>
        <v>0</v>
      </c>
      <c r="AN1800" s="60" t="b">
        <f t="shared" si="207"/>
        <v>0</v>
      </c>
      <c r="AO1800" s="60" t="b">
        <f t="shared" si="208"/>
        <v>0</v>
      </c>
      <c r="AP1800" s="60" t="b">
        <f t="shared" si="209"/>
        <v>0</v>
      </c>
      <c r="AQ1800" s="60" t="b">
        <f t="shared" si="210"/>
        <v>0</v>
      </c>
      <c r="AR1800" s="60" t="str">
        <f t="shared" si="211"/>
        <v>No</v>
      </c>
      <c r="AS1800" s="60" t="str">
        <f t="shared" si="212"/>
        <v>No</v>
      </c>
    </row>
    <row r="1801" spans="1:45" hidden="1">
      <c r="A1801" s="103">
        <v>45244</v>
      </c>
      <c r="B1801" s="117" t="s">
        <v>6738</v>
      </c>
      <c r="C1801" s="28" t="s">
        <v>511</v>
      </c>
      <c r="D1801" s="28" t="s">
        <v>6739</v>
      </c>
      <c r="F1801" s="28" t="s">
        <v>6740</v>
      </c>
      <c r="G1801" s="28" t="s">
        <v>1163</v>
      </c>
      <c r="H1801" s="28" t="s">
        <v>2401</v>
      </c>
      <c r="I1801" s="28" t="s">
        <v>517</v>
      </c>
      <c r="J1801" s="28" t="s">
        <v>517</v>
      </c>
      <c r="K1801" s="28" t="s">
        <v>518</v>
      </c>
      <c r="L1801" s="28" t="s">
        <v>6741</v>
      </c>
      <c r="M1801" s="28" t="s">
        <v>535</v>
      </c>
      <c r="N1801" s="28" t="s">
        <v>521</v>
      </c>
      <c r="O1801" s="28" t="s">
        <v>1523</v>
      </c>
      <c r="P1801" s="28" t="s">
        <v>522</v>
      </c>
      <c r="S1801" s="28" t="s">
        <v>573</v>
      </c>
      <c r="T1801" s="28" t="s">
        <v>6742</v>
      </c>
      <c r="U1801" s="28" t="s">
        <v>6742</v>
      </c>
      <c r="V1801" s="28" t="s">
        <v>517</v>
      </c>
      <c r="W1801" s="28" t="s">
        <v>6743</v>
      </c>
      <c r="AF1801" s="117"/>
      <c r="AK1801" s="60" t="s">
        <v>6558</v>
      </c>
      <c r="AL1801" s="117">
        <f>1/COUNTIF(Tableau6[LAT],B1801)</f>
        <v>1</v>
      </c>
      <c r="AM1801" s="60" t="b">
        <f t="shared" si="206"/>
        <v>0</v>
      </c>
      <c r="AN1801" s="60" t="b">
        <f t="shared" si="207"/>
        <v>0</v>
      </c>
      <c r="AO1801" s="60" t="b">
        <f t="shared" si="208"/>
        <v>0</v>
      </c>
      <c r="AP1801" s="60" t="b">
        <f t="shared" si="209"/>
        <v>0</v>
      </c>
      <c r="AQ1801" s="60" t="b">
        <f t="shared" si="210"/>
        <v>0</v>
      </c>
      <c r="AR1801" s="60" t="str">
        <f t="shared" si="211"/>
        <v>No</v>
      </c>
      <c r="AS1801" s="60" t="str">
        <f t="shared" si="212"/>
        <v>No</v>
      </c>
    </row>
    <row r="1802" spans="1:45" hidden="1">
      <c r="A1802" s="103">
        <v>45244</v>
      </c>
      <c r="B1802" s="117" t="s">
        <v>6744</v>
      </c>
      <c r="C1802" s="28" t="s">
        <v>511</v>
      </c>
      <c r="D1802" s="28" t="s">
        <v>6745</v>
      </c>
      <c r="E1802" s="28" t="s">
        <v>6746</v>
      </c>
      <c r="F1802" s="28" t="s">
        <v>6117</v>
      </c>
      <c r="G1802" s="28" t="s">
        <v>514</v>
      </c>
      <c r="H1802" s="28" t="s">
        <v>3667</v>
      </c>
      <c r="I1802" s="28" t="s">
        <v>517</v>
      </c>
      <c r="J1802" s="28" t="s">
        <v>517</v>
      </c>
      <c r="K1802" s="28" t="s">
        <v>518</v>
      </c>
      <c r="L1802" s="28" t="s">
        <v>6747</v>
      </c>
      <c r="M1802" s="28" t="s">
        <v>535</v>
      </c>
      <c r="N1802" s="28" t="s">
        <v>557</v>
      </c>
      <c r="O1802" s="28" t="s">
        <v>934</v>
      </c>
      <c r="P1802" s="28" t="s">
        <v>559</v>
      </c>
      <c r="S1802" s="28" t="s">
        <v>573</v>
      </c>
      <c r="T1802" s="28" t="s">
        <v>3950</v>
      </c>
      <c r="U1802" s="28" t="s">
        <v>3950</v>
      </c>
      <c r="V1802" s="28" t="s">
        <v>517</v>
      </c>
      <c r="W1802" s="28" t="s">
        <v>3332</v>
      </c>
      <c r="AF1802" s="117"/>
      <c r="AK1802" s="60" t="s">
        <v>6558</v>
      </c>
      <c r="AL1802" s="117">
        <f>1/COUNTIF(Tableau6[LAT],B1802)</f>
        <v>1</v>
      </c>
      <c r="AM1802" s="60" t="b">
        <f t="shared" si="206"/>
        <v>0</v>
      </c>
      <c r="AN1802" s="60" t="b">
        <f t="shared" si="207"/>
        <v>0</v>
      </c>
      <c r="AO1802" s="60" t="b">
        <f t="shared" si="208"/>
        <v>0</v>
      </c>
      <c r="AP1802" s="60" t="b">
        <f t="shared" si="209"/>
        <v>0</v>
      </c>
      <c r="AQ1802" s="60" t="b">
        <f t="shared" si="210"/>
        <v>0</v>
      </c>
      <c r="AR1802" s="60" t="str">
        <f t="shared" si="211"/>
        <v>No</v>
      </c>
      <c r="AS1802" s="60" t="str">
        <f t="shared" si="212"/>
        <v>No</v>
      </c>
    </row>
    <row r="1803" spans="1:45" hidden="1">
      <c r="A1803" s="103">
        <v>45244</v>
      </c>
      <c r="B1803" s="117" t="s">
        <v>6748</v>
      </c>
      <c r="C1803" s="28" t="s">
        <v>511</v>
      </c>
      <c r="D1803" s="28" t="s">
        <v>6749</v>
      </c>
      <c r="E1803" s="28" t="s">
        <v>6645</v>
      </c>
      <c r="F1803" s="28" t="s">
        <v>1727</v>
      </c>
      <c r="G1803" s="28" t="s">
        <v>514</v>
      </c>
      <c r="H1803" s="28" t="s">
        <v>915</v>
      </c>
      <c r="I1803" s="28" t="s">
        <v>516</v>
      </c>
      <c r="J1803" s="28" t="s">
        <v>517</v>
      </c>
      <c r="K1803" s="28" t="s">
        <v>682</v>
      </c>
      <c r="L1803" s="28" t="s">
        <v>4699</v>
      </c>
      <c r="M1803" s="28" t="s">
        <v>535</v>
      </c>
      <c r="N1803" s="28" t="s">
        <v>557</v>
      </c>
      <c r="O1803" s="28" t="s">
        <v>544</v>
      </c>
      <c r="S1803" s="28" t="s">
        <v>1402</v>
      </c>
      <c r="T1803" s="28" t="s">
        <v>4700</v>
      </c>
      <c r="U1803" s="28" t="s">
        <v>4700</v>
      </c>
      <c r="V1803" s="28" t="s">
        <v>517</v>
      </c>
      <c r="W1803" s="28" t="s">
        <v>5942</v>
      </c>
      <c r="X1803" s="28" t="s">
        <v>1071</v>
      </c>
      <c r="AF1803" s="117"/>
      <c r="AK1803" s="60" t="s">
        <v>6558</v>
      </c>
      <c r="AL1803" s="117">
        <f>1/COUNTIF(Tableau6[LAT],B1803)</f>
        <v>1</v>
      </c>
      <c r="AM1803" s="60" t="b">
        <f t="shared" si="206"/>
        <v>0</v>
      </c>
      <c r="AN1803" s="60" t="b">
        <f t="shared" si="207"/>
        <v>0</v>
      </c>
      <c r="AO1803" s="60" t="b">
        <f t="shared" si="208"/>
        <v>0</v>
      </c>
      <c r="AP1803" s="60" t="b">
        <f t="shared" si="209"/>
        <v>0</v>
      </c>
      <c r="AQ1803" s="60" t="b">
        <f t="shared" si="210"/>
        <v>0</v>
      </c>
      <c r="AR1803" s="60" t="str">
        <f t="shared" si="211"/>
        <v>No</v>
      </c>
      <c r="AS1803" s="60" t="str">
        <f t="shared" si="212"/>
        <v>No</v>
      </c>
    </row>
    <row r="1804" spans="1:45" hidden="1">
      <c r="A1804" s="103">
        <v>45244</v>
      </c>
      <c r="B1804" s="117" t="s">
        <v>6750</v>
      </c>
      <c r="C1804" s="28" t="s">
        <v>511</v>
      </c>
      <c r="D1804" s="28" t="s">
        <v>6751</v>
      </c>
      <c r="E1804" s="28" t="s">
        <v>6752</v>
      </c>
      <c r="F1804" s="28" t="s">
        <v>6753</v>
      </c>
      <c r="G1804" s="28" t="s">
        <v>1077</v>
      </c>
      <c r="H1804" s="28" t="s">
        <v>1134</v>
      </c>
      <c r="I1804" s="28" t="s">
        <v>516</v>
      </c>
      <c r="J1804" s="28" t="s">
        <v>517</v>
      </c>
      <c r="K1804" s="28" t="s">
        <v>682</v>
      </c>
      <c r="L1804" s="28" t="s">
        <v>4699</v>
      </c>
      <c r="M1804" s="28" t="s">
        <v>535</v>
      </c>
      <c r="N1804" s="28" t="s">
        <v>557</v>
      </c>
      <c r="O1804" s="28" t="s">
        <v>522</v>
      </c>
      <c r="S1804" s="28" t="s">
        <v>536</v>
      </c>
      <c r="T1804" s="28" t="s">
        <v>4700</v>
      </c>
      <c r="U1804" s="28" t="s">
        <v>4700</v>
      </c>
      <c r="V1804" s="28" t="s">
        <v>517</v>
      </c>
      <c r="W1804" s="28" t="s">
        <v>6754</v>
      </c>
      <c r="X1804" s="28" t="s">
        <v>670</v>
      </c>
      <c r="AF1804" s="117"/>
      <c r="AK1804" s="60" t="s">
        <v>6558</v>
      </c>
      <c r="AL1804" s="117">
        <f>1/COUNTIF(Tableau6[LAT],B1804)</f>
        <v>0.5</v>
      </c>
      <c r="AM1804" s="60" t="b">
        <f t="shared" si="206"/>
        <v>0</v>
      </c>
      <c r="AN1804" s="60" t="b">
        <f t="shared" si="207"/>
        <v>0</v>
      </c>
      <c r="AO1804" s="60" t="b">
        <f t="shared" si="208"/>
        <v>0</v>
      </c>
      <c r="AP1804" s="60" t="b">
        <f t="shared" si="209"/>
        <v>0</v>
      </c>
      <c r="AQ1804" s="60" t="b">
        <f t="shared" si="210"/>
        <v>0</v>
      </c>
      <c r="AR1804" s="60" t="str">
        <f t="shared" si="211"/>
        <v>No</v>
      </c>
      <c r="AS1804" s="60" t="str">
        <f t="shared" si="212"/>
        <v>Yes</v>
      </c>
    </row>
    <row r="1805" spans="1:45" hidden="1">
      <c r="A1805" s="103">
        <v>45244</v>
      </c>
      <c r="B1805" s="117" t="s">
        <v>6750</v>
      </c>
      <c r="C1805" s="28" t="s">
        <v>548</v>
      </c>
      <c r="D1805" s="28" t="s">
        <v>6755</v>
      </c>
      <c r="F1805" s="28" t="s">
        <v>6756</v>
      </c>
      <c r="G1805" s="28" t="s">
        <v>514</v>
      </c>
      <c r="H1805" s="28" t="s">
        <v>1822</v>
      </c>
      <c r="I1805" s="28" t="s">
        <v>516</v>
      </c>
      <c r="J1805" s="28" t="s">
        <v>517</v>
      </c>
      <c r="K1805" s="28" t="s">
        <v>682</v>
      </c>
      <c r="L1805" s="28" t="s">
        <v>4699</v>
      </c>
      <c r="M1805" s="28" t="s">
        <v>535</v>
      </c>
      <c r="N1805" s="28" t="s">
        <v>557</v>
      </c>
      <c r="O1805" s="28" t="s">
        <v>522</v>
      </c>
      <c r="S1805" s="28" t="s">
        <v>536</v>
      </c>
      <c r="T1805" s="28" t="s">
        <v>4700</v>
      </c>
      <c r="U1805" s="28" t="s">
        <v>4700</v>
      </c>
      <c r="V1805" s="28" t="s">
        <v>517</v>
      </c>
      <c r="W1805" s="28" t="s">
        <v>1620</v>
      </c>
      <c r="AF1805" s="117"/>
      <c r="AK1805" s="60" t="s">
        <v>6558</v>
      </c>
      <c r="AL1805" s="117">
        <f>1/COUNTIF(Tableau6[LAT],B1805)</f>
        <v>0.5</v>
      </c>
      <c r="AM1805" s="60" t="b">
        <f t="shared" si="206"/>
        <v>0</v>
      </c>
      <c r="AN1805" s="60" t="b">
        <f t="shared" si="207"/>
        <v>0</v>
      </c>
      <c r="AO1805" s="60" t="b">
        <f t="shared" si="208"/>
        <v>0</v>
      </c>
      <c r="AP1805" s="60" t="b">
        <f t="shared" si="209"/>
        <v>0</v>
      </c>
      <c r="AQ1805" s="60" t="b">
        <f t="shared" si="210"/>
        <v>0</v>
      </c>
      <c r="AR1805" s="60" t="str">
        <f t="shared" si="211"/>
        <v>No</v>
      </c>
      <c r="AS1805" s="60" t="str">
        <f t="shared" si="212"/>
        <v>Yes</v>
      </c>
    </row>
    <row r="1806" spans="1:45" hidden="1">
      <c r="A1806" s="103">
        <v>45244</v>
      </c>
      <c r="B1806" s="117" t="s">
        <v>6757</v>
      </c>
      <c r="C1806" s="28" t="s">
        <v>511</v>
      </c>
      <c r="D1806" s="28" t="s">
        <v>6758</v>
      </c>
      <c r="F1806" s="28" t="s">
        <v>6759</v>
      </c>
      <c r="G1806" s="28" t="s">
        <v>514</v>
      </c>
      <c r="H1806" s="28" t="s">
        <v>980</v>
      </c>
      <c r="I1806" s="28" t="s">
        <v>516</v>
      </c>
      <c r="J1806" s="28" t="s">
        <v>517</v>
      </c>
      <c r="K1806" s="28" t="s">
        <v>518</v>
      </c>
      <c r="L1806" s="28" t="s">
        <v>3813</v>
      </c>
      <c r="M1806" s="28" t="s">
        <v>520</v>
      </c>
      <c r="N1806" s="28" t="s">
        <v>522</v>
      </c>
      <c r="O1806" s="28" t="s">
        <v>559</v>
      </c>
      <c r="S1806" s="28" t="s">
        <v>607</v>
      </c>
      <c r="T1806" s="28" t="s">
        <v>1014</v>
      </c>
      <c r="U1806" s="28" t="s">
        <v>1014</v>
      </c>
      <c r="V1806" s="28" t="s">
        <v>517</v>
      </c>
      <c r="W1806" s="28" t="s">
        <v>6760</v>
      </c>
      <c r="AF1806" s="117"/>
      <c r="AK1806" s="60" t="s">
        <v>6558</v>
      </c>
      <c r="AL1806" s="117">
        <f>1/COUNTIF(Tableau6[LAT],B1806)</f>
        <v>1</v>
      </c>
      <c r="AM1806" s="60" t="b">
        <f t="shared" si="206"/>
        <v>0</v>
      </c>
      <c r="AN1806" s="60" t="b">
        <f t="shared" si="207"/>
        <v>0</v>
      </c>
      <c r="AO1806" s="60" t="b">
        <f t="shared" si="208"/>
        <v>0</v>
      </c>
      <c r="AP1806" s="60" t="b">
        <f t="shared" si="209"/>
        <v>0</v>
      </c>
      <c r="AQ1806" s="60" t="b">
        <f t="shared" si="210"/>
        <v>0</v>
      </c>
      <c r="AR1806" s="60" t="str">
        <f t="shared" si="211"/>
        <v>No</v>
      </c>
      <c r="AS1806" s="60" t="str">
        <f t="shared" si="212"/>
        <v>No</v>
      </c>
    </row>
    <row r="1807" spans="1:45" hidden="1">
      <c r="A1807" s="103">
        <v>45244</v>
      </c>
      <c r="B1807" s="117" t="s">
        <v>6761</v>
      </c>
      <c r="C1807" s="28" t="s">
        <v>511</v>
      </c>
      <c r="D1807" s="28" t="s">
        <v>6762</v>
      </c>
      <c r="E1807" s="28" t="s">
        <v>6763</v>
      </c>
      <c r="F1807" s="28" t="s">
        <v>6764</v>
      </c>
      <c r="G1807" s="28" t="s">
        <v>979</v>
      </c>
      <c r="H1807" s="28" t="s">
        <v>6765</v>
      </c>
      <c r="I1807" s="28" t="s">
        <v>516</v>
      </c>
      <c r="J1807" s="28" t="s">
        <v>517</v>
      </c>
      <c r="K1807" s="28" t="s">
        <v>682</v>
      </c>
      <c r="L1807" s="28" t="s">
        <v>6584</v>
      </c>
      <c r="M1807" s="28" t="s">
        <v>535</v>
      </c>
      <c r="N1807" s="28" t="s">
        <v>544</v>
      </c>
      <c r="S1807" s="28" t="s">
        <v>740</v>
      </c>
      <c r="T1807" s="28" t="s">
        <v>1918</v>
      </c>
      <c r="U1807" s="28" t="s">
        <v>1918</v>
      </c>
      <c r="V1807" s="28" t="s">
        <v>517</v>
      </c>
      <c r="W1807" s="28" t="s">
        <v>6766</v>
      </c>
      <c r="X1807" s="28" t="s">
        <v>670</v>
      </c>
      <c r="AF1807" s="117"/>
      <c r="AK1807" s="60" t="s">
        <v>6558</v>
      </c>
      <c r="AL1807" s="117">
        <f>1/COUNTIF(Tableau6[LAT],B1807)</f>
        <v>1</v>
      </c>
      <c r="AM1807" s="60" t="b">
        <f t="shared" si="206"/>
        <v>0</v>
      </c>
      <c r="AN1807" s="60" t="b">
        <f t="shared" si="207"/>
        <v>0</v>
      </c>
      <c r="AO1807" s="60" t="b">
        <f t="shared" si="208"/>
        <v>0</v>
      </c>
      <c r="AP1807" s="60" t="b">
        <f t="shared" si="209"/>
        <v>0</v>
      </c>
      <c r="AQ1807" s="60" t="b">
        <f t="shared" si="210"/>
        <v>0</v>
      </c>
      <c r="AR1807" s="60" t="str">
        <f t="shared" si="211"/>
        <v>No</v>
      </c>
      <c r="AS1807" s="60" t="str">
        <f t="shared" si="212"/>
        <v>No</v>
      </c>
    </row>
    <row r="1808" spans="1:45" hidden="1">
      <c r="A1808" s="103">
        <v>45244</v>
      </c>
      <c r="B1808" s="117" t="s">
        <v>6767</v>
      </c>
      <c r="C1808" s="28" t="s">
        <v>612</v>
      </c>
      <c r="D1808" s="28" t="s">
        <v>6768</v>
      </c>
      <c r="F1808" s="28" t="s">
        <v>6769</v>
      </c>
      <c r="G1808" s="28" t="s">
        <v>514</v>
      </c>
      <c r="H1808" s="28" t="s">
        <v>603</v>
      </c>
      <c r="I1808" s="28" t="s">
        <v>516</v>
      </c>
      <c r="J1808" s="28" t="s">
        <v>517</v>
      </c>
      <c r="K1808" s="28" t="s">
        <v>682</v>
      </c>
      <c r="L1808" s="28" t="s">
        <v>1262</v>
      </c>
      <c r="M1808" s="28" t="s">
        <v>535</v>
      </c>
      <c r="N1808" s="28" t="s">
        <v>557</v>
      </c>
      <c r="O1808" s="28" t="s">
        <v>559</v>
      </c>
      <c r="S1808" s="28" t="s">
        <v>1402</v>
      </c>
      <c r="T1808" s="28" t="s">
        <v>1264</v>
      </c>
      <c r="U1808" s="28" t="s">
        <v>1264</v>
      </c>
      <c r="V1808" s="28" t="s">
        <v>517</v>
      </c>
      <c r="W1808" s="28" t="s">
        <v>835</v>
      </c>
      <c r="AF1808" s="117"/>
      <c r="AK1808" s="60" t="s">
        <v>6558</v>
      </c>
      <c r="AL1808" s="117">
        <f>1/COUNTIF(Tableau6[LAT],B1808)</f>
        <v>0.33333333333333331</v>
      </c>
      <c r="AM1808" s="60" t="b">
        <f t="shared" si="206"/>
        <v>0</v>
      </c>
      <c r="AN1808" s="60" t="b">
        <f t="shared" si="207"/>
        <v>0</v>
      </c>
      <c r="AO1808" s="60" t="b">
        <f t="shared" si="208"/>
        <v>0</v>
      </c>
      <c r="AP1808" s="60" t="b">
        <f t="shared" si="209"/>
        <v>0</v>
      </c>
      <c r="AQ1808" s="60" t="b">
        <f t="shared" si="210"/>
        <v>0</v>
      </c>
      <c r="AR1808" s="60" t="str">
        <f t="shared" si="211"/>
        <v>No</v>
      </c>
      <c r="AS1808" s="60" t="str">
        <f t="shared" si="212"/>
        <v>No</v>
      </c>
    </row>
    <row r="1809" spans="1:45" hidden="1">
      <c r="A1809" s="103">
        <v>45244</v>
      </c>
      <c r="B1809" s="117" t="s">
        <v>6767</v>
      </c>
      <c r="C1809" s="28" t="s">
        <v>691</v>
      </c>
      <c r="D1809" s="28" t="s">
        <v>6770</v>
      </c>
      <c r="F1809" s="28" t="s">
        <v>6771</v>
      </c>
      <c r="G1809" s="28" t="s">
        <v>514</v>
      </c>
      <c r="H1809" s="28" t="s">
        <v>603</v>
      </c>
      <c r="I1809" s="28" t="s">
        <v>516</v>
      </c>
      <c r="J1809" s="28" t="s">
        <v>517</v>
      </c>
      <c r="K1809" s="28" t="s">
        <v>682</v>
      </c>
      <c r="L1809" s="28" t="s">
        <v>1262</v>
      </c>
      <c r="M1809" s="28" t="s">
        <v>535</v>
      </c>
      <c r="N1809" s="28" t="s">
        <v>557</v>
      </c>
      <c r="O1809" s="28" t="s">
        <v>559</v>
      </c>
      <c r="S1809" s="28" t="s">
        <v>1402</v>
      </c>
      <c r="T1809" s="28" t="s">
        <v>1264</v>
      </c>
      <c r="U1809" s="28" t="s">
        <v>1264</v>
      </c>
      <c r="V1809" s="28" t="s">
        <v>517</v>
      </c>
      <c r="W1809" s="28" t="s">
        <v>835</v>
      </c>
      <c r="AF1809" s="117"/>
      <c r="AK1809" s="60" t="s">
        <v>6558</v>
      </c>
      <c r="AL1809" s="117">
        <f>1/COUNTIF(Tableau6[LAT],B1809)</f>
        <v>0.33333333333333331</v>
      </c>
      <c r="AM1809" s="60" t="b">
        <f t="shared" si="206"/>
        <v>0</v>
      </c>
      <c r="AN1809" s="60" t="b">
        <f t="shared" si="207"/>
        <v>0</v>
      </c>
      <c r="AO1809" s="60" t="b">
        <f t="shared" si="208"/>
        <v>0</v>
      </c>
      <c r="AP1809" s="60" t="b">
        <f t="shared" si="209"/>
        <v>0</v>
      </c>
      <c r="AQ1809" s="60" t="b">
        <f t="shared" si="210"/>
        <v>0</v>
      </c>
      <c r="AR1809" s="60" t="str">
        <f t="shared" si="211"/>
        <v>No</v>
      </c>
      <c r="AS1809" s="60" t="str">
        <f t="shared" si="212"/>
        <v>No</v>
      </c>
    </row>
    <row r="1810" spans="1:45" hidden="1">
      <c r="A1810" s="103">
        <v>45244</v>
      </c>
      <c r="B1810" s="117" t="s">
        <v>6767</v>
      </c>
      <c r="C1810" s="28" t="s">
        <v>859</v>
      </c>
      <c r="D1810" s="28" t="s">
        <v>6772</v>
      </c>
      <c r="F1810" s="28" t="s">
        <v>6773</v>
      </c>
      <c r="G1810" s="28" t="s">
        <v>958</v>
      </c>
      <c r="H1810" s="28" t="s">
        <v>6774</v>
      </c>
      <c r="I1810" s="28" t="s">
        <v>516</v>
      </c>
      <c r="J1810" s="28" t="s">
        <v>517</v>
      </c>
      <c r="K1810" s="28" t="s">
        <v>682</v>
      </c>
      <c r="L1810" s="28" t="s">
        <v>1262</v>
      </c>
      <c r="M1810" s="28" t="s">
        <v>535</v>
      </c>
      <c r="N1810" s="28" t="s">
        <v>557</v>
      </c>
      <c r="O1810" s="28" t="s">
        <v>559</v>
      </c>
      <c r="S1810" s="28" t="s">
        <v>1402</v>
      </c>
      <c r="T1810" s="28" t="s">
        <v>1264</v>
      </c>
      <c r="U1810" s="28" t="s">
        <v>1264</v>
      </c>
      <c r="V1810" s="28" t="s">
        <v>517</v>
      </c>
      <c r="W1810" s="28" t="s">
        <v>922</v>
      </c>
      <c r="AF1810" s="117"/>
      <c r="AK1810" s="60" t="s">
        <v>6558</v>
      </c>
      <c r="AL1810" s="117">
        <f>1/COUNTIF(Tableau6[LAT],B1810)</f>
        <v>0.33333333333333331</v>
      </c>
      <c r="AM1810" s="60" t="b">
        <f t="shared" si="206"/>
        <v>0</v>
      </c>
      <c r="AN1810" s="60" t="b">
        <f t="shared" si="207"/>
        <v>0</v>
      </c>
      <c r="AO1810" s="60" t="b">
        <f t="shared" si="208"/>
        <v>0</v>
      </c>
      <c r="AP1810" s="60" t="b">
        <f t="shared" si="209"/>
        <v>0</v>
      </c>
      <c r="AQ1810" s="60" t="b">
        <f t="shared" si="210"/>
        <v>0</v>
      </c>
      <c r="AR1810" s="60" t="str">
        <f t="shared" si="211"/>
        <v>No</v>
      </c>
      <c r="AS1810" s="60" t="str">
        <f t="shared" si="212"/>
        <v>No</v>
      </c>
    </row>
    <row r="1811" spans="1:45" hidden="1">
      <c r="A1811" s="103">
        <v>45244</v>
      </c>
      <c r="B1811" s="117" t="s">
        <v>6775</v>
      </c>
      <c r="C1811" s="28" t="s">
        <v>511</v>
      </c>
      <c r="D1811" s="28" t="s">
        <v>6776</v>
      </c>
      <c r="F1811" s="28" t="s">
        <v>1995</v>
      </c>
      <c r="G1811" s="28" t="s">
        <v>514</v>
      </c>
      <c r="H1811" s="28" t="s">
        <v>1312</v>
      </c>
      <c r="I1811" s="28" t="s">
        <v>516</v>
      </c>
      <c r="J1811" s="28" t="s">
        <v>517</v>
      </c>
      <c r="K1811" s="28" t="s">
        <v>518</v>
      </c>
      <c r="L1811" s="28" t="s">
        <v>2234</v>
      </c>
      <c r="M1811" s="28" t="s">
        <v>535</v>
      </c>
      <c r="N1811" s="28" t="s">
        <v>6777</v>
      </c>
      <c r="O1811" s="28" t="s">
        <v>572</v>
      </c>
      <c r="P1811" s="28" t="s">
        <v>557</v>
      </c>
      <c r="S1811" s="28" t="s">
        <v>1014</v>
      </c>
      <c r="T1811" s="28" t="s">
        <v>607</v>
      </c>
      <c r="U1811" s="28" t="s">
        <v>607</v>
      </c>
      <c r="V1811" s="28" t="s">
        <v>517</v>
      </c>
      <c r="W1811" s="28" t="s">
        <v>6778</v>
      </c>
      <c r="AF1811" s="117"/>
      <c r="AK1811" s="60" t="s">
        <v>6558</v>
      </c>
      <c r="AL1811" s="117">
        <f>1/COUNTIF(Tableau6[LAT],B1811)</f>
        <v>1</v>
      </c>
      <c r="AM1811" s="60" t="b">
        <f t="shared" si="206"/>
        <v>0</v>
      </c>
      <c r="AN1811" s="60" t="b">
        <f t="shared" si="207"/>
        <v>0</v>
      </c>
      <c r="AO1811" s="60" t="b">
        <f t="shared" si="208"/>
        <v>0</v>
      </c>
      <c r="AP1811" s="60" t="b">
        <f t="shared" si="209"/>
        <v>0</v>
      </c>
      <c r="AQ1811" s="60" t="b">
        <f t="shared" si="210"/>
        <v>0</v>
      </c>
      <c r="AR1811" s="60" t="str">
        <f t="shared" si="211"/>
        <v>No</v>
      </c>
      <c r="AS1811" s="60" t="str">
        <f t="shared" si="212"/>
        <v>No</v>
      </c>
    </row>
    <row r="1812" spans="1:45" hidden="1">
      <c r="A1812" s="103">
        <v>45244</v>
      </c>
      <c r="B1812" s="117" t="s">
        <v>6779</v>
      </c>
      <c r="C1812" s="28" t="s">
        <v>511</v>
      </c>
      <c r="D1812" s="28" t="s">
        <v>6780</v>
      </c>
      <c r="E1812" s="28" t="s">
        <v>6781</v>
      </c>
      <c r="F1812" s="28" t="s">
        <v>6782</v>
      </c>
      <c r="G1812" s="28" t="s">
        <v>6783</v>
      </c>
      <c r="H1812" s="28" t="s">
        <v>4995</v>
      </c>
      <c r="I1812" s="28" t="s">
        <v>516</v>
      </c>
      <c r="J1812" s="28" t="s">
        <v>517</v>
      </c>
      <c r="K1812" s="28" t="s">
        <v>682</v>
      </c>
      <c r="L1812" s="28" t="s">
        <v>3078</v>
      </c>
      <c r="M1812" s="28" t="s">
        <v>535</v>
      </c>
      <c r="N1812" s="28" t="s">
        <v>557</v>
      </c>
      <c r="O1812" s="28" t="s">
        <v>522</v>
      </c>
      <c r="S1812" s="28" t="s">
        <v>1494</v>
      </c>
      <c r="T1812" s="28" t="s">
        <v>545</v>
      </c>
      <c r="U1812" s="28" t="s">
        <v>545</v>
      </c>
      <c r="V1812" s="28" t="s">
        <v>517</v>
      </c>
      <c r="W1812" s="28" t="s">
        <v>6784</v>
      </c>
      <c r="X1812" s="28" t="s">
        <v>670</v>
      </c>
      <c r="AF1812" s="117"/>
      <c r="AK1812" s="60" t="s">
        <v>6558</v>
      </c>
      <c r="AL1812" s="117">
        <f>1/COUNTIF(Tableau6[LAT],B1812)</f>
        <v>0.16666666666666666</v>
      </c>
      <c r="AM1812" s="60" t="b">
        <f t="shared" si="206"/>
        <v>0</v>
      </c>
      <c r="AN1812" s="60" t="b">
        <f t="shared" si="207"/>
        <v>0</v>
      </c>
      <c r="AO1812" s="60" t="b">
        <f t="shared" si="208"/>
        <v>0</v>
      </c>
      <c r="AP1812" s="60" t="b">
        <f t="shared" si="209"/>
        <v>0</v>
      </c>
      <c r="AQ1812" s="60" t="b">
        <f t="shared" si="210"/>
        <v>0</v>
      </c>
      <c r="AR1812" s="60" t="str">
        <f t="shared" si="211"/>
        <v>No</v>
      </c>
      <c r="AS1812" s="60" t="str">
        <f t="shared" si="212"/>
        <v>No</v>
      </c>
    </row>
    <row r="1813" spans="1:45" hidden="1">
      <c r="A1813" s="103">
        <v>45244</v>
      </c>
      <c r="B1813" s="117" t="s">
        <v>6779</v>
      </c>
      <c r="C1813" s="28" t="s">
        <v>548</v>
      </c>
      <c r="D1813" s="28" t="s">
        <v>6785</v>
      </c>
      <c r="F1813" s="28" t="s">
        <v>6786</v>
      </c>
      <c r="G1813" s="28" t="s">
        <v>514</v>
      </c>
      <c r="H1813" s="28" t="s">
        <v>1453</v>
      </c>
      <c r="I1813" s="28" t="s">
        <v>516</v>
      </c>
      <c r="J1813" s="28" t="s">
        <v>517</v>
      </c>
      <c r="K1813" s="28" t="s">
        <v>682</v>
      </c>
      <c r="L1813" s="28" t="s">
        <v>3078</v>
      </c>
      <c r="M1813" s="28" t="s">
        <v>535</v>
      </c>
      <c r="N1813" s="28" t="s">
        <v>557</v>
      </c>
      <c r="O1813" s="28" t="s">
        <v>522</v>
      </c>
      <c r="S1813" s="28" t="s">
        <v>1494</v>
      </c>
      <c r="T1813" s="28" t="s">
        <v>545</v>
      </c>
      <c r="U1813" s="28" t="s">
        <v>545</v>
      </c>
      <c r="V1813" s="28" t="s">
        <v>517</v>
      </c>
      <c r="W1813" s="28" t="s">
        <v>1620</v>
      </c>
      <c r="AF1813" s="117"/>
      <c r="AK1813" s="60" t="s">
        <v>6558</v>
      </c>
      <c r="AL1813" s="117">
        <f>1/COUNTIF(Tableau6[LAT],B1813)</f>
        <v>0.16666666666666666</v>
      </c>
      <c r="AM1813" s="60" t="b">
        <f t="shared" si="206"/>
        <v>0</v>
      </c>
      <c r="AN1813" s="60" t="b">
        <f t="shared" si="207"/>
        <v>0</v>
      </c>
      <c r="AO1813" s="60" t="b">
        <f t="shared" si="208"/>
        <v>0</v>
      </c>
      <c r="AP1813" s="60" t="b">
        <f t="shared" si="209"/>
        <v>0</v>
      </c>
      <c r="AQ1813" s="60" t="b">
        <f t="shared" si="210"/>
        <v>0</v>
      </c>
      <c r="AR1813" s="60" t="str">
        <f t="shared" si="211"/>
        <v>No</v>
      </c>
      <c r="AS1813" s="60" t="str">
        <f t="shared" si="212"/>
        <v>No</v>
      </c>
    </row>
    <row r="1814" spans="1:45" hidden="1">
      <c r="A1814" s="103">
        <v>45244</v>
      </c>
      <c r="B1814" s="117" t="s">
        <v>6779</v>
      </c>
      <c r="C1814" s="28" t="s">
        <v>612</v>
      </c>
      <c r="D1814" s="28" t="s">
        <v>6787</v>
      </c>
      <c r="F1814" s="28" t="s">
        <v>6788</v>
      </c>
      <c r="G1814" s="28" t="s">
        <v>1077</v>
      </c>
      <c r="H1814" s="28" t="s">
        <v>1512</v>
      </c>
      <c r="I1814" s="28" t="s">
        <v>516</v>
      </c>
      <c r="J1814" s="28" t="s">
        <v>517</v>
      </c>
      <c r="K1814" s="28" t="s">
        <v>682</v>
      </c>
      <c r="L1814" s="28" t="s">
        <v>3078</v>
      </c>
      <c r="M1814" s="28" t="s">
        <v>535</v>
      </c>
      <c r="N1814" s="28" t="s">
        <v>557</v>
      </c>
      <c r="O1814" s="28" t="s">
        <v>522</v>
      </c>
      <c r="S1814" s="28" t="s">
        <v>1494</v>
      </c>
      <c r="T1814" s="28" t="s">
        <v>545</v>
      </c>
      <c r="U1814" s="28" t="s">
        <v>545</v>
      </c>
      <c r="V1814" s="28" t="s">
        <v>517</v>
      </c>
      <c r="W1814" s="28" t="s">
        <v>6789</v>
      </c>
      <c r="AF1814" s="117"/>
      <c r="AK1814" s="60" t="s">
        <v>6558</v>
      </c>
      <c r="AL1814" s="117">
        <f>1/COUNTIF(Tableau6[LAT],B1814)</f>
        <v>0.16666666666666666</v>
      </c>
      <c r="AM1814" s="60" t="b">
        <f t="shared" si="206"/>
        <v>0</v>
      </c>
      <c r="AN1814" s="60" t="b">
        <f t="shared" si="207"/>
        <v>0</v>
      </c>
      <c r="AO1814" s="60" t="b">
        <f t="shared" si="208"/>
        <v>0</v>
      </c>
      <c r="AP1814" s="60" t="b">
        <f t="shared" si="209"/>
        <v>0</v>
      </c>
      <c r="AQ1814" s="60" t="b">
        <f t="shared" si="210"/>
        <v>0</v>
      </c>
      <c r="AR1814" s="60" t="str">
        <f t="shared" si="211"/>
        <v>No</v>
      </c>
      <c r="AS1814" s="60" t="str">
        <f t="shared" si="212"/>
        <v>No</v>
      </c>
    </row>
    <row r="1815" spans="1:45" hidden="1">
      <c r="A1815" s="103">
        <v>45244</v>
      </c>
      <c r="B1815" s="117" t="s">
        <v>6779</v>
      </c>
      <c r="C1815" s="28" t="s">
        <v>691</v>
      </c>
      <c r="D1815" s="28" t="s">
        <v>6790</v>
      </c>
      <c r="F1815" s="28" t="s">
        <v>6791</v>
      </c>
      <c r="G1815" s="28" t="s">
        <v>3875</v>
      </c>
      <c r="H1815" s="28" t="s">
        <v>6792</v>
      </c>
      <c r="I1815" s="28" t="s">
        <v>516</v>
      </c>
      <c r="J1815" s="28" t="s">
        <v>517</v>
      </c>
      <c r="K1815" s="28" t="s">
        <v>682</v>
      </c>
      <c r="L1815" s="28" t="s">
        <v>3078</v>
      </c>
      <c r="M1815" s="28" t="s">
        <v>535</v>
      </c>
      <c r="N1815" s="28" t="s">
        <v>557</v>
      </c>
      <c r="O1815" s="28" t="s">
        <v>522</v>
      </c>
      <c r="S1815" s="28" t="s">
        <v>1494</v>
      </c>
      <c r="T1815" s="28" t="s">
        <v>545</v>
      </c>
      <c r="U1815" s="28" t="s">
        <v>545</v>
      </c>
      <c r="V1815" s="28" t="s">
        <v>517</v>
      </c>
      <c r="W1815" s="28" t="s">
        <v>1620</v>
      </c>
      <c r="AF1815" s="117"/>
      <c r="AK1815" s="60" t="s">
        <v>6558</v>
      </c>
      <c r="AL1815" s="117">
        <f>1/COUNTIF(Tableau6[LAT],B1815)</f>
        <v>0.16666666666666666</v>
      </c>
      <c r="AM1815" s="60" t="b">
        <f t="shared" si="206"/>
        <v>0</v>
      </c>
      <c r="AN1815" s="60" t="b">
        <f t="shared" si="207"/>
        <v>0</v>
      </c>
      <c r="AO1815" s="60" t="b">
        <f t="shared" si="208"/>
        <v>0</v>
      </c>
      <c r="AP1815" s="60" t="b">
        <f t="shared" si="209"/>
        <v>0</v>
      </c>
      <c r="AQ1815" s="60" t="b">
        <f t="shared" si="210"/>
        <v>0</v>
      </c>
      <c r="AR1815" s="60" t="str">
        <f t="shared" si="211"/>
        <v>No</v>
      </c>
      <c r="AS1815" s="60" t="str">
        <f t="shared" si="212"/>
        <v>No</v>
      </c>
    </row>
    <row r="1816" spans="1:45" hidden="1">
      <c r="A1816" s="103">
        <v>45244</v>
      </c>
      <c r="B1816" s="117" t="s">
        <v>6779</v>
      </c>
      <c r="C1816" s="28" t="s">
        <v>859</v>
      </c>
      <c r="D1816" s="28" t="s">
        <v>6793</v>
      </c>
      <c r="F1816" s="28" t="s">
        <v>6794</v>
      </c>
      <c r="G1816" s="28" t="s">
        <v>2324</v>
      </c>
      <c r="H1816" s="28" t="s">
        <v>6795</v>
      </c>
      <c r="I1816" s="28" t="s">
        <v>516</v>
      </c>
      <c r="J1816" s="28" t="s">
        <v>517</v>
      </c>
      <c r="K1816" s="28" t="s">
        <v>682</v>
      </c>
      <c r="L1816" s="28" t="s">
        <v>3078</v>
      </c>
      <c r="M1816" s="28" t="s">
        <v>535</v>
      </c>
      <c r="N1816" s="28" t="s">
        <v>557</v>
      </c>
      <c r="O1816" s="28" t="s">
        <v>522</v>
      </c>
      <c r="S1816" s="28" t="s">
        <v>1494</v>
      </c>
      <c r="T1816" s="28" t="s">
        <v>545</v>
      </c>
      <c r="U1816" s="28" t="s">
        <v>545</v>
      </c>
      <c r="V1816" s="28" t="s">
        <v>517</v>
      </c>
      <c r="W1816" s="28" t="s">
        <v>1620</v>
      </c>
      <c r="AF1816" s="117"/>
      <c r="AK1816" s="60" t="s">
        <v>6558</v>
      </c>
      <c r="AL1816" s="117">
        <f>1/COUNTIF(Tableau6[LAT],B1816)</f>
        <v>0.16666666666666666</v>
      </c>
      <c r="AM1816" s="60" t="b">
        <f t="shared" si="206"/>
        <v>0</v>
      </c>
      <c r="AN1816" s="60" t="b">
        <f t="shared" si="207"/>
        <v>0</v>
      </c>
      <c r="AO1816" s="60" t="b">
        <f t="shared" si="208"/>
        <v>0</v>
      </c>
      <c r="AP1816" s="60" t="b">
        <f t="shared" si="209"/>
        <v>0</v>
      </c>
      <c r="AQ1816" s="60" t="b">
        <f t="shared" si="210"/>
        <v>0</v>
      </c>
      <c r="AR1816" s="60" t="str">
        <f t="shared" si="211"/>
        <v>No</v>
      </c>
      <c r="AS1816" s="60" t="str">
        <f t="shared" si="212"/>
        <v>No</v>
      </c>
    </row>
    <row r="1817" spans="1:45" hidden="1">
      <c r="A1817" s="103">
        <v>45244</v>
      </c>
      <c r="B1817" s="117" t="s">
        <v>6779</v>
      </c>
      <c r="C1817" s="28" t="s">
        <v>861</v>
      </c>
      <c r="D1817" s="28" t="s">
        <v>6796</v>
      </c>
      <c r="F1817" s="28" t="s">
        <v>6786</v>
      </c>
      <c r="G1817" s="28" t="s">
        <v>514</v>
      </c>
      <c r="H1817" s="28" t="s">
        <v>1453</v>
      </c>
      <c r="I1817" s="28" t="s">
        <v>516</v>
      </c>
      <c r="J1817" s="28" t="s">
        <v>517</v>
      </c>
      <c r="K1817" s="28" t="s">
        <v>682</v>
      </c>
      <c r="L1817" s="28" t="s">
        <v>3078</v>
      </c>
      <c r="M1817" s="28" t="s">
        <v>535</v>
      </c>
      <c r="N1817" s="28" t="s">
        <v>557</v>
      </c>
      <c r="O1817" s="28" t="s">
        <v>522</v>
      </c>
      <c r="S1817" s="28" t="s">
        <v>1494</v>
      </c>
      <c r="T1817" s="28" t="s">
        <v>545</v>
      </c>
      <c r="U1817" s="28" t="s">
        <v>545</v>
      </c>
      <c r="V1817" s="28" t="s">
        <v>517</v>
      </c>
      <c r="W1817" s="28" t="s">
        <v>1620</v>
      </c>
      <c r="AF1817" s="117"/>
      <c r="AK1817" s="60" t="s">
        <v>6558</v>
      </c>
      <c r="AL1817" s="117">
        <f>1/COUNTIF(Tableau6[LAT],B1817)</f>
        <v>0.16666666666666666</v>
      </c>
      <c r="AM1817" s="60" t="b">
        <f t="shared" si="206"/>
        <v>0</v>
      </c>
      <c r="AN1817" s="60" t="b">
        <f t="shared" si="207"/>
        <v>0</v>
      </c>
      <c r="AO1817" s="60" t="b">
        <f t="shared" si="208"/>
        <v>0</v>
      </c>
      <c r="AP1817" s="60" t="b">
        <f t="shared" si="209"/>
        <v>0</v>
      </c>
      <c r="AQ1817" s="60" t="b">
        <f t="shared" si="210"/>
        <v>0</v>
      </c>
      <c r="AR1817" s="60" t="str">
        <f t="shared" si="211"/>
        <v>No</v>
      </c>
      <c r="AS1817" s="60" t="str">
        <f t="shared" si="212"/>
        <v>No</v>
      </c>
    </row>
    <row r="1818" spans="1:45" hidden="1">
      <c r="A1818" s="103">
        <v>45244</v>
      </c>
      <c r="B1818" s="117" t="s">
        <v>3573</v>
      </c>
      <c r="C1818" s="28" t="s">
        <v>511</v>
      </c>
      <c r="D1818" s="28" t="s">
        <v>3579</v>
      </c>
      <c r="E1818" s="28" t="s">
        <v>6797</v>
      </c>
      <c r="F1818" s="28" t="s">
        <v>3576</v>
      </c>
      <c r="G1818" s="28" t="s">
        <v>514</v>
      </c>
      <c r="H1818" s="28" t="s">
        <v>6798</v>
      </c>
      <c r="I1818" s="28" t="s">
        <v>516</v>
      </c>
      <c r="J1818" s="28" t="s">
        <v>517</v>
      </c>
      <c r="K1818" s="28" t="s">
        <v>518</v>
      </c>
      <c r="L1818" s="28" t="s">
        <v>895</v>
      </c>
      <c r="M1818" s="28" t="s">
        <v>520</v>
      </c>
      <c r="N1818" s="28" t="s">
        <v>544</v>
      </c>
      <c r="O1818" s="28" t="s">
        <v>559</v>
      </c>
      <c r="P1818" s="28" t="s">
        <v>627</v>
      </c>
      <c r="S1818" s="28" t="s">
        <v>740</v>
      </c>
      <c r="T1818" s="28" t="s">
        <v>897</v>
      </c>
      <c r="U1818" s="28" t="s">
        <v>897</v>
      </c>
      <c r="V1818" s="28" t="s">
        <v>517</v>
      </c>
      <c r="W1818" s="28" t="s">
        <v>6799</v>
      </c>
      <c r="X1818" s="28" t="s">
        <v>670</v>
      </c>
      <c r="AF1818" s="117"/>
      <c r="AK1818" s="60" t="s">
        <v>6558</v>
      </c>
      <c r="AL1818" s="117">
        <f>1/COUNTIF(Tableau6[LAT],B1818)</f>
        <v>0.5</v>
      </c>
      <c r="AM1818" s="60" t="b">
        <f t="shared" si="206"/>
        <v>0</v>
      </c>
      <c r="AN1818" s="60" t="b">
        <f t="shared" si="207"/>
        <v>0</v>
      </c>
      <c r="AO1818" s="60" t="b">
        <f t="shared" si="208"/>
        <v>0</v>
      </c>
      <c r="AP1818" s="60" t="b">
        <f t="shared" si="209"/>
        <v>0</v>
      </c>
      <c r="AQ1818" s="60" t="b">
        <f t="shared" si="210"/>
        <v>0</v>
      </c>
      <c r="AR1818" s="60" t="str">
        <f t="shared" si="211"/>
        <v>No</v>
      </c>
      <c r="AS1818" s="60" t="str">
        <f t="shared" si="212"/>
        <v>No</v>
      </c>
    </row>
    <row r="1819" spans="1:45" hidden="1">
      <c r="A1819" s="103">
        <v>45244</v>
      </c>
      <c r="B1819" s="117" t="s">
        <v>6800</v>
      </c>
      <c r="C1819" s="28" t="s">
        <v>511</v>
      </c>
      <c r="D1819" s="28" t="s">
        <v>6801</v>
      </c>
      <c r="F1819" s="28" t="s">
        <v>6802</v>
      </c>
      <c r="G1819" s="28" t="s">
        <v>514</v>
      </c>
      <c r="H1819" s="28" t="s">
        <v>3184</v>
      </c>
      <c r="I1819" s="28" t="s">
        <v>517</v>
      </c>
      <c r="J1819" s="28" t="s">
        <v>517</v>
      </c>
      <c r="K1819" s="28" t="s">
        <v>518</v>
      </c>
      <c r="L1819" s="28" t="s">
        <v>604</v>
      </c>
      <c r="M1819" s="28" t="s">
        <v>535</v>
      </c>
      <c r="N1819" s="28" t="s">
        <v>810</v>
      </c>
      <c r="O1819" s="28" t="s">
        <v>5235</v>
      </c>
      <c r="P1819" s="28" t="s">
        <v>544</v>
      </c>
      <c r="Q1819" s="28" t="s">
        <v>559</v>
      </c>
      <c r="S1819" s="28" t="s">
        <v>573</v>
      </c>
      <c r="T1819" s="28" t="s">
        <v>607</v>
      </c>
      <c r="U1819" s="28" t="s">
        <v>607</v>
      </c>
      <c r="V1819" s="28" t="s">
        <v>517</v>
      </c>
      <c r="W1819" s="28" t="s">
        <v>6803</v>
      </c>
      <c r="AF1819" s="117"/>
      <c r="AK1819" s="60" t="s">
        <v>6558</v>
      </c>
      <c r="AL1819" s="117">
        <f>1/COUNTIF(Tableau6[LAT],B1819)</f>
        <v>0.25</v>
      </c>
      <c r="AM1819" s="60" t="b">
        <f t="shared" si="206"/>
        <v>0</v>
      </c>
      <c r="AN1819" s="60" t="b">
        <f t="shared" si="207"/>
        <v>0</v>
      </c>
      <c r="AO1819" s="60" t="b">
        <f t="shared" si="208"/>
        <v>0</v>
      </c>
      <c r="AP1819" s="60" t="b">
        <f t="shared" si="209"/>
        <v>0</v>
      </c>
      <c r="AQ1819" s="60" t="b">
        <f t="shared" si="210"/>
        <v>0</v>
      </c>
      <c r="AR1819" s="60" t="str">
        <f t="shared" si="211"/>
        <v>No</v>
      </c>
      <c r="AS1819" s="60" t="str">
        <f t="shared" si="212"/>
        <v>No</v>
      </c>
    </row>
    <row r="1820" spans="1:45" hidden="1">
      <c r="A1820" s="103">
        <v>45244</v>
      </c>
      <c r="B1820" s="117" t="s">
        <v>6800</v>
      </c>
      <c r="C1820" s="28" t="s">
        <v>548</v>
      </c>
      <c r="D1820" s="28" t="s">
        <v>6804</v>
      </c>
      <c r="F1820" s="28" t="s">
        <v>6802</v>
      </c>
      <c r="G1820" s="28" t="s">
        <v>514</v>
      </c>
      <c r="H1820" s="28" t="s">
        <v>3184</v>
      </c>
      <c r="I1820" s="28" t="s">
        <v>517</v>
      </c>
      <c r="J1820" s="28" t="s">
        <v>517</v>
      </c>
      <c r="K1820" s="28" t="s">
        <v>518</v>
      </c>
      <c r="L1820" s="28" t="s">
        <v>604</v>
      </c>
      <c r="M1820" s="28" t="s">
        <v>535</v>
      </c>
      <c r="N1820" s="28" t="s">
        <v>810</v>
      </c>
      <c r="O1820" s="28" t="s">
        <v>5235</v>
      </c>
      <c r="P1820" s="28" t="s">
        <v>544</v>
      </c>
      <c r="Q1820" s="28" t="s">
        <v>559</v>
      </c>
      <c r="S1820" s="28" t="s">
        <v>573</v>
      </c>
      <c r="T1820" s="28" t="s">
        <v>607</v>
      </c>
      <c r="U1820" s="28" t="s">
        <v>607</v>
      </c>
      <c r="V1820" s="28" t="s">
        <v>517</v>
      </c>
      <c r="W1820" s="28" t="s">
        <v>6805</v>
      </c>
      <c r="AF1820" s="117"/>
      <c r="AK1820" s="60" t="s">
        <v>6558</v>
      </c>
      <c r="AL1820" s="117">
        <f>1/COUNTIF(Tableau6[LAT],B1820)</f>
        <v>0.25</v>
      </c>
      <c r="AM1820" s="60" t="b">
        <f t="shared" si="206"/>
        <v>0</v>
      </c>
      <c r="AN1820" s="60" t="b">
        <f t="shared" si="207"/>
        <v>0</v>
      </c>
      <c r="AO1820" s="60" t="b">
        <f t="shared" si="208"/>
        <v>0</v>
      </c>
      <c r="AP1820" s="60" t="b">
        <f t="shared" si="209"/>
        <v>0</v>
      </c>
      <c r="AQ1820" s="60" t="b">
        <f t="shared" si="210"/>
        <v>0</v>
      </c>
      <c r="AR1820" s="60" t="str">
        <f t="shared" si="211"/>
        <v>No</v>
      </c>
      <c r="AS1820" s="60" t="str">
        <f t="shared" si="212"/>
        <v>No</v>
      </c>
    </row>
    <row r="1821" spans="1:45" hidden="1">
      <c r="A1821" s="103">
        <v>45244</v>
      </c>
      <c r="B1821" s="117" t="s">
        <v>6800</v>
      </c>
      <c r="C1821" s="28" t="s">
        <v>612</v>
      </c>
      <c r="D1821" s="28" t="s">
        <v>6806</v>
      </c>
      <c r="F1821" s="28" t="s">
        <v>6802</v>
      </c>
      <c r="G1821" s="28" t="s">
        <v>514</v>
      </c>
      <c r="H1821" s="28" t="s">
        <v>3184</v>
      </c>
      <c r="I1821" s="28" t="s">
        <v>517</v>
      </c>
      <c r="J1821" s="28" t="s">
        <v>517</v>
      </c>
      <c r="K1821" s="28" t="s">
        <v>518</v>
      </c>
      <c r="L1821" s="28" t="s">
        <v>604</v>
      </c>
      <c r="M1821" s="28" t="s">
        <v>535</v>
      </c>
      <c r="N1821" s="28" t="s">
        <v>810</v>
      </c>
      <c r="O1821" s="28" t="s">
        <v>5235</v>
      </c>
      <c r="P1821" s="28" t="s">
        <v>544</v>
      </c>
      <c r="Q1821" s="28" t="s">
        <v>559</v>
      </c>
      <c r="S1821" s="28" t="s">
        <v>573</v>
      </c>
      <c r="T1821" s="28" t="s">
        <v>607</v>
      </c>
      <c r="U1821" s="28" t="s">
        <v>607</v>
      </c>
      <c r="V1821" s="28" t="s">
        <v>517</v>
      </c>
      <c r="W1821" s="28" t="s">
        <v>6807</v>
      </c>
      <c r="AF1821" s="117"/>
      <c r="AK1821" s="60" t="s">
        <v>6558</v>
      </c>
      <c r="AL1821" s="117">
        <f>1/COUNTIF(Tableau6[LAT],B1821)</f>
        <v>0.25</v>
      </c>
      <c r="AM1821" s="60" t="b">
        <f t="shared" si="206"/>
        <v>0</v>
      </c>
      <c r="AN1821" s="60" t="b">
        <f t="shared" si="207"/>
        <v>0</v>
      </c>
      <c r="AO1821" s="60" t="b">
        <f t="shared" si="208"/>
        <v>0</v>
      </c>
      <c r="AP1821" s="60" t="b">
        <f t="shared" si="209"/>
        <v>0</v>
      </c>
      <c r="AQ1821" s="60" t="b">
        <f t="shared" si="210"/>
        <v>0</v>
      </c>
      <c r="AR1821" s="60" t="str">
        <f t="shared" si="211"/>
        <v>No</v>
      </c>
      <c r="AS1821" s="60" t="str">
        <f t="shared" si="212"/>
        <v>No</v>
      </c>
    </row>
    <row r="1822" spans="1:45" hidden="1">
      <c r="A1822" s="103">
        <v>45244</v>
      </c>
      <c r="B1822" s="117" t="s">
        <v>6800</v>
      </c>
      <c r="C1822" s="28" t="s">
        <v>691</v>
      </c>
      <c r="D1822" s="28" t="s">
        <v>6808</v>
      </c>
      <c r="F1822" s="28" t="s">
        <v>6802</v>
      </c>
      <c r="G1822" s="28" t="s">
        <v>514</v>
      </c>
      <c r="H1822" s="28" t="s">
        <v>3184</v>
      </c>
      <c r="I1822" s="28" t="s">
        <v>517</v>
      </c>
      <c r="J1822" s="28" t="s">
        <v>517</v>
      </c>
      <c r="K1822" s="28" t="s">
        <v>518</v>
      </c>
      <c r="L1822" s="28" t="s">
        <v>604</v>
      </c>
      <c r="M1822" s="28" t="s">
        <v>535</v>
      </c>
      <c r="N1822" s="28" t="s">
        <v>810</v>
      </c>
      <c r="O1822" s="28" t="s">
        <v>5235</v>
      </c>
      <c r="P1822" s="28" t="s">
        <v>544</v>
      </c>
      <c r="Q1822" s="28" t="s">
        <v>559</v>
      </c>
      <c r="S1822" s="28" t="s">
        <v>573</v>
      </c>
      <c r="T1822" s="28" t="s">
        <v>607</v>
      </c>
      <c r="U1822" s="28" t="s">
        <v>607</v>
      </c>
      <c r="V1822" s="28" t="s">
        <v>517</v>
      </c>
      <c r="W1822" s="28" t="s">
        <v>6809</v>
      </c>
      <c r="AF1822" s="117"/>
      <c r="AK1822" s="60" t="s">
        <v>6558</v>
      </c>
      <c r="AL1822" s="117">
        <f>1/COUNTIF(Tableau6[LAT],B1822)</f>
        <v>0.25</v>
      </c>
      <c r="AM1822" s="60" t="b">
        <f t="shared" si="206"/>
        <v>0</v>
      </c>
      <c r="AN1822" s="60" t="b">
        <f t="shared" si="207"/>
        <v>0</v>
      </c>
      <c r="AO1822" s="60" t="b">
        <f t="shared" si="208"/>
        <v>0</v>
      </c>
      <c r="AP1822" s="60" t="b">
        <f t="shared" si="209"/>
        <v>0</v>
      </c>
      <c r="AQ1822" s="60" t="b">
        <f t="shared" si="210"/>
        <v>0</v>
      </c>
      <c r="AR1822" s="60" t="str">
        <f t="shared" si="211"/>
        <v>No</v>
      </c>
      <c r="AS1822" s="60" t="str">
        <f t="shared" si="212"/>
        <v>No</v>
      </c>
    </row>
    <row r="1823" spans="1:45" hidden="1">
      <c r="A1823" s="103">
        <v>45244</v>
      </c>
      <c r="B1823" s="117" t="s">
        <v>6810</v>
      </c>
      <c r="C1823" s="28" t="s">
        <v>511</v>
      </c>
      <c r="D1823" s="28" t="s">
        <v>6811</v>
      </c>
      <c r="E1823" s="28" t="s">
        <v>6812</v>
      </c>
      <c r="F1823" s="28" t="s">
        <v>4689</v>
      </c>
      <c r="G1823" s="28" t="s">
        <v>958</v>
      </c>
      <c r="H1823" s="28" t="s">
        <v>3206</v>
      </c>
      <c r="I1823" s="28" t="s">
        <v>516</v>
      </c>
      <c r="J1823" s="28" t="s">
        <v>517</v>
      </c>
      <c r="K1823" s="28" t="s">
        <v>518</v>
      </c>
      <c r="L1823" s="28" t="s">
        <v>1302</v>
      </c>
      <c r="M1823" s="28" t="s">
        <v>802</v>
      </c>
      <c r="N1823" s="28" t="s">
        <v>557</v>
      </c>
      <c r="O1823" s="28" t="s">
        <v>522</v>
      </c>
      <c r="S1823" s="28" t="s">
        <v>811</v>
      </c>
      <c r="T1823" s="28" t="s">
        <v>1246</v>
      </c>
      <c r="U1823" s="28" t="s">
        <v>1246</v>
      </c>
      <c r="V1823" s="28" t="s">
        <v>517</v>
      </c>
      <c r="W1823" s="28" t="s">
        <v>6813</v>
      </c>
      <c r="X1823" s="28" t="s">
        <v>1071</v>
      </c>
      <c r="AF1823" s="117"/>
      <c r="AK1823" s="60" t="s">
        <v>6558</v>
      </c>
      <c r="AL1823" s="117">
        <f>1/COUNTIF(Tableau6[LAT],B1823)</f>
        <v>1</v>
      </c>
      <c r="AM1823" s="60" t="b">
        <f t="shared" si="206"/>
        <v>0</v>
      </c>
      <c r="AN1823" s="60" t="b">
        <f t="shared" si="207"/>
        <v>0</v>
      </c>
      <c r="AO1823" s="60" t="b">
        <f t="shared" si="208"/>
        <v>0</v>
      </c>
      <c r="AP1823" s="60" t="b">
        <f t="shared" si="209"/>
        <v>0</v>
      </c>
      <c r="AQ1823" s="60" t="b">
        <f t="shared" si="210"/>
        <v>0</v>
      </c>
      <c r="AR1823" s="60" t="str">
        <f t="shared" si="211"/>
        <v>No</v>
      </c>
      <c r="AS1823" s="60" t="str">
        <f t="shared" si="212"/>
        <v>No</v>
      </c>
    </row>
    <row r="1824" spans="1:45" hidden="1">
      <c r="A1824" s="103">
        <v>45244</v>
      </c>
      <c r="B1824" s="117" t="s">
        <v>6814</v>
      </c>
      <c r="C1824" s="28" t="s">
        <v>511</v>
      </c>
      <c r="D1824" s="28" t="s">
        <v>6815</v>
      </c>
      <c r="E1824" s="28" t="s">
        <v>6576</v>
      </c>
      <c r="F1824" s="28" t="s">
        <v>1672</v>
      </c>
      <c r="G1824" s="28" t="s">
        <v>514</v>
      </c>
      <c r="H1824" s="28" t="s">
        <v>768</v>
      </c>
      <c r="I1824" s="28" t="s">
        <v>516</v>
      </c>
      <c r="J1824" s="28" t="s">
        <v>517</v>
      </c>
      <c r="K1824" s="28" t="s">
        <v>518</v>
      </c>
      <c r="L1824" s="28" t="s">
        <v>839</v>
      </c>
      <c r="M1824" s="28" t="s">
        <v>535</v>
      </c>
      <c r="N1824" s="28" t="s">
        <v>557</v>
      </c>
      <c r="O1824" s="28" t="s">
        <v>544</v>
      </c>
      <c r="P1824" s="28" t="s">
        <v>559</v>
      </c>
      <c r="S1824" s="28" t="s">
        <v>4244</v>
      </c>
      <c r="T1824" s="28" t="s">
        <v>840</v>
      </c>
      <c r="U1824" s="28" t="s">
        <v>840</v>
      </c>
      <c r="V1824" s="28" t="s">
        <v>517</v>
      </c>
      <c r="W1824" s="28" t="s">
        <v>6577</v>
      </c>
      <c r="X1824" s="28" t="s">
        <v>1071</v>
      </c>
      <c r="AF1824" s="117"/>
      <c r="AK1824" s="60" t="s">
        <v>6558</v>
      </c>
      <c r="AL1824" s="117">
        <f>1/COUNTIF(Tableau6[LAT],B1824)</f>
        <v>1</v>
      </c>
      <c r="AM1824" s="60" t="b">
        <f t="shared" si="206"/>
        <v>0</v>
      </c>
      <c r="AN1824" s="60" t="b">
        <f t="shared" si="207"/>
        <v>0</v>
      </c>
      <c r="AO1824" s="60" t="b">
        <f t="shared" si="208"/>
        <v>0</v>
      </c>
      <c r="AP1824" s="60" t="b">
        <f t="shared" si="209"/>
        <v>0</v>
      </c>
      <c r="AQ1824" s="60" t="b">
        <f t="shared" si="210"/>
        <v>0</v>
      </c>
      <c r="AR1824" s="60" t="str">
        <f t="shared" si="211"/>
        <v>No</v>
      </c>
      <c r="AS1824" s="60" t="str">
        <f t="shared" si="212"/>
        <v>No</v>
      </c>
    </row>
    <row r="1825" spans="1:45" hidden="1">
      <c r="A1825" s="103">
        <v>45244</v>
      </c>
      <c r="B1825" s="117" t="s">
        <v>6816</v>
      </c>
      <c r="C1825" s="28" t="s">
        <v>511</v>
      </c>
      <c r="D1825" s="28" t="s">
        <v>6817</v>
      </c>
      <c r="F1825" s="28" t="s">
        <v>6818</v>
      </c>
      <c r="G1825" s="28" t="s">
        <v>514</v>
      </c>
      <c r="H1825" s="28" t="s">
        <v>6819</v>
      </c>
      <c r="I1825" s="28" t="s">
        <v>516</v>
      </c>
      <c r="J1825" s="28" t="s">
        <v>517</v>
      </c>
      <c r="K1825" s="28" t="s">
        <v>518</v>
      </c>
      <c r="L1825" s="28" t="s">
        <v>596</v>
      </c>
      <c r="M1825" s="28" t="s">
        <v>535</v>
      </c>
      <c r="N1825" s="28" t="s">
        <v>572</v>
      </c>
      <c r="O1825" s="28" t="s">
        <v>544</v>
      </c>
      <c r="P1825" s="28" t="s">
        <v>522</v>
      </c>
      <c r="S1825" s="28" t="s">
        <v>536</v>
      </c>
      <c r="T1825" s="28" t="s">
        <v>597</v>
      </c>
      <c r="U1825" s="28" t="s">
        <v>597</v>
      </c>
      <c r="V1825" s="28" t="s">
        <v>517</v>
      </c>
      <c r="AF1825" s="117"/>
      <c r="AK1825" s="60" t="s">
        <v>6558</v>
      </c>
      <c r="AL1825" s="117">
        <f>1/COUNTIF(Tableau6[LAT],B1825)</f>
        <v>1</v>
      </c>
      <c r="AM1825" s="60" t="b">
        <f t="shared" si="206"/>
        <v>0</v>
      </c>
      <c r="AN1825" s="60" t="b">
        <f t="shared" si="207"/>
        <v>0</v>
      </c>
      <c r="AO1825" s="60" t="b">
        <f t="shared" si="208"/>
        <v>0</v>
      </c>
      <c r="AP1825" s="60" t="b">
        <f t="shared" si="209"/>
        <v>0</v>
      </c>
      <c r="AQ1825" s="60" t="b">
        <f t="shared" si="210"/>
        <v>0</v>
      </c>
      <c r="AR1825" s="60" t="str">
        <f t="shared" si="211"/>
        <v>No</v>
      </c>
      <c r="AS1825" s="60" t="str">
        <f t="shared" si="212"/>
        <v>Yes</v>
      </c>
    </row>
    <row r="1826" spans="1:45" hidden="1">
      <c r="A1826" s="103">
        <v>45244</v>
      </c>
      <c r="B1826" s="117" t="s">
        <v>6820</v>
      </c>
      <c r="C1826" s="28" t="s">
        <v>511</v>
      </c>
      <c r="D1826" s="28" t="s">
        <v>6821</v>
      </c>
      <c r="F1826" s="28" t="s">
        <v>3180</v>
      </c>
      <c r="G1826" s="28" t="s">
        <v>514</v>
      </c>
      <c r="H1826" s="28" t="s">
        <v>1413</v>
      </c>
      <c r="I1826" s="28" t="s">
        <v>517</v>
      </c>
      <c r="J1826" s="28" t="s">
        <v>517</v>
      </c>
      <c r="K1826" s="28" t="s">
        <v>518</v>
      </c>
      <c r="L1826" s="28" t="s">
        <v>2363</v>
      </c>
      <c r="M1826" s="28" t="s">
        <v>535</v>
      </c>
      <c r="N1826" s="28" t="s">
        <v>1523</v>
      </c>
      <c r="S1826" s="28" t="s">
        <v>573</v>
      </c>
      <c r="T1826" s="28" t="s">
        <v>2364</v>
      </c>
      <c r="U1826" s="28" t="s">
        <v>2364</v>
      </c>
      <c r="V1826" s="28" t="s">
        <v>517</v>
      </c>
      <c r="W1826" s="28" t="s">
        <v>3181</v>
      </c>
      <c r="AF1826" s="117"/>
      <c r="AK1826" s="60" t="s">
        <v>6558</v>
      </c>
      <c r="AL1826" s="117">
        <f>1/COUNTIF(Tableau6[LAT],B1826)</f>
        <v>1</v>
      </c>
      <c r="AM1826" s="60" t="b">
        <f t="shared" si="206"/>
        <v>0</v>
      </c>
      <c r="AN1826" s="60" t="b">
        <f t="shared" si="207"/>
        <v>0</v>
      </c>
      <c r="AO1826" s="60" t="b">
        <f t="shared" si="208"/>
        <v>0</v>
      </c>
      <c r="AP1826" s="60" t="b">
        <f t="shared" si="209"/>
        <v>0</v>
      </c>
      <c r="AQ1826" s="60" t="b">
        <f t="shared" si="210"/>
        <v>0</v>
      </c>
      <c r="AR1826" s="60" t="str">
        <f t="shared" si="211"/>
        <v>No</v>
      </c>
      <c r="AS1826" s="60" t="str">
        <f t="shared" si="212"/>
        <v>No</v>
      </c>
    </row>
    <row r="1827" spans="1:45" hidden="1">
      <c r="A1827" s="103">
        <v>45244</v>
      </c>
      <c r="B1827" s="117" t="s">
        <v>1675</v>
      </c>
      <c r="C1827" s="28" t="s">
        <v>995</v>
      </c>
      <c r="D1827" s="28" t="s">
        <v>6822</v>
      </c>
      <c r="E1827" s="28" t="s">
        <v>6823</v>
      </c>
      <c r="F1827" s="28" t="s">
        <v>2339</v>
      </c>
      <c r="G1827" s="28" t="s">
        <v>958</v>
      </c>
      <c r="H1827" s="28" t="s">
        <v>1728</v>
      </c>
      <c r="I1827" s="28" t="s">
        <v>517</v>
      </c>
      <c r="J1827" s="28" t="s">
        <v>517</v>
      </c>
      <c r="K1827" s="28" t="s">
        <v>518</v>
      </c>
      <c r="L1827" s="28" t="s">
        <v>974</v>
      </c>
      <c r="M1827" s="28" t="s">
        <v>535</v>
      </c>
      <c r="N1827" s="28" t="s">
        <v>557</v>
      </c>
      <c r="O1827" s="28" t="s">
        <v>522</v>
      </c>
      <c r="S1827" s="28" t="s">
        <v>573</v>
      </c>
      <c r="T1827" s="28" t="s">
        <v>897</v>
      </c>
      <c r="U1827" s="28" t="s">
        <v>897</v>
      </c>
      <c r="V1827" s="28" t="s">
        <v>517</v>
      </c>
      <c r="W1827" s="28" t="s">
        <v>6824</v>
      </c>
      <c r="X1827" s="28" t="s">
        <v>1071</v>
      </c>
      <c r="AF1827" s="117"/>
      <c r="AK1827" s="60" t="s">
        <v>6558</v>
      </c>
      <c r="AL1827" s="117">
        <f>1/COUNTIF(Tableau6[LAT],B1827)</f>
        <v>0.5</v>
      </c>
      <c r="AM1827" s="60" t="b">
        <f t="shared" si="206"/>
        <v>0</v>
      </c>
      <c r="AN1827" s="60" t="b">
        <f t="shared" si="207"/>
        <v>0</v>
      </c>
      <c r="AO1827" s="60" t="b">
        <f t="shared" si="208"/>
        <v>0</v>
      </c>
      <c r="AP1827" s="60" t="b">
        <f t="shared" si="209"/>
        <v>0</v>
      </c>
      <c r="AQ1827" s="60" t="b">
        <f t="shared" si="210"/>
        <v>0</v>
      </c>
      <c r="AR1827" s="60" t="str">
        <f t="shared" si="211"/>
        <v>No</v>
      </c>
      <c r="AS1827" s="60" t="str">
        <f t="shared" si="212"/>
        <v>No</v>
      </c>
    </row>
    <row r="1828" spans="1:45" hidden="1">
      <c r="A1828" s="103">
        <v>45244</v>
      </c>
      <c r="B1828" s="117" t="s">
        <v>5887</v>
      </c>
      <c r="C1828" s="28" t="s">
        <v>548</v>
      </c>
      <c r="D1828" s="28" t="s">
        <v>6825</v>
      </c>
      <c r="F1828" s="28" t="s">
        <v>5890</v>
      </c>
      <c r="G1828" s="28" t="s">
        <v>514</v>
      </c>
      <c r="H1828" s="28" t="s">
        <v>1291</v>
      </c>
      <c r="I1828" s="28" t="s">
        <v>516</v>
      </c>
      <c r="J1828" s="28" t="s">
        <v>517</v>
      </c>
      <c r="K1828" s="28" t="s">
        <v>518</v>
      </c>
      <c r="L1828" s="28" t="s">
        <v>916</v>
      </c>
      <c r="M1828" s="28" t="s">
        <v>1374</v>
      </c>
      <c r="N1828" s="28" t="s">
        <v>557</v>
      </c>
      <c r="O1828" s="28" t="s">
        <v>544</v>
      </c>
      <c r="P1828" s="28" t="s">
        <v>559</v>
      </c>
      <c r="S1828" s="28" t="s">
        <v>732</v>
      </c>
      <c r="T1828" s="28" t="s">
        <v>917</v>
      </c>
      <c r="U1828" s="28" t="s">
        <v>917</v>
      </c>
      <c r="V1828" s="28" t="s">
        <v>517</v>
      </c>
      <c r="W1828" s="28" t="s">
        <v>6826</v>
      </c>
      <c r="AF1828" s="117"/>
      <c r="AK1828" s="60" t="s">
        <v>6558</v>
      </c>
      <c r="AL1828" s="117">
        <f>1/COUNTIF(Tableau6[LAT],B1828)</f>
        <v>0.2</v>
      </c>
      <c r="AM1828" s="60" t="b">
        <f t="shared" si="206"/>
        <v>0</v>
      </c>
      <c r="AN1828" s="60" t="b">
        <f t="shared" si="207"/>
        <v>0</v>
      </c>
      <c r="AO1828" s="60" t="b">
        <f t="shared" si="208"/>
        <v>0</v>
      </c>
      <c r="AP1828" s="60" t="b">
        <f t="shared" si="209"/>
        <v>0</v>
      </c>
      <c r="AQ1828" s="60" t="b">
        <f t="shared" si="210"/>
        <v>0</v>
      </c>
      <c r="AR1828" s="60" t="str">
        <f t="shared" si="211"/>
        <v>No</v>
      </c>
      <c r="AS1828" s="60" t="str">
        <f t="shared" si="212"/>
        <v>No</v>
      </c>
    </row>
    <row r="1829" spans="1:45" hidden="1">
      <c r="A1829" s="103">
        <v>45244</v>
      </c>
      <c r="B1829" s="117" t="s">
        <v>5887</v>
      </c>
      <c r="C1829" s="28" t="s">
        <v>859</v>
      </c>
      <c r="D1829" s="28" t="s">
        <v>6827</v>
      </c>
      <c r="F1829" s="28" t="s">
        <v>5890</v>
      </c>
      <c r="G1829" s="28" t="s">
        <v>514</v>
      </c>
      <c r="H1829" s="28" t="s">
        <v>1291</v>
      </c>
      <c r="I1829" s="28" t="s">
        <v>516</v>
      </c>
      <c r="J1829" s="28" t="s">
        <v>517</v>
      </c>
      <c r="K1829" s="28" t="s">
        <v>518</v>
      </c>
      <c r="L1829" s="28" t="s">
        <v>916</v>
      </c>
      <c r="M1829" s="28" t="s">
        <v>1374</v>
      </c>
      <c r="N1829" s="28" t="s">
        <v>557</v>
      </c>
      <c r="O1829" s="28" t="s">
        <v>544</v>
      </c>
      <c r="P1829" s="28" t="s">
        <v>559</v>
      </c>
      <c r="S1829" s="28" t="s">
        <v>732</v>
      </c>
      <c r="T1829" s="28" t="s">
        <v>917</v>
      </c>
      <c r="U1829" s="28" t="s">
        <v>917</v>
      </c>
      <c r="V1829" s="28" t="s">
        <v>517</v>
      </c>
      <c r="W1829" s="28" t="s">
        <v>3496</v>
      </c>
      <c r="AF1829" s="117"/>
      <c r="AK1829" s="60" t="s">
        <v>6558</v>
      </c>
      <c r="AL1829" s="117">
        <f>1/COUNTIF(Tableau6[LAT],B1829)</f>
        <v>0.2</v>
      </c>
      <c r="AM1829" s="60" t="b">
        <f t="shared" si="206"/>
        <v>0</v>
      </c>
      <c r="AN1829" s="60" t="b">
        <f t="shared" si="207"/>
        <v>0</v>
      </c>
      <c r="AO1829" s="60" t="b">
        <f t="shared" si="208"/>
        <v>0</v>
      </c>
      <c r="AP1829" s="60" t="b">
        <f t="shared" si="209"/>
        <v>0</v>
      </c>
      <c r="AQ1829" s="60" t="b">
        <f t="shared" si="210"/>
        <v>0</v>
      </c>
      <c r="AR1829" s="60" t="str">
        <f t="shared" si="211"/>
        <v>No</v>
      </c>
      <c r="AS1829" s="60" t="str">
        <f t="shared" si="212"/>
        <v>No</v>
      </c>
    </row>
    <row r="1830" spans="1:45" hidden="1">
      <c r="A1830" s="103">
        <v>45244</v>
      </c>
      <c r="B1830" s="117" t="s">
        <v>6828</v>
      </c>
      <c r="C1830" s="28" t="s">
        <v>511</v>
      </c>
      <c r="D1830" s="28" t="s">
        <v>6829</v>
      </c>
      <c r="F1830" s="28" t="s">
        <v>6830</v>
      </c>
      <c r="G1830" s="28" t="s">
        <v>958</v>
      </c>
      <c r="H1830" s="28" t="s">
        <v>750</v>
      </c>
      <c r="I1830" s="28" t="s">
        <v>516</v>
      </c>
      <c r="J1830" s="28" t="s">
        <v>517</v>
      </c>
      <c r="K1830" s="28" t="s">
        <v>518</v>
      </c>
      <c r="L1830" s="28" t="s">
        <v>1097</v>
      </c>
      <c r="M1830" s="28" t="s">
        <v>520</v>
      </c>
      <c r="N1830" s="28" t="s">
        <v>557</v>
      </c>
      <c r="O1830" s="28" t="s">
        <v>522</v>
      </c>
      <c r="S1830" s="28" t="s">
        <v>536</v>
      </c>
      <c r="T1830" s="28" t="s">
        <v>1098</v>
      </c>
      <c r="U1830" s="28" t="s">
        <v>1098</v>
      </c>
      <c r="V1830" s="28" t="s">
        <v>517</v>
      </c>
      <c r="AF1830" s="117"/>
      <c r="AK1830" s="60" t="s">
        <v>6558</v>
      </c>
      <c r="AL1830" s="117">
        <f>1/COUNTIF(Tableau6[LAT],B1830)</f>
        <v>0.5</v>
      </c>
      <c r="AM1830" s="60" t="b">
        <f t="shared" si="206"/>
        <v>0</v>
      </c>
      <c r="AN1830" s="60" t="b">
        <f t="shared" si="207"/>
        <v>0</v>
      </c>
      <c r="AO1830" s="60" t="b">
        <f t="shared" si="208"/>
        <v>0</v>
      </c>
      <c r="AP1830" s="60" t="b">
        <f t="shared" si="209"/>
        <v>0</v>
      </c>
      <c r="AQ1830" s="60" t="b">
        <f t="shared" si="210"/>
        <v>0</v>
      </c>
      <c r="AR1830" s="60" t="str">
        <f t="shared" si="211"/>
        <v>No</v>
      </c>
      <c r="AS1830" s="60" t="str">
        <f t="shared" si="212"/>
        <v>Yes</v>
      </c>
    </row>
    <row r="1831" spans="1:45" hidden="1">
      <c r="A1831" s="103">
        <v>45244</v>
      </c>
      <c r="B1831" s="117" t="s">
        <v>6828</v>
      </c>
      <c r="C1831" s="28" t="s">
        <v>548</v>
      </c>
      <c r="D1831" s="28" t="s">
        <v>6831</v>
      </c>
      <c r="F1831" s="28" t="s">
        <v>6832</v>
      </c>
      <c r="G1831" s="28" t="s">
        <v>514</v>
      </c>
      <c r="H1831" s="28" t="s">
        <v>2168</v>
      </c>
      <c r="I1831" s="28" t="s">
        <v>516</v>
      </c>
      <c r="J1831" s="28" t="s">
        <v>517</v>
      </c>
      <c r="K1831" s="28" t="s">
        <v>518</v>
      </c>
      <c r="L1831" s="28" t="s">
        <v>1097</v>
      </c>
      <c r="M1831" s="28" t="s">
        <v>520</v>
      </c>
      <c r="N1831" s="28" t="s">
        <v>557</v>
      </c>
      <c r="O1831" s="28" t="s">
        <v>522</v>
      </c>
      <c r="S1831" s="28" t="s">
        <v>536</v>
      </c>
      <c r="T1831" s="28" t="s">
        <v>1098</v>
      </c>
      <c r="U1831" s="28" t="s">
        <v>1098</v>
      </c>
      <c r="V1831" s="28" t="s">
        <v>517</v>
      </c>
      <c r="AF1831" s="117"/>
      <c r="AK1831" s="60" t="s">
        <v>6558</v>
      </c>
      <c r="AL1831" s="117">
        <f>1/COUNTIF(Tableau6[LAT],B1831)</f>
        <v>0.5</v>
      </c>
      <c r="AM1831" s="60" t="b">
        <f t="shared" si="206"/>
        <v>0</v>
      </c>
      <c r="AN1831" s="60" t="b">
        <f t="shared" si="207"/>
        <v>0</v>
      </c>
      <c r="AO1831" s="60" t="b">
        <f t="shared" si="208"/>
        <v>0</v>
      </c>
      <c r="AP1831" s="60" t="b">
        <f t="shared" si="209"/>
        <v>0</v>
      </c>
      <c r="AQ1831" s="60" t="b">
        <f t="shared" si="210"/>
        <v>0</v>
      </c>
      <c r="AR1831" s="60" t="str">
        <f t="shared" si="211"/>
        <v>No</v>
      </c>
      <c r="AS1831" s="60" t="str">
        <f t="shared" si="212"/>
        <v>Yes</v>
      </c>
    </row>
    <row r="1832" spans="1:45" hidden="1">
      <c r="A1832" s="103">
        <v>45244</v>
      </c>
      <c r="B1832" s="117" t="s">
        <v>6833</v>
      </c>
      <c r="C1832" s="28" t="s">
        <v>511</v>
      </c>
      <c r="D1832" s="28" t="s">
        <v>6834</v>
      </c>
      <c r="E1832" s="28" t="s">
        <v>6835</v>
      </c>
      <c r="F1832" s="28" t="s">
        <v>6566</v>
      </c>
      <c r="G1832" s="28" t="s">
        <v>514</v>
      </c>
      <c r="H1832" s="28" t="s">
        <v>1187</v>
      </c>
      <c r="I1832" s="28" t="s">
        <v>516</v>
      </c>
      <c r="J1832" s="28" t="s">
        <v>517</v>
      </c>
      <c r="K1832" s="28" t="s">
        <v>682</v>
      </c>
      <c r="L1832" s="28" t="s">
        <v>6584</v>
      </c>
      <c r="M1832" s="28" t="s">
        <v>535</v>
      </c>
      <c r="N1832" s="28" t="s">
        <v>557</v>
      </c>
      <c r="O1832" s="28" t="s">
        <v>522</v>
      </c>
      <c r="S1832" s="28" t="s">
        <v>1318</v>
      </c>
      <c r="T1832" s="28" t="s">
        <v>1918</v>
      </c>
      <c r="U1832" s="28" t="s">
        <v>1918</v>
      </c>
      <c r="V1832" s="28" t="s">
        <v>517</v>
      </c>
      <c r="W1832" s="28" t="s">
        <v>6836</v>
      </c>
      <c r="X1832" s="28" t="s">
        <v>1913</v>
      </c>
      <c r="AF1832" s="117"/>
      <c r="AK1832" s="60" t="s">
        <v>6558</v>
      </c>
      <c r="AL1832" s="117">
        <f>1/COUNTIF(Tableau6[LAT],B1832)</f>
        <v>1</v>
      </c>
      <c r="AM1832" s="60" t="b">
        <f t="shared" si="206"/>
        <v>0</v>
      </c>
      <c r="AN1832" s="60" t="b">
        <f t="shared" si="207"/>
        <v>0</v>
      </c>
      <c r="AO1832" s="60" t="b">
        <f t="shared" si="208"/>
        <v>0</v>
      </c>
      <c r="AP1832" s="60" t="b">
        <f t="shared" si="209"/>
        <v>0</v>
      </c>
      <c r="AQ1832" s="60" t="b">
        <f t="shared" si="210"/>
        <v>0</v>
      </c>
      <c r="AR1832" s="60" t="str">
        <f t="shared" si="211"/>
        <v>No</v>
      </c>
      <c r="AS1832" s="60" t="str">
        <f t="shared" si="212"/>
        <v>No</v>
      </c>
    </row>
    <row r="1833" spans="1:45" hidden="1">
      <c r="A1833" s="103">
        <v>45244</v>
      </c>
      <c r="B1833" s="117" t="s">
        <v>5926</v>
      </c>
      <c r="C1833" s="28" t="s">
        <v>866</v>
      </c>
      <c r="D1833" s="28" t="s">
        <v>6837</v>
      </c>
      <c r="F1833" s="28" t="s">
        <v>1119</v>
      </c>
      <c r="G1833" s="28" t="s">
        <v>514</v>
      </c>
      <c r="H1833" s="28" t="s">
        <v>515</v>
      </c>
      <c r="I1833" s="28" t="s">
        <v>516</v>
      </c>
      <c r="J1833" s="28" t="s">
        <v>517</v>
      </c>
      <c r="K1833" s="28" t="s">
        <v>518</v>
      </c>
      <c r="L1833" s="28" t="s">
        <v>5279</v>
      </c>
      <c r="M1833" s="28" t="s">
        <v>535</v>
      </c>
      <c r="N1833" s="28" t="s">
        <v>1124</v>
      </c>
      <c r="O1833" s="28" t="s">
        <v>934</v>
      </c>
      <c r="S1833" s="28" t="s">
        <v>718</v>
      </c>
      <c r="T1833" s="28" t="s">
        <v>5280</v>
      </c>
      <c r="U1833" s="28" t="s">
        <v>5280</v>
      </c>
      <c r="V1833" s="28" t="s">
        <v>517</v>
      </c>
      <c r="W1833" s="28" t="s">
        <v>6838</v>
      </c>
      <c r="AF1833" s="117"/>
      <c r="AK1833" s="60" t="s">
        <v>6558</v>
      </c>
      <c r="AL1833" s="117">
        <f>1/COUNTIF(Tableau6[LAT],B1833)</f>
        <v>0.25</v>
      </c>
      <c r="AM1833" s="60" t="b">
        <f t="shared" si="206"/>
        <v>0</v>
      </c>
      <c r="AN1833" s="60" t="b">
        <f t="shared" si="207"/>
        <v>0</v>
      </c>
      <c r="AO1833" s="60" t="b">
        <f t="shared" si="208"/>
        <v>0</v>
      </c>
      <c r="AP1833" s="60" t="b">
        <f t="shared" si="209"/>
        <v>0</v>
      </c>
      <c r="AQ1833" s="60" t="b">
        <f t="shared" si="210"/>
        <v>0</v>
      </c>
      <c r="AR1833" s="60" t="str">
        <f t="shared" si="211"/>
        <v>No</v>
      </c>
      <c r="AS1833" s="60" t="str">
        <f t="shared" si="212"/>
        <v>No</v>
      </c>
    </row>
    <row r="1834" spans="1:45" hidden="1">
      <c r="A1834" s="103">
        <v>45244</v>
      </c>
      <c r="B1834" s="117" t="s">
        <v>6839</v>
      </c>
      <c r="C1834" s="28" t="s">
        <v>511</v>
      </c>
      <c r="D1834" s="28" t="s">
        <v>6840</v>
      </c>
      <c r="F1834" s="28" t="s">
        <v>6333</v>
      </c>
      <c r="G1834" s="28" t="s">
        <v>514</v>
      </c>
      <c r="H1834" s="28" t="s">
        <v>1610</v>
      </c>
      <c r="I1834" s="28" t="s">
        <v>517</v>
      </c>
      <c r="J1834" s="28" t="s">
        <v>517</v>
      </c>
      <c r="K1834" s="28" t="s">
        <v>518</v>
      </c>
      <c r="L1834" s="28" t="s">
        <v>1199</v>
      </c>
      <c r="M1834" s="28" t="s">
        <v>535</v>
      </c>
      <c r="N1834" s="28" t="s">
        <v>934</v>
      </c>
      <c r="S1834" s="28" t="s">
        <v>573</v>
      </c>
      <c r="T1834" s="28" t="s">
        <v>651</v>
      </c>
      <c r="U1834" s="28" t="s">
        <v>651</v>
      </c>
      <c r="V1834" s="28" t="s">
        <v>517</v>
      </c>
      <c r="W1834" s="28" t="s">
        <v>5511</v>
      </c>
      <c r="AF1834" s="117"/>
      <c r="AK1834" s="60" t="s">
        <v>6558</v>
      </c>
      <c r="AL1834" s="117">
        <f>1/COUNTIF(Tableau6[LAT],B1834)</f>
        <v>1</v>
      </c>
      <c r="AM1834" s="60" t="b">
        <f t="shared" si="206"/>
        <v>0</v>
      </c>
      <c r="AN1834" s="60" t="b">
        <f t="shared" si="207"/>
        <v>0</v>
      </c>
      <c r="AO1834" s="60" t="b">
        <f t="shared" si="208"/>
        <v>0</v>
      </c>
      <c r="AP1834" s="60" t="b">
        <f t="shared" si="209"/>
        <v>0</v>
      </c>
      <c r="AQ1834" s="60" t="b">
        <f t="shared" si="210"/>
        <v>0</v>
      </c>
      <c r="AR1834" s="60" t="str">
        <f t="shared" si="211"/>
        <v>No</v>
      </c>
      <c r="AS1834" s="60" t="str">
        <f t="shared" si="212"/>
        <v>No</v>
      </c>
    </row>
    <row r="1835" spans="1:45" hidden="1">
      <c r="A1835" s="103">
        <v>45244</v>
      </c>
      <c r="B1835" s="117" t="s">
        <v>6841</v>
      </c>
      <c r="C1835" s="28" t="s">
        <v>511</v>
      </c>
      <c r="D1835" s="28" t="s">
        <v>6842</v>
      </c>
      <c r="F1835" s="28" t="s">
        <v>4712</v>
      </c>
      <c r="G1835" s="28" t="s">
        <v>514</v>
      </c>
      <c r="H1835" s="28" t="s">
        <v>966</v>
      </c>
      <c r="I1835" s="28" t="s">
        <v>517</v>
      </c>
      <c r="J1835" s="28" t="s">
        <v>517</v>
      </c>
      <c r="K1835" s="28" t="s">
        <v>518</v>
      </c>
      <c r="L1835" s="28" t="s">
        <v>1040</v>
      </c>
      <c r="M1835" s="28" t="s">
        <v>535</v>
      </c>
      <c r="N1835" s="28" t="s">
        <v>522</v>
      </c>
      <c r="S1835" s="28" t="s">
        <v>573</v>
      </c>
      <c r="T1835" s="28" t="s">
        <v>1042</v>
      </c>
      <c r="U1835" s="28" t="s">
        <v>1042</v>
      </c>
      <c r="V1835" s="28" t="s">
        <v>517</v>
      </c>
      <c r="W1835" s="28" t="s">
        <v>6843</v>
      </c>
      <c r="AF1835" s="117"/>
      <c r="AK1835" s="60" t="s">
        <v>6558</v>
      </c>
      <c r="AL1835" s="117">
        <f>1/COUNTIF(Tableau6[LAT],B1835)</f>
        <v>0.5</v>
      </c>
      <c r="AM1835" s="60" t="b">
        <f t="shared" si="206"/>
        <v>0</v>
      </c>
      <c r="AN1835" s="60" t="b">
        <f t="shared" si="207"/>
        <v>0</v>
      </c>
      <c r="AO1835" s="60" t="b">
        <f t="shared" si="208"/>
        <v>0</v>
      </c>
      <c r="AP1835" s="60" t="b">
        <f t="shared" si="209"/>
        <v>0</v>
      </c>
      <c r="AQ1835" s="60" t="b">
        <f t="shared" si="210"/>
        <v>0</v>
      </c>
      <c r="AR1835" s="60" t="str">
        <f t="shared" si="211"/>
        <v>No</v>
      </c>
      <c r="AS1835" s="60" t="str">
        <f t="shared" si="212"/>
        <v>No</v>
      </c>
    </row>
    <row r="1836" spans="1:45" hidden="1">
      <c r="A1836" s="103">
        <v>45244</v>
      </c>
      <c r="B1836" s="117" t="s">
        <v>6841</v>
      </c>
      <c r="C1836" s="28" t="s">
        <v>548</v>
      </c>
      <c r="D1836" s="28" t="s">
        <v>6844</v>
      </c>
      <c r="F1836" s="28" t="s">
        <v>4712</v>
      </c>
      <c r="G1836" s="28" t="s">
        <v>514</v>
      </c>
      <c r="H1836" s="28" t="s">
        <v>966</v>
      </c>
      <c r="I1836" s="28" t="s">
        <v>517</v>
      </c>
      <c r="J1836" s="28" t="s">
        <v>517</v>
      </c>
      <c r="K1836" s="28" t="s">
        <v>518</v>
      </c>
      <c r="L1836" s="28" t="s">
        <v>1040</v>
      </c>
      <c r="M1836" s="28" t="s">
        <v>535</v>
      </c>
      <c r="N1836" s="28" t="s">
        <v>522</v>
      </c>
      <c r="S1836" s="28" t="s">
        <v>573</v>
      </c>
      <c r="T1836" s="28" t="s">
        <v>1042</v>
      </c>
      <c r="U1836" s="28" t="s">
        <v>1042</v>
      </c>
      <c r="V1836" s="28" t="s">
        <v>517</v>
      </c>
      <c r="W1836" s="28" t="s">
        <v>6845</v>
      </c>
      <c r="AF1836" s="117"/>
      <c r="AK1836" s="60" t="s">
        <v>6558</v>
      </c>
      <c r="AL1836" s="117">
        <f>1/COUNTIF(Tableau6[LAT],B1836)</f>
        <v>0.5</v>
      </c>
      <c r="AM1836" s="60" t="b">
        <f t="shared" si="206"/>
        <v>0</v>
      </c>
      <c r="AN1836" s="60" t="b">
        <f t="shared" si="207"/>
        <v>0</v>
      </c>
      <c r="AO1836" s="60" t="b">
        <f t="shared" si="208"/>
        <v>0</v>
      </c>
      <c r="AP1836" s="60" t="b">
        <f t="shared" si="209"/>
        <v>0</v>
      </c>
      <c r="AQ1836" s="60" t="b">
        <f t="shared" si="210"/>
        <v>0</v>
      </c>
      <c r="AR1836" s="60" t="str">
        <f t="shared" si="211"/>
        <v>No</v>
      </c>
      <c r="AS1836" s="60" t="str">
        <f t="shared" si="212"/>
        <v>No</v>
      </c>
    </row>
    <row r="1837" spans="1:45" hidden="1">
      <c r="A1837" s="103">
        <v>45244</v>
      </c>
      <c r="B1837" s="117" t="s">
        <v>6846</v>
      </c>
      <c r="C1837" s="28" t="s">
        <v>548</v>
      </c>
      <c r="D1837" s="28" t="s">
        <v>6847</v>
      </c>
      <c r="E1837" s="28" t="s">
        <v>6848</v>
      </c>
      <c r="F1837" s="28" t="s">
        <v>6849</v>
      </c>
      <c r="G1837" s="28" t="s">
        <v>958</v>
      </c>
      <c r="H1837" s="28" t="s">
        <v>6850</v>
      </c>
      <c r="I1837" s="28" t="s">
        <v>516</v>
      </c>
      <c r="J1837" s="28" t="s">
        <v>517</v>
      </c>
      <c r="K1837" s="28" t="s">
        <v>518</v>
      </c>
      <c r="L1837" s="28" t="s">
        <v>1373</v>
      </c>
      <c r="M1837" s="28" t="s">
        <v>520</v>
      </c>
      <c r="N1837" s="28" t="s">
        <v>521</v>
      </c>
      <c r="O1837" s="28" t="s">
        <v>544</v>
      </c>
      <c r="P1837" s="28" t="s">
        <v>522</v>
      </c>
      <c r="S1837" s="28" t="s">
        <v>1581</v>
      </c>
      <c r="T1837" s="28" t="s">
        <v>1376</v>
      </c>
      <c r="U1837" s="28" t="s">
        <v>1376</v>
      </c>
      <c r="V1837" s="28" t="s">
        <v>517</v>
      </c>
      <c r="W1837" s="28" t="s">
        <v>6851</v>
      </c>
      <c r="X1837" s="28" t="s">
        <v>670</v>
      </c>
      <c r="AF1837" s="117"/>
      <c r="AK1837" s="60" t="s">
        <v>6558</v>
      </c>
      <c r="AL1837" s="117">
        <f>1/COUNTIF(Tableau6[LAT],B1837)</f>
        <v>1</v>
      </c>
      <c r="AM1837" s="60" t="b">
        <f t="shared" si="206"/>
        <v>0</v>
      </c>
      <c r="AN1837" s="60" t="b">
        <f t="shared" si="207"/>
        <v>0</v>
      </c>
      <c r="AO1837" s="60" t="b">
        <f t="shared" si="208"/>
        <v>0</v>
      </c>
      <c r="AP1837" s="60" t="b">
        <f t="shared" si="209"/>
        <v>0</v>
      </c>
      <c r="AQ1837" s="60" t="b">
        <f t="shared" si="210"/>
        <v>0</v>
      </c>
      <c r="AR1837" s="60" t="str">
        <f t="shared" si="211"/>
        <v>No</v>
      </c>
      <c r="AS1837" s="60" t="str">
        <f t="shared" si="212"/>
        <v>No</v>
      </c>
    </row>
    <row r="1838" spans="1:45" hidden="1">
      <c r="A1838" s="103">
        <v>45244</v>
      </c>
      <c r="B1838" s="117" t="s">
        <v>6852</v>
      </c>
      <c r="C1838" s="28" t="s">
        <v>511</v>
      </c>
      <c r="D1838" s="28" t="s">
        <v>6853</v>
      </c>
      <c r="E1838" s="28" t="s">
        <v>6763</v>
      </c>
      <c r="F1838" s="28" t="s">
        <v>6854</v>
      </c>
      <c r="G1838" s="28" t="s">
        <v>958</v>
      </c>
      <c r="H1838" s="28" t="s">
        <v>6426</v>
      </c>
      <c r="I1838" s="28" t="s">
        <v>516</v>
      </c>
      <c r="J1838" s="28" t="s">
        <v>517</v>
      </c>
      <c r="K1838" s="28" t="s">
        <v>682</v>
      </c>
      <c r="L1838" s="28" t="s">
        <v>6584</v>
      </c>
      <c r="M1838" s="28" t="s">
        <v>535</v>
      </c>
      <c r="N1838" s="28" t="s">
        <v>544</v>
      </c>
      <c r="O1838" s="28" t="s">
        <v>522</v>
      </c>
      <c r="P1838" s="28" t="s">
        <v>627</v>
      </c>
      <c r="S1838" s="28" t="s">
        <v>740</v>
      </c>
      <c r="T1838" s="28" t="s">
        <v>3083</v>
      </c>
      <c r="U1838" s="28" t="s">
        <v>1918</v>
      </c>
      <c r="V1838" s="28" t="s">
        <v>517</v>
      </c>
      <c r="W1838" s="28" t="s">
        <v>6766</v>
      </c>
      <c r="X1838" s="28" t="s">
        <v>670</v>
      </c>
      <c r="AF1838" s="117"/>
      <c r="AK1838" s="60" t="s">
        <v>6558</v>
      </c>
      <c r="AL1838" s="117">
        <f>1/COUNTIF(Tableau6[LAT],B1838)</f>
        <v>1</v>
      </c>
      <c r="AM1838" s="60" t="b">
        <f t="shared" si="206"/>
        <v>0</v>
      </c>
      <c r="AN1838" s="60" t="b">
        <f t="shared" si="207"/>
        <v>0</v>
      </c>
      <c r="AO1838" s="60" t="b">
        <f t="shared" si="208"/>
        <v>0</v>
      </c>
      <c r="AP1838" s="60" t="b">
        <f t="shared" si="209"/>
        <v>0</v>
      </c>
      <c r="AQ1838" s="60" t="b">
        <f t="shared" si="210"/>
        <v>0</v>
      </c>
      <c r="AR1838" s="60" t="str">
        <f t="shared" si="211"/>
        <v>No</v>
      </c>
      <c r="AS1838" s="60" t="str">
        <f t="shared" si="212"/>
        <v>No</v>
      </c>
    </row>
    <row r="1839" spans="1:45" hidden="1">
      <c r="A1839" s="103">
        <v>45244</v>
      </c>
      <c r="B1839" s="117" t="s">
        <v>6855</v>
      </c>
      <c r="C1839" s="28" t="s">
        <v>511</v>
      </c>
      <c r="D1839" s="28" t="s">
        <v>6856</v>
      </c>
      <c r="F1839" s="28" t="s">
        <v>2534</v>
      </c>
      <c r="G1839" s="28" t="s">
        <v>514</v>
      </c>
      <c r="H1839" s="28" t="s">
        <v>2832</v>
      </c>
      <c r="I1839" s="28" t="s">
        <v>517</v>
      </c>
      <c r="J1839" s="28" t="s">
        <v>517</v>
      </c>
      <c r="K1839" s="28" t="s">
        <v>518</v>
      </c>
      <c r="L1839" s="28" t="s">
        <v>604</v>
      </c>
      <c r="M1839" s="28" t="s">
        <v>535</v>
      </c>
      <c r="N1839" s="28" t="s">
        <v>1523</v>
      </c>
      <c r="O1839" s="28" t="s">
        <v>522</v>
      </c>
      <c r="S1839" s="28" t="s">
        <v>573</v>
      </c>
      <c r="T1839" s="28" t="s">
        <v>607</v>
      </c>
      <c r="U1839" s="28" t="s">
        <v>607</v>
      </c>
      <c r="V1839" s="28" t="s">
        <v>517</v>
      </c>
      <c r="W1839" s="28" t="s">
        <v>3526</v>
      </c>
      <c r="AF1839" s="117"/>
      <c r="AK1839" s="60" t="s">
        <v>6558</v>
      </c>
      <c r="AL1839" s="117">
        <f>1/COUNTIF(Tableau6[LAT],B1839)</f>
        <v>1</v>
      </c>
      <c r="AM1839" s="60" t="b">
        <f t="shared" si="206"/>
        <v>0</v>
      </c>
      <c r="AN1839" s="60" t="b">
        <f t="shared" si="207"/>
        <v>0</v>
      </c>
      <c r="AO1839" s="60" t="b">
        <f t="shared" si="208"/>
        <v>0</v>
      </c>
      <c r="AP1839" s="60" t="b">
        <f t="shared" si="209"/>
        <v>0</v>
      </c>
      <c r="AQ1839" s="60" t="b">
        <f t="shared" si="210"/>
        <v>0</v>
      </c>
      <c r="AR1839" s="60" t="str">
        <f t="shared" si="211"/>
        <v>No</v>
      </c>
      <c r="AS1839" s="60" t="str">
        <f t="shared" si="212"/>
        <v>No</v>
      </c>
    </row>
    <row r="1840" spans="1:45" hidden="1">
      <c r="A1840" s="103">
        <v>45244</v>
      </c>
      <c r="B1840" s="117" t="s">
        <v>6857</v>
      </c>
      <c r="C1840" s="28" t="s">
        <v>612</v>
      </c>
      <c r="D1840" s="28" t="s">
        <v>6858</v>
      </c>
      <c r="F1840" s="28" t="s">
        <v>1339</v>
      </c>
      <c r="G1840" s="28" t="s">
        <v>514</v>
      </c>
      <c r="H1840" s="28" t="s">
        <v>1873</v>
      </c>
      <c r="I1840" s="28" t="s">
        <v>516</v>
      </c>
      <c r="J1840" s="28" t="s">
        <v>517</v>
      </c>
      <c r="K1840" s="28" t="s">
        <v>518</v>
      </c>
      <c r="L1840" s="28" t="s">
        <v>519</v>
      </c>
      <c r="M1840" s="28" t="s">
        <v>535</v>
      </c>
      <c r="N1840" s="28" t="s">
        <v>544</v>
      </c>
      <c r="S1840" s="28" t="s">
        <v>940</v>
      </c>
      <c r="T1840" s="28" t="s">
        <v>524</v>
      </c>
      <c r="U1840" s="28" t="s">
        <v>524</v>
      </c>
      <c r="V1840" s="28" t="s">
        <v>517</v>
      </c>
      <c r="W1840" s="28" t="s">
        <v>6655</v>
      </c>
      <c r="AF1840" s="117"/>
      <c r="AK1840" s="60" t="s">
        <v>6558</v>
      </c>
      <c r="AL1840" s="117">
        <f>1/COUNTIF(Tableau6[LAT],B1840)</f>
        <v>1</v>
      </c>
      <c r="AM1840" s="60" t="b">
        <f t="shared" si="206"/>
        <v>0</v>
      </c>
      <c r="AN1840" s="60" t="b">
        <f t="shared" si="207"/>
        <v>0</v>
      </c>
      <c r="AO1840" s="60" t="b">
        <f t="shared" si="208"/>
        <v>0</v>
      </c>
      <c r="AP1840" s="60" t="b">
        <f t="shared" si="209"/>
        <v>0</v>
      </c>
      <c r="AQ1840" s="60" t="b">
        <f t="shared" si="210"/>
        <v>0</v>
      </c>
      <c r="AR1840" s="60" t="str">
        <f t="shared" si="211"/>
        <v>No</v>
      </c>
      <c r="AS1840" s="60" t="str">
        <f t="shared" si="212"/>
        <v>No</v>
      </c>
    </row>
    <row r="1841" spans="1:45" hidden="1">
      <c r="A1841" s="103">
        <v>45244</v>
      </c>
      <c r="B1841" s="117" t="s">
        <v>6859</v>
      </c>
      <c r="C1841" s="28" t="s">
        <v>511</v>
      </c>
      <c r="D1841" s="28" t="s">
        <v>6860</v>
      </c>
      <c r="F1841" s="28" t="s">
        <v>1553</v>
      </c>
      <c r="G1841" s="28" t="s">
        <v>514</v>
      </c>
      <c r="H1841" s="28" t="s">
        <v>1966</v>
      </c>
      <c r="I1841" s="28" t="s">
        <v>517</v>
      </c>
      <c r="J1841" s="28" t="s">
        <v>517</v>
      </c>
      <c r="K1841" s="28" t="s">
        <v>518</v>
      </c>
      <c r="L1841" s="28" t="s">
        <v>4043</v>
      </c>
      <c r="M1841" s="28" t="s">
        <v>535</v>
      </c>
      <c r="N1841" s="28" t="s">
        <v>557</v>
      </c>
      <c r="O1841" s="28" t="s">
        <v>934</v>
      </c>
      <c r="S1841" s="28" t="s">
        <v>573</v>
      </c>
      <c r="T1841" s="28" t="s">
        <v>2900</v>
      </c>
      <c r="U1841" s="28" t="s">
        <v>2406</v>
      </c>
      <c r="V1841" s="28" t="s">
        <v>517</v>
      </c>
      <c r="W1841" s="28" t="s">
        <v>4044</v>
      </c>
      <c r="AF1841" s="117"/>
      <c r="AK1841" s="60" t="s">
        <v>6558</v>
      </c>
      <c r="AL1841" s="117">
        <f>1/COUNTIF(Tableau6[LAT],B1841)</f>
        <v>1</v>
      </c>
      <c r="AM1841" s="60" t="b">
        <f t="shared" si="206"/>
        <v>0</v>
      </c>
      <c r="AN1841" s="60" t="b">
        <f t="shared" si="207"/>
        <v>0</v>
      </c>
      <c r="AO1841" s="60" t="b">
        <f t="shared" si="208"/>
        <v>0</v>
      </c>
      <c r="AP1841" s="60" t="b">
        <f t="shared" si="209"/>
        <v>0</v>
      </c>
      <c r="AQ1841" s="60" t="b">
        <f t="shared" si="210"/>
        <v>0</v>
      </c>
      <c r="AR1841" s="60" t="str">
        <f t="shared" si="211"/>
        <v>No</v>
      </c>
      <c r="AS1841" s="60" t="str">
        <f t="shared" si="212"/>
        <v>No</v>
      </c>
    </row>
    <row r="1842" spans="1:45" hidden="1">
      <c r="A1842" s="103">
        <v>45244</v>
      </c>
      <c r="B1842" s="117" t="s">
        <v>6861</v>
      </c>
      <c r="C1842" s="28" t="s">
        <v>511</v>
      </c>
      <c r="D1842" s="28" t="s">
        <v>6862</v>
      </c>
      <c r="E1842" s="28" t="s">
        <v>6645</v>
      </c>
      <c r="F1842" s="28" t="s">
        <v>2694</v>
      </c>
      <c r="G1842" s="28" t="s">
        <v>514</v>
      </c>
      <c r="H1842" s="28" t="s">
        <v>915</v>
      </c>
      <c r="I1842" s="28" t="s">
        <v>516</v>
      </c>
      <c r="J1842" s="28" t="s">
        <v>517</v>
      </c>
      <c r="K1842" s="28" t="s">
        <v>682</v>
      </c>
      <c r="L1842" s="28" t="s">
        <v>4699</v>
      </c>
      <c r="M1842" s="28" t="s">
        <v>535</v>
      </c>
      <c r="N1842" s="28" t="s">
        <v>557</v>
      </c>
      <c r="O1842" s="28" t="s">
        <v>544</v>
      </c>
      <c r="P1842" s="28" t="s">
        <v>522</v>
      </c>
      <c r="S1842" s="28" t="s">
        <v>753</v>
      </c>
      <c r="T1842" s="28" t="s">
        <v>4700</v>
      </c>
      <c r="U1842" s="28" t="s">
        <v>4700</v>
      </c>
      <c r="V1842" s="28" t="s">
        <v>517</v>
      </c>
      <c r="W1842" s="28" t="s">
        <v>5942</v>
      </c>
      <c r="X1842" s="28" t="s">
        <v>1071</v>
      </c>
      <c r="AF1842" s="117"/>
      <c r="AK1842" s="60" t="s">
        <v>6558</v>
      </c>
      <c r="AL1842" s="117">
        <f>1/COUNTIF(Tableau6[LAT],B1842)</f>
        <v>1</v>
      </c>
      <c r="AM1842" s="60" t="b">
        <f t="shared" si="206"/>
        <v>0</v>
      </c>
      <c r="AN1842" s="60" t="b">
        <f t="shared" si="207"/>
        <v>0</v>
      </c>
      <c r="AO1842" s="60" t="b">
        <f t="shared" si="208"/>
        <v>0</v>
      </c>
      <c r="AP1842" s="60" t="b">
        <f t="shared" si="209"/>
        <v>0</v>
      </c>
      <c r="AQ1842" s="60" t="b">
        <f t="shared" si="210"/>
        <v>0</v>
      </c>
      <c r="AR1842" s="60" t="str">
        <f t="shared" si="211"/>
        <v>No</v>
      </c>
      <c r="AS1842" s="60" t="str">
        <f t="shared" si="212"/>
        <v>No</v>
      </c>
    </row>
    <row r="1843" spans="1:45" hidden="1">
      <c r="A1843" s="103">
        <v>45244</v>
      </c>
      <c r="B1843" s="117" t="s">
        <v>6863</v>
      </c>
      <c r="C1843" s="28" t="s">
        <v>548</v>
      </c>
      <c r="D1843" s="28" t="s">
        <v>6864</v>
      </c>
      <c r="E1843" s="28" t="s">
        <v>6865</v>
      </c>
      <c r="F1843" s="28" t="s">
        <v>6866</v>
      </c>
      <c r="G1843" s="28" t="s">
        <v>514</v>
      </c>
      <c r="H1843" s="28" t="s">
        <v>555</v>
      </c>
      <c r="I1843" s="28" t="s">
        <v>517</v>
      </c>
      <c r="J1843" s="28" t="s">
        <v>516</v>
      </c>
      <c r="K1843" s="28" t="s">
        <v>682</v>
      </c>
      <c r="L1843" s="28" t="s">
        <v>6584</v>
      </c>
      <c r="M1843" s="28" t="s">
        <v>535</v>
      </c>
      <c r="N1843" s="28" t="s">
        <v>557</v>
      </c>
      <c r="O1843" s="28" t="s">
        <v>544</v>
      </c>
      <c r="P1843" s="28" t="s">
        <v>558</v>
      </c>
      <c r="Q1843" s="28" t="s">
        <v>522</v>
      </c>
      <c r="S1843" s="28" t="s">
        <v>573</v>
      </c>
      <c r="T1843" s="28" t="s">
        <v>1918</v>
      </c>
      <c r="U1843" s="28" t="s">
        <v>1918</v>
      </c>
      <c r="V1843" s="28" t="s">
        <v>517</v>
      </c>
      <c r="W1843" s="28" t="s">
        <v>6867</v>
      </c>
      <c r="X1843" s="28" t="s">
        <v>670</v>
      </c>
      <c r="AF1843" s="117"/>
      <c r="AK1843" s="60" t="s">
        <v>6558</v>
      </c>
      <c r="AL1843" s="117">
        <f>1/COUNTIF(Tableau6[LAT],B1843)</f>
        <v>0.2</v>
      </c>
      <c r="AM1843" s="60" t="b">
        <f t="shared" si="206"/>
        <v>0</v>
      </c>
      <c r="AN1843" s="60" t="b">
        <f t="shared" si="207"/>
        <v>0</v>
      </c>
      <c r="AO1843" s="60" t="b">
        <f t="shared" si="208"/>
        <v>0</v>
      </c>
      <c r="AP1843" s="60" t="b">
        <f t="shared" si="209"/>
        <v>0</v>
      </c>
      <c r="AQ1843" s="60" t="b">
        <f t="shared" si="210"/>
        <v>0</v>
      </c>
      <c r="AR1843" s="60" t="str">
        <f t="shared" si="211"/>
        <v>No</v>
      </c>
      <c r="AS1843" s="60" t="str">
        <f t="shared" si="212"/>
        <v>No</v>
      </c>
    </row>
    <row r="1844" spans="1:45" hidden="1">
      <c r="A1844" s="103">
        <v>45244</v>
      </c>
      <c r="B1844" s="117" t="s">
        <v>6863</v>
      </c>
      <c r="C1844" s="28" t="s">
        <v>612</v>
      </c>
      <c r="D1844" s="28" t="s">
        <v>6868</v>
      </c>
      <c r="E1844" s="28" t="s">
        <v>6869</v>
      </c>
      <c r="F1844" s="28" t="s">
        <v>6866</v>
      </c>
      <c r="G1844" s="28" t="s">
        <v>514</v>
      </c>
      <c r="H1844" s="28" t="s">
        <v>555</v>
      </c>
      <c r="I1844" s="28" t="s">
        <v>517</v>
      </c>
      <c r="J1844" s="28" t="s">
        <v>516</v>
      </c>
      <c r="K1844" s="28" t="s">
        <v>682</v>
      </c>
      <c r="L1844" s="28" t="s">
        <v>6584</v>
      </c>
      <c r="M1844" s="28" t="s">
        <v>535</v>
      </c>
      <c r="N1844" s="28" t="s">
        <v>557</v>
      </c>
      <c r="O1844" s="28" t="s">
        <v>544</v>
      </c>
      <c r="P1844" s="28" t="s">
        <v>558</v>
      </c>
      <c r="Q1844" s="28" t="s">
        <v>522</v>
      </c>
      <c r="R1844" s="28" t="s">
        <v>627</v>
      </c>
      <c r="S1844" s="28" t="s">
        <v>573</v>
      </c>
      <c r="T1844" s="28" t="s">
        <v>1918</v>
      </c>
      <c r="U1844" s="28" t="s">
        <v>1918</v>
      </c>
      <c r="V1844" s="28" t="s">
        <v>517</v>
      </c>
      <c r="W1844" s="28" t="s">
        <v>6870</v>
      </c>
      <c r="X1844" s="28" t="s">
        <v>670</v>
      </c>
      <c r="AF1844" s="117"/>
      <c r="AK1844" s="60" t="s">
        <v>6558</v>
      </c>
      <c r="AL1844" s="117">
        <f>1/COUNTIF(Tableau6[LAT],B1844)</f>
        <v>0.2</v>
      </c>
      <c r="AM1844" s="60" t="b">
        <f t="shared" si="206"/>
        <v>0</v>
      </c>
      <c r="AN1844" s="60" t="b">
        <f t="shared" si="207"/>
        <v>0</v>
      </c>
      <c r="AO1844" s="60" t="b">
        <f t="shared" si="208"/>
        <v>0</v>
      </c>
      <c r="AP1844" s="60" t="b">
        <f t="shared" si="209"/>
        <v>0</v>
      </c>
      <c r="AQ1844" s="60" t="b">
        <f t="shared" si="210"/>
        <v>0</v>
      </c>
      <c r="AR1844" s="60" t="str">
        <f t="shared" si="211"/>
        <v>No</v>
      </c>
      <c r="AS1844" s="60" t="str">
        <f t="shared" si="212"/>
        <v>No</v>
      </c>
    </row>
    <row r="1845" spans="1:45" hidden="1">
      <c r="A1845" s="103">
        <v>45244</v>
      </c>
      <c r="B1845" s="117" t="s">
        <v>6863</v>
      </c>
      <c r="C1845" s="28" t="s">
        <v>691</v>
      </c>
      <c r="D1845" s="28" t="s">
        <v>6871</v>
      </c>
      <c r="E1845" s="28" t="s">
        <v>6872</v>
      </c>
      <c r="F1845" s="28" t="s">
        <v>6873</v>
      </c>
      <c r="G1845" s="28" t="s">
        <v>514</v>
      </c>
      <c r="H1845" s="28" t="s">
        <v>555</v>
      </c>
      <c r="I1845" s="28" t="s">
        <v>517</v>
      </c>
      <c r="J1845" s="28" t="s">
        <v>516</v>
      </c>
      <c r="K1845" s="28" t="s">
        <v>682</v>
      </c>
      <c r="L1845" s="28" t="s">
        <v>6584</v>
      </c>
      <c r="M1845" s="28" t="s">
        <v>535</v>
      </c>
      <c r="N1845" s="28" t="s">
        <v>1124</v>
      </c>
      <c r="O1845" s="28" t="s">
        <v>557</v>
      </c>
      <c r="P1845" s="28" t="s">
        <v>544</v>
      </c>
      <c r="Q1845" s="28" t="s">
        <v>558</v>
      </c>
      <c r="R1845" s="28" t="s">
        <v>522</v>
      </c>
      <c r="S1845" s="28" t="s">
        <v>573</v>
      </c>
      <c r="T1845" s="28" t="s">
        <v>1918</v>
      </c>
      <c r="U1845" s="28" t="s">
        <v>1918</v>
      </c>
      <c r="V1845" s="28" t="s">
        <v>517</v>
      </c>
      <c r="W1845" s="28" t="s">
        <v>6874</v>
      </c>
      <c r="X1845" s="28" t="s">
        <v>670</v>
      </c>
      <c r="AF1845" s="117"/>
      <c r="AK1845" s="60" t="s">
        <v>6558</v>
      </c>
      <c r="AL1845" s="117">
        <f>1/COUNTIF(Tableau6[LAT],B1845)</f>
        <v>0.2</v>
      </c>
      <c r="AM1845" s="60" t="b">
        <f t="shared" si="206"/>
        <v>0</v>
      </c>
      <c r="AN1845" s="60" t="b">
        <f t="shared" si="207"/>
        <v>0</v>
      </c>
      <c r="AO1845" s="60" t="b">
        <f t="shared" si="208"/>
        <v>0</v>
      </c>
      <c r="AP1845" s="60" t="b">
        <f t="shared" si="209"/>
        <v>0</v>
      </c>
      <c r="AQ1845" s="60" t="b">
        <f t="shared" si="210"/>
        <v>0</v>
      </c>
      <c r="AR1845" s="60" t="str">
        <f t="shared" si="211"/>
        <v>No</v>
      </c>
      <c r="AS1845" s="60" t="str">
        <f t="shared" si="212"/>
        <v>No</v>
      </c>
    </row>
    <row r="1846" spans="1:45" hidden="1">
      <c r="A1846" s="103">
        <v>45244</v>
      </c>
      <c r="B1846" s="117" t="s">
        <v>6863</v>
      </c>
      <c r="C1846" s="28" t="s">
        <v>859</v>
      </c>
      <c r="D1846" s="28" t="s">
        <v>6875</v>
      </c>
      <c r="E1846" s="28" t="s">
        <v>6876</v>
      </c>
      <c r="F1846" s="28" t="s">
        <v>6877</v>
      </c>
      <c r="G1846" s="28" t="s">
        <v>958</v>
      </c>
      <c r="H1846" s="28" t="s">
        <v>848</v>
      </c>
      <c r="I1846" s="28" t="s">
        <v>517</v>
      </c>
      <c r="J1846" s="28" t="s">
        <v>517</v>
      </c>
      <c r="K1846" s="28" t="s">
        <v>682</v>
      </c>
      <c r="L1846" s="28" t="s">
        <v>6584</v>
      </c>
      <c r="M1846" s="28" t="s">
        <v>535</v>
      </c>
      <c r="N1846" s="28" t="s">
        <v>557</v>
      </c>
      <c r="O1846" s="28" t="s">
        <v>544</v>
      </c>
      <c r="P1846" s="28" t="s">
        <v>522</v>
      </c>
      <c r="S1846" s="28" t="s">
        <v>573</v>
      </c>
      <c r="T1846" s="28" t="s">
        <v>1918</v>
      </c>
      <c r="U1846" s="28" t="s">
        <v>1918</v>
      </c>
      <c r="V1846" s="28" t="s">
        <v>517</v>
      </c>
      <c r="W1846" s="28" t="s">
        <v>6878</v>
      </c>
      <c r="X1846" s="28" t="s">
        <v>1913</v>
      </c>
      <c r="AF1846" s="117"/>
      <c r="AK1846" s="60" t="s">
        <v>6558</v>
      </c>
      <c r="AL1846" s="117">
        <f>1/COUNTIF(Tableau6[LAT],B1846)</f>
        <v>0.2</v>
      </c>
      <c r="AM1846" s="60" t="b">
        <f t="shared" si="206"/>
        <v>0</v>
      </c>
      <c r="AN1846" s="60" t="b">
        <f t="shared" si="207"/>
        <v>0</v>
      </c>
      <c r="AO1846" s="60" t="b">
        <f t="shared" si="208"/>
        <v>0</v>
      </c>
      <c r="AP1846" s="60" t="b">
        <f t="shared" si="209"/>
        <v>0</v>
      </c>
      <c r="AQ1846" s="60" t="b">
        <f t="shared" si="210"/>
        <v>0</v>
      </c>
      <c r="AR1846" s="60" t="str">
        <f t="shared" si="211"/>
        <v>No</v>
      </c>
      <c r="AS1846" s="60" t="str">
        <f t="shared" si="212"/>
        <v>No</v>
      </c>
    </row>
    <row r="1847" spans="1:45" hidden="1">
      <c r="A1847" s="103">
        <v>45244</v>
      </c>
      <c r="B1847" s="117" t="s">
        <v>6863</v>
      </c>
      <c r="C1847" s="28" t="s">
        <v>861</v>
      </c>
      <c r="D1847" s="28" t="s">
        <v>6879</v>
      </c>
      <c r="E1847" s="28" t="s">
        <v>6880</v>
      </c>
      <c r="F1847" s="28" t="s">
        <v>6877</v>
      </c>
      <c r="G1847" s="28" t="s">
        <v>958</v>
      </c>
      <c r="H1847" s="28" t="s">
        <v>3771</v>
      </c>
      <c r="I1847" s="28" t="s">
        <v>517</v>
      </c>
      <c r="J1847" s="28" t="s">
        <v>517</v>
      </c>
      <c r="K1847" s="28" t="s">
        <v>682</v>
      </c>
      <c r="L1847" s="28" t="s">
        <v>6584</v>
      </c>
      <c r="M1847" s="28" t="s">
        <v>535</v>
      </c>
      <c r="N1847" s="28" t="s">
        <v>557</v>
      </c>
      <c r="O1847" s="28" t="s">
        <v>544</v>
      </c>
      <c r="P1847" s="28" t="s">
        <v>522</v>
      </c>
      <c r="S1847" s="28" t="s">
        <v>573</v>
      </c>
      <c r="T1847" s="28" t="s">
        <v>1918</v>
      </c>
      <c r="U1847" s="28" t="s">
        <v>1918</v>
      </c>
      <c r="V1847" s="28" t="s">
        <v>517</v>
      </c>
      <c r="W1847" s="28" t="s">
        <v>6881</v>
      </c>
      <c r="X1847" s="28" t="s">
        <v>1913</v>
      </c>
      <c r="AF1847" s="117"/>
      <c r="AK1847" s="60" t="s">
        <v>6558</v>
      </c>
      <c r="AL1847" s="117">
        <f>1/COUNTIF(Tableau6[LAT],B1847)</f>
        <v>0.2</v>
      </c>
      <c r="AM1847" s="60" t="b">
        <f t="shared" si="206"/>
        <v>0</v>
      </c>
      <c r="AN1847" s="60" t="b">
        <f t="shared" si="207"/>
        <v>0</v>
      </c>
      <c r="AO1847" s="60" t="b">
        <f t="shared" si="208"/>
        <v>0</v>
      </c>
      <c r="AP1847" s="60" t="b">
        <f t="shared" si="209"/>
        <v>0</v>
      </c>
      <c r="AQ1847" s="60" t="b">
        <f t="shared" si="210"/>
        <v>0</v>
      </c>
      <c r="AR1847" s="60" t="str">
        <f t="shared" si="211"/>
        <v>No</v>
      </c>
      <c r="AS1847" s="60" t="str">
        <f t="shared" si="212"/>
        <v>No</v>
      </c>
    </row>
    <row r="1848" spans="1:45" hidden="1">
      <c r="A1848" s="103">
        <v>45244</v>
      </c>
      <c r="B1848" s="117" t="s">
        <v>6882</v>
      </c>
      <c r="C1848" s="28" t="s">
        <v>511</v>
      </c>
      <c r="D1848" s="28" t="s">
        <v>6883</v>
      </c>
      <c r="E1848" s="28" t="s">
        <v>6884</v>
      </c>
      <c r="F1848" s="28" t="s">
        <v>6885</v>
      </c>
      <c r="G1848" s="28" t="s">
        <v>6886</v>
      </c>
      <c r="H1848" s="28" t="s">
        <v>6887</v>
      </c>
      <c r="I1848" s="28" t="s">
        <v>516</v>
      </c>
      <c r="J1848" s="28" t="s">
        <v>517</v>
      </c>
      <c r="K1848" s="28" t="s">
        <v>682</v>
      </c>
      <c r="L1848" s="28" t="s">
        <v>3078</v>
      </c>
      <c r="M1848" s="28" t="s">
        <v>535</v>
      </c>
      <c r="N1848" s="28" t="s">
        <v>557</v>
      </c>
      <c r="O1848" s="28" t="s">
        <v>522</v>
      </c>
      <c r="S1848" s="28" t="s">
        <v>1366</v>
      </c>
      <c r="T1848" s="28" t="s">
        <v>545</v>
      </c>
      <c r="U1848" s="28" t="s">
        <v>545</v>
      </c>
      <c r="V1848" s="28" t="s">
        <v>517</v>
      </c>
      <c r="W1848" s="28" t="s">
        <v>6888</v>
      </c>
      <c r="X1848" s="28" t="s">
        <v>670</v>
      </c>
      <c r="AF1848" s="117"/>
      <c r="AK1848" s="60" t="s">
        <v>6558</v>
      </c>
      <c r="AL1848" s="117">
        <f>1/COUNTIF(Tableau6[LAT],B1848)</f>
        <v>1</v>
      </c>
      <c r="AM1848" s="60" t="b">
        <f t="shared" si="206"/>
        <v>0</v>
      </c>
      <c r="AN1848" s="60" t="b">
        <f t="shared" si="207"/>
        <v>0</v>
      </c>
      <c r="AO1848" s="60" t="b">
        <f t="shared" si="208"/>
        <v>0</v>
      </c>
      <c r="AP1848" s="60" t="b">
        <f t="shared" si="209"/>
        <v>0</v>
      </c>
      <c r="AQ1848" s="60" t="b">
        <f t="shared" si="210"/>
        <v>0</v>
      </c>
      <c r="AR1848" s="60" t="str">
        <f t="shared" si="211"/>
        <v>No</v>
      </c>
      <c r="AS1848" s="60" t="str">
        <f t="shared" si="212"/>
        <v>No</v>
      </c>
    </row>
    <row r="1849" spans="1:45" hidden="1">
      <c r="A1849" s="103">
        <v>45244</v>
      </c>
      <c r="B1849" s="117" t="s">
        <v>6889</v>
      </c>
      <c r="C1849" s="28" t="s">
        <v>511</v>
      </c>
      <c r="D1849" s="28" t="s">
        <v>6890</v>
      </c>
      <c r="E1849" s="28" t="s">
        <v>6891</v>
      </c>
      <c r="F1849" s="28" t="s">
        <v>6892</v>
      </c>
      <c r="G1849" s="28" t="s">
        <v>1077</v>
      </c>
      <c r="H1849" s="28" t="s">
        <v>6893</v>
      </c>
      <c r="I1849" s="28" t="s">
        <v>516</v>
      </c>
      <c r="J1849" s="28" t="s">
        <v>517</v>
      </c>
      <c r="K1849" s="28" t="s">
        <v>518</v>
      </c>
      <c r="L1849" s="28" t="s">
        <v>6628</v>
      </c>
      <c r="M1849" s="28" t="s">
        <v>535</v>
      </c>
      <c r="N1849" s="28" t="s">
        <v>6894</v>
      </c>
      <c r="O1849" s="28" t="s">
        <v>6895</v>
      </c>
      <c r="P1849" s="28" t="s">
        <v>1637</v>
      </c>
      <c r="Q1849" s="28" t="s">
        <v>557</v>
      </c>
      <c r="R1849" s="28" t="s">
        <v>544</v>
      </c>
      <c r="S1849" s="28" t="s">
        <v>1042</v>
      </c>
      <c r="T1849" s="28" t="s">
        <v>3806</v>
      </c>
      <c r="U1849" s="28" t="s">
        <v>3806</v>
      </c>
      <c r="V1849" s="28" t="s">
        <v>517</v>
      </c>
      <c r="W1849" s="28" t="s">
        <v>6896</v>
      </c>
      <c r="X1849" s="28" t="s">
        <v>670</v>
      </c>
      <c r="AF1849" s="117"/>
      <c r="AK1849" s="60" t="s">
        <v>6558</v>
      </c>
      <c r="AL1849" s="117">
        <f>1/COUNTIF(Tableau6[LAT],B1849)</f>
        <v>0.5</v>
      </c>
      <c r="AM1849" s="60" t="b">
        <f t="shared" si="206"/>
        <v>0</v>
      </c>
      <c r="AN1849" s="60" t="b">
        <f t="shared" si="207"/>
        <v>0</v>
      </c>
      <c r="AO1849" s="60" t="b">
        <f t="shared" si="208"/>
        <v>0</v>
      </c>
      <c r="AP1849" s="60" t="b">
        <f t="shared" si="209"/>
        <v>0</v>
      </c>
      <c r="AQ1849" s="60" t="b">
        <f t="shared" si="210"/>
        <v>0</v>
      </c>
      <c r="AR1849" s="60" t="str">
        <f t="shared" si="211"/>
        <v>No</v>
      </c>
      <c r="AS1849" s="60" t="str">
        <f t="shared" si="212"/>
        <v>No</v>
      </c>
    </row>
    <row r="1850" spans="1:45" hidden="1">
      <c r="A1850" s="103">
        <v>45244</v>
      </c>
      <c r="B1850" s="117" t="s">
        <v>6889</v>
      </c>
      <c r="C1850" s="28" t="s">
        <v>548</v>
      </c>
      <c r="D1850" s="28" t="s">
        <v>6897</v>
      </c>
      <c r="E1850" s="28" t="s">
        <v>6898</v>
      </c>
      <c r="F1850" s="28" t="s">
        <v>6892</v>
      </c>
      <c r="G1850" s="28" t="s">
        <v>1077</v>
      </c>
      <c r="H1850" s="28" t="s">
        <v>6893</v>
      </c>
      <c r="I1850" s="28" t="s">
        <v>516</v>
      </c>
      <c r="J1850" s="28" t="s">
        <v>517</v>
      </c>
      <c r="K1850" s="28" t="s">
        <v>518</v>
      </c>
      <c r="L1850" s="28" t="s">
        <v>6628</v>
      </c>
      <c r="M1850" s="28" t="s">
        <v>535</v>
      </c>
      <c r="N1850" s="28" t="s">
        <v>6894</v>
      </c>
      <c r="O1850" s="28" t="s">
        <v>6895</v>
      </c>
      <c r="P1850" s="28" t="s">
        <v>1637</v>
      </c>
      <c r="Q1850" s="28" t="s">
        <v>557</v>
      </c>
      <c r="R1850" s="28" t="s">
        <v>544</v>
      </c>
      <c r="S1850" s="28" t="s">
        <v>1042</v>
      </c>
      <c r="T1850" s="28" t="s">
        <v>3806</v>
      </c>
      <c r="U1850" s="28" t="s">
        <v>3806</v>
      </c>
      <c r="V1850" s="28" t="s">
        <v>517</v>
      </c>
      <c r="W1850" s="28" t="s">
        <v>4368</v>
      </c>
      <c r="X1850" s="28" t="s">
        <v>670</v>
      </c>
      <c r="AF1850" s="117"/>
      <c r="AK1850" s="60" t="s">
        <v>6558</v>
      </c>
      <c r="AL1850" s="117">
        <f>1/COUNTIF(Tableau6[LAT],B1850)</f>
        <v>0.5</v>
      </c>
      <c r="AM1850" s="60" t="b">
        <f t="shared" si="206"/>
        <v>0</v>
      </c>
      <c r="AN1850" s="60" t="b">
        <f t="shared" si="207"/>
        <v>0</v>
      </c>
      <c r="AO1850" s="60" t="b">
        <f t="shared" si="208"/>
        <v>0</v>
      </c>
      <c r="AP1850" s="60" t="b">
        <f t="shared" si="209"/>
        <v>0</v>
      </c>
      <c r="AQ1850" s="60" t="b">
        <f t="shared" si="210"/>
        <v>0</v>
      </c>
      <c r="AR1850" s="60" t="str">
        <f t="shared" si="211"/>
        <v>No</v>
      </c>
      <c r="AS1850" s="60" t="str">
        <f t="shared" si="212"/>
        <v>No</v>
      </c>
    </row>
    <row r="1851" spans="1:45" hidden="1">
      <c r="A1851" s="103">
        <v>45244</v>
      </c>
      <c r="B1851" s="117" t="s">
        <v>6899</v>
      </c>
      <c r="C1851" s="28" t="s">
        <v>511</v>
      </c>
      <c r="D1851" s="28" t="s">
        <v>6900</v>
      </c>
      <c r="F1851" s="28" t="s">
        <v>696</v>
      </c>
      <c r="G1851" s="28" t="s">
        <v>514</v>
      </c>
      <c r="H1851" s="28" t="s">
        <v>1428</v>
      </c>
      <c r="I1851" s="28" t="s">
        <v>516</v>
      </c>
      <c r="J1851" s="28" t="s">
        <v>517</v>
      </c>
      <c r="K1851" s="28" t="s">
        <v>518</v>
      </c>
      <c r="L1851" s="28" t="s">
        <v>739</v>
      </c>
      <c r="M1851" s="28" t="s">
        <v>535</v>
      </c>
      <c r="N1851" s="28" t="s">
        <v>522</v>
      </c>
      <c r="S1851" s="28" t="s">
        <v>606</v>
      </c>
      <c r="T1851" s="28" t="s">
        <v>741</v>
      </c>
      <c r="U1851" s="28" t="s">
        <v>741</v>
      </c>
      <c r="V1851" s="28" t="s">
        <v>517</v>
      </c>
      <c r="W1851" s="28" t="s">
        <v>1620</v>
      </c>
      <c r="AF1851" s="117"/>
      <c r="AK1851" s="60" t="s">
        <v>6558</v>
      </c>
      <c r="AL1851" s="117">
        <f>1/COUNTIF(Tableau6[LAT],B1851)</f>
        <v>1</v>
      </c>
      <c r="AM1851" s="60" t="b">
        <f t="shared" si="206"/>
        <v>0</v>
      </c>
      <c r="AN1851" s="60" t="b">
        <f t="shared" si="207"/>
        <v>0</v>
      </c>
      <c r="AO1851" s="60" t="b">
        <f t="shared" si="208"/>
        <v>0</v>
      </c>
      <c r="AP1851" s="60" t="b">
        <f t="shared" si="209"/>
        <v>0</v>
      </c>
      <c r="AQ1851" s="60" t="b">
        <f t="shared" si="210"/>
        <v>0</v>
      </c>
      <c r="AR1851" s="60" t="str">
        <f t="shared" si="211"/>
        <v>No</v>
      </c>
      <c r="AS1851" s="60" t="str">
        <f t="shared" si="212"/>
        <v>No</v>
      </c>
    </row>
    <row r="1852" spans="1:45" hidden="1">
      <c r="A1852" s="103">
        <v>45244</v>
      </c>
      <c r="B1852" s="117" t="s">
        <v>6901</v>
      </c>
      <c r="C1852" s="28" t="s">
        <v>511</v>
      </c>
      <c r="D1852" s="28" t="s">
        <v>6902</v>
      </c>
      <c r="F1852" s="28" t="s">
        <v>2534</v>
      </c>
      <c r="G1852" s="28" t="s">
        <v>514</v>
      </c>
      <c r="H1852" s="28" t="s">
        <v>568</v>
      </c>
      <c r="I1852" s="28" t="s">
        <v>517</v>
      </c>
      <c r="J1852" s="28" t="s">
        <v>517</v>
      </c>
      <c r="K1852" s="28" t="s">
        <v>518</v>
      </c>
      <c r="L1852" s="28" t="s">
        <v>5545</v>
      </c>
      <c r="M1852" s="28" t="s">
        <v>535</v>
      </c>
      <c r="N1852" s="28" t="s">
        <v>1124</v>
      </c>
      <c r="S1852" s="28" t="s">
        <v>573</v>
      </c>
      <c r="T1852" s="28" t="s">
        <v>3969</v>
      </c>
      <c r="U1852" s="28" t="s">
        <v>3969</v>
      </c>
      <c r="V1852" s="28" t="s">
        <v>517</v>
      </c>
      <c r="W1852" s="28" t="s">
        <v>6903</v>
      </c>
      <c r="AF1852" s="117"/>
      <c r="AK1852" s="60" t="s">
        <v>6558</v>
      </c>
      <c r="AL1852" s="117">
        <f>1/COUNTIF(Tableau6[LAT],B1852)</f>
        <v>1</v>
      </c>
      <c r="AM1852" s="60" t="b">
        <f t="shared" si="206"/>
        <v>0</v>
      </c>
      <c r="AN1852" s="60" t="b">
        <f t="shared" si="207"/>
        <v>0</v>
      </c>
      <c r="AO1852" s="60" t="b">
        <f t="shared" si="208"/>
        <v>0</v>
      </c>
      <c r="AP1852" s="60" t="b">
        <f t="shared" si="209"/>
        <v>0</v>
      </c>
      <c r="AQ1852" s="60" t="b">
        <f t="shared" si="210"/>
        <v>0</v>
      </c>
      <c r="AR1852" s="60" t="str">
        <f t="shared" si="211"/>
        <v>No</v>
      </c>
      <c r="AS1852" s="60" t="str">
        <f t="shared" si="212"/>
        <v>No</v>
      </c>
    </row>
    <row r="1853" spans="1:45" hidden="1">
      <c r="A1853" s="103">
        <v>45244</v>
      </c>
      <c r="B1853" s="117" t="s">
        <v>6904</v>
      </c>
      <c r="C1853" s="28" t="s">
        <v>511</v>
      </c>
      <c r="D1853" s="28" t="s">
        <v>6905</v>
      </c>
      <c r="E1853" s="28" t="s">
        <v>6645</v>
      </c>
      <c r="F1853" s="28" t="s">
        <v>2339</v>
      </c>
      <c r="G1853" s="28" t="s">
        <v>514</v>
      </c>
      <c r="H1853" s="28" t="s">
        <v>2401</v>
      </c>
      <c r="I1853" s="28" t="s">
        <v>516</v>
      </c>
      <c r="J1853" s="28" t="s">
        <v>517</v>
      </c>
      <c r="K1853" s="28" t="s">
        <v>682</v>
      </c>
      <c r="L1853" s="28" t="s">
        <v>4699</v>
      </c>
      <c r="M1853" s="28" t="s">
        <v>535</v>
      </c>
      <c r="N1853" s="28" t="s">
        <v>557</v>
      </c>
      <c r="O1853" s="28" t="s">
        <v>522</v>
      </c>
      <c r="S1853" s="28" t="s">
        <v>698</v>
      </c>
      <c r="T1853" s="28" t="s">
        <v>4700</v>
      </c>
      <c r="U1853" s="28" t="s">
        <v>4700</v>
      </c>
      <c r="V1853" s="28" t="s">
        <v>517</v>
      </c>
      <c r="W1853" s="28" t="s">
        <v>5942</v>
      </c>
      <c r="X1853" s="28" t="s">
        <v>1071</v>
      </c>
      <c r="AF1853" s="117"/>
      <c r="AK1853" s="60" t="s">
        <v>6558</v>
      </c>
      <c r="AL1853" s="117">
        <f>1/COUNTIF(Tableau6[LAT],B1853)</f>
        <v>1</v>
      </c>
      <c r="AM1853" s="60" t="b">
        <f t="shared" si="206"/>
        <v>0</v>
      </c>
      <c r="AN1853" s="60" t="b">
        <f t="shared" si="207"/>
        <v>0</v>
      </c>
      <c r="AO1853" s="60" t="b">
        <f t="shared" si="208"/>
        <v>0</v>
      </c>
      <c r="AP1853" s="60" t="b">
        <f t="shared" si="209"/>
        <v>0</v>
      </c>
      <c r="AQ1853" s="60" t="b">
        <f t="shared" si="210"/>
        <v>0</v>
      </c>
      <c r="AR1853" s="60" t="str">
        <f t="shared" si="211"/>
        <v>No</v>
      </c>
      <c r="AS1853" s="60" t="str">
        <f t="shared" si="212"/>
        <v>No</v>
      </c>
    </row>
    <row r="1854" spans="1:45" hidden="1">
      <c r="A1854" s="103">
        <v>45244</v>
      </c>
      <c r="B1854" s="117" t="s">
        <v>6906</v>
      </c>
      <c r="C1854" s="28" t="s">
        <v>511</v>
      </c>
      <c r="D1854" s="28" t="s">
        <v>6907</v>
      </c>
      <c r="F1854" s="28" t="s">
        <v>6187</v>
      </c>
      <c r="G1854" s="28" t="s">
        <v>4612</v>
      </c>
      <c r="H1854" s="28" t="s">
        <v>3158</v>
      </c>
      <c r="I1854" s="28" t="s">
        <v>516</v>
      </c>
      <c r="J1854" s="28" t="s">
        <v>517</v>
      </c>
      <c r="K1854" s="28" t="s">
        <v>518</v>
      </c>
      <c r="L1854" s="28" t="s">
        <v>1079</v>
      </c>
      <c r="M1854" s="28" t="s">
        <v>535</v>
      </c>
      <c r="N1854" s="28" t="s">
        <v>572</v>
      </c>
      <c r="O1854" s="28" t="s">
        <v>557</v>
      </c>
      <c r="P1854" s="28" t="s">
        <v>522</v>
      </c>
      <c r="S1854" s="28" t="s">
        <v>732</v>
      </c>
      <c r="T1854" s="28" t="s">
        <v>668</v>
      </c>
      <c r="U1854" s="28" t="s">
        <v>668</v>
      </c>
      <c r="V1854" s="28" t="s">
        <v>517</v>
      </c>
      <c r="W1854" s="28" t="s">
        <v>1620</v>
      </c>
      <c r="AF1854" s="117"/>
      <c r="AK1854" s="60" t="s">
        <v>6558</v>
      </c>
      <c r="AL1854" s="117">
        <f>1/COUNTIF(Tableau6[LAT],B1854)</f>
        <v>1</v>
      </c>
      <c r="AM1854" s="60" t="b">
        <f t="shared" si="206"/>
        <v>0</v>
      </c>
      <c r="AN1854" s="60" t="b">
        <f t="shared" si="207"/>
        <v>0</v>
      </c>
      <c r="AO1854" s="60" t="b">
        <f t="shared" si="208"/>
        <v>0</v>
      </c>
      <c r="AP1854" s="60" t="b">
        <f t="shared" si="209"/>
        <v>0</v>
      </c>
      <c r="AQ1854" s="60" t="b">
        <f t="shared" si="210"/>
        <v>0</v>
      </c>
      <c r="AR1854" s="60" t="str">
        <f t="shared" si="211"/>
        <v>No</v>
      </c>
      <c r="AS1854" s="60" t="str">
        <f t="shared" si="212"/>
        <v>No</v>
      </c>
    </row>
    <row r="1855" spans="1:45" hidden="1">
      <c r="A1855" s="103">
        <v>45244</v>
      </c>
      <c r="B1855" s="117" t="s">
        <v>6908</v>
      </c>
      <c r="C1855" s="28" t="s">
        <v>511</v>
      </c>
      <c r="D1855" s="28" t="s">
        <v>6909</v>
      </c>
      <c r="F1855" s="28" t="s">
        <v>6910</v>
      </c>
      <c r="G1855" s="28" t="s">
        <v>514</v>
      </c>
      <c r="H1855" s="28" t="s">
        <v>2732</v>
      </c>
      <c r="I1855" s="28" t="s">
        <v>517</v>
      </c>
      <c r="J1855" s="28" t="s">
        <v>517</v>
      </c>
      <c r="K1855" s="28" t="s">
        <v>518</v>
      </c>
      <c r="L1855" s="28" t="s">
        <v>5806</v>
      </c>
      <c r="M1855" s="28" t="s">
        <v>535</v>
      </c>
      <c r="S1855" s="28" t="s">
        <v>573</v>
      </c>
      <c r="T1855" s="28" t="s">
        <v>5807</v>
      </c>
      <c r="U1855" s="28" t="s">
        <v>5807</v>
      </c>
      <c r="V1855" s="28" t="s">
        <v>517</v>
      </c>
      <c r="W1855" s="28" t="s">
        <v>975</v>
      </c>
      <c r="AF1855" s="117"/>
      <c r="AK1855" s="60" t="s">
        <v>6558</v>
      </c>
      <c r="AL1855" s="117">
        <f>1/COUNTIF(Tableau6[LAT],B1855)</f>
        <v>0.33333333333333331</v>
      </c>
      <c r="AM1855" s="60" t="b">
        <f t="shared" si="206"/>
        <v>0</v>
      </c>
      <c r="AN1855" s="60" t="b">
        <f t="shared" si="207"/>
        <v>0</v>
      </c>
      <c r="AO1855" s="60" t="b">
        <f t="shared" si="208"/>
        <v>0</v>
      </c>
      <c r="AP1855" s="60" t="b">
        <f t="shared" si="209"/>
        <v>0</v>
      </c>
      <c r="AQ1855" s="60" t="b">
        <f t="shared" si="210"/>
        <v>0</v>
      </c>
      <c r="AR1855" s="60" t="str">
        <f t="shared" si="211"/>
        <v>No</v>
      </c>
      <c r="AS1855" s="60" t="str">
        <f t="shared" si="212"/>
        <v>No</v>
      </c>
    </row>
    <row r="1856" spans="1:45" hidden="1">
      <c r="A1856" s="103">
        <v>45244</v>
      </c>
      <c r="B1856" s="117" t="s">
        <v>6908</v>
      </c>
      <c r="C1856" s="28" t="s">
        <v>548</v>
      </c>
      <c r="D1856" s="28" t="s">
        <v>6911</v>
      </c>
      <c r="F1856" s="28" t="s">
        <v>6912</v>
      </c>
      <c r="G1856" s="28" t="s">
        <v>979</v>
      </c>
      <c r="H1856" s="28" t="s">
        <v>1732</v>
      </c>
      <c r="I1856" s="28" t="s">
        <v>517</v>
      </c>
      <c r="J1856" s="28" t="s">
        <v>517</v>
      </c>
      <c r="K1856" s="28" t="s">
        <v>518</v>
      </c>
      <c r="L1856" s="28" t="s">
        <v>5806</v>
      </c>
      <c r="M1856" s="28" t="s">
        <v>535</v>
      </c>
      <c r="N1856" s="28" t="s">
        <v>544</v>
      </c>
      <c r="S1856" s="28" t="s">
        <v>573</v>
      </c>
      <c r="T1856" s="28" t="s">
        <v>5807</v>
      </c>
      <c r="U1856" s="28" t="s">
        <v>5807</v>
      </c>
      <c r="V1856" s="28" t="s">
        <v>517</v>
      </c>
      <c r="W1856" s="28" t="s">
        <v>6913</v>
      </c>
      <c r="AF1856" s="117"/>
      <c r="AK1856" s="60" t="s">
        <v>6558</v>
      </c>
      <c r="AL1856" s="117">
        <f>1/COUNTIF(Tableau6[LAT],B1856)</f>
        <v>0.33333333333333331</v>
      </c>
      <c r="AM1856" s="60" t="b">
        <f t="shared" si="206"/>
        <v>0</v>
      </c>
      <c r="AN1856" s="60" t="b">
        <f t="shared" si="207"/>
        <v>0</v>
      </c>
      <c r="AO1856" s="60" t="b">
        <f t="shared" si="208"/>
        <v>0</v>
      </c>
      <c r="AP1856" s="60" t="b">
        <f t="shared" si="209"/>
        <v>0</v>
      </c>
      <c r="AQ1856" s="60" t="b">
        <f t="shared" si="210"/>
        <v>0</v>
      </c>
      <c r="AR1856" s="60" t="str">
        <f t="shared" si="211"/>
        <v>No</v>
      </c>
      <c r="AS1856" s="60" t="str">
        <f t="shared" si="212"/>
        <v>No</v>
      </c>
    </row>
    <row r="1857" spans="1:45" hidden="1">
      <c r="A1857" s="103">
        <v>45244</v>
      </c>
      <c r="B1857" s="117" t="s">
        <v>6908</v>
      </c>
      <c r="C1857" s="28" t="s">
        <v>612</v>
      </c>
      <c r="D1857" s="28" t="s">
        <v>6914</v>
      </c>
      <c r="F1857" s="28" t="s">
        <v>6915</v>
      </c>
      <c r="G1857" s="28" t="s">
        <v>657</v>
      </c>
      <c r="H1857" s="28" t="s">
        <v>2119</v>
      </c>
      <c r="I1857" s="28" t="s">
        <v>517</v>
      </c>
      <c r="J1857" s="28" t="s">
        <v>517</v>
      </c>
      <c r="K1857" s="28" t="s">
        <v>518</v>
      </c>
      <c r="L1857" s="28" t="s">
        <v>5806</v>
      </c>
      <c r="M1857" s="28" t="s">
        <v>535</v>
      </c>
      <c r="S1857" s="28" t="s">
        <v>573</v>
      </c>
      <c r="T1857" s="28" t="s">
        <v>5807</v>
      </c>
      <c r="U1857" s="28" t="s">
        <v>5807</v>
      </c>
      <c r="V1857" s="28" t="s">
        <v>517</v>
      </c>
      <c r="W1857" s="28" t="s">
        <v>6916</v>
      </c>
      <c r="AF1857" s="117"/>
      <c r="AK1857" s="60" t="s">
        <v>6558</v>
      </c>
      <c r="AL1857" s="117">
        <f>1/COUNTIF(Tableau6[LAT],B1857)</f>
        <v>0.33333333333333331</v>
      </c>
      <c r="AM1857" s="60" t="b">
        <f t="shared" si="206"/>
        <v>0</v>
      </c>
      <c r="AN1857" s="60" t="b">
        <f t="shared" si="207"/>
        <v>0</v>
      </c>
      <c r="AO1857" s="60" t="b">
        <f t="shared" si="208"/>
        <v>0</v>
      </c>
      <c r="AP1857" s="60" t="b">
        <f t="shared" si="209"/>
        <v>0</v>
      </c>
      <c r="AQ1857" s="60" t="b">
        <f t="shared" si="210"/>
        <v>0</v>
      </c>
      <c r="AR1857" s="60" t="str">
        <f t="shared" si="211"/>
        <v>No</v>
      </c>
      <c r="AS1857" s="60" t="str">
        <f t="shared" si="212"/>
        <v>No</v>
      </c>
    </row>
    <row r="1858" spans="1:45" hidden="1">
      <c r="A1858" s="103">
        <v>45244</v>
      </c>
      <c r="B1858" s="117" t="s">
        <v>6917</v>
      </c>
      <c r="C1858" s="28" t="s">
        <v>511</v>
      </c>
      <c r="D1858" s="28" t="s">
        <v>6918</v>
      </c>
      <c r="F1858" s="28" t="s">
        <v>6919</v>
      </c>
      <c r="G1858" s="28" t="s">
        <v>514</v>
      </c>
      <c r="H1858" s="28" t="s">
        <v>6920</v>
      </c>
      <c r="I1858" s="28" t="s">
        <v>516</v>
      </c>
      <c r="J1858" s="28" t="s">
        <v>517</v>
      </c>
      <c r="K1858" s="28" t="s">
        <v>518</v>
      </c>
      <c r="L1858" s="28" t="s">
        <v>1199</v>
      </c>
      <c r="M1858" s="28" t="s">
        <v>605</v>
      </c>
      <c r="N1858" s="28" t="s">
        <v>557</v>
      </c>
      <c r="O1858" s="28" t="s">
        <v>544</v>
      </c>
      <c r="P1858" s="28" t="s">
        <v>522</v>
      </c>
      <c r="S1858" s="28" t="s">
        <v>536</v>
      </c>
      <c r="T1858" s="28" t="s">
        <v>651</v>
      </c>
      <c r="U1858" s="28" t="s">
        <v>651</v>
      </c>
      <c r="V1858" s="28" t="s">
        <v>517</v>
      </c>
      <c r="W1858" s="28" t="s">
        <v>1620</v>
      </c>
      <c r="AF1858" s="117"/>
      <c r="AK1858" s="60" t="s">
        <v>6558</v>
      </c>
      <c r="AL1858" s="117">
        <f>1/COUNTIF(Tableau6[LAT],B1858)</f>
        <v>1</v>
      </c>
      <c r="AM1858" s="60" t="b">
        <f t="shared" si="206"/>
        <v>0</v>
      </c>
      <c r="AN1858" s="60" t="b">
        <f t="shared" si="207"/>
        <v>0</v>
      </c>
      <c r="AO1858" s="60" t="b">
        <f t="shared" si="208"/>
        <v>0</v>
      </c>
      <c r="AP1858" s="60" t="b">
        <f t="shared" si="209"/>
        <v>0</v>
      </c>
      <c r="AQ1858" s="60" t="b">
        <f t="shared" si="210"/>
        <v>0</v>
      </c>
      <c r="AR1858" s="60" t="str">
        <f t="shared" si="211"/>
        <v>No</v>
      </c>
      <c r="AS1858" s="60" t="str">
        <f t="shared" si="212"/>
        <v>Yes</v>
      </c>
    </row>
    <row r="1859" spans="1:45" hidden="1">
      <c r="A1859" s="103">
        <v>45244</v>
      </c>
      <c r="B1859" s="117" t="s">
        <v>6921</v>
      </c>
      <c r="C1859" s="28" t="s">
        <v>511</v>
      </c>
      <c r="D1859" s="28" t="s">
        <v>6922</v>
      </c>
      <c r="E1859" s="28" t="s">
        <v>6923</v>
      </c>
      <c r="F1859" s="28" t="s">
        <v>6924</v>
      </c>
      <c r="G1859" s="28" t="s">
        <v>1077</v>
      </c>
      <c r="H1859" s="28" t="s">
        <v>4995</v>
      </c>
      <c r="I1859" s="28" t="s">
        <v>516</v>
      </c>
      <c r="J1859" s="28" t="s">
        <v>517</v>
      </c>
      <c r="K1859" s="28" t="s">
        <v>518</v>
      </c>
      <c r="L1859" s="28" t="s">
        <v>1276</v>
      </c>
      <c r="M1859" s="28" t="s">
        <v>535</v>
      </c>
      <c r="N1859" s="28" t="s">
        <v>557</v>
      </c>
      <c r="O1859" s="28" t="s">
        <v>544</v>
      </c>
      <c r="P1859" s="28" t="s">
        <v>522</v>
      </c>
      <c r="S1859" s="28" t="s">
        <v>698</v>
      </c>
      <c r="T1859" s="28" t="s">
        <v>917</v>
      </c>
      <c r="U1859" s="28" t="s">
        <v>917</v>
      </c>
      <c r="V1859" s="28" t="s">
        <v>517</v>
      </c>
      <c r="W1859" s="28" t="s">
        <v>6925</v>
      </c>
      <c r="X1859" s="28" t="s">
        <v>670</v>
      </c>
      <c r="AF1859" s="117"/>
      <c r="AK1859" s="60" t="s">
        <v>6558</v>
      </c>
      <c r="AL1859" s="117">
        <f>1/COUNTIF(Tableau6[LAT],B1859)</f>
        <v>1</v>
      </c>
      <c r="AM1859" s="60" t="b">
        <f t="shared" si="206"/>
        <v>0</v>
      </c>
      <c r="AN1859" s="60" t="b">
        <f t="shared" si="207"/>
        <v>0</v>
      </c>
      <c r="AO1859" s="60" t="b">
        <f t="shared" si="208"/>
        <v>0</v>
      </c>
      <c r="AP1859" s="60" t="b">
        <f t="shared" si="209"/>
        <v>0</v>
      </c>
      <c r="AQ1859" s="60" t="b">
        <f t="shared" si="210"/>
        <v>0</v>
      </c>
      <c r="AR1859" s="60" t="str">
        <f t="shared" si="211"/>
        <v>No</v>
      </c>
      <c r="AS1859" s="60" t="str">
        <f t="shared" si="212"/>
        <v>No</v>
      </c>
    </row>
    <row r="1860" spans="1:45" hidden="1">
      <c r="A1860" s="103">
        <v>45244</v>
      </c>
      <c r="B1860" s="117" t="s">
        <v>6011</v>
      </c>
      <c r="C1860" s="28" t="s">
        <v>548</v>
      </c>
      <c r="D1860" s="28" t="s">
        <v>6926</v>
      </c>
      <c r="E1860" s="28" t="s">
        <v>6927</v>
      </c>
      <c r="F1860" s="28" t="s">
        <v>6928</v>
      </c>
      <c r="G1860" s="28" t="s">
        <v>2675</v>
      </c>
      <c r="H1860" s="28" t="s">
        <v>1236</v>
      </c>
      <c r="I1860" s="28" t="s">
        <v>516</v>
      </c>
      <c r="J1860" s="28" t="s">
        <v>517</v>
      </c>
      <c r="K1860" s="28" t="s">
        <v>682</v>
      </c>
      <c r="L1860" s="28" t="s">
        <v>6584</v>
      </c>
      <c r="M1860" s="28" t="s">
        <v>535</v>
      </c>
      <c r="N1860" s="28" t="s">
        <v>522</v>
      </c>
      <c r="S1860" s="28" t="s">
        <v>960</v>
      </c>
      <c r="T1860" s="28" t="s">
        <v>1918</v>
      </c>
      <c r="U1860" s="28" t="s">
        <v>1918</v>
      </c>
      <c r="V1860" s="28" t="s">
        <v>517</v>
      </c>
      <c r="W1860" s="28" t="s">
        <v>6836</v>
      </c>
      <c r="X1860" s="28" t="s">
        <v>1913</v>
      </c>
      <c r="AF1860" s="117"/>
      <c r="AK1860" s="60" t="s">
        <v>6558</v>
      </c>
      <c r="AL1860" s="117">
        <f>1/COUNTIF(Tableau6[LAT],B1860)</f>
        <v>7.6923076923076927E-2</v>
      </c>
      <c r="AM1860" s="60" t="b">
        <f t="shared" si="206"/>
        <v>0</v>
      </c>
      <c r="AN1860" s="60" t="b">
        <f t="shared" si="207"/>
        <v>0</v>
      </c>
      <c r="AO1860" s="60" t="b">
        <f t="shared" si="208"/>
        <v>0</v>
      </c>
      <c r="AP1860" s="60" t="b">
        <f t="shared" si="209"/>
        <v>0</v>
      </c>
      <c r="AQ1860" s="60" t="b">
        <f t="shared" si="210"/>
        <v>0</v>
      </c>
      <c r="AR1860" s="60" t="str">
        <f t="shared" si="211"/>
        <v>No</v>
      </c>
      <c r="AS1860" s="60" t="str">
        <f t="shared" si="212"/>
        <v>No</v>
      </c>
    </row>
    <row r="1861" spans="1:45" hidden="1">
      <c r="A1861" s="103">
        <v>45244</v>
      </c>
      <c r="B1861" s="117" t="s">
        <v>6011</v>
      </c>
      <c r="C1861" s="28" t="s">
        <v>691</v>
      </c>
      <c r="D1861" s="28" t="s">
        <v>6929</v>
      </c>
      <c r="E1861" s="28" t="s">
        <v>6880</v>
      </c>
      <c r="F1861" s="28" t="s">
        <v>1553</v>
      </c>
      <c r="G1861" s="28" t="s">
        <v>6930</v>
      </c>
      <c r="H1861" s="28" t="s">
        <v>542</v>
      </c>
      <c r="I1861" s="28" t="s">
        <v>516</v>
      </c>
      <c r="J1861" s="28" t="s">
        <v>517</v>
      </c>
      <c r="K1861" s="28" t="s">
        <v>682</v>
      </c>
      <c r="L1861" s="28" t="s">
        <v>6584</v>
      </c>
      <c r="M1861" s="28" t="s">
        <v>535</v>
      </c>
      <c r="N1861" s="28" t="s">
        <v>522</v>
      </c>
      <c r="S1861" s="28" t="s">
        <v>960</v>
      </c>
      <c r="T1861" s="28" t="s">
        <v>1918</v>
      </c>
      <c r="U1861" s="28" t="s">
        <v>1918</v>
      </c>
      <c r="V1861" s="28" t="s">
        <v>517</v>
      </c>
      <c r="W1861" s="28" t="s">
        <v>6881</v>
      </c>
      <c r="X1861" s="28" t="s">
        <v>1913</v>
      </c>
      <c r="AF1861" s="117"/>
      <c r="AK1861" s="60" t="s">
        <v>6558</v>
      </c>
      <c r="AL1861" s="117">
        <f>1/COUNTIF(Tableau6[LAT],B1861)</f>
        <v>7.6923076923076927E-2</v>
      </c>
      <c r="AM1861" s="60" t="b">
        <f t="shared" si="206"/>
        <v>0</v>
      </c>
      <c r="AN1861" s="60" t="b">
        <f t="shared" si="207"/>
        <v>0</v>
      </c>
      <c r="AO1861" s="60" t="b">
        <f t="shared" si="208"/>
        <v>0</v>
      </c>
      <c r="AP1861" s="60" t="b">
        <f t="shared" si="209"/>
        <v>0</v>
      </c>
      <c r="AQ1861" s="60" t="b">
        <f t="shared" si="210"/>
        <v>0</v>
      </c>
      <c r="AR1861" s="60" t="str">
        <f t="shared" si="211"/>
        <v>No</v>
      </c>
      <c r="AS1861" s="60" t="str">
        <f t="shared" si="212"/>
        <v>No</v>
      </c>
    </row>
    <row r="1862" spans="1:45" hidden="1">
      <c r="A1862" s="103">
        <v>45244</v>
      </c>
      <c r="B1862" s="117" t="s">
        <v>6011</v>
      </c>
      <c r="C1862" s="28" t="s">
        <v>859</v>
      </c>
      <c r="D1862" s="28" t="s">
        <v>6931</v>
      </c>
      <c r="E1862" s="28" t="s">
        <v>6880</v>
      </c>
      <c r="F1862" s="28" t="s">
        <v>6932</v>
      </c>
      <c r="G1862" s="28" t="s">
        <v>2675</v>
      </c>
      <c r="H1862" s="28" t="s">
        <v>1236</v>
      </c>
      <c r="I1862" s="28" t="s">
        <v>516</v>
      </c>
      <c r="J1862" s="28" t="s">
        <v>517</v>
      </c>
      <c r="K1862" s="28" t="s">
        <v>682</v>
      </c>
      <c r="L1862" s="28" t="s">
        <v>6584</v>
      </c>
      <c r="M1862" s="28" t="s">
        <v>535</v>
      </c>
      <c r="N1862" s="28" t="s">
        <v>522</v>
      </c>
      <c r="S1862" s="28" t="s">
        <v>960</v>
      </c>
      <c r="T1862" s="28" t="s">
        <v>1918</v>
      </c>
      <c r="U1862" s="28" t="s">
        <v>1918</v>
      </c>
      <c r="V1862" s="28" t="s">
        <v>517</v>
      </c>
      <c r="W1862" s="28" t="s">
        <v>6881</v>
      </c>
      <c r="X1862" s="28" t="s">
        <v>1913</v>
      </c>
      <c r="AF1862" s="117"/>
      <c r="AK1862" s="60" t="s">
        <v>6558</v>
      </c>
      <c r="AL1862" s="117">
        <f>1/COUNTIF(Tableau6[LAT],B1862)</f>
        <v>7.6923076923076927E-2</v>
      </c>
      <c r="AM1862" s="60" t="b">
        <f t="shared" ref="AM1862:AM1925" si="213">IF(N1862="ALM","Yes",IF(N1862="ALI","Yes",IF(N1862="CAO","Yes",IF(N1862="ICE","Yes",IF(N1862="MAG","Yes",IF(N1862="MAG","Yes",IF(N1862="RBI","Yes",IF(N1862="RBM","Yes",IF(N1862="RCL","Yes",IF(N1862="RCM","Yes",IF(N1862="RCX","Yes",IF(N1862="RDS","Yes",IF(N1862="REQ","Yes",IF(N1862="REX","Yes",IF(N1862="RFG","Yes",IF(N1862="RFL","Yes",IF(N1862="RFS","Yes",IF(N1862="RFW","Yes",IF(N1862="RGX","Yes",IF(N1862="RIS",IF(N1862="RLI","Yes",IF(N1862="RLM","Yes",IF(N1862="RMD","Yes",IF(N1862="RNG","Yes",IF(N1862="ROP","Yes",IF(N1862="ROX","Yes",IF(N1862="RPB","Yes",IF(N1862="RPG","Yes",IF(N1862="RRE","Yes",IF(N1862="RRW","Yes",IF(N1862="RRY","Yes",IF(N1862="RSB","Yes",IF(N1862="RSC","Yes",IF(N1862="RXB","Yes",IF(N1862="RXC","Yes",IF(N1862="RXD","Yes",IF(N1862="RXE","Yes",IF(N1862="RXG","Yes",IF(N1862="RXS","Yes",)))))))))))))))))))))))))))))))))))))))</f>
        <v>0</v>
      </c>
      <c r="AN1862" s="60" t="b">
        <f t="shared" ref="AN1862:AN1925" si="214">IF(O1862="ALM","Yes",IF(O1862="ALI","Yes",IF(O1862="CAO","Yes",IF(O1862="ICE","Yes",IF(O1862="MAG","Yes",IF(O1862="MAG","Yes",IF(O1862="RBI","Yes",IF(O1862="RBM","Yes",IF(O1862="RCL","Yes",IF(O1862="RCM","Yes",IF(O1862="RCX","Yes",IF(O1862="RDS","Yes",IF(O1862="REQ","Yes",IF(O1862="REX","Yes",IF(O1862="RFG","Yes",IF(O1862="RFL","Yes",IF(O1862="RFS","Yes",IF(O1862="RFW","Yes",IF(O1862="RGX","Yes",IF(O1862="RIS",IF(O1862="RLI","Yes",IF(O1862="RLM","Yes",IF(O1862="RMD","Yes",IF(O1862="RNG","Yes",IF(O1862="ROP","Yes",IF(O1862="ROX","Yes",IF(O1862="RPB","Yes",IF(O1862="RPG","Yes",IF(O1862="RRE","Yes",IF(O1862="RRW","Yes",IF(O1862="RRY","Yes",IF(O1862="RSB","Yes",IF(O1862="RSC","Yes",IF(O1862="RXB","Yes",IF(O1862="RXC","Yes",IF(O1862="RXD","Yes",IF(O1862="RXE","Yes",IF(O1862="RXG","Yes",IF(O1862="RXS","Yes",)))))))))))))))))))))))))))))))))))))))</f>
        <v>0</v>
      </c>
      <c r="AO1862" s="60" t="b">
        <f t="shared" ref="AO1862:AO1925" si="215">IF(P1862="ALM","Yes",IF(P1862="ALI","Yes",IF(P1862="CAO","Yes",IF(P1862="ICE","Yes",IF(P1862="MAG","Yes",IF(P1862="MAG","Yes",IF(P1862="RBI","Yes",IF(P1862="RBM","Yes",IF(P1862="RCL","Yes",IF(P1862="RCM","Yes",IF(P1862="RCX","Yes",IF(P1862="RDS","Yes",IF(P1862="REQ","Yes",IF(P1862="REX","Yes",IF(P1862="RFG","Yes",IF(P1862="RFL","Yes",IF(P1862="RFS","Yes",IF(P1862="RFW","Yes",IF(P1862="RGX","Yes",IF(P1862="RIS",IF(P1862="RLI","Yes",IF(P1862="RLM","Yes",IF(P1862="RMD","Yes",IF(P1862="RNG","Yes",IF(P1862="ROP","Yes",IF(P1862="ROX","Yes",IF(P1862="RPB","Yes",IF(P1862="RPG","Yes",IF(P1862="RRE","Yes",IF(P1862="RRW","Yes",IF(P1862="RRY","Yes",IF(P1862="RSB","Yes",IF(P1862="RSC","Yes",IF(P1862="RXB","Yes",IF(P1862="RXC","Yes",IF(P1862="RXD","Yes",IF(P1862="RXE","Yes",IF(P1862="RXG","Yes",IF(P1862="RXS","Yes",)))))))))))))))))))))))))))))))))))))))</f>
        <v>0</v>
      </c>
      <c r="AP1862" s="60" t="b">
        <f t="shared" ref="AP1862:AP1925" si="216">IF(Q1862="ALM","Yes",IF(Q1862="ALI","Yes",IF(Q1862="CAO","Yes",IF(Q1862="ICE","Yes",IF(Q1862="MAG","Yes",IF(Q1862="MAG","Yes",IF(Q1862="RBI","Yes",IF(Q1862="RBM","Yes",IF(Q1862="RCL","Yes",IF(Q1862="RCM","Yes",IF(Q1862="RCX","Yes",IF(Q1862="RDS","Yes",IF(Q1862="REQ","Yes",IF(Q1862="REX","Yes",IF(Q1862="RFG","Yes",IF(Q1862="RFL","Yes",IF(Q1862="RFS","Yes",IF(Q1862="RFW","Yes",IF(Q1862="RGX","Yes",IF(Q1862="RIS",IF(Q1862="RLI","Yes",IF(Q1862="RLM","Yes",IF(Q1862="RMD","Yes",IF(Q1862="RNG","Yes",IF(Q1862="ROP","Yes",IF(Q1862="ROX","Yes",IF(Q1862="RPB","Yes",IF(Q1862="RPG","Yes",IF(Q1862="RRE","Yes",IF(Q1862="RRW","Yes",IF(Q1862="RRY","Yes",IF(Q1862="RSB","Yes",IF(Q1862="RSC","Yes",IF(Q1862="RXB","Yes",IF(Q1862="RXC","Yes",IF(Q1862="RXD","Yes",IF(Q1862="RXE","Yes",IF(Q1862="RXG","Yes",IF(Q1862="RXS","Yes",)))))))))))))))))))))))))))))))))))))))</f>
        <v>0</v>
      </c>
      <c r="AQ1862" s="60" t="b">
        <f t="shared" ref="AQ1862:AQ1925" si="217">IF(R1862="ALM","Yes",IF(R1862="ALI","Yes",IF(R1862="CAO","Yes",IF(R1862="ICE","Yes",IF(R1862="MAG","Yes",IF(R1862="MAG","Yes",IF(R1862="RBI","Yes",IF(R1862="RBM","Yes",IF(R1862="RCL","Yes",IF(R1862="RCM","Yes",IF(R1862="RCX","Yes",IF(R1862="RDS","Yes",IF(R1862="REQ","Yes",IF(R1862="REX","Yes",IF(R1862="RFG","Yes",IF(R1862="RFL","Yes",IF(R1862="RFS","Yes",IF(R1862="RFW","Yes",IF(R1862="RGX","Yes",IF(R1862="RIS",IF(R1862="RLI","Yes",IF(R1862="RLM","Yes",IF(R1862="RMD","Yes",IF(R1862="RNG","Yes",IF(R1862="ROP","Yes",IF(R1862="ROX","Yes",IF(R1862="RPB","Yes",IF(R1862="RPG","Yes",IF(R1862="RRE","Yes",IF(R1862="RRW","Yes",IF(R1862="RRY","Yes",IF(R1862="RSB","Yes",IF(R1862="RSC","Yes",IF(R1862="RXB","Yes",IF(R1862="RXC","Yes",IF(R1862="RXD","Yes",IF(R1862="RXE","Yes",IF(R1862="RXG","Yes",IF(R1862="RXS","Yes",)))))))))))))))))))))))))))))))))))))))</f>
        <v>0</v>
      </c>
      <c r="AR1862" s="60" t="str">
        <f t="shared" ref="AR1862:AR1925" si="218">IF(AM1862="Yes","Yes",IF(AN1862="Yes","Yes",IF(AO1862="yes","Yes",IF(AP1862="Yes","Yes","No"))))</f>
        <v>No</v>
      </c>
      <c r="AS1862" s="60" t="str">
        <f t="shared" ref="AS1862:AS1925" si="219">IF(S1862="QFA","Yes",IF(S1862="LCJ","Yes",IF(S1862="CAJ","Yes",IF(S1862="WRO","Yes",IF(S1862="BEY","Yes",IF(S1862="TUN","Yes",IF(S1862="LFW","Yes",IF(S1862="DLA","Yes",IF(S1862="NSI","Yes",IF(S1862="OUA","Yes",IF(S1862="IAH","Yes",IF(S1862="LYS","Yes",IF(S1862="DSS","Yes",IF(S1862="BKO","Yes",IF(S1862="BZV","Yes",IF(S1862="COO","Yes",IF(S1862="EZE","Yes",IF(S1862="CKY","Yes",IF(S1862="PTP","Yes",IF(S1862="ORD","Yes",IF(S1862="CFE","Yes",IF(S1862="NKC","Yes",IF(S1862="FDF","Yes",IF(S1862="SDQ","Yes",IF(S1862="PNR","Yes",IF(S1862="ICAY","Yes",IF(S1862="DTW","Yes",IF(S1862="TNR","Yes",IF(S1862="RUN","Yes",IF(S1862="NIM","Yes","No"))))))))))))))))))))))))))))))</f>
        <v>No</v>
      </c>
    </row>
    <row r="1863" spans="1:45" hidden="1">
      <c r="A1863" s="103">
        <v>45244</v>
      </c>
      <c r="B1863" s="117" t="s">
        <v>6011</v>
      </c>
      <c r="C1863" s="28" t="s">
        <v>861</v>
      </c>
      <c r="D1863" s="28" t="s">
        <v>6933</v>
      </c>
      <c r="E1863" s="28" t="s">
        <v>6880</v>
      </c>
      <c r="F1863" s="28" t="s">
        <v>6934</v>
      </c>
      <c r="G1863" s="28" t="s">
        <v>6935</v>
      </c>
      <c r="H1863" s="28" t="s">
        <v>828</v>
      </c>
      <c r="I1863" s="28" t="s">
        <v>516</v>
      </c>
      <c r="J1863" s="28" t="s">
        <v>517</v>
      </c>
      <c r="K1863" s="28" t="s">
        <v>682</v>
      </c>
      <c r="L1863" s="28" t="s">
        <v>6584</v>
      </c>
      <c r="M1863" s="28" t="s">
        <v>535</v>
      </c>
      <c r="N1863" s="28" t="s">
        <v>522</v>
      </c>
      <c r="S1863" s="28" t="s">
        <v>960</v>
      </c>
      <c r="T1863" s="28" t="s">
        <v>1918</v>
      </c>
      <c r="U1863" s="28" t="s">
        <v>1918</v>
      </c>
      <c r="V1863" s="28" t="s">
        <v>517</v>
      </c>
      <c r="W1863" s="28" t="s">
        <v>6881</v>
      </c>
      <c r="X1863" s="28" t="s">
        <v>1913</v>
      </c>
      <c r="AF1863" s="117"/>
      <c r="AK1863" s="60" t="s">
        <v>6558</v>
      </c>
      <c r="AL1863" s="117">
        <f>1/COUNTIF(Tableau6[LAT],B1863)</f>
        <v>7.6923076923076927E-2</v>
      </c>
      <c r="AM1863" s="60" t="b">
        <f t="shared" si="213"/>
        <v>0</v>
      </c>
      <c r="AN1863" s="60" t="b">
        <f t="shared" si="214"/>
        <v>0</v>
      </c>
      <c r="AO1863" s="60" t="b">
        <f t="shared" si="215"/>
        <v>0</v>
      </c>
      <c r="AP1863" s="60" t="b">
        <f t="shared" si="216"/>
        <v>0</v>
      </c>
      <c r="AQ1863" s="60" t="b">
        <f t="shared" si="217"/>
        <v>0</v>
      </c>
      <c r="AR1863" s="60" t="str">
        <f t="shared" si="218"/>
        <v>No</v>
      </c>
      <c r="AS1863" s="60" t="str">
        <f t="shared" si="219"/>
        <v>No</v>
      </c>
    </row>
    <row r="1864" spans="1:45" hidden="1">
      <c r="A1864" s="103">
        <v>45244</v>
      </c>
      <c r="B1864" s="117" t="s">
        <v>6011</v>
      </c>
      <c r="C1864" s="28" t="s">
        <v>874</v>
      </c>
      <c r="D1864" s="28" t="s">
        <v>6936</v>
      </c>
      <c r="E1864" s="28" t="s">
        <v>6927</v>
      </c>
      <c r="F1864" s="28" t="s">
        <v>6937</v>
      </c>
      <c r="G1864" s="28" t="s">
        <v>6938</v>
      </c>
      <c r="H1864" s="28" t="s">
        <v>2741</v>
      </c>
      <c r="I1864" s="28" t="s">
        <v>516</v>
      </c>
      <c r="J1864" s="28" t="s">
        <v>517</v>
      </c>
      <c r="K1864" s="28" t="s">
        <v>682</v>
      </c>
      <c r="L1864" s="28" t="s">
        <v>6584</v>
      </c>
      <c r="M1864" s="28" t="s">
        <v>535</v>
      </c>
      <c r="N1864" s="28" t="s">
        <v>522</v>
      </c>
      <c r="S1864" s="28" t="s">
        <v>960</v>
      </c>
      <c r="T1864" s="28" t="s">
        <v>1918</v>
      </c>
      <c r="U1864" s="28" t="s">
        <v>1918</v>
      </c>
      <c r="V1864" s="28" t="s">
        <v>517</v>
      </c>
      <c r="W1864" s="28" t="s">
        <v>6836</v>
      </c>
      <c r="X1864" s="28" t="s">
        <v>1913</v>
      </c>
      <c r="AF1864" s="117"/>
      <c r="AK1864" s="60" t="s">
        <v>6558</v>
      </c>
      <c r="AL1864" s="117">
        <f>1/COUNTIF(Tableau6[LAT],B1864)</f>
        <v>7.6923076923076927E-2</v>
      </c>
      <c r="AM1864" s="60" t="b">
        <f t="shared" si="213"/>
        <v>0</v>
      </c>
      <c r="AN1864" s="60" t="b">
        <f t="shared" si="214"/>
        <v>0</v>
      </c>
      <c r="AO1864" s="60" t="b">
        <f t="shared" si="215"/>
        <v>0</v>
      </c>
      <c r="AP1864" s="60" t="b">
        <f t="shared" si="216"/>
        <v>0</v>
      </c>
      <c r="AQ1864" s="60" t="b">
        <f t="shared" si="217"/>
        <v>0</v>
      </c>
      <c r="AR1864" s="60" t="str">
        <f t="shared" si="218"/>
        <v>No</v>
      </c>
      <c r="AS1864" s="60" t="str">
        <f t="shared" si="219"/>
        <v>No</v>
      </c>
    </row>
    <row r="1865" spans="1:45" hidden="1">
      <c r="A1865" s="103">
        <v>45244</v>
      </c>
      <c r="B1865" s="117" t="s">
        <v>6939</v>
      </c>
      <c r="C1865" s="28" t="s">
        <v>511</v>
      </c>
      <c r="D1865" s="28" t="s">
        <v>6940</v>
      </c>
      <c r="F1865" s="28" t="s">
        <v>6941</v>
      </c>
      <c r="G1865" s="28" t="s">
        <v>3875</v>
      </c>
      <c r="H1865" s="28" t="s">
        <v>2227</v>
      </c>
      <c r="I1865" s="28" t="s">
        <v>516</v>
      </c>
      <c r="J1865" s="28" t="s">
        <v>517</v>
      </c>
      <c r="K1865" s="28" t="s">
        <v>518</v>
      </c>
      <c r="L1865" s="28" t="s">
        <v>6942</v>
      </c>
      <c r="M1865" s="28" t="s">
        <v>520</v>
      </c>
      <c r="N1865" s="28" t="s">
        <v>521</v>
      </c>
      <c r="O1865" s="28" t="s">
        <v>559</v>
      </c>
      <c r="S1865" s="28" t="s">
        <v>3091</v>
      </c>
      <c r="T1865" s="28" t="s">
        <v>6943</v>
      </c>
      <c r="U1865" s="28" t="s">
        <v>6943</v>
      </c>
      <c r="V1865" s="28" t="s">
        <v>517</v>
      </c>
      <c r="W1865" s="28" t="s">
        <v>1620</v>
      </c>
      <c r="AF1865" s="117"/>
      <c r="AK1865" s="60" t="s">
        <v>6558</v>
      </c>
      <c r="AL1865" s="117">
        <f>1/COUNTIF(Tableau6[LAT],B1865)</f>
        <v>0.5</v>
      </c>
      <c r="AM1865" s="60" t="b">
        <f t="shared" si="213"/>
        <v>0</v>
      </c>
      <c r="AN1865" s="60" t="b">
        <f t="shared" si="214"/>
        <v>0</v>
      </c>
      <c r="AO1865" s="60" t="b">
        <f t="shared" si="215"/>
        <v>0</v>
      </c>
      <c r="AP1865" s="60" t="b">
        <f t="shared" si="216"/>
        <v>0</v>
      </c>
      <c r="AQ1865" s="60" t="b">
        <f t="shared" si="217"/>
        <v>0</v>
      </c>
      <c r="AR1865" s="60" t="str">
        <f t="shared" si="218"/>
        <v>No</v>
      </c>
      <c r="AS1865" s="60" t="str">
        <f t="shared" si="219"/>
        <v>No</v>
      </c>
    </row>
    <row r="1866" spans="1:45" hidden="1">
      <c r="A1866" s="103">
        <v>45244</v>
      </c>
      <c r="B1866" s="117" t="s">
        <v>6939</v>
      </c>
      <c r="C1866" s="28" t="s">
        <v>548</v>
      </c>
      <c r="D1866" s="28" t="s">
        <v>6944</v>
      </c>
      <c r="F1866" s="28" t="s">
        <v>6941</v>
      </c>
      <c r="G1866" s="28" t="s">
        <v>3875</v>
      </c>
      <c r="H1866" s="28" t="s">
        <v>1340</v>
      </c>
      <c r="I1866" s="28" t="s">
        <v>516</v>
      </c>
      <c r="J1866" s="28" t="s">
        <v>517</v>
      </c>
      <c r="K1866" s="28" t="s">
        <v>518</v>
      </c>
      <c r="L1866" s="28" t="s">
        <v>6942</v>
      </c>
      <c r="M1866" s="28" t="s">
        <v>520</v>
      </c>
      <c r="N1866" s="28" t="s">
        <v>521</v>
      </c>
      <c r="O1866" s="28" t="s">
        <v>559</v>
      </c>
      <c r="S1866" s="28" t="s">
        <v>3091</v>
      </c>
      <c r="T1866" s="28" t="s">
        <v>6943</v>
      </c>
      <c r="U1866" s="28" t="s">
        <v>6943</v>
      </c>
      <c r="V1866" s="28" t="s">
        <v>517</v>
      </c>
      <c r="W1866" s="28" t="s">
        <v>1620</v>
      </c>
      <c r="AF1866" s="117"/>
      <c r="AK1866" s="60" t="s">
        <v>6558</v>
      </c>
      <c r="AL1866" s="117">
        <f>1/COUNTIF(Tableau6[LAT],B1866)</f>
        <v>0.5</v>
      </c>
      <c r="AM1866" s="60" t="b">
        <f t="shared" si="213"/>
        <v>0</v>
      </c>
      <c r="AN1866" s="60" t="b">
        <f t="shared" si="214"/>
        <v>0</v>
      </c>
      <c r="AO1866" s="60" t="b">
        <f t="shared" si="215"/>
        <v>0</v>
      </c>
      <c r="AP1866" s="60" t="b">
        <f t="shared" si="216"/>
        <v>0</v>
      </c>
      <c r="AQ1866" s="60" t="b">
        <f t="shared" si="217"/>
        <v>0</v>
      </c>
      <c r="AR1866" s="60" t="str">
        <f t="shared" si="218"/>
        <v>No</v>
      </c>
      <c r="AS1866" s="60" t="str">
        <f t="shared" si="219"/>
        <v>No</v>
      </c>
    </row>
    <row r="1867" spans="1:45" hidden="1">
      <c r="A1867" s="103">
        <v>45244</v>
      </c>
      <c r="B1867" s="117" t="s">
        <v>6945</v>
      </c>
      <c r="C1867" s="28" t="s">
        <v>511</v>
      </c>
      <c r="D1867" s="28" t="s">
        <v>6946</v>
      </c>
      <c r="F1867" s="28" t="s">
        <v>5786</v>
      </c>
      <c r="G1867" s="28" t="s">
        <v>958</v>
      </c>
      <c r="H1867" s="28" t="s">
        <v>1372</v>
      </c>
      <c r="I1867" s="28" t="s">
        <v>517</v>
      </c>
      <c r="J1867" s="28" t="s">
        <v>517</v>
      </c>
      <c r="K1867" s="28" t="s">
        <v>518</v>
      </c>
      <c r="L1867" s="28" t="s">
        <v>534</v>
      </c>
      <c r="M1867" s="28" t="s">
        <v>535</v>
      </c>
      <c r="N1867" s="28" t="s">
        <v>522</v>
      </c>
      <c r="S1867" s="28" t="s">
        <v>573</v>
      </c>
      <c r="T1867" s="28" t="s">
        <v>537</v>
      </c>
      <c r="U1867" s="28" t="s">
        <v>537</v>
      </c>
      <c r="V1867" s="28" t="s">
        <v>517</v>
      </c>
      <c r="W1867" s="28" t="s">
        <v>6947</v>
      </c>
      <c r="AF1867" s="117"/>
      <c r="AK1867" s="60" t="s">
        <v>6558</v>
      </c>
      <c r="AL1867" s="117">
        <f>1/COUNTIF(Tableau6[LAT],B1867)</f>
        <v>1</v>
      </c>
      <c r="AM1867" s="60" t="b">
        <f t="shared" si="213"/>
        <v>0</v>
      </c>
      <c r="AN1867" s="60" t="b">
        <f t="shared" si="214"/>
        <v>0</v>
      </c>
      <c r="AO1867" s="60" t="b">
        <f t="shared" si="215"/>
        <v>0</v>
      </c>
      <c r="AP1867" s="60" t="b">
        <f t="shared" si="216"/>
        <v>0</v>
      </c>
      <c r="AQ1867" s="60" t="b">
        <f t="shared" si="217"/>
        <v>0</v>
      </c>
      <c r="AR1867" s="60" t="str">
        <f t="shared" si="218"/>
        <v>No</v>
      </c>
      <c r="AS1867" s="60" t="str">
        <f t="shared" si="219"/>
        <v>No</v>
      </c>
    </row>
    <row r="1868" spans="1:45" hidden="1">
      <c r="A1868" s="103">
        <v>45244</v>
      </c>
      <c r="B1868" s="117" t="s">
        <v>6948</v>
      </c>
      <c r="C1868" s="28" t="s">
        <v>511</v>
      </c>
      <c r="D1868" s="28" t="s">
        <v>6949</v>
      </c>
      <c r="F1868" s="28" t="s">
        <v>6950</v>
      </c>
      <c r="G1868" s="28" t="s">
        <v>514</v>
      </c>
      <c r="H1868" s="28" t="s">
        <v>933</v>
      </c>
      <c r="I1868" s="28" t="s">
        <v>516</v>
      </c>
      <c r="J1868" s="28" t="s">
        <v>517</v>
      </c>
      <c r="K1868" s="28" t="s">
        <v>518</v>
      </c>
      <c r="L1868" s="28" t="s">
        <v>751</v>
      </c>
      <c r="M1868" s="28" t="s">
        <v>605</v>
      </c>
      <c r="N1868" s="28" t="s">
        <v>557</v>
      </c>
      <c r="O1868" s="28" t="s">
        <v>544</v>
      </c>
      <c r="P1868" s="28" t="s">
        <v>522</v>
      </c>
      <c r="S1868" s="28" t="s">
        <v>1901</v>
      </c>
      <c r="T1868" s="28" t="s">
        <v>753</v>
      </c>
      <c r="U1868" s="28" t="s">
        <v>753</v>
      </c>
      <c r="V1868" s="28" t="s">
        <v>517</v>
      </c>
      <c r="W1868" s="28" t="s">
        <v>6951</v>
      </c>
      <c r="AF1868" s="117"/>
      <c r="AK1868" s="60" t="s">
        <v>6558</v>
      </c>
      <c r="AL1868" s="117">
        <f>1/COUNTIF(Tableau6[LAT],B1868)</f>
        <v>1</v>
      </c>
      <c r="AM1868" s="60" t="b">
        <f t="shared" si="213"/>
        <v>0</v>
      </c>
      <c r="AN1868" s="60" t="b">
        <f t="shared" si="214"/>
        <v>0</v>
      </c>
      <c r="AO1868" s="60" t="b">
        <f t="shared" si="215"/>
        <v>0</v>
      </c>
      <c r="AP1868" s="60" t="b">
        <f t="shared" si="216"/>
        <v>0</v>
      </c>
      <c r="AQ1868" s="60" t="b">
        <f t="shared" si="217"/>
        <v>0</v>
      </c>
      <c r="AR1868" s="60" t="str">
        <f t="shared" si="218"/>
        <v>No</v>
      </c>
      <c r="AS1868" s="60" t="str">
        <f t="shared" si="219"/>
        <v>No</v>
      </c>
    </row>
    <row r="1869" spans="1:45" hidden="1">
      <c r="A1869" s="103">
        <v>45244</v>
      </c>
      <c r="B1869" s="117" t="s">
        <v>6952</v>
      </c>
      <c r="C1869" s="28" t="s">
        <v>511</v>
      </c>
      <c r="D1869" s="28" t="s">
        <v>6953</v>
      </c>
      <c r="F1869" s="28" t="s">
        <v>1727</v>
      </c>
      <c r="G1869" s="28" t="s">
        <v>958</v>
      </c>
      <c r="H1869" s="28" t="s">
        <v>6954</v>
      </c>
      <c r="I1869" s="28" t="s">
        <v>516</v>
      </c>
      <c r="J1869" s="28" t="s">
        <v>517</v>
      </c>
      <c r="K1869" s="28" t="s">
        <v>682</v>
      </c>
      <c r="L1869" s="28" t="s">
        <v>6955</v>
      </c>
      <c r="M1869" s="28" t="s">
        <v>520</v>
      </c>
      <c r="N1869" s="28" t="s">
        <v>544</v>
      </c>
      <c r="S1869" s="28" t="s">
        <v>1901</v>
      </c>
      <c r="T1869" s="28" t="s">
        <v>2942</v>
      </c>
      <c r="U1869" s="28" t="s">
        <v>2942</v>
      </c>
      <c r="V1869" s="28" t="s">
        <v>517</v>
      </c>
      <c r="W1869" s="28" t="s">
        <v>835</v>
      </c>
      <c r="AF1869" s="117"/>
      <c r="AK1869" s="60" t="s">
        <v>6558</v>
      </c>
      <c r="AL1869" s="117">
        <f>1/COUNTIF(Tableau6[LAT],B1869)</f>
        <v>1</v>
      </c>
      <c r="AM1869" s="60" t="b">
        <f t="shared" si="213"/>
        <v>0</v>
      </c>
      <c r="AN1869" s="60" t="b">
        <f t="shared" si="214"/>
        <v>0</v>
      </c>
      <c r="AO1869" s="60" t="b">
        <f t="shared" si="215"/>
        <v>0</v>
      </c>
      <c r="AP1869" s="60" t="b">
        <f t="shared" si="216"/>
        <v>0</v>
      </c>
      <c r="AQ1869" s="60" t="b">
        <f t="shared" si="217"/>
        <v>0</v>
      </c>
      <c r="AR1869" s="60" t="str">
        <f t="shared" si="218"/>
        <v>No</v>
      </c>
      <c r="AS1869" s="60" t="str">
        <f t="shared" si="219"/>
        <v>No</v>
      </c>
    </row>
    <row r="1870" spans="1:45" hidden="1">
      <c r="A1870" s="103">
        <v>45244</v>
      </c>
      <c r="B1870" s="117" t="s">
        <v>6956</v>
      </c>
      <c r="C1870" s="28" t="s">
        <v>511</v>
      </c>
      <c r="D1870" s="28" t="s">
        <v>6957</v>
      </c>
      <c r="F1870" s="28" t="s">
        <v>6958</v>
      </c>
      <c r="G1870" s="28" t="s">
        <v>514</v>
      </c>
      <c r="H1870" s="28" t="s">
        <v>1721</v>
      </c>
      <c r="I1870" s="28" t="s">
        <v>517</v>
      </c>
      <c r="J1870" s="28" t="s">
        <v>517</v>
      </c>
      <c r="K1870" s="28" t="s">
        <v>518</v>
      </c>
      <c r="L1870" s="28" t="s">
        <v>2833</v>
      </c>
      <c r="M1870" s="28" t="s">
        <v>535</v>
      </c>
      <c r="N1870" s="28" t="s">
        <v>544</v>
      </c>
      <c r="S1870" s="28" t="s">
        <v>573</v>
      </c>
      <c r="T1870" s="28" t="s">
        <v>2834</v>
      </c>
      <c r="U1870" s="28" t="s">
        <v>2834</v>
      </c>
      <c r="V1870" s="28" t="s">
        <v>517</v>
      </c>
      <c r="W1870" s="28" t="s">
        <v>835</v>
      </c>
      <c r="AF1870" s="117"/>
      <c r="AK1870" s="60" t="s">
        <v>6558</v>
      </c>
      <c r="AL1870" s="117">
        <f>1/COUNTIF(Tableau6[LAT],B1870)</f>
        <v>1</v>
      </c>
      <c r="AM1870" s="60" t="b">
        <f t="shared" si="213"/>
        <v>0</v>
      </c>
      <c r="AN1870" s="60" t="b">
        <f t="shared" si="214"/>
        <v>0</v>
      </c>
      <c r="AO1870" s="60" t="b">
        <f t="shared" si="215"/>
        <v>0</v>
      </c>
      <c r="AP1870" s="60" t="b">
        <f t="shared" si="216"/>
        <v>0</v>
      </c>
      <c r="AQ1870" s="60" t="b">
        <f t="shared" si="217"/>
        <v>0</v>
      </c>
      <c r="AR1870" s="60" t="str">
        <f t="shared" si="218"/>
        <v>No</v>
      </c>
      <c r="AS1870" s="60" t="str">
        <f t="shared" si="219"/>
        <v>No</v>
      </c>
    </row>
    <row r="1871" spans="1:45" hidden="1">
      <c r="A1871" s="103">
        <v>45244</v>
      </c>
      <c r="B1871" s="117" t="s">
        <v>6959</v>
      </c>
      <c r="C1871" s="28" t="s">
        <v>511</v>
      </c>
      <c r="D1871" s="28" t="s">
        <v>6960</v>
      </c>
      <c r="F1871" s="28" t="s">
        <v>3098</v>
      </c>
      <c r="G1871" s="28" t="s">
        <v>514</v>
      </c>
      <c r="H1871" s="28" t="s">
        <v>1463</v>
      </c>
      <c r="I1871" s="28" t="s">
        <v>516</v>
      </c>
      <c r="J1871" s="28" t="s">
        <v>517</v>
      </c>
      <c r="K1871" s="28" t="s">
        <v>682</v>
      </c>
      <c r="L1871" s="28" t="s">
        <v>4796</v>
      </c>
      <c r="M1871" s="28" t="s">
        <v>535</v>
      </c>
      <c r="N1871" s="28" t="s">
        <v>557</v>
      </c>
      <c r="O1871" s="28" t="s">
        <v>934</v>
      </c>
      <c r="P1871" s="28" t="s">
        <v>522</v>
      </c>
      <c r="S1871" s="28" t="s">
        <v>1366</v>
      </c>
      <c r="T1871" s="28" t="s">
        <v>1150</v>
      </c>
      <c r="U1871" s="28" t="s">
        <v>1150</v>
      </c>
      <c r="V1871" s="28" t="s">
        <v>517</v>
      </c>
      <c r="W1871" s="28" t="s">
        <v>4320</v>
      </c>
      <c r="AF1871" s="117"/>
      <c r="AK1871" s="60" t="s">
        <v>6558</v>
      </c>
      <c r="AL1871" s="117">
        <f>1/COUNTIF(Tableau6[LAT],B1871)</f>
        <v>1</v>
      </c>
      <c r="AM1871" s="60" t="b">
        <f t="shared" si="213"/>
        <v>0</v>
      </c>
      <c r="AN1871" s="60" t="b">
        <f t="shared" si="214"/>
        <v>0</v>
      </c>
      <c r="AO1871" s="60" t="b">
        <f t="shared" si="215"/>
        <v>0</v>
      </c>
      <c r="AP1871" s="60" t="b">
        <f t="shared" si="216"/>
        <v>0</v>
      </c>
      <c r="AQ1871" s="60" t="b">
        <f t="shared" si="217"/>
        <v>0</v>
      </c>
      <c r="AR1871" s="60" t="str">
        <f t="shared" si="218"/>
        <v>No</v>
      </c>
      <c r="AS1871" s="60" t="str">
        <f t="shared" si="219"/>
        <v>No</v>
      </c>
    </row>
    <row r="1872" spans="1:45" hidden="1">
      <c r="A1872" s="103">
        <v>45244</v>
      </c>
      <c r="B1872" s="117" t="s">
        <v>6961</v>
      </c>
      <c r="C1872" s="28" t="s">
        <v>511</v>
      </c>
      <c r="D1872" s="28" t="s">
        <v>6962</v>
      </c>
      <c r="E1872" s="28" t="s">
        <v>6963</v>
      </c>
      <c r="F1872" s="28" t="s">
        <v>6964</v>
      </c>
      <c r="G1872" s="28" t="s">
        <v>1456</v>
      </c>
      <c r="H1872" s="28" t="s">
        <v>6965</v>
      </c>
      <c r="I1872" s="28" t="s">
        <v>516</v>
      </c>
      <c r="J1872" s="28" t="s">
        <v>517</v>
      </c>
      <c r="K1872" s="28" t="s">
        <v>518</v>
      </c>
      <c r="L1872" s="28" t="s">
        <v>839</v>
      </c>
      <c r="M1872" s="28" t="s">
        <v>535</v>
      </c>
      <c r="N1872" s="28" t="s">
        <v>559</v>
      </c>
      <c r="S1872" s="28" t="s">
        <v>740</v>
      </c>
      <c r="T1872" s="28" t="s">
        <v>840</v>
      </c>
      <c r="U1872" s="28" t="s">
        <v>840</v>
      </c>
      <c r="V1872" s="28" t="s">
        <v>517</v>
      </c>
      <c r="W1872" s="28" t="s">
        <v>6966</v>
      </c>
      <c r="X1872" s="28" t="s">
        <v>670</v>
      </c>
      <c r="AF1872" s="117"/>
      <c r="AK1872" s="60" t="s">
        <v>6558</v>
      </c>
      <c r="AL1872" s="117">
        <f>1/COUNTIF(Tableau6[LAT],B1872)</f>
        <v>1</v>
      </c>
      <c r="AM1872" s="60" t="b">
        <f t="shared" si="213"/>
        <v>0</v>
      </c>
      <c r="AN1872" s="60" t="b">
        <f t="shared" si="214"/>
        <v>0</v>
      </c>
      <c r="AO1872" s="60" t="b">
        <f t="shared" si="215"/>
        <v>0</v>
      </c>
      <c r="AP1872" s="60" t="b">
        <f t="shared" si="216"/>
        <v>0</v>
      </c>
      <c r="AQ1872" s="60" t="b">
        <f t="shared" si="217"/>
        <v>0</v>
      </c>
      <c r="AR1872" s="60" t="str">
        <f t="shared" si="218"/>
        <v>No</v>
      </c>
      <c r="AS1872" s="60" t="str">
        <f t="shared" si="219"/>
        <v>No</v>
      </c>
    </row>
    <row r="1873" spans="1:45" hidden="1">
      <c r="A1873" s="103">
        <v>45244</v>
      </c>
      <c r="B1873" s="117" t="s">
        <v>6967</v>
      </c>
      <c r="C1873" s="28" t="s">
        <v>511</v>
      </c>
      <c r="D1873" s="28" t="s">
        <v>6968</v>
      </c>
      <c r="F1873" s="28" t="s">
        <v>5479</v>
      </c>
      <c r="G1873" s="28" t="s">
        <v>514</v>
      </c>
      <c r="H1873" s="28" t="s">
        <v>1123</v>
      </c>
      <c r="I1873" s="28" t="s">
        <v>516</v>
      </c>
      <c r="J1873" s="28" t="s">
        <v>517</v>
      </c>
      <c r="K1873" s="28" t="s">
        <v>518</v>
      </c>
      <c r="L1873" s="28" t="s">
        <v>6628</v>
      </c>
      <c r="M1873" s="28" t="s">
        <v>535</v>
      </c>
      <c r="N1873" s="28" t="s">
        <v>557</v>
      </c>
      <c r="O1873" s="28" t="s">
        <v>544</v>
      </c>
      <c r="P1873" s="28" t="s">
        <v>559</v>
      </c>
      <c r="S1873" s="28" t="s">
        <v>732</v>
      </c>
      <c r="T1873" s="28" t="s">
        <v>3806</v>
      </c>
      <c r="U1873" s="28" t="s">
        <v>3806</v>
      </c>
      <c r="V1873" s="28" t="s">
        <v>517</v>
      </c>
      <c r="W1873" s="28" t="s">
        <v>6629</v>
      </c>
      <c r="AF1873" s="117"/>
      <c r="AK1873" s="60" t="s">
        <v>6558</v>
      </c>
      <c r="AL1873" s="117">
        <f>1/COUNTIF(Tableau6[LAT],B1873)</f>
        <v>0.25</v>
      </c>
      <c r="AM1873" s="60" t="b">
        <f t="shared" si="213"/>
        <v>0</v>
      </c>
      <c r="AN1873" s="60" t="b">
        <f t="shared" si="214"/>
        <v>0</v>
      </c>
      <c r="AO1873" s="60" t="b">
        <f t="shared" si="215"/>
        <v>0</v>
      </c>
      <c r="AP1873" s="60" t="b">
        <f t="shared" si="216"/>
        <v>0</v>
      </c>
      <c r="AQ1873" s="60" t="b">
        <f t="shared" si="217"/>
        <v>0</v>
      </c>
      <c r="AR1873" s="60" t="str">
        <f t="shared" si="218"/>
        <v>No</v>
      </c>
      <c r="AS1873" s="60" t="str">
        <f t="shared" si="219"/>
        <v>No</v>
      </c>
    </row>
    <row r="1874" spans="1:45" hidden="1">
      <c r="A1874" s="103">
        <v>45244</v>
      </c>
      <c r="B1874" s="117" t="s">
        <v>6967</v>
      </c>
      <c r="C1874" s="28" t="s">
        <v>548</v>
      </c>
      <c r="D1874" s="28" t="s">
        <v>6969</v>
      </c>
      <c r="F1874" s="28" t="s">
        <v>6970</v>
      </c>
      <c r="G1874" s="28" t="s">
        <v>958</v>
      </c>
      <c r="H1874" s="28" t="s">
        <v>2163</v>
      </c>
      <c r="I1874" s="28" t="s">
        <v>516</v>
      </c>
      <c r="J1874" s="28" t="s">
        <v>517</v>
      </c>
      <c r="K1874" s="28" t="s">
        <v>518</v>
      </c>
      <c r="L1874" s="28" t="s">
        <v>6628</v>
      </c>
      <c r="M1874" s="28" t="s">
        <v>535</v>
      </c>
      <c r="N1874" s="28" t="s">
        <v>557</v>
      </c>
      <c r="O1874" s="28" t="s">
        <v>544</v>
      </c>
      <c r="P1874" s="28" t="s">
        <v>559</v>
      </c>
      <c r="S1874" s="28" t="s">
        <v>732</v>
      </c>
      <c r="T1874" s="28" t="s">
        <v>3806</v>
      </c>
      <c r="U1874" s="28" t="s">
        <v>3806</v>
      </c>
      <c r="V1874" s="28" t="s">
        <v>517</v>
      </c>
      <c r="W1874" s="28" t="s">
        <v>6629</v>
      </c>
      <c r="AF1874" s="117"/>
      <c r="AK1874" s="60" t="s">
        <v>6558</v>
      </c>
      <c r="AL1874" s="117">
        <f>1/COUNTIF(Tableau6[LAT],B1874)</f>
        <v>0.25</v>
      </c>
      <c r="AM1874" s="60" t="b">
        <f t="shared" si="213"/>
        <v>0</v>
      </c>
      <c r="AN1874" s="60" t="b">
        <f t="shared" si="214"/>
        <v>0</v>
      </c>
      <c r="AO1874" s="60" t="b">
        <f t="shared" si="215"/>
        <v>0</v>
      </c>
      <c r="AP1874" s="60" t="b">
        <f t="shared" si="216"/>
        <v>0</v>
      </c>
      <c r="AQ1874" s="60" t="b">
        <f t="shared" si="217"/>
        <v>0</v>
      </c>
      <c r="AR1874" s="60" t="str">
        <f t="shared" si="218"/>
        <v>No</v>
      </c>
      <c r="AS1874" s="60" t="str">
        <f t="shared" si="219"/>
        <v>No</v>
      </c>
    </row>
    <row r="1875" spans="1:45" hidden="1">
      <c r="A1875" s="103">
        <v>45244</v>
      </c>
      <c r="B1875" s="117" t="s">
        <v>6967</v>
      </c>
      <c r="C1875" s="28" t="s">
        <v>612</v>
      </c>
      <c r="D1875" s="28" t="s">
        <v>6971</v>
      </c>
      <c r="F1875" s="28" t="s">
        <v>5479</v>
      </c>
      <c r="G1875" s="28" t="s">
        <v>514</v>
      </c>
      <c r="H1875" s="28" t="s">
        <v>1123</v>
      </c>
      <c r="I1875" s="28" t="s">
        <v>516</v>
      </c>
      <c r="J1875" s="28" t="s">
        <v>517</v>
      </c>
      <c r="K1875" s="28" t="s">
        <v>518</v>
      </c>
      <c r="L1875" s="28" t="s">
        <v>6628</v>
      </c>
      <c r="M1875" s="28" t="s">
        <v>535</v>
      </c>
      <c r="N1875" s="28" t="s">
        <v>557</v>
      </c>
      <c r="O1875" s="28" t="s">
        <v>544</v>
      </c>
      <c r="P1875" s="28" t="s">
        <v>559</v>
      </c>
      <c r="S1875" s="28" t="s">
        <v>732</v>
      </c>
      <c r="T1875" s="28" t="s">
        <v>3806</v>
      </c>
      <c r="U1875" s="28" t="s">
        <v>3806</v>
      </c>
      <c r="V1875" s="28" t="s">
        <v>517</v>
      </c>
      <c r="W1875" s="28" t="s">
        <v>6629</v>
      </c>
      <c r="AF1875" s="117"/>
      <c r="AK1875" s="60" t="s">
        <v>6558</v>
      </c>
      <c r="AL1875" s="117">
        <f>1/COUNTIF(Tableau6[LAT],B1875)</f>
        <v>0.25</v>
      </c>
      <c r="AM1875" s="60" t="b">
        <f t="shared" si="213"/>
        <v>0</v>
      </c>
      <c r="AN1875" s="60" t="b">
        <f t="shared" si="214"/>
        <v>0</v>
      </c>
      <c r="AO1875" s="60" t="b">
        <f t="shared" si="215"/>
        <v>0</v>
      </c>
      <c r="AP1875" s="60" t="b">
        <f t="shared" si="216"/>
        <v>0</v>
      </c>
      <c r="AQ1875" s="60" t="b">
        <f t="shared" si="217"/>
        <v>0</v>
      </c>
      <c r="AR1875" s="60" t="str">
        <f t="shared" si="218"/>
        <v>No</v>
      </c>
      <c r="AS1875" s="60" t="str">
        <f t="shared" si="219"/>
        <v>No</v>
      </c>
    </row>
    <row r="1876" spans="1:45" hidden="1">
      <c r="A1876" s="103">
        <v>45244</v>
      </c>
      <c r="B1876" s="117" t="s">
        <v>6967</v>
      </c>
      <c r="C1876" s="28" t="s">
        <v>691</v>
      </c>
      <c r="D1876" s="28" t="s">
        <v>6972</v>
      </c>
      <c r="F1876" s="28" t="s">
        <v>5479</v>
      </c>
      <c r="G1876" s="28" t="s">
        <v>514</v>
      </c>
      <c r="H1876" s="28" t="s">
        <v>1123</v>
      </c>
      <c r="I1876" s="28" t="s">
        <v>516</v>
      </c>
      <c r="J1876" s="28" t="s">
        <v>517</v>
      </c>
      <c r="K1876" s="28" t="s">
        <v>518</v>
      </c>
      <c r="L1876" s="28" t="s">
        <v>6628</v>
      </c>
      <c r="M1876" s="28" t="s">
        <v>535</v>
      </c>
      <c r="N1876" s="28" t="s">
        <v>557</v>
      </c>
      <c r="O1876" s="28" t="s">
        <v>544</v>
      </c>
      <c r="P1876" s="28" t="s">
        <v>559</v>
      </c>
      <c r="S1876" s="28" t="s">
        <v>732</v>
      </c>
      <c r="T1876" s="28" t="s">
        <v>3806</v>
      </c>
      <c r="U1876" s="28" t="s">
        <v>3806</v>
      </c>
      <c r="V1876" s="28" t="s">
        <v>517</v>
      </c>
      <c r="W1876" s="28" t="s">
        <v>6629</v>
      </c>
      <c r="AF1876" s="117"/>
      <c r="AK1876" s="60" t="s">
        <v>6558</v>
      </c>
      <c r="AL1876" s="117">
        <f>1/COUNTIF(Tableau6[LAT],B1876)</f>
        <v>0.25</v>
      </c>
      <c r="AM1876" s="60" t="b">
        <f t="shared" si="213"/>
        <v>0</v>
      </c>
      <c r="AN1876" s="60" t="b">
        <f t="shared" si="214"/>
        <v>0</v>
      </c>
      <c r="AO1876" s="60" t="b">
        <f t="shared" si="215"/>
        <v>0</v>
      </c>
      <c r="AP1876" s="60" t="b">
        <f t="shared" si="216"/>
        <v>0</v>
      </c>
      <c r="AQ1876" s="60" t="b">
        <f t="shared" si="217"/>
        <v>0</v>
      </c>
      <c r="AR1876" s="60" t="str">
        <f t="shared" si="218"/>
        <v>No</v>
      </c>
      <c r="AS1876" s="60" t="str">
        <f t="shared" si="219"/>
        <v>No</v>
      </c>
    </row>
    <row r="1877" spans="1:45" hidden="1">
      <c r="A1877" s="103">
        <v>45244</v>
      </c>
      <c r="B1877" s="117" t="s">
        <v>6973</v>
      </c>
      <c r="C1877" s="28" t="s">
        <v>511</v>
      </c>
      <c r="D1877" s="28" t="s">
        <v>6974</v>
      </c>
      <c r="F1877" s="28" t="s">
        <v>882</v>
      </c>
      <c r="G1877" s="28" t="s">
        <v>514</v>
      </c>
      <c r="H1877" s="28" t="s">
        <v>1295</v>
      </c>
      <c r="I1877" s="28" t="s">
        <v>516</v>
      </c>
      <c r="J1877" s="28" t="s">
        <v>517</v>
      </c>
      <c r="K1877" s="28" t="s">
        <v>518</v>
      </c>
      <c r="L1877" s="28" t="s">
        <v>604</v>
      </c>
      <c r="M1877" s="28" t="s">
        <v>535</v>
      </c>
      <c r="N1877" s="28" t="s">
        <v>557</v>
      </c>
      <c r="O1877" s="28" t="s">
        <v>544</v>
      </c>
      <c r="P1877" s="28" t="s">
        <v>559</v>
      </c>
      <c r="S1877" s="28" t="s">
        <v>1318</v>
      </c>
      <c r="T1877" s="28" t="s">
        <v>607</v>
      </c>
      <c r="U1877" s="28" t="s">
        <v>607</v>
      </c>
      <c r="V1877" s="28" t="s">
        <v>517</v>
      </c>
      <c r="W1877" s="28" t="s">
        <v>6975</v>
      </c>
      <c r="AF1877" s="117"/>
      <c r="AK1877" s="60" t="s">
        <v>6558</v>
      </c>
      <c r="AL1877" s="117">
        <f>1/COUNTIF(Tableau6[LAT],B1877)</f>
        <v>0.5</v>
      </c>
      <c r="AM1877" s="60" t="b">
        <f t="shared" si="213"/>
        <v>0</v>
      </c>
      <c r="AN1877" s="60" t="b">
        <f t="shared" si="214"/>
        <v>0</v>
      </c>
      <c r="AO1877" s="60" t="b">
        <f t="shared" si="215"/>
        <v>0</v>
      </c>
      <c r="AP1877" s="60" t="b">
        <f t="shared" si="216"/>
        <v>0</v>
      </c>
      <c r="AQ1877" s="60" t="b">
        <f t="shared" si="217"/>
        <v>0</v>
      </c>
      <c r="AR1877" s="60" t="str">
        <f t="shared" si="218"/>
        <v>No</v>
      </c>
      <c r="AS1877" s="60" t="str">
        <f t="shared" si="219"/>
        <v>No</v>
      </c>
    </row>
    <row r="1878" spans="1:45" hidden="1">
      <c r="A1878" s="103">
        <v>45244</v>
      </c>
      <c r="B1878" s="117" t="s">
        <v>6973</v>
      </c>
      <c r="C1878" s="28" t="s">
        <v>548</v>
      </c>
      <c r="D1878" s="28" t="s">
        <v>6976</v>
      </c>
      <c r="E1878" s="28" t="s">
        <v>6977</v>
      </c>
      <c r="F1878" s="28" t="s">
        <v>4405</v>
      </c>
      <c r="G1878" s="28" t="s">
        <v>979</v>
      </c>
      <c r="H1878" s="28" t="s">
        <v>2442</v>
      </c>
      <c r="I1878" s="28" t="s">
        <v>516</v>
      </c>
      <c r="J1878" s="28" t="s">
        <v>517</v>
      </c>
      <c r="K1878" s="28" t="s">
        <v>518</v>
      </c>
      <c r="L1878" s="28" t="s">
        <v>604</v>
      </c>
      <c r="M1878" s="28" t="s">
        <v>535</v>
      </c>
      <c r="N1878" s="28" t="s">
        <v>557</v>
      </c>
      <c r="O1878" s="28" t="s">
        <v>559</v>
      </c>
      <c r="S1878" s="28" t="s">
        <v>1318</v>
      </c>
      <c r="T1878" s="28" t="s">
        <v>607</v>
      </c>
      <c r="U1878" s="28" t="s">
        <v>607</v>
      </c>
      <c r="V1878" s="28" t="s">
        <v>517</v>
      </c>
      <c r="W1878" s="28" t="s">
        <v>6978</v>
      </c>
      <c r="X1878" s="28" t="s">
        <v>670</v>
      </c>
      <c r="AF1878" s="117"/>
      <c r="AK1878" s="60" t="s">
        <v>6558</v>
      </c>
      <c r="AL1878" s="117">
        <f>1/COUNTIF(Tableau6[LAT],B1878)</f>
        <v>0.5</v>
      </c>
      <c r="AM1878" s="60" t="b">
        <f t="shared" si="213"/>
        <v>0</v>
      </c>
      <c r="AN1878" s="60" t="b">
        <f t="shared" si="214"/>
        <v>0</v>
      </c>
      <c r="AO1878" s="60" t="b">
        <f t="shared" si="215"/>
        <v>0</v>
      </c>
      <c r="AP1878" s="60" t="b">
        <f t="shared" si="216"/>
        <v>0</v>
      </c>
      <c r="AQ1878" s="60" t="b">
        <f t="shared" si="217"/>
        <v>0</v>
      </c>
      <c r="AR1878" s="60" t="str">
        <f t="shared" si="218"/>
        <v>No</v>
      </c>
      <c r="AS1878" s="60" t="str">
        <f t="shared" si="219"/>
        <v>No</v>
      </c>
    </row>
    <row r="1879" spans="1:45" hidden="1">
      <c r="A1879" s="103">
        <v>45244</v>
      </c>
      <c r="B1879" s="117" t="s">
        <v>6979</v>
      </c>
      <c r="C1879" s="28" t="s">
        <v>511</v>
      </c>
      <c r="D1879" s="28" t="s">
        <v>6980</v>
      </c>
      <c r="E1879" s="28" t="s">
        <v>6601</v>
      </c>
      <c r="F1879" s="28" t="s">
        <v>6981</v>
      </c>
      <c r="G1879" s="28" t="s">
        <v>4612</v>
      </c>
      <c r="H1879" s="28" t="s">
        <v>5240</v>
      </c>
      <c r="I1879" s="28" t="s">
        <v>516</v>
      </c>
      <c r="J1879" s="28" t="s">
        <v>517</v>
      </c>
      <c r="K1879" s="28" t="s">
        <v>518</v>
      </c>
      <c r="L1879" s="28" t="s">
        <v>916</v>
      </c>
      <c r="M1879" s="28" t="s">
        <v>535</v>
      </c>
      <c r="S1879" s="28" t="s">
        <v>740</v>
      </c>
      <c r="T1879" s="28" t="s">
        <v>917</v>
      </c>
      <c r="U1879" s="28" t="s">
        <v>917</v>
      </c>
      <c r="V1879" s="28" t="s">
        <v>517</v>
      </c>
      <c r="W1879" s="28" t="s">
        <v>6603</v>
      </c>
      <c r="X1879" s="28" t="s">
        <v>670</v>
      </c>
      <c r="AF1879" s="117"/>
      <c r="AK1879" s="60" t="s">
        <v>6558</v>
      </c>
      <c r="AL1879" s="117">
        <f>1/COUNTIF(Tableau6[LAT],B1879)</f>
        <v>1</v>
      </c>
      <c r="AM1879" s="60" t="b">
        <f t="shared" si="213"/>
        <v>0</v>
      </c>
      <c r="AN1879" s="60" t="b">
        <f t="shared" si="214"/>
        <v>0</v>
      </c>
      <c r="AO1879" s="60" t="b">
        <f t="shared" si="215"/>
        <v>0</v>
      </c>
      <c r="AP1879" s="60" t="b">
        <f t="shared" si="216"/>
        <v>0</v>
      </c>
      <c r="AQ1879" s="60" t="b">
        <f t="shared" si="217"/>
        <v>0</v>
      </c>
      <c r="AR1879" s="60" t="str">
        <f t="shared" si="218"/>
        <v>No</v>
      </c>
      <c r="AS1879" s="60" t="str">
        <f t="shared" si="219"/>
        <v>No</v>
      </c>
    </row>
    <row r="1880" spans="1:45" hidden="1">
      <c r="A1880" s="103">
        <v>45244</v>
      </c>
      <c r="B1880" s="117" t="s">
        <v>6982</v>
      </c>
      <c r="C1880" s="28" t="s">
        <v>511</v>
      </c>
      <c r="D1880" s="28" t="s">
        <v>6983</v>
      </c>
      <c r="F1880" s="28" t="s">
        <v>6984</v>
      </c>
      <c r="G1880" s="28" t="s">
        <v>514</v>
      </c>
      <c r="H1880" s="28" t="s">
        <v>1134</v>
      </c>
      <c r="I1880" s="28" t="s">
        <v>517</v>
      </c>
      <c r="J1880" s="28" t="s">
        <v>517</v>
      </c>
      <c r="K1880" s="28" t="s">
        <v>518</v>
      </c>
      <c r="L1880" s="28" t="s">
        <v>2077</v>
      </c>
      <c r="M1880" s="28" t="s">
        <v>535</v>
      </c>
      <c r="N1880" s="28" t="s">
        <v>4124</v>
      </c>
      <c r="O1880" s="28" t="s">
        <v>544</v>
      </c>
      <c r="P1880" s="28" t="s">
        <v>522</v>
      </c>
      <c r="S1880" s="28" t="s">
        <v>573</v>
      </c>
      <c r="T1880" s="28" t="s">
        <v>2078</v>
      </c>
      <c r="U1880" s="28" t="s">
        <v>2078</v>
      </c>
      <c r="V1880" s="28" t="s">
        <v>517</v>
      </c>
      <c r="W1880" s="28" t="s">
        <v>6985</v>
      </c>
      <c r="AF1880" s="117"/>
      <c r="AK1880" s="60" t="s">
        <v>6558</v>
      </c>
      <c r="AL1880" s="117">
        <f>1/COUNTIF(Tableau6[LAT],B1880)</f>
        <v>0.33333333333333331</v>
      </c>
      <c r="AM1880" s="60" t="b">
        <f t="shared" si="213"/>
        <v>0</v>
      </c>
      <c r="AN1880" s="60" t="b">
        <f t="shared" si="214"/>
        <v>0</v>
      </c>
      <c r="AO1880" s="60" t="b">
        <f t="shared" si="215"/>
        <v>0</v>
      </c>
      <c r="AP1880" s="60" t="b">
        <f t="shared" si="216"/>
        <v>0</v>
      </c>
      <c r="AQ1880" s="60" t="b">
        <f t="shared" si="217"/>
        <v>0</v>
      </c>
      <c r="AR1880" s="60" t="str">
        <f t="shared" si="218"/>
        <v>No</v>
      </c>
      <c r="AS1880" s="60" t="str">
        <f t="shared" si="219"/>
        <v>No</v>
      </c>
    </row>
    <row r="1881" spans="1:45" hidden="1">
      <c r="A1881" s="103">
        <v>45244</v>
      </c>
      <c r="B1881" s="117" t="s">
        <v>6982</v>
      </c>
      <c r="C1881" s="28" t="s">
        <v>548</v>
      </c>
      <c r="D1881" s="28" t="s">
        <v>6986</v>
      </c>
      <c r="F1881" s="28" t="s">
        <v>6984</v>
      </c>
      <c r="G1881" s="28" t="s">
        <v>514</v>
      </c>
      <c r="H1881" s="28" t="s">
        <v>1134</v>
      </c>
      <c r="I1881" s="28" t="s">
        <v>517</v>
      </c>
      <c r="J1881" s="28" t="s">
        <v>517</v>
      </c>
      <c r="K1881" s="28" t="s">
        <v>518</v>
      </c>
      <c r="L1881" s="28" t="s">
        <v>2077</v>
      </c>
      <c r="M1881" s="28" t="s">
        <v>535</v>
      </c>
      <c r="N1881" s="28" t="s">
        <v>4124</v>
      </c>
      <c r="O1881" s="28" t="s">
        <v>544</v>
      </c>
      <c r="P1881" s="28" t="s">
        <v>522</v>
      </c>
      <c r="S1881" s="28" t="s">
        <v>573</v>
      </c>
      <c r="T1881" s="28" t="s">
        <v>2078</v>
      </c>
      <c r="U1881" s="28" t="s">
        <v>2078</v>
      </c>
      <c r="V1881" s="28" t="s">
        <v>517</v>
      </c>
      <c r="W1881" s="28" t="s">
        <v>6987</v>
      </c>
      <c r="AF1881" s="117"/>
      <c r="AK1881" s="60" t="s">
        <v>6558</v>
      </c>
      <c r="AL1881" s="117">
        <f>1/COUNTIF(Tableau6[LAT],B1881)</f>
        <v>0.33333333333333331</v>
      </c>
      <c r="AM1881" s="60" t="b">
        <f t="shared" si="213"/>
        <v>0</v>
      </c>
      <c r="AN1881" s="60" t="b">
        <f t="shared" si="214"/>
        <v>0</v>
      </c>
      <c r="AO1881" s="60" t="b">
        <f t="shared" si="215"/>
        <v>0</v>
      </c>
      <c r="AP1881" s="60" t="b">
        <f t="shared" si="216"/>
        <v>0</v>
      </c>
      <c r="AQ1881" s="60" t="b">
        <f t="shared" si="217"/>
        <v>0</v>
      </c>
      <c r="AR1881" s="60" t="str">
        <f t="shared" si="218"/>
        <v>No</v>
      </c>
      <c r="AS1881" s="60" t="str">
        <f t="shared" si="219"/>
        <v>No</v>
      </c>
    </row>
    <row r="1882" spans="1:45" hidden="1">
      <c r="A1882" s="103">
        <v>45244</v>
      </c>
      <c r="B1882" s="117" t="s">
        <v>6982</v>
      </c>
      <c r="C1882" s="28" t="s">
        <v>612</v>
      </c>
      <c r="D1882" s="28" t="s">
        <v>6988</v>
      </c>
      <c r="F1882" s="28" t="s">
        <v>6989</v>
      </c>
      <c r="G1882" s="28" t="s">
        <v>514</v>
      </c>
      <c r="H1882" s="28" t="s">
        <v>1134</v>
      </c>
      <c r="I1882" s="28" t="s">
        <v>517</v>
      </c>
      <c r="J1882" s="28" t="s">
        <v>517</v>
      </c>
      <c r="K1882" s="28" t="s">
        <v>518</v>
      </c>
      <c r="L1882" s="28" t="s">
        <v>2077</v>
      </c>
      <c r="M1882" s="28" t="s">
        <v>535</v>
      </c>
      <c r="N1882" s="28" t="s">
        <v>544</v>
      </c>
      <c r="O1882" s="28" t="s">
        <v>522</v>
      </c>
      <c r="S1882" s="28" t="s">
        <v>573</v>
      </c>
      <c r="T1882" s="28" t="s">
        <v>2078</v>
      </c>
      <c r="U1882" s="28" t="s">
        <v>2078</v>
      </c>
      <c r="V1882" s="28" t="s">
        <v>517</v>
      </c>
      <c r="W1882" s="28" t="s">
        <v>6990</v>
      </c>
      <c r="AF1882" s="117"/>
      <c r="AK1882" s="60" t="s">
        <v>6558</v>
      </c>
      <c r="AL1882" s="117">
        <f>1/COUNTIF(Tableau6[LAT],B1882)</f>
        <v>0.33333333333333331</v>
      </c>
      <c r="AM1882" s="60" t="b">
        <f t="shared" si="213"/>
        <v>0</v>
      </c>
      <c r="AN1882" s="60" t="b">
        <f t="shared" si="214"/>
        <v>0</v>
      </c>
      <c r="AO1882" s="60" t="b">
        <f t="shared" si="215"/>
        <v>0</v>
      </c>
      <c r="AP1882" s="60" t="b">
        <f t="shared" si="216"/>
        <v>0</v>
      </c>
      <c r="AQ1882" s="60" t="b">
        <f t="shared" si="217"/>
        <v>0</v>
      </c>
      <c r="AR1882" s="60" t="str">
        <f t="shared" si="218"/>
        <v>No</v>
      </c>
      <c r="AS1882" s="60" t="str">
        <f t="shared" si="219"/>
        <v>No</v>
      </c>
    </row>
    <row r="1883" spans="1:45" hidden="1">
      <c r="A1883" s="103">
        <v>45244</v>
      </c>
      <c r="B1883" s="117" t="s">
        <v>6991</v>
      </c>
      <c r="C1883" s="28" t="s">
        <v>511</v>
      </c>
      <c r="D1883" s="28" t="s">
        <v>6992</v>
      </c>
      <c r="F1883" s="28" t="s">
        <v>6993</v>
      </c>
      <c r="G1883" s="28" t="s">
        <v>514</v>
      </c>
      <c r="H1883" s="28" t="s">
        <v>2964</v>
      </c>
      <c r="I1883" s="28" t="s">
        <v>516</v>
      </c>
      <c r="J1883" s="28" t="s">
        <v>517</v>
      </c>
      <c r="K1883" s="28" t="s">
        <v>518</v>
      </c>
      <c r="L1883" s="28" t="s">
        <v>604</v>
      </c>
      <c r="M1883" s="28" t="s">
        <v>535</v>
      </c>
      <c r="N1883" s="28" t="s">
        <v>522</v>
      </c>
      <c r="S1883" s="28" t="s">
        <v>537</v>
      </c>
      <c r="T1883" s="28" t="s">
        <v>607</v>
      </c>
      <c r="U1883" s="28" t="s">
        <v>607</v>
      </c>
      <c r="V1883" s="28" t="s">
        <v>517</v>
      </c>
      <c r="W1883" s="28" t="s">
        <v>2935</v>
      </c>
      <c r="AF1883" s="117"/>
      <c r="AK1883" s="60" t="s">
        <v>6558</v>
      </c>
      <c r="AL1883" s="117">
        <f>1/COUNTIF(Tableau6[LAT],B1883)</f>
        <v>1</v>
      </c>
      <c r="AM1883" s="60" t="b">
        <f t="shared" si="213"/>
        <v>0</v>
      </c>
      <c r="AN1883" s="60" t="b">
        <f t="shared" si="214"/>
        <v>0</v>
      </c>
      <c r="AO1883" s="60" t="b">
        <f t="shared" si="215"/>
        <v>0</v>
      </c>
      <c r="AP1883" s="60" t="b">
        <f t="shared" si="216"/>
        <v>0</v>
      </c>
      <c r="AQ1883" s="60" t="b">
        <f t="shared" si="217"/>
        <v>0</v>
      </c>
      <c r="AR1883" s="60" t="str">
        <f t="shared" si="218"/>
        <v>No</v>
      </c>
      <c r="AS1883" s="60" t="str">
        <f t="shared" si="219"/>
        <v>No</v>
      </c>
    </row>
    <row r="1884" spans="1:45" hidden="1">
      <c r="A1884" s="103">
        <v>45244</v>
      </c>
      <c r="B1884" s="117" t="s">
        <v>6994</v>
      </c>
      <c r="C1884" s="28" t="s">
        <v>511</v>
      </c>
      <c r="D1884" s="28" t="s">
        <v>6995</v>
      </c>
      <c r="F1884" s="28" t="s">
        <v>2963</v>
      </c>
      <c r="G1884" s="28" t="s">
        <v>514</v>
      </c>
      <c r="H1884" s="28" t="s">
        <v>5950</v>
      </c>
      <c r="I1884" s="28" t="s">
        <v>517</v>
      </c>
      <c r="J1884" s="28" t="s">
        <v>517</v>
      </c>
      <c r="K1884" s="28" t="s">
        <v>518</v>
      </c>
      <c r="L1884" s="28" t="s">
        <v>5195</v>
      </c>
      <c r="M1884" s="28" t="s">
        <v>535</v>
      </c>
      <c r="N1884" s="28" t="s">
        <v>810</v>
      </c>
      <c r="O1884" s="28" t="s">
        <v>6996</v>
      </c>
      <c r="P1884" s="28" t="s">
        <v>521</v>
      </c>
      <c r="Q1884" s="28" t="s">
        <v>522</v>
      </c>
      <c r="S1884" s="28" t="s">
        <v>573</v>
      </c>
      <c r="T1884" s="28" t="s">
        <v>3756</v>
      </c>
      <c r="U1884" s="28" t="s">
        <v>3756</v>
      </c>
      <c r="V1884" s="28" t="s">
        <v>517</v>
      </c>
      <c r="W1884" s="28" t="s">
        <v>6997</v>
      </c>
      <c r="AF1884" s="117"/>
      <c r="AK1884" s="60" t="s">
        <v>6558</v>
      </c>
      <c r="AL1884" s="117">
        <f>1/COUNTIF(Tableau6[LAT],B1884)</f>
        <v>1</v>
      </c>
      <c r="AM1884" s="60" t="b">
        <f t="shared" si="213"/>
        <v>0</v>
      </c>
      <c r="AN1884" s="60" t="b">
        <f t="shared" si="214"/>
        <v>0</v>
      </c>
      <c r="AO1884" s="60" t="b">
        <f t="shared" si="215"/>
        <v>0</v>
      </c>
      <c r="AP1884" s="60" t="b">
        <f t="shared" si="216"/>
        <v>0</v>
      </c>
      <c r="AQ1884" s="60" t="b">
        <f t="shared" si="217"/>
        <v>0</v>
      </c>
      <c r="AR1884" s="60" t="str">
        <f t="shared" si="218"/>
        <v>No</v>
      </c>
      <c r="AS1884" s="60" t="str">
        <f t="shared" si="219"/>
        <v>No</v>
      </c>
    </row>
    <row r="1885" spans="1:45" hidden="1">
      <c r="A1885" s="103">
        <v>45244</v>
      </c>
      <c r="B1885" s="117" t="s">
        <v>6998</v>
      </c>
      <c r="C1885" s="28" t="s">
        <v>511</v>
      </c>
      <c r="D1885" s="28" t="s">
        <v>6999</v>
      </c>
      <c r="E1885" s="28" t="s">
        <v>7000</v>
      </c>
      <c r="F1885" s="28" t="s">
        <v>3382</v>
      </c>
      <c r="G1885" s="28" t="s">
        <v>7001</v>
      </c>
      <c r="H1885" s="28" t="s">
        <v>2369</v>
      </c>
      <c r="I1885" s="28" t="s">
        <v>516</v>
      </c>
      <c r="J1885" s="28" t="s">
        <v>517</v>
      </c>
      <c r="K1885" s="28" t="s">
        <v>682</v>
      </c>
      <c r="L1885" s="28" t="s">
        <v>6584</v>
      </c>
      <c r="M1885" s="28" t="s">
        <v>535</v>
      </c>
      <c r="S1885" s="28" t="s">
        <v>960</v>
      </c>
      <c r="T1885" s="28" t="s">
        <v>1918</v>
      </c>
      <c r="U1885" s="28" t="s">
        <v>1918</v>
      </c>
      <c r="V1885" s="28" t="s">
        <v>517</v>
      </c>
      <c r="W1885" s="28" t="s">
        <v>6836</v>
      </c>
      <c r="X1885" s="28" t="s">
        <v>1913</v>
      </c>
      <c r="AF1885" s="117"/>
      <c r="AK1885" s="60" t="s">
        <v>6558</v>
      </c>
      <c r="AL1885" s="117">
        <f>1/COUNTIF(Tableau6[LAT],B1885)</f>
        <v>1</v>
      </c>
      <c r="AM1885" s="60" t="b">
        <f t="shared" si="213"/>
        <v>0</v>
      </c>
      <c r="AN1885" s="60" t="b">
        <f t="shared" si="214"/>
        <v>0</v>
      </c>
      <c r="AO1885" s="60" t="b">
        <f t="shared" si="215"/>
        <v>0</v>
      </c>
      <c r="AP1885" s="60" t="b">
        <f t="shared" si="216"/>
        <v>0</v>
      </c>
      <c r="AQ1885" s="60" t="b">
        <f t="shared" si="217"/>
        <v>0</v>
      </c>
      <c r="AR1885" s="60" t="str">
        <f t="shared" si="218"/>
        <v>No</v>
      </c>
      <c r="AS1885" s="60" t="str">
        <f t="shared" si="219"/>
        <v>No</v>
      </c>
    </row>
    <row r="1886" spans="1:45" hidden="1">
      <c r="A1886" s="103">
        <v>45244</v>
      </c>
      <c r="B1886" s="117" t="s">
        <v>7002</v>
      </c>
      <c r="C1886" s="28" t="s">
        <v>511</v>
      </c>
      <c r="D1886" s="28" t="s">
        <v>7003</v>
      </c>
      <c r="F1886" s="28" t="s">
        <v>4910</v>
      </c>
      <c r="G1886" s="28" t="s">
        <v>514</v>
      </c>
      <c r="H1886" s="28" t="s">
        <v>533</v>
      </c>
      <c r="I1886" s="28" t="s">
        <v>516</v>
      </c>
      <c r="J1886" s="28" t="s">
        <v>517</v>
      </c>
      <c r="K1886" s="28" t="s">
        <v>518</v>
      </c>
      <c r="L1886" s="28" t="s">
        <v>839</v>
      </c>
      <c r="M1886" s="28" t="s">
        <v>605</v>
      </c>
      <c r="N1886" s="28" t="s">
        <v>557</v>
      </c>
      <c r="O1886" s="28" t="s">
        <v>544</v>
      </c>
      <c r="P1886" s="28" t="s">
        <v>559</v>
      </c>
      <c r="S1886" s="28" t="s">
        <v>732</v>
      </c>
      <c r="T1886" s="28" t="s">
        <v>840</v>
      </c>
      <c r="U1886" s="28" t="s">
        <v>840</v>
      </c>
      <c r="V1886" s="28" t="s">
        <v>517</v>
      </c>
      <c r="W1886" s="28" t="s">
        <v>3269</v>
      </c>
      <c r="AF1886" s="117"/>
      <c r="AK1886" s="60" t="s">
        <v>6558</v>
      </c>
      <c r="AL1886" s="117">
        <f>1/COUNTIF(Tableau6[LAT],B1886)</f>
        <v>1</v>
      </c>
      <c r="AM1886" s="60" t="b">
        <f t="shared" si="213"/>
        <v>0</v>
      </c>
      <c r="AN1886" s="60" t="b">
        <f t="shared" si="214"/>
        <v>0</v>
      </c>
      <c r="AO1886" s="60" t="b">
        <f t="shared" si="215"/>
        <v>0</v>
      </c>
      <c r="AP1886" s="60" t="b">
        <f t="shared" si="216"/>
        <v>0</v>
      </c>
      <c r="AQ1886" s="60" t="b">
        <f t="shared" si="217"/>
        <v>0</v>
      </c>
      <c r="AR1886" s="60" t="str">
        <f t="shared" si="218"/>
        <v>No</v>
      </c>
      <c r="AS1886" s="60" t="str">
        <f t="shared" si="219"/>
        <v>No</v>
      </c>
    </row>
    <row r="1887" spans="1:45" hidden="1">
      <c r="A1887" s="103">
        <v>45244</v>
      </c>
      <c r="B1887" s="117" t="s">
        <v>7004</v>
      </c>
      <c r="C1887" s="28" t="s">
        <v>511</v>
      </c>
      <c r="D1887" s="28" t="s">
        <v>7005</v>
      </c>
      <c r="F1887" s="28" t="s">
        <v>6740</v>
      </c>
      <c r="G1887" s="28" t="s">
        <v>514</v>
      </c>
      <c r="H1887" s="28" t="s">
        <v>2679</v>
      </c>
      <c r="I1887" s="28" t="s">
        <v>516</v>
      </c>
      <c r="J1887" s="28" t="s">
        <v>517</v>
      </c>
      <c r="K1887" s="28" t="s">
        <v>518</v>
      </c>
      <c r="L1887" s="28" t="s">
        <v>3553</v>
      </c>
      <c r="M1887" s="28" t="s">
        <v>535</v>
      </c>
      <c r="N1887" s="28" t="s">
        <v>810</v>
      </c>
      <c r="O1887" s="28" t="s">
        <v>1383</v>
      </c>
      <c r="S1887" s="28" t="s">
        <v>536</v>
      </c>
      <c r="T1887" s="28" t="s">
        <v>1366</v>
      </c>
      <c r="U1887" s="28" t="s">
        <v>1366</v>
      </c>
      <c r="V1887" s="28" t="s">
        <v>517</v>
      </c>
      <c r="AF1887" s="117"/>
      <c r="AK1887" s="60" t="s">
        <v>6558</v>
      </c>
      <c r="AL1887" s="117">
        <f>1/COUNTIF(Tableau6[LAT],B1887)</f>
        <v>1</v>
      </c>
      <c r="AM1887" s="60" t="b">
        <f t="shared" si="213"/>
        <v>0</v>
      </c>
      <c r="AN1887" s="60" t="b">
        <f t="shared" si="214"/>
        <v>0</v>
      </c>
      <c r="AO1887" s="60" t="b">
        <f t="shared" si="215"/>
        <v>0</v>
      </c>
      <c r="AP1887" s="60" t="b">
        <f t="shared" si="216"/>
        <v>0</v>
      </c>
      <c r="AQ1887" s="60" t="b">
        <f t="shared" si="217"/>
        <v>0</v>
      </c>
      <c r="AR1887" s="60" t="str">
        <f t="shared" si="218"/>
        <v>No</v>
      </c>
      <c r="AS1887" s="60" t="str">
        <f t="shared" si="219"/>
        <v>Yes</v>
      </c>
    </row>
    <row r="1888" spans="1:45" hidden="1">
      <c r="A1888" s="103">
        <v>45244</v>
      </c>
      <c r="B1888" s="117" t="s">
        <v>6190</v>
      </c>
      <c r="C1888" s="28" t="s">
        <v>548</v>
      </c>
      <c r="D1888" s="28" t="s">
        <v>7006</v>
      </c>
      <c r="F1888" s="28" t="s">
        <v>7007</v>
      </c>
      <c r="G1888" s="28" t="s">
        <v>514</v>
      </c>
      <c r="H1888" s="28" t="s">
        <v>6192</v>
      </c>
      <c r="I1888" s="28" t="s">
        <v>516</v>
      </c>
      <c r="J1888" s="28" t="s">
        <v>517</v>
      </c>
      <c r="K1888" s="28" t="s">
        <v>518</v>
      </c>
      <c r="L1888" s="28" t="s">
        <v>3460</v>
      </c>
      <c r="M1888" s="28" t="s">
        <v>605</v>
      </c>
      <c r="N1888" s="28" t="s">
        <v>544</v>
      </c>
      <c r="O1888" s="28" t="s">
        <v>559</v>
      </c>
      <c r="S1888" s="28" t="s">
        <v>606</v>
      </c>
      <c r="T1888" s="28" t="s">
        <v>811</v>
      </c>
      <c r="U1888" s="28" t="s">
        <v>3461</v>
      </c>
      <c r="V1888" s="28" t="s">
        <v>517</v>
      </c>
      <c r="W1888" s="28" t="s">
        <v>1620</v>
      </c>
      <c r="AF1888" s="117"/>
      <c r="AK1888" s="60" t="s">
        <v>6558</v>
      </c>
      <c r="AL1888" s="117">
        <f>1/COUNTIF(Tableau6[LAT],B1888)</f>
        <v>0.33333333333333331</v>
      </c>
      <c r="AM1888" s="60" t="b">
        <f t="shared" si="213"/>
        <v>0</v>
      </c>
      <c r="AN1888" s="60" t="b">
        <f t="shared" si="214"/>
        <v>0</v>
      </c>
      <c r="AO1888" s="60" t="b">
        <f t="shared" si="215"/>
        <v>0</v>
      </c>
      <c r="AP1888" s="60" t="b">
        <f t="shared" si="216"/>
        <v>0</v>
      </c>
      <c r="AQ1888" s="60" t="b">
        <f t="shared" si="217"/>
        <v>0</v>
      </c>
      <c r="AR1888" s="60" t="str">
        <f t="shared" si="218"/>
        <v>No</v>
      </c>
      <c r="AS1888" s="60" t="str">
        <f t="shared" si="219"/>
        <v>No</v>
      </c>
    </row>
    <row r="1889" spans="1:45" hidden="1">
      <c r="A1889" s="103">
        <v>45244</v>
      </c>
      <c r="B1889" s="117" t="s">
        <v>6190</v>
      </c>
      <c r="C1889" s="28" t="s">
        <v>691</v>
      </c>
      <c r="D1889" s="28" t="s">
        <v>7008</v>
      </c>
      <c r="F1889" s="28" t="s">
        <v>7007</v>
      </c>
      <c r="G1889" s="28" t="s">
        <v>514</v>
      </c>
      <c r="H1889" s="28" t="s">
        <v>3142</v>
      </c>
      <c r="I1889" s="28" t="s">
        <v>516</v>
      </c>
      <c r="J1889" s="28" t="s">
        <v>517</v>
      </c>
      <c r="K1889" s="28" t="s">
        <v>518</v>
      </c>
      <c r="L1889" s="28" t="s">
        <v>3460</v>
      </c>
      <c r="M1889" s="28" t="s">
        <v>605</v>
      </c>
      <c r="N1889" s="28" t="s">
        <v>544</v>
      </c>
      <c r="O1889" s="28" t="s">
        <v>559</v>
      </c>
      <c r="S1889" s="28" t="s">
        <v>606</v>
      </c>
      <c r="T1889" s="28" t="s">
        <v>811</v>
      </c>
      <c r="U1889" s="28" t="s">
        <v>3461</v>
      </c>
      <c r="V1889" s="28" t="s">
        <v>517</v>
      </c>
      <c r="W1889" s="28" t="s">
        <v>1620</v>
      </c>
      <c r="AF1889" s="117"/>
      <c r="AK1889" s="60" t="s">
        <v>6558</v>
      </c>
      <c r="AL1889" s="117">
        <f>1/COUNTIF(Tableau6[LAT],B1889)</f>
        <v>0.33333333333333331</v>
      </c>
      <c r="AM1889" s="60" t="b">
        <f t="shared" si="213"/>
        <v>0</v>
      </c>
      <c r="AN1889" s="60" t="b">
        <f t="shared" si="214"/>
        <v>0</v>
      </c>
      <c r="AO1889" s="60" t="b">
        <f t="shared" si="215"/>
        <v>0</v>
      </c>
      <c r="AP1889" s="60" t="b">
        <f t="shared" si="216"/>
        <v>0</v>
      </c>
      <c r="AQ1889" s="60" t="b">
        <f t="shared" si="217"/>
        <v>0</v>
      </c>
      <c r="AR1889" s="60" t="str">
        <f t="shared" si="218"/>
        <v>No</v>
      </c>
      <c r="AS1889" s="60" t="str">
        <f t="shared" si="219"/>
        <v>No</v>
      </c>
    </row>
    <row r="1890" spans="1:45" hidden="1">
      <c r="A1890" s="103">
        <v>45244</v>
      </c>
      <c r="B1890" s="117" t="s">
        <v>7009</v>
      </c>
      <c r="C1890" s="28" t="s">
        <v>691</v>
      </c>
      <c r="D1890" s="28" t="s">
        <v>7010</v>
      </c>
      <c r="E1890" s="28" t="s">
        <v>7011</v>
      </c>
      <c r="F1890" s="28" t="s">
        <v>7012</v>
      </c>
      <c r="G1890" s="28" t="s">
        <v>7013</v>
      </c>
      <c r="H1890" s="28" t="s">
        <v>7014</v>
      </c>
      <c r="I1890" s="28" t="s">
        <v>516</v>
      </c>
      <c r="J1890" s="28" t="s">
        <v>517</v>
      </c>
      <c r="K1890" s="28" t="s">
        <v>518</v>
      </c>
      <c r="L1890" s="28" t="s">
        <v>1199</v>
      </c>
      <c r="M1890" s="28" t="s">
        <v>535</v>
      </c>
      <c r="N1890" s="28" t="s">
        <v>7015</v>
      </c>
      <c r="O1890" s="28" t="s">
        <v>572</v>
      </c>
      <c r="P1890" s="28" t="s">
        <v>427</v>
      </c>
      <c r="S1890" s="28" t="s">
        <v>752</v>
      </c>
      <c r="T1890" s="28" t="s">
        <v>651</v>
      </c>
      <c r="U1890" s="28" t="s">
        <v>651</v>
      </c>
      <c r="V1890" s="28" t="s">
        <v>517</v>
      </c>
      <c r="W1890" s="28" t="s">
        <v>7016</v>
      </c>
      <c r="X1890" s="28" t="s">
        <v>670</v>
      </c>
      <c r="AF1890" s="117"/>
      <c r="AK1890" s="60" t="s">
        <v>6558</v>
      </c>
      <c r="AL1890" s="117">
        <f>1/COUNTIF(Tableau6[LAT],B1890)</f>
        <v>1</v>
      </c>
      <c r="AM1890" s="60" t="b">
        <f t="shared" si="213"/>
        <v>0</v>
      </c>
      <c r="AN1890" s="60" t="b">
        <f t="shared" si="214"/>
        <v>0</v>
      </c>
      <c r="AO1890" s="60" t="b">
        <f t="shared" si="215"/>
        <v>0</v>
      </c>
      <c r="AP1890" s="60" t="b">
        <f t="shared" si="216"/>
        <v>0</v>
      </c>
      <c r="AQ1890" s="60" t="b">
        <f t="shared" si="217"/>
        <v>0</v>
      </c>
      <c r="AR1890" s="60" t="str">
        <f t="shared" si="218"/>
        <v>No</v>
      </c>
      <c r="AS1890" s="60" t="str">
        <f t="shared" si="219"/>
        <v>No</v>
      </c>
    </row>
    <row r="1891" spans="1:45" hidden="1">
      <c r="A1891" s="103">
        <v>45244</v>
      </c>
      <c r="B1891" s="117" t="s">
        <v>7017</v>
      </c>
      <c r="C1891" s="28" t="s">
        <v>511</v>
      </c>
      <c r="D1891" s="28" t="s">
        <v>7018</v>
      </c>
      <c r="E1891" s="28" t="s">
        <v>6576</v>
      </c>
      <c r="F1891" s="28" t="s">
        <v>3953</v>
      </c>
      <c r="G1891" s="28" t="s">
        <v>514</v>
      </c>
      <c r="H1891" s="28" t="s">
        <v>3593</v>
      </c>
      <c r="I1891" s="28" t="s">
        <v>516</v>
      </c>
      <c r="J1891" s="28" t="s">
        <v>517</v>
      </c>
      <c r="K1891" s="28" t="s">
        <v>518</v>
      </c>
      <c r="L1891" s="28" t="s">
        <v>839</v>
      </c>
      <c r="M1891" s="28" t="s">
        <v>535</v>
      </c>
      <c r="N1891" s="28" t="s">
        <v>557</v>
      </c>
      <c r="O1891" s="28" t="s">
        <v>544</v>
      </c>
      <c r="P1891" s="28" t="s">
        <v>522</v>
      </c>
      <c r="S1891" s="28" t="s">
        <v>1226</v>
      </c>
      <c r="T1891" s="28" t="s">
        <v>840</v>
      </c>
      <c r="U1891" s="28" t="s">
        <v>840</v>
      </c>
      <c r="V1891" s="28" t="s">
        <v>517</v>
      </c>
      <c r="W1891" s="28" t="s">
        <v>6577</v>
      </c>
      <c r="X1891" s="28" t="s">
        <v>1071</v>
      </c>
      <c r="AF1891" s="117"/>
      <c r="AK1891" s="60" t="s">
        <v>6558</v>
      </c>
      <c r="AL1891" s="117">
        <f>1/COUNTIF(Tableau6[LAT],B1891)</f>
        <v>1</v>
      </c>
      <c r="AM1891" s="60" t="b">
        <f t="shared" si="213"/>
        <v>0</v>
      </c>
      <c r="AN1891" s="60" t="b">
        <f t="shared" si="214"/>
        <v>0</v>
      </c>
      <c r="AO1891" s="60" t="b">
        <f t="shared" si="215"/>
        <v>0</v>
      </c>
      <c r="AP1891" s="60" t="b">
        <f t="shared" si="216"/>
        <v>0</v>
      </c>
      <c r="AQ1891" s="60" t="b">
        <f t="shared" si="217"/>
        <v>0</v>
      </c>
      <c r="AR1891" s="60" t="str">
        <f t="shared" si="218"/>
        <v>No</v>
      </c>
      <c r="AS1891" s="60" t="str">
        <f t="shared" si="219"/>
        <v>No</v>
      </c>
    </row>
    <row r="1892" spans="1:45" hidden="1">
      <c r="A1892" s="103">
        <v>45244</v>
      </c>
      <c r="B1892" s="117" t="s">
        <v>7019</v>
      </c>
      <c r="C1892" s="28" t="s">
        <v>511</v>
      </c>
      <c r="D1892" s="28" t="s">
        <v>7020</v>
      </c>
      <c r="E1892" s="28" t="s">
        <v>7021</v>
      </c>
      <c r="F1892" s="28" t="s">
        <v>7022</v>
      </c>
      <c r="G1892" s="28" t="s">
        <v>514</v>
      </c>
      <c r="H1892" s="28" t="s">
        <v>6765</v>
      </c>
      <c r="I1892" s="28" t="s">
        <v>516</v>
      </c>
      <c r="J1892" s="28" t="s">
        <v>516</v>
      </c>
      <c r="K1892" s="28" t="s">
        <v>682</v>
      </c>
      <c r="L1892" s="28" t="s">
        <v>683</v>
      </c>
      <c r="M1892" s="28" t="s">
        <v>535</v>
      </c>
      <c r="N1892" s="28" t="s">
        <v>4723</v>
      </c>
      <c r="O1892" s="28" t="s">
        <v>1383</v>
      </c>
      <c r="P1892" s="28" t="s">
        <v>557</v>
      </c>
      <c r="Q1892" s="28" t="s">
        <v>558</v>
      </c>
      <c r="R1892" s="28" t="s">
        <v>522</v>
      </c>
      <c r="S1892" s="28" t="s">
        <v>732</v>
      </c>
      <c r="T1892" s="28" t="s">
        <v>545</v>
      </c>
      <c r="U1892" s="28" t="s">
        <v>545</v>
      </c>
      <c r="V1892" s="28" t="s">
        <v>517</v>
      </c>
      <c r="AF1892" s="117"/>
      <c r="AK1892" s="60" t="s">
        <v>6558</v>
      </c>
      <c r="AL1892" s="117">
        <f>1/COUNTIF(Tableau6[LAT],B1892)</f>
        <v>0.25</v>
      </c>
      <c r="AM1892" s="60" t="b">
        <f t="shared" si="213"/>
        <v>0</v>
      </c>
      <c r="AN1892" s="60" t="b">
        <f t="shared" si="214"/>
        <v>0</v>
      </c>
      <c r="AO1892" s="60" t="b">
        <f t="shared" si="215"/>
        <v>0</v>
      </c>
      <c r="AP1892" s="60" t="b">
        <f t="shared" si="216"/>
        <v>0</v>
      </c>
      <c r="AQ1892" s="60" t="b">
        <f t="shared" si="217"/>
        <v>0</v>
      </c>
      <c r="AR1892" s="60" t="str">
        <f t="shared" si="218"/>
        <v>No</v>
      </c>
      <c r="AS1892" s="60" t="str">
        <f t="shared" si="219"/>
        <v>No</v>
      </c>
    </row>
    <row r="1893" spans="1:45" hidden="1">
      <c r="A1893" s="103">
        <v>45244</v>
      </c>
      <c r="B1893" s="117" t="s">
        <v>7019</v>
      </c>
      <c r="C1893" s="28" t="s">
        <v>548</v>
      </c>
      <c r="D1893" s="28" t="s">
        <v>7023</v>
      </c>
      <c r="E1893" s="28" t="s">
        <v>7024</v>
      </c>
      <c r="F1893" s="28" t="s">
        <v>696</v>
      </c>
      <c r="G1893" s="28" t="s">
        <v>514</v>
      </c>
      <c r="H1893" s="28" t="s">
        <v>6765</v>
      </c>
      <c r="I1893" s="28" t="s">
        <v>516</v>
      </c>
      <c r="J1893" s="28" t="s">
        <v>516</v>
      </c>
      <c r="K1893" s="28" t="s">
        <v>682</v>
      </c>
      <c r="L1893" s="28" t="s">
        <v>683</v>
      </c>
      <c r="M1893" s="28" t="s">
        <v>535</v>
      </c>
      <c r="N1893" s="28" t="s">
        <v>4723</v>
      </c>
      <c r="O1893" s="28" t="s">
        <v>1383</v>
      </c>
      <c r="P1893" s="28" t="s">
        <v>557</v>
      </c>
      <c r="Q1893" s="28" t="s">
        <v>558</v>
      </c>
      <c r="R1893" s="28" t="s">
        <v>522</v>
      </c>
      <c r="S1893" s="28" t="s">
        <v>732</v>
      </c>
      <c r="T1893" s="28" t="s">
        <v>545</v>
      </c>
      <c r="U1893" s="28" t="s">
        <v>545</v>
      </c>
      <c r="V1893" s="28" t="s">
        <v>517</v>
      </c>
      <c r="AF1893" s="117"/>
      <c r="AK1893" s="60" t="s">
        <v>6558</v>
      </c>
      <c r="AL1893" s="117">
        <f>1/COUNTIF(Tableau6[LAT],B1893)</f>
        <v>0.25</v>
      </c>
      <c r="AM1893" s="60" t="b">
        <f t="shared" si="213"/>
        <v>0</v>
      </c>
      <c r="AN1893" s="60" t="b">
        <f t="shared" si="214"/>
        <v>0</v>
      </c>
      <c r="AO1893" s="60" t="b">
        <f t="shared" si="215"/>
        <v>0</v>
      </c>
      <c r="AP1893" s="60" t="b">
        <f t="shared" si="216"/>
        <v>0</v>
      </c>
      <c r="AQ1893" s="60" t="b">
        <f t="shared" si="217"/>
        <v>0</v>
      </c>
      <c r="AR1893" s="60" t="str">
        <f t="shared" si="218"/>
        <v>No</v>
      </c>
      <c r="AS1893" s="60" t="str">
        <f t="shared" si="219"/>
        <v>No</v>
      </c>
    </row>
    <row r="1894" spans="1:45" hidden="1">
      <c r="A1894" s="103">
        <v>45244</v>
      </c>
      <c r="B1894" s="117" t="s">
        <v>7019</v>
      </c>
      <c r="C1894" s="28" t="s">
        <v>612</v>
      </c>
      <c r="D1894" s="28" t="s">
        <v>7025</v>
      </c>
      <c r="E1894" s="28" t="s">
        <v>7026</v>
      </c>
      <c r="F1894" s="28" t="s">
        <v>696</v>
      </c>
      <c r="G1894" s="28" t="s">
        <v>514</v>
      </c>
      <c r="H1894" s="28" t="s">
        <v>6765</v>
      </c>
      <c r="I1894" s="28" t="s">
        <v>516</v>
      </c>
      <c r="J1894" s="28" t="s">
        <v>516</v>
      </c>
      <c r="K1894" s="28" t="s">
        <v>682</v>
      </c>
      <c r="L1894" s="28" t="s">
        <v>683</v>
      </c>
      <c r="M1894" s="28" t="s">
        <v>535</v>
      </c>
      <c r="N1894" s="28" t="s">
        <v>4723</v>
      </c>
      <c r="O1894" s="28" t="s">
        <v>1383</v>
      </c>
      <c r="P1894" s="28" t="s">
        <v>557</v>
      </c>
      <c r="Q1894" s="28" t="s">
        <v>558</v>
      </c>
      <c r="R1894" s="28" t="s">
        <v>522</v>
      </c>
      <c r="S1894" s="28" t="s">
        <v>732</v>
      </c>
      <c r="T1894" s="28" t="s">
        <v>545</v>
      </c>
      <c r="U1894" s="28" t="s">
        <v>545</v>
      </c>
      <c r="V1894" s="28" t="s">
        <v>517</v>
      </c>
      <c r="AF1894" s="117"/>
      <c r="AK1894" s="60" t="s">
        <v>6558</v>
      </c>
      <c r="AL1894" s="117">
        <f>1/COUNTIF(Tableau6[LAT],B1894)</f>
        <v>0.25</v>
      </c>
      <c r="AM1894" s="60" t="b">
        <f t="shared" si="213"/>
        <v>0</v>
      </c>
      <c r="AN1894" s="60" t="b">
        <f t="shared" si="214"/>
        <v>0</v>
      </c>
      <c r="AO1894" s="60" t="b">
        <f t="shared" si="215"/>
        <v>0</v>
      </c>
      <c r="AP1894" s="60" t="b">
        <f t="shared" si="216"/>
        <v>0</v>
      </c>
      <c r="AQ1894" s="60" t="b">
        <f t="shared" si="217"/>
        <v>0</v>
      </c>
      <c r="AR1894" s="60" t="str">
        <f t="shared" si="218"/>
        <v>No</v>
      </c>
      <c r="AS1894" s="60" t="str">
        <f t="shared" si="219"/>
        <v>No</v>
      </c>
    </row>
    <row r="1895" spans="1:45" hidden="1">
      <c r="A1895" s="103">
        <v>45244</v>
      </c>
      <c r="B1895" s="117" t="s">
        <v>7019</v>
      </c>
      <c r="C1895" s="28" t="s">
        <v>691</v>
      </c>
      <c r="D1895" s="28" t="s">
        <v>7027</v>
      </c>
      <c r="E1895" s="28" t="s">
        <v>7028</v>
      </c>
      <c r="F1895" s="28" t="s">
        <v>696</v>
      </c>
      <c r="G1895" s="28" t="s">
        <v>514</v>
      </c>
      <c r="H1895" s="28" t="s">
        <v>6765</v>
      </c>
      <c r="I1895" s="28" t="s">
        <v>516</v>
      </c>
      <c r="J1895" s="28" t="s">
        <v>516</v>
      </c>
      <c r="K1895" s="28" t="s">
        <v>682</v>
      </c>
      <c r="L1895" s="28" t="s">
        <v>683</v>
      </c>
      <c r="M1895" s="28" t="s">
        <v>535</v>
      </c>
      <c r="N1895" s="28" t="s">
        <v>4723</v>
      </c>
      <c r="O1895" s="28" t="s">
        <v>1383</v>
      </c>
      <c r="P1895" s="28" t="s">
        <v>557</v>
      </c>
      <c r="Q1895" s="28" t="s">
        <v>558</v>
      </c>
      <c r="R1895" s="28" t="s">
        <v>522</v>
      </c>
      <c r="S1895" s="28" t="s">
        <v>732</v>
      </c>
      <c r="T1895" s="28" t="s">
        <v>545</v>
      </c>
      <c r="U1895" s="28" t="s">
        <v>545</v>
      </c>
      <c r="V1895" s="28" t="s">
        <v>517</v>
      </c>
      <c r="AF1895" s="117"/>
      <c r="AK1895" s="60" t="s">
        <v>6558</v>
      </c>
      <c r="AL1895" s="117">
        <f>1/COUNTIF(Tableau6[LAT],B1895)</f>
        <v>0.25</v>
      </c>
      <c r="AM1895" s="60" t="b">
        <f t="shared" si="213"/>
        <v>0</v>
      </c>
      <c r="AN1895" s="60" t="b">
        <f t="shared" si="214"/>
        <v>0</v>
      </c>
      <c r="AO1895" s="60" t="b">
        <f t="shared" si="215"/>
        <v>0</v>
      </c>
      <c r="AP1895" s="60" t="b">
        <f t="shared" si="216"/>
        <v>0</v>
      </c>
      <c r="AQ1895" s="60" t="b">
        <f t="shared" si="217"/>
        <v>0</v>
      </c>
      <c r="AR1895" s="60" t="str">
        <f t="shared" si="218"/>
        <v>No</v>
      </c>
      <c r="AS1895" s="60" t="str">
        <f t="shared" si="219"/>
        <v>No</v>
      </c>
    </row>
    <row r="1896" spans="1:45" hidden="1">
      <c r="A1896" s="103">
        <v>45244</v>
      </c>
      <c r="B1896" s="117" t="s">
        <v>7029</v>
      </c>
      <c r="C1896" s="28" t="s">
        <v>511</v>
      </c>
      <c r="D1896" s="28" t="s">
        <v>7030</v>
      </c>
      <c r="E1896" s="28" t="s">
        <v>6601</v>
      </c>
      <c r="F1896" s="28" t="s">
        <v>6769</v>
      </c>
      <c r="G1896" s="28" t="s">
        <v>958</v>
      </c>
      <c r="H1896" s="28" t="s">
        <v>3533</v>
      </c>
      <c r="I1896" s="28" t="s">
        <v>516</v>
      </c>
      <c r="J1896" s="28" t="s">
        <v>517</v>
      </c>
      <c r="K1896" s="28" t="s">
        <v>518</v>
      </c>
      <c r="L1896" s="28" t="s">
        <v>916</v>
      </c>
      <c r="M1896" s="28" t="s">
        <v>535</v>
      </c>
      <c r="N1896" s="28" t="s">
        <v>4006</v>
      </c>
      <c r="O1896" s="28" t="s">
        <v>5841</v>
      </c>
      <c r="P1896" s="28" t="s">
        <v>559</v>
      </c>
      <c r="S1896" s="28" t="s">
        <v>740</v>
      </c>
      <c r="T1896" s="28" t="s">
        <v>917</v>
      </c>
      <c r="U1896" s="28" t="s">
        <v>917</v>
      </c>
      <c r="V1896" s="28" t="s">
        <v>517</v>
      </c>
      <c r="W1896" s="28" t="s">
        <v>6603</v>
      </c>
      <c r="X1896" s="28" t="s">
        <v>670</v>
      </c>
      <c r="AF1896" s="117"/>
      <c r="AK1896" s="60" t="s">
        <v>6558</v>
      </c>
      <c r="AL1896" s="117">
        <f>1/COUNTIF(Tableau6[LAT],B1896)</f>
        <v>1</v>
      </c>
      <c r="AM1896" s="60" t="str">
        <f t="shared" si="213"/>
        <v>Yes</v>
      </c>
      <c r="AN1896" s="60" t="b">
        <f t="shared" si="214"/>
        <v>0</v>
      </c>
      <c r="AO1896" s="60" t="b">
        <f t="shared" si="215"/>
        <v>0</v>
      </c>
      <c r="AP1896" s="60" t="b">
        <f t="shared" si="216"/>
        <v>0</v>
      </c>
      <c r="AQ1896" s="60" t="b">
        <f t="shared" si="217"/>
        <v>0</v>
      </c>
      <c r="AR1896" s="60" t="str">
        <f t="shared" si="218"/>
        <v>Yes</v>
      </c>
      <c r="AS1896" s="60" t="str">
        <f t="shared" si="219"/>
        <v>No</v>
      </c>
    </row>
    <row r="1897" spans="1:45" hidden="1">
      <c r="A1897" s="103">
        <v>45244</v>
      </c>
      <c r="B1897" s="117" t="s">
        <v>7031</v>
      </c>
      <c r="C1897" s="28" t="s">
        <v>511</v>
      </c>
      <c r="D1897" s="28" t="s">
        <v>7032</v>
      </c>
      <c r="E1897" s="28" t="s">
        <v>6763</v>
      </c>
      <c r="F1897" s="28" t="s">
        <v>7033</v>
      </c>
      <c r="G1897" s="28" t="s">
        <v>3441</v>
      </c>
      <c r="H1897" s="28" t="s">
        <v>7034</v>
      </c>
      <c r="I1897" s="28" t="s">
        <v>516</v>
      </c>
      <c r="J1897" s="28" t="s">
        <v>517</v>
      </c>
      <c r="K1897" s="28" t="s">
        <v>682</v>
      </c>
      <c r="L1897" s="28" t="s">
        <v>6584</v>
      </c>
      <c r="M1897" s="28" t="s">
        <v>535</v>
      </c>
      <c r="N1897" s="28" t="s">
        <v>522</v>
      </c>
      <c r="O1897" s="28" t="s">
        <v>627</v>
      </c>
      <c r="S1897" s="28" t="s">
        <v>740</v>
      </c>
      <c r="T1897" s="28" t="s">
        <v>1918</v>
      </c>
      <c r="U1897" s="28" t="s">
        <v>1918</v>
      </c>
      <c r="V1897" s="28" t="s">
        <v>517</v>
      </c>
      <c r="W1897" s="28" t="s">
        <v>6766</v>
      </c>
      <c r="X1897" s="28" t="s">
        <v>670</v>
      </c>
      <c r="AF1897" s="117"/>
      <c r="AK1897" s="60" t="s">
        <v>6558</v>
      </c>
      <c r="AL1897" s="117">
        <f>1/COUNTIF(Tableau6[LAT],B1897)</f>
        <v>1</v>
      </c>
      <c r="AM1897" s="60" t="b">
        <f t="shared" si="213"/>
        <v>0</v>
      </c>
      <c r="AN1897" s="60" t="b">
        <f t="shared" si="214"/>
        <v>0</v>
      </c>
      <c r="AO1897" s="60" t="b">
        <f t="shared" si="215"/>
        <v>0</v>
      </c>
      <c r="AP1897" s="60" t="b">
        <f t="shared" si="216"/>
        <v>0</v>
      </c>
      <c r="AQ1897" s="60" t="b">
        <f t="shared" si="217"/>
        <v>0</v>
      </c>
      <c r="AR1897" s="60" t="str">
        <f t="shared" si="218"/>
        <v>No</v>
      </c>
      <c r="AS1897" s="60" t="str">
        <f t="shared" si="219"/>
        <v>No</v>
      </c>
    </row>
    <row r="1898" spans="1:45" hidden="1">
      <c r="A1898" s="103">
        <v>45244</v>
      </c>
      <c r="B1898" s="117" t="s">
        <v>7035</v>
      </c>
      <c r="C1898" s="28" t="s">
        <v>511</v>
      </c>
      <c r="D1898" s="28" t="s">
        <v>7036</v>
      </c>
      <c r="F1898" s="28" t="s">
        <v>7037</v>
      </c>
      <c r="G1898" s="28" t="s">
        <v>514</v>
      </c>
      <c r="H1898" s="28" t="s">
        <v>568</v>
      </c>
      <c r="I1898" s="28" t="s">
        <v>517</v>
      </c>
      <c r="J1898" s="28" t="s">
        <v>517</v>
      </c>
      <c r="K1898" s="28" t="s">
        <v>518</v>
      </c>
      <c r="L1898" s="28" t="s">
        <v>4099</v>
      </c>
      <c r="M1898" s="28" t="s">
        <v>535</v>
      </c>
      <c r="N1898" s="28" t="s">
        <v>7038</v>
      </c>
      <c r="O1898" s="28" t="s">
        <v>572</v>
      </c>
      <c r="P1898" s="28" t="s">
        <v>522</v>
      </c>
      <c r="S1898" s="28" t="s">
        <v>573</v>
      </c>
      <c r="T1898" s="28" t="s">
        <v>4100</v>
      </c>
      <c r="U1898" s="28" t="s">
        <v>4100</v>
      </c>
      <c r="V1898" s="28" t="s">
        <v>517</v>
      </c>
      <c r="W1898" s="28" t="s">
        <v>7039</v>
      </c>
      <c r="AF1898" s="117"/>
      <c r="AK1898" s="60" t="s">
        <v>6558</v>
      </c>
      <c r="AL1898" s="117">
        <f>1/COUNTIF(Tableau6[LAT],B1898)</f>
        <v>0.5</v>
      </c>
      <c r="AM1898" s="60" t="b">
        <f t="shared" si="213"/>
        <v>0</v>
      </c>
      <c r="AN1898" s="60" t="b">
        <f t="shared" si="214"/>
        <v>0</v>
      </c>
      <c r="AO1898" s="60" t="b">
        <f t="shared" si="215"/>
        <v>0</v>
      </c>
      <c r="AP1898" s="60" t="b">
        <f t="shared" si="216"/>
        <v>0</v>
      </c>
      <c r="AQ1898" s="60" t="b">
        <f t="shared" si="217"/>
        <v>0</v>
      </c>
      <c r="AR1898" s="60" t="str">
        <f t="shared" si="218"/>
        <v>No</v>
      </c>
      <c r="AS1898" s="60" t="str">
        <f t="shared" si="219"/>
        <v>No</v>
      </c>
    </row>
    <row r="1899" spans="1:45" hidden="1">
      <c r="A1899" s="103">
        <v>45244</v>
      </c>
      <c r="B1899" s="117" t="s">
        <v>7035</v>
      </c>
      <c r="C1899" s="28" t="s">
        <v>548</v>
      </c>
      <c r="D1899" s="28" t="s">
        <v>7040</v>
      </c>
      <c r="F1899" s="28" t="s">
        <v>7041</v>
      </c>
      <c r="G1899" s="28" t="s">
        <v>958</v>
      </c>
      <c r="H1899" s="28" t="s">
        <v>4398</v>
      </c>
      <c r="I1899" s="28" t="s">
        <v>517</v>
      </c>
      <c r="J1899" s="28" t="s">
        <v>517</v>
      </c>
      <c r="K1899" s="28" t="s">
        <v>518</v>
      </c>
      <c r="L1899" s="28" t="s">
        <v>4099</v>
      </c>
      <c r="M1899" s="28" t="s">
        <v>535</v>
      </c>
      <c r="N1899" s="28" t="s">
        <v>7038</v>
      </c>
      <c r="O1899" s="28" t="s">
        <v>572</v>
      </c>
      <c r="P1899" s="28" t="s">
        <v>522</v>
      </c>
      <c r="S1899" s="28" t="s">
        <v>573</v>
      </c>
      <c r="T1899" s="28" t="s">
        <v>4100</v>
      </c>
      <c r="U1899" s="28" t="s">
        <v>4100</v>
      </c>
      <c r="V1899" s="28" t="s">
        <v>517</v>
      </c>
      <c r="W1899" s="28" t="s">
        <v>7039</v>
      </c>
      <c r="AF1899" s="117"/>
      <c r="AK1899" s="60" t="s">
        <v>6558</v>
      </c>
      <c r="AL1899" s="117">
        <f>1/COUNTIF(Tableau6[LAT],B1899)</f>
        <v>0.5</v>
      </c>
      <c r="AM1899" s="60" t="b">
        <f t="shared" si="213"/>
        <v>0</v>
      </c>
      <c r="AN1899" s="60" t="b">
        <f t="shared" si="214"/>
        <v>0</v>
      </c>
      <c r="AO1899" s="60" t="b">
        <f t="shared" si="215"/>
        <v>0</v>
      </c>
      <c r="AP1899" s="60" t="b">
        <f t="shared" si="216"/>
        <v>0</v>
      </c>
      <c r="AQ1899" s="60" t="b">
        <f t="shared" si="217"/>
        <v>0</v>
      </c>
      <c r="AR1899" s="60" t="str">
        <f t="shared" si="218"/>
        <v>No</v>
      </c>
      <c r="AS1899" s="60" t="str">
        <f t="shared" si="219"/>
        <v>No</v>
      </c>
    </row>
    <row r="1900" spans="1:45" hidden="1">
      <c r="A1900" s="103">
        <v>45244</v>
      </c>
      <c r="B1900" s="117" t="s">
        <v>7042</v>
      </c>
      <c r="C1900" s="28" t="s">
        <v>511</v>
      </c>
      <c r="D1900" s="28" t="s">
        <v>7043</v>
      </c>
      <c r="E1900" s="28" t="s">
        <v>7044</v>
      </c>
      <c r="F1900" s="28" t="s">
        <v>7045</v>
      </c>
      <c r="G1900" s="28" t="s">
        <v>514</v>
      </c>
      <c r="H1900" s="28" t="s">
        <v>1512</v>
      </c>
      <c r="I1900" s="28" t="s">
        <v>516</v>
      </c>
      <c r="J1900" s="28" t="s">
        <v>517</v>
      </c>
      <c r="K1900" s="28" t="s">
        <v>518</v>
      </c>
      <c r="L1900" s="28" t="s">
        <v>4505</v>
      </c>
      <c r="M1900" s="28" t="s">
        <v>535</v>
      </c>
      <c r="N1900" s="28" t="s">
        <v>521</v>
      </c>
      <c r="O1900" s="28" t="s">
        <v>544</v>
      </c>
      <c r="P1900" s="28" t="s">
        <v>522</v>
      </c>
      <c r="S1900" s="28" t="s">
        <v>732</v>
      </c>
      <c r="T1900" s="28" t="s">
        <v>1934</v>
      </c>
      <c r="U1900" s="28" t="s">
        <v>1934</v>
      </c>
      <c r="V1900" s="28" t="s">
        <v>517</v>
      </c>
      <c r="W1900" s="28" t="s">
        <v>7046</v>
      </c>
      <c r="X1900" s="28" t="s">
        <v>1071</v>
      </c>
      <c r="AF1900" s="117"/>
      <c r="AK1900" s="60" t="s">
        <v>6558</v>
      </c>
      <c r="AL1900" s="117">
        <f>1/COUNTIF(Tableau6[LAT],B1900)</f>
        <v>0.14285714285714285</v>
      </c>
      <c r="AM1900" s="60" t="b">
        <f t="shared" si="213"/>
        <v>0</v>
      </c>
      <c r="AN1900" s="60" t="b">
        <f t="shared" si="214"/>
        <v>0</v>
      </c>
      <c r="AO1900" s="60" t="b">
        <f t="shared" si="215"/>
        <v>0</v>
      </c>
      <c r="AP1900" s="60" t="b">
        <f t="shared" si="216"/>
        <v>0</v>
      </c>
      <c r="AQ1900" s="60" t="b">
        <f t="shared" si="217"/>
        <v>0</v>
      </c>
      <c r="AR1900" s="60" t="str">
        <f t="shared" si="218"/>
        <v>No</v>
      </c>
      <c r="AS1900" s="60" t="str">
        <f t="shared" si="219"/>
        <v>No</v>
      </c>
    </row>
    <row r="1901" spans="1:45" hidden="1">
      <c r="A1901" s="103">
        <v>45244</v>
      </c>
      <c r="B1901" s="117" t="s">
        <v>7042</v>
      </c>
      <c r="C1901" s="28" t="s">
        <v>548</v>
      </c>
      <c r="D1901" s="28" t="s">
        <v>7047</v>
      </c>
      <c r="E1901" s="28" t="s">
        <v>7044</v>
      </c>
      <c r="F1901" s="28" t="s">
        <v>7048</v>
      </c>
      <c r="G1901" s="28" t="s">
        <v>958</v>
      </c>
      <c r="H1901" s="28" t="s">
        <v>1394</v>
      </c>
      <c r="I1901" s="28" t="s">
        <v>516</v>
      </c>
      <c r="J1901" s="28" t="s">
        <v>517</v>
      </c>
      <c r="K1901" s="28" t="s">
        <v>518</v>
      </c>
      <c r="L1901" s="28" t="s">
        <v>4505</v>
      </c>
      <c r="M1901" s="28" t="s">
        <v>535</v>
      </c>
      <c r="N1901" s="28" t="s">
        <v>521</v>
      </c>
      <c r="O1901" s="28" t="s">
        <v>544</v>
      </c>
      <c r="P1901" s="28" t="s">
        <v>522</v>
      </c>
      <c r="S1901" s="28" t="s">
        <v>732</v>
      </c>
      <c r="T1901" s="28" t="s">
        <v>1934</v>
      </c>
      <c r="U1901" s="28" t="s">
        <v>1934</v>
      </c>
      <c r="V1901" s="28" t="s">
        <v>517</v>
      </c>
      <c r="W1901" s="28" t="s">
        <v>7046</v>
      </c>
      <c r="X1901" s="28" t="s">
        <v>1071</v>
      </c>
      <c r="AF1901" s="117"/>
      <c r="AK1901" s="60" t="s">
        <v>6558</v>
      </c>
      <c r="AL1901" s="117">
        <f>1/COUNTIF(Tableau6[LAT],B1901)</f>
        <v>0.14285714285714285</v>
      </c>
      <c r="AM1901" s="60" t="b">
        <f t="shared" si="213"/>
        <v>0</v>
      </c>
      <c r="AN1901" s="60" t="b">
        <f t="shared" si="214"/>
        <v>0</v>
      </c>
      <c r="AO1901" s="60" t="b">
        <f t="shared" si="215"/>
        <v>0</v>
      </c>
      <c r="AP1901" s="60" t="b">
        <f t="shared" si="216"/>
        <v>0</v>
      </c>
      <c r="AQ1901" s="60" t="b">
        <f t="shared" si="217"/>
        <v>0</v>
      </c>
      <c r="AR1901" s="60" t="str">
        <f t="shared" si="218"/>
        <v>No</v>
      </c>
      <c r="AS1901" s="60" t="str">
        <f t="shared" si="219"/>
        <v>No</v>
      </c>
    </row>
    <row r="1902" spans="1:45" hidden="1">
      <c r="A1902" s="103">
        <v>45244</v>
      </c>
      <c r="B1902" s="117" t="s">
        <v>7042</v>
      </c>
      <c r="C1902" s="28" t="s">
        <v>612</v>
      </c>
      <c r="D1902" s="28" t="s">
        <v>7049</v>
      </c>
      <c r="E1902" s="28" t="s">
        <v>7044</v>
      </c>
      <c r="F1902" s="28" t="s">
        <v>7050</v>
      </c>
      <c r="G1902" s="28" t="s">
        <v>514</v>
      </c>
      <c r="H1902" s="28" t="s">
        <v>1512</v>
      </c>
      <c r="I1902" s="28" t="s">
        <v>516</v>
      </c>
      <c r="J1902" s="28" t="s">
        <v>517</v>
      </c>
      <c r="K1902" s="28" t="s">
        <v>518</v>
      </c>
      <c r="L1902" s="28" t="s">
        <v>4505</v>
      </c>
      <c r="M1902" s="28" t="s">
        <v>535</v>
      </c>
      <c r="N1902" s="28" t="s">
        <v>521</v>
      </c>
      <c r="O1902" s="28" t="s">
        <v>544</v>
      </c>
      <c r="P1902" s="28" t="s">
        <v>522</v>
      </c>
      <c r="S1902" s="28" t="s">
        <v>732</v>
      </c>
      <c r="T1902" s="28" t="s">
        <v>1934</v>
      </c>
      <c r="U1902" s="28" t="s">
        <v>1934</v>
      </c>
      <c r="V1902" s="28" t="s">
        <v>517</v>
      </c>
      <c r="W1902" s="28" t="s">
        <v>7046</v>
      </c>
      <c r="X1902" s="28" t="s">
        <v>1071</v>
      </c>
      <c r="AF1902" s="117"/>
      <c r="AK1902" s="60" t="s">
        <v>6558</v>
      </c>
      <c r="AL1902" s="117">
        <f>1/COUNTIF(Tableau6[LAT],B1902)</f>
        <v>0.14285714285714285</v>
      </c>
      <c r="AM1902" s="60" t="b">
        <f t="shared" si="213"/>
        <v>0</v>
      </c>
      <c r="AN1902" s="60" t="b">
        <f t="shared" si="214"/>
        <v>0</v>
      </c>
      <c r="AO1902" s="60" t="b">
        <f t="shared" si="215"/>
        <v>0</v>
      </c>
      <c r="AP1902" s="60" t="b">
        <f t="shared" si="216"/>
        <v>0</v>
      </c>
      <c r="AQ1902" s="60" t="b">
        <f t="shared" si="217"/>
        <v>0</v>
      </c>
      <c r="AR1902" s="60" t="str">
        <f t="shared" si="218"/>
        <v>No</v>
      </c>
      <c r="AS1902" s="60" t="str">
        <f t="shared" si="219"/>
        <v>No</v>
      </c>
    </row>
    <row r="1903" spans="1:45" hidden="1">
      <c r="A1903" s="103">
        <v>45244</v>
      </c>
      <c r="B1903" s="117" t="s">
        <v>7042</v>
      </c>
      <c r="C1903" s="28" t="s">
        <v>691</v>
      </c>
      <c r="D1903" s="28" t="s">
        <v>7051</v>
      </c>
      <c r="E1903" s="28" t="s">
        <v>7044</v>
      </c>
      <c r="F1903" s="28" t="s">
        <v>7050</v>
      </c>
      <c r="G1903" s="28" t="s">
        <v>514</v>
      </c>
      <c r="H1903" s="28" t="s">
        <v>1512</v>
      </c>
      <c r="I1903" s="28" t="s">
        <v>516</v>
      </c>
      <c r="J1903" s="28" t="s">
        <v>517</v>
      </c>
      <c r="K1903" s="28" t="s">
        <v>518</v>
      </c>
      <c r="L1903" s="28" t="s">
        <v>4505</v>
      </c>
      <c r="M1903" s="28" t="s">
        <v>535</v>
      </c>
      <c r="N1903" s="28" t="s">
        <v>521</v>
      </c>
      <c r="O1903" s="28" t="s">
        <v>544</v>
      </c>
      <c r="P1903" s="28" t="s">
        <v>522</v>
      </c>
      <c r="S1903" s="28" t="s">
        <v>732</v>
      </c>
      <c r="T1903" s="28" t="s">
        <v>1934</v>
      </c>
      <c r="U1903" s="28" t="s">
        <v>1934</v>
      </c>
      <c r="V1903" s="28" t="s">
        <v>517</v>
      </c>
      <c r="W1903" s="28" t="s">
        <v>7046</v>
      </c>
      <c r="X1903" s="28" t="s">
        <v>1071</v>
      </c>
      <c r="AF1903" s="117"/>
      <c r="AK1903" s="60" t="s">
        <v>6558</v>
      </c>
      <c r="AL1903" s="117">
        <f>1/COUNTIF(Tableau6[LAT],B1903)</f>
        <v>0.14285714285714285</v>
      </c>
      <c r="AM1903" s="60" t="b">
        <f t="shared" si="213"/>
        <v>0</v>
      </c>
      <c r="AN1903" s="60" t="b">
        <f t="shared" si="214"/>
        <v>0</v>
      </c>
      <c r="AO1903" s="60" t="b">
        <f t="shared" si="215"/>
        <v>0</v>
      </c>
      <c r="AP1903" s="60" t="b">
        <f t="shared" si="216"/>
        <v>0</v>
      </c>
      <c r="AQ1903" s="60" t="b">
        <f t="shared" si="217"/>
        <v>0</v>
      </c>
      <c r="AR1903" s="60" t="str">
        <f t="shared" si="218"/>
        <v>No</v>
      </c>
      <c r="AS1903" s="60" t="str">
        <f t="shared" si="219"/>
        <v>No</v>
      </c>
    </row>
    <row r="1904" spans="1:45" hidden="1">
      <c r="A1904" s="103">
        <v>45244</v>
      </c>
      <c r="B1904" s="117" t="s">
        <v>7042</v>
      </c>
      <c r="C1904" s="28" t="s">
        <v>859</v>
      </c>
      <c r="D1904" s="28" t="s">
        <v>7052</v>
      </c>
      <c r="E1904" s="28" t="s">
        <v>7044</v>
      </c>
      <c r="F1904" s="28" t="s">
        <v>7050</v>
      </c>
      <c r="G1904" s="28" t="s">
        <v>514</v>
      </c>
      <c r="H1904" s="28" t="s">
        <v>1512</v>
      </c>
      <c r="I1904" s="28" t="s">
        <v>516</v>
      </c>
      <c r="J1904" s="28" t="s">
        <v>517</v>
      </c>
      <c r="K1904" s="28" t="s">
        <v>518</v>
      </c>
      <c r="L1904" s="28" t="s">
        <v>4505</v>
      </c>
      <c r="M1904" s="28" t="s">
        <v>535</v>
      </c>
      <c r="N1904" s="28" t="s">
        <v>521</v>
      </c>
      <c r="O1904" s="28" t="s">
        <v>544</v>
      </c>
      <c r="P1904" s="28" t="s">
        <v>522</v>
      </c>
      <c r="S1904" s="28" t="s">
        <v>732</v>
      </c>
      <c r="T1904" s="28" t="s">
        <v>1934</v>
      </c>
      <c r="U1904" s="28" t="s">
        <v>1934</v>
      </c>
      <c r="V1904" s="28" t="s">
        <v>517</v>
      </c>
      <c r="W1904" s="28" t="s">
        <v>7046</v>
      </c>
      <c r="X1904" s="28" t="s">
        <v>1071</v>
      </c>
      <c r="AF1904" s="117"/>
      <c r="AK1904" s="60" t="s">
        <v>6558</v>
      </c>
      <c r="AL1904" s="117">
        <f>1/COUNTIF(Tableau6[LAT],B1904)</f>
        <v>0.14285714285714285</v>
      </c>
      <c r="AM1904" s="60" t="b">
        <f t="shared" si="213"/>
        <v>0</v>
      </c>
      <c r="AN1904" s="60" t="b">
        <f t="shared" si="214"/>
        <v>0</v>
      </c>
      <c r="AO1904" s="60" t="b">
        <f t="shared" si="215"/>
        <v>0</v>
      </c>
      <c r="AP1904" s="60" t="b">
        <f t="shared" si="216"/>
        <v>0</v>
      </c>
      <c r="AQ1904" s="60" t="b">
        <f t="shared" si="217"/>
        <v>0</v>
      </c>
      <c r="AR1904" s="60" t="str">
        <f t="shared" si="218"/>
        <v>No</v>
      </c>
      <c r="AS1904" s="60" t="str">
        <f t="shared" si="219"/>
        <v>No</v>
      </c>
    </row>
    <row r="1905" spans="1:45" hidden="1">
      <c r="A1905" s="103">
        <v>45244</v>
      </c>
      <c r="B1905" s="117" t="s">
        <v>7042</v>
      </c>
      <c r="C1905" s="28" t="s">
        <v>861</v>
      </c>
      <c r="D1905" s="28" t="s">
        <v>7053</v>
      </c>
      <c r="E1905" s="28" t="s">
        <v>7044</v>
      </c>
      <c r="F1905" s="28" t="s">
        <v>7050</v>
      </c>
      <c r="G1905" s="28" t="s">
        <v>514</v>
      </c>
      <c r="H1905" s="28" t="s">
        <v>1512</v>
      </c>
      <c r="I1905" s="28" t="s">
        <v>516</v>
      </c>
      <c r="J1905" s="28" t="s">
        <v>517</v>
      </c>
      <c r="K1905" s="28" t="s">
        <v>518</v>
      </c>
      <c r="L1905" s="28" t="s">
        <v>4505</v>
      </c>
      <c r="M1905" s="28" t="s">
        <v>535</v>
      </c>
      <c r="N1905" s="28" t="s">
        <v>521</v>
      </c>
      <c r="O1905" s="28" t="s">
        <v>544</v>
      </c>
      <c r="P1905" s="28" t="s">
        <v>522</v>
      </c>
      <c r="S1905" s="28" t="s">
        <v>732</v>
      </c>
      <c r="T1905" s="28" t="s">
        <v>1934</v>
      </c>
      <c r="U1905" s="28" t="s">
        <v>1934</v>
      </c>
      <c r="V1905" s="28" t="s">
        <v>517</v>
      </c>
      <c r="W1905" s="28" t="s">
        <v>7046</v>
      </c>
      <c r="X1905" s="28" t="s">
        <v>1071</v>
      </c>
      <c r="AF1905" s="117"/>
      <c r="AK1905" s="60" t="s">
        <v>6558</v>
      </c>
      <c r="AL1905" s="117">
        <f>1/COUNTIF(Tableau6[LAT],B1905)</f>
        <v>0.14285714285714285</v>
      </c>
      <c r="AM1905" s="60" t="b">
        <f t="shared" si="213"/>
        <v>0</v>
      </c>
      <c r="AN1905" s="60" t="b">
        <f t="shared" si="214"/>
        <v>0</v>
      </c>
      <c r="AO1905" s="60" t="b">
        <f t="shared" si="215"/>
        <v>0</v>
      </c>
      <c r="AP1905" s="60" t="b">
        <f t="shared" si="216"/>
        <v>0</v>
      </c>
      <c r="AQ1905" s="60" t="b">
        <f t="shared" si="217"/>
        <v>0</v>
      </c>
      <c r="AR1905" s="60" t="str">
        <f t="shared" si="218"/>
        <v>No</v>
      </c>
      <c r="AS1905" s="60" t="str">
        <f t="shared" si="219"/>
        <v>No</v>
      </c>
    </row>
    <row r="1906" spans="1:45" hidden="1">
      <c r="A1906" s="103">
        <v>45244</v>
      </c>
      <c r="B1906" s="117" t="s">
        <v>7042</v>
      </c>
      <c r="D1906" s="28" t="s">
        <v>7054</v>
      </c>
      <c r="E1906" s="28" t="s">
        <v>7044</v>
      </c>
      <c r="F1906" s="28" t="s">
        <v>7045</v>
      </c>
      <c r="G1906" s="28" t="s">
        <v>514</v>
      </c>
      <c r="H1906" s="28" t="s">
        <v>1512</v>
      </c>
      <c r="I1906" s="28" t="s">
        <v>516</v>
      </c>
      <c r="J1906" s="28" t="s">
        <v>517</v>
      </c>
      <c r="K1906" s="28" t="s">
        <v>518</v>
      </c>
      <c r="L1906" s="28" t="s">
        <v>4505</v>
      </c>
      <c r="M1906" s="28" t="s">
        <v>535</v>
      </c>
      <c r="N1906" s="28" t="s">
        <v>521</v>
      </c>
      <c r="O1906" s="28" t="s">
        <v>544</v>
      </c>
      <c r="P1906" s="28" t="s">
        <v>522</v>
      </c>
      <c r="S1906" s="28" t="s">
        <v>732</v>
      </c>
      <c r="T1906" s="28" t="s">
        <v>1934</v>
      </c>
      <c r="U1906" s="28" t="s">
        <v>1934</v>
      </c>
      <c r="V1906" s="28" t="s">
        <v>517</v>
      </c>
      <c r="W1906" s="28" t="s">
        <v>7046</v>
      </c>
      <c r="X1906" s="28" t="s">
        <v>1071</v>
      </c>
      <c r="AF1906" s="117"/>
      <c r="AK1906" s="60" t="s">
        <v>6558</v>
      </c>
      <c r="AL1906" s="117">
        <f>1/COUNTIF(Tableau6[LAT],B1906)</f>
        <v>0.14285714285714285</v>
      </c>
      <c r="AM1906" s="60" t="b">
        <f t="shared" si="213"/>
        <v>0</v>
      </c>
      <c r="AN1906" s="60" t="b">
        <f t="shared" si="214"/>
        <v>0</v>
      </c>
      <c r="AO1906" s="60" t="b">
        <f t="shared" si="215"/>
        <v>0</v>
      </c>
      <c r="AP1906" s="60" t="b">
        <f t="shared" si="216"/>
        <v>0</v>
      </c>
      <c r="AQ1906" s="60" t="b">
        <f t="shared" si="217"/>
        <v>0</v>
      </c>
      <c r="AR1906" s="60" t="str">
        <f t="shared" si="218"/>
        <v>No</v>
      </c>
      <c r="AS1906" s="60" t="str">
        <f t="shared" si="219"/>
        <v>No</v>
      </c>
    </row>
    <row r="1907" spans="1:45" hidden="1">
      <c r="A1907" s="103">
        <v>45244</v>
      </c>
      <c r="B1907" s="117" t="s">
        <v>7055</v>
      </c>
      <c r="C1907" s="28" t="s">
        <v>511</v>
      </c>
      <c r="D1907" s="28" t="s">
        <v>7056</v>
      </c>
      <c r="F1907" s="28" t="s">
        <v>3180</v>
      </c>
      <c r="G1907" s="28" t="s">
        <v>514</v>
      </c>
      <c r="H1907" s="28" t="s">
        <v>5800</v>
      </c>
      <c r="I1907" s="28" t="s">
        <v>517</v>
      </c>
      <c r="J1907" s="28" t="s">
        <v>517</v>
      </c>
      <c r="K1907" s="28" t="s">
        <v>518</v>
      </c>
      <c r="L1907" s="28" t="s">
        <v>774</v>
      </c>
      <c r="M1907" s="28" t="s">
        <v>535</v>
      </c>
      <c r="N1907" s="28" t="s">
        <v>619</v>
      </c>
      <c r="O1907" s="28" t="s">
        <v>521</v>
      </c>
      <c r="P1907" s="28" t="s">
        <v>934</v>
      </c>
      <c r="S1907" s="28" t="s">
        <v>573</v>
      </c>
      <c r="T1907" s="28" t="s">
        <v>1537</v>
      </c>
      <c r="U1907" s="28" t="s">
        <v>1537</v>
      </c>
      <c r="V1907" s="28" t="s">
        <v>517</v>
      </c>
      <c r="W1907" s="28" t="s">
        <v>3526</v>
      </c>
      <c r="AF1907" s="117"/>
      <c r="AK1907" s="60" t="s">
        <v>6558</v>
      </c>
      <c r="AL1907" s="117">
        <f>1/COUNTIF(Tableau6[LAT],B1907)</f>
        <v>1</v>
      </c>
      <c r="AM1907" s="60" t="b">
        <f t="shared" si="213"/>
        <v>0</v>
      </c>
      <c r="AN1907" s="60" t="b">
        <f t="shared" si="214"/>
        <v>0</v>
      </c>
      <c r="AO1907" s="60" t="b">
        <f t="shared" si="215"/>
        <v>0</v>
      </c>
      <c r="AP1907" s="60" t="b">
        <f t="shared" si="216"/>
        <v>0</v>
      </c>
      <c r="AQ1907" s="60" t="b">
        <f t="shared" si="217"/>
        <v>0</v>
      </c>
      <c r="AR1907" s="60" t="str">
        <f t="shared" si="218"/>
        <v>No</v>
      </c>
      <c r="AS1907" s="60" t="str">
        <f t="shared" si="219"/>
        <v>No</v>
      </c>
    </row>
    <row r="1908" spans="1:45" hidden="1">
      <c r="A1908" s="103">
        <v>45244</v>
      </c>
      <c r="B1908" s="117" t="s">
        <v>7057</v>
      </c>
      <c r="C1908" s="28" t="s">
        <v>511</v>
      </c>
      <c r="D1908" s="28" t="s">
        <v>7058</v>
      </c>
      <c r="F1908" s="28" t="s">
        <v>3889</v>
      </c>
      <c r="G1908" s="28" t="s">
        <v>724</v>
      </c>
      <c r="H1908" s="28" t="s">
        <v>4398</v>
      </c>
      <c r="I1908" s="28" t="s">
        <v>517</v>
      </c>
      <c r="J1908" s="28" t="s">
        <v>517</v>
      </c>
      <c r="K1908" s="28" t="s">
        <v>518</v>
      </c>
      <c r="L1908" s="28" t="s">
        <v>1199</v>
      </c>
      <c r="M1908" s="28" t="s">
        <v>535</v>
      </c>
      <c r="N1908" s="28" t="s">
        <v>619</v>
      </c>
      <c r="O1908" s="28" t="s">
        <v>557</v>
      </c>
      <c r="P1908" s="28" t="s">
        <v>934</v>
      </c>
      <c r="S1908" s="28" t="s">
        <v>573</v>
      </c>
      <c r="T1908" s="28" t="s">
        <v>651</v>
      </c>
      <c r="U1908" s="28" t="s">
        <v>651</v>
      </c>
      <c r="V1908" s="28" t="s">
        <v>517</v>
      </c>
      <c r="W1908" s="28" t="s">
        <v>7059</v>
      </c>
      <c r="AF1908" s="117"/>
      <c r="AK1908" s="60" t="s">
        <v>6558</v>
      </c>
      <c r="AL1908" s="117">
        <f>1/COUNTIF(Tableau6[LAT],B1908)</f>
        <v>1</v>
      </c>
      <c r="AM1908" s="60" t="b">
        <f t="shared" si="213"/>
        <v>0</v>
      </c>
      <c r="AN1908" s="60" t="b">
        <f t="shared" si="214"/>
        <v>0</v>
      </c>
      <c r="AO1908" s="60" t="b">
        <f t="shared" si="215"/>
        <v>0</v>
      </c>
      <c r="AP1908" s="60" t="b">
        <f t="shared" si="216"/>
        <v>0</v>
      </c>
      <c r="AQ1908" s="60" t="b">
        <f t="shared" si="217"/>
        <v>0</v>
      </c>
      <c r="AR1908" s="60" t="str">
        <f t="shared" si="218"/>
        <v>No</v>
      </c>
      <c r="AS1908" s="60" t="str">
        <f t="shared" si="219"/>
        <v>No</v>
      </c>
    </row>
    <row r="1909" spans="1:45" hidden="1">
      <c r="A1909" s="103">
        <v>45244</v>
      </c>
      <c r="B1909" s="117" t="s">
        <v>7060</v>
      </c>
      <c r="C1909" s="28" t="s">
        <v>511</v>
      </c>
      <c r="D1909" s="28" t="s">
        <v>7061</v>
      </c>
      <c r="E1909" s="28" t="s">
        <v>7062</v>
      </c>
      <c r="F1909" s="28" t="s">
        <v>7063</v>
      </c>
      <c r="G1909" s="28" t="s">
        <v>724</v>
      </c>
      <c r="H1909" s="28" t="s">
        <v>1123</v>
      </c>
      <c r="I1909" s="28" t="s">
        <v>516</v>
      </c>
      <c r="J1909" s="28" t="s">
        <v>517</v>
      </c>
      <c r="K1909" s="28" t="s">
        <v>518</v>
      </c>
      <c r="L1909" s="28" t="s">
        <v>7064</v>
      </c>
      <c r="M1909" s="28" t="s">
        <v>535</v>
      </c>
      <c r="N1909" s="28" t="s">
        <v>557</v>
      </c>
      <c r="O1909" s="28" t="s">
        <v>522</v>
      </c>
      <c r="S1909" s="28" t="s">
        <v>1042</v>
      </c>
      <c r="T1909" s="28" t="s">
        <v>752</v>
      </c>
      <c r="U1909" s="28" t="s">
        <v>752</v>
      </c>
      <c r="V1909" s="28" t="s">
        <v>517</v>
      </c>
      <c r="W1909" s="28" t="s">
        <v>7065</v>
      </c>
      <c r="X1909" s="28" t="s">
        <v>670</v>
      </c>
      <c r="AF1909" s="117"/>
      <c r="AK1909" s="60" t="s">
        <v>6558</v>
      </c>
      <c r="AL1909" s="117">
        <f>1/COUNTIF(Tableau6[LAT],B1909)</f>
        <v>1</v>
      </c>
      <c r="AM1909" s="60" t="b">
        <f t="shared" si="213"/>
        <v>0</v>
      </c>
      <c r="AN1909" s="60" t="b">
        <f t="shared" si="214"/>
        <v>0</v>
      </c>
      <c r="AO1909" s="60" t="b">
        <f t="shared" si="215"/>
        <v>0</v>
      </c>
      <c r="AP1909" s="60" t="b">
        <f t="shared" si="216"/>
        <v>0</v>
      </c>
      <c r="AQ1909" s="60" t="b">
        <f t="shared" si="217"/>
        <v>0</v>
      </c>
      <c r="AR1909" s="60" t="str">
        <f t="shared" si="218"/>
        <v>No</v>
      </c>
      <c r="AS1909" s="60" t="str">
        <f t="shared" si="219"/>
        <v>No</v>
      </c>
    </row>
    <row r="1910" spans="1:45" hidden="1">
      <c r="A1910" s="103">
        <v>45244</v>
      </c>
      <c r="B1910" s="117" t="s">
        <v>7066</v>
      </c>
      <c r="C1910" s="28" t="s">
        <v>511</v>
      </c>
      <c r="D1910" s="28" t="s">
        <v>7067</v>
      </c>
      <c r="F1910" s="28" t="s">
        <v>7068</v>
      </c>
      <c r="G1910" s="28" t="s">
        <v>514</v>
      </c>
      <c r="H1910" s="28" t="s">
        <v>2732</v>
      </c>
      <c r="I1910" s="28" t="s">
        <v>516</v>
      </c>
      <c r="J1910" s="28" t="s">
        <v>517</v>
      </c>
      <c r="K1910" s="28" t="s">
        <v>518</v>
      </c>
      <c r="L1910" s="28" t="s">
        <v>2979</v>
      </c>
      <c r="M1910" s="28" t="s">
        <v>535</v>
      </c>
      <c r="N1910" s="28" t="s">
        <v>1140</v>
      </c>
      <c r="O1910" s="28" t="s">
        <v>559</v>
      </c>
      <c r="S1910" s="28" t="s">
        <v>740</v>
      </c>
      <c r="T1910" s="28" t="s">
        <v>2980</v>
      </c>
      <c r="U1910" s="28" t="s">
        <v>2980</v>
      </c>
      <c r="V1910" s="28" t="s">
        <v>517</v>
      </c>
      <c r="W1910" s="28" t="s">
        <v>7069</v>
      </c>
      <c r="AF1910" s="117"/>
      <c r="AK1910" s="60" t="s">
        <v>6558</v>
      </c>
      <c r="AL1910" s="117">
        <f>1/COUNTIF(Tableau6[LAT],B1910)</f>
        <v>1</v>
      </c>
      <c r="AM1910" s="60" t="b">
        <f t="shared" si="213"/>
        <v>0</v>
      </c>
      <c r="AN1910" s="60" t="b">
        <f t="shared" si="214"/>
        <v>0</v>
      </c>
      <c r="AO1910" s="60" t="b">
        <f t="shared" si="215"/>
        <v>0</v>
      </c>
      <c r="AP1910" s="60" t="b">
        <f t="shared" si="216"/>
        <v>0</v>
      </c>
      <c r="AQ1910" s="60" t="b">
        <f t="shared" si="217"/>
        <v>0</v>
      </c>
      <c r="AR1910" s="60" t="str">
        <f t="shared" si="218"/>
        <v>No</v>
      </c>
      <c r="AS1910" s="60" t="str">
        <f t="shared" si="219"/>
        <v>No</v>
      </c>
    </row>
    <row r="1911" spans="1:45" hidden="1">
      <c r="A1911" s="103">
        <v>45244</v>
      </c>
      <c r="B1911" s="117" t="s">
        <v>7070</v>
      </c>
      <c r="C1911" s="28" t="s">
        <v>859</v>
      </c>
      <c r="D1911" s="28" t="s">
        <v>7071</v>
      </c>
      <c r="F1911" s="28" t="s">
        <v>3953</v>
      </c>
      <c r="G1911" s="28" t="s">
        <v>7072</v>
      </c>
      <c r="H1911" s="28" t="s">
        <v>3290</v>
      </c>
      <c r="I1911" s="28" t="s">
        <v>516</v>
      </c>
      <c r="J1911" s="28" t="s">
        <v>517</v>
      </c>
      <c r="K1911" s="28" t="s">
        <v>518</v>
      </c>
      <c r="L1911" s="28" t="s">
        <v>604</v>
      </c>
      <c r="M1911" s="28" t="s">
        <v>535</v>
      </c>
      <c r="N1911" s="28" t="s">
        <v>557</v>
      </c>
      <c r="O1911" s="28" t="s">
        <v>522</v>
      </c>
      <c r="S1911" s="28" t="s">
        <v>1712</v>
      </c>
      <c r="T1911" s="28" t="s">
        <v>607</v>
      </c>
      <c r="U1911" s="28" t="s">
        <v>607</v>
      </c>
      <c r="V1911" s="28" t="s">
        <v>517</v>
      </c>
      <c r="W1911" s="28" t="s">
        <v>7073</v>
      </c>
      <c r="AF1911" s="117"/>
      <c r="AK1911" s="60" t="s">
        <v>6558</v>
      </c>
      <c r="AL1911" s="117">
        <f>1/COUNTIF(Tableau6[LAT],B1911)</f>
        <v>1</v>
      </c>
      <c r="AM1911" s="60" t="b">
        <f t="shared" si="213"/>
        <v>0</v>
      </c>
      <c r="AN1911" s="60" t="b">
        <f t="shared" si="214"/>
        <v>0</v>
      </c>
      <c r="AO1911" s="60" t="b">
        <f t="shared" si="215"/>
        <v>0</v>
      </c>
      <c r="AP1911" s="60" t="b">
        <f t="shared" si="216"/>
        <v>0</v>
      </c>
      <c r="AQ1911" s="60" t="b">
        <f t="shared" si="217"/>
        <v>0</v>
      </c>
      <c r="AR1911" s="60" t="str">
        <f t="shared" si="218"/>
        <v>No</v>
      </c>
      <c r="AS1911" s="60" t="str">
        <f t="shared" si="219"/>
        <v>No</v>
      </c>
    </row>
    <row r="1912" spans="1:45" hidden="1">
      <c r="A1912" s="103">
        <v>45244</v>
      </c>
      <c r="B1912" s="117" t="s">
        <v>7074</v>
      </c>
      <c r="C1912" s="28" t="s">
        <v>859</v>
      </c>
      <c r="D1912" s="28" t="s">
        <v>7075</v>
      </c>
      <c r="F1912" s="28" t="s">
        <v>7076</v>
      </c>
      <c r="G1912" s="28" t="s">
        <v>514</v>
      </c>
      <c r="H1912" s="28" t="s">
        <v>533</v>
      </c>
      <c r="I1912" s="28" t="s">
        <v>516</v>
      </c>
      <c r="J1912" s="28" t="s">
        <v>517</v>
      </c>
      <c r="K1912" s="28" t="s">
        <v>518</v>
      </c>
      <c r="L1912" s="28" t="s">
        <v>604</v>
      </c>
      <c r="M1912" s="28" t="s">
        <v>535</v>
      </c>
      <c r="N1912" s="28" t="s">
        <v>559</v>
      </c>
      <c r="S1912" s="28" t="s">
        <v>740</v>
      </c>
      <c r="T1912" s="28" t="s">
        <v>607</v>
      </c>
      <c r="U1912" s="28" t="s">
        <v>607</v>
      </c>
      <c r="V1912" s="28" t="s">
        <v>517</v>
      </c>
      <c r="W1912" s="28" t="s">
        <v>1770</v>
      </c>
      <c r="AF1912" s="117"/>
      <c r="AK1912" s="60" t="s">
        <v>6558</v>
      </c>
      <c r="AL1912" s="117">
        <f>1/COUNTIF(Tableau6[LAT],B1912)</f>
        <v>0.33333333333333331</v>
      </c>
      <c r="AM1912" s="60" t="b">
        <f t="shared" si="213"/>
        <v>0</v>
      </c>
      <c r="AN1912" s="60" t="b">
        <f t="shared" si="214"/>
        <v>0</v>
      </c>
      <c r="AO1912" s="60" t="b">
        <f t="shared" si="215"/>
        <v>0</v>
      </c>
      <c r="AP1912" s="60" t="b">
        <f t="shared" si="216"/>
        <v>0</v>
      </c>
      <c r="AQ1912" s="60" t="b">
        <f t="shared" si="217"/>
        <v>0</v>
      </c>
      <c r="AR1912" s="60" t="str">
        <f t="shared" si="218"/>
        <v>No</v>
      </c>
      <c r="AS1912" s="60" t="str">
        <f t="shared" si="219"/>
        <v>No</v>
      </c>
    </row>
    <row r="1913" spans="1:45" hidden="1">
      <c r="A1913" s="103">
        <v>45244</v>
      </c>
      <c r="B1913" s="117" t="s">
        <v>7074</v>
      </c>
      <c r="D1913" s="28" t="s">
        <v>7077</v>
      </c>
      <c r="F1913" s="28" t="s">
        <v>7076</v>
      </c>
      <c r="G1913" s="28" t="s">
        <v>514</v>
      </c>
      <c r="H1913" s="28" t="s">
        <v>533</v>
      </c>
      <c r="I1913" s="28" t="s">
        <v>516</v>
      </c>
      <c r="J1913" s="28" t="s">
        <v>517</v>
      </c>
      <c r="K1913" s="28" t="s">
        <v>518</v>
      </c>
      <c r="L1913" s="28" t="s">
        <v>604</v>
      </c>
      <c r="M1913" s="28" t="s">
        <v>535</v>
      </c>
      <c r="N1913" s="28" t="s">
        <v>559</v>
      </c>
      <c r="S1913" s="28" t="s">
        <v>740</v>
      </c>
      <c r="T1913" s="28" t="s">
        <v>607</v>
      </c>
      <c r="U1913" s="28" t="s">
        <v>607</v>
      </c>
      <c r="V1913" s="28" t="s">
        <v>517</v>
      </c>
      <c r="W1913" s="28" t="s">
        <v>7078</v>
      </c>
      <c r="AF1913" s="117"/>
      <c r="AK1913" s="60" t="s">
        <v>6558</v>
      </c>
      <c r="AL1913" s="117">
        <f>1/COUNTIF(Tableau6[LAT],B1913)</f>
        <v>0.33333333333333331</v>
      </c>
      <c r="AM1913" s="60" t="b">
        <f t="shared" si="213"/>
        <v>0</v>
      </c>
      <c r="AN1913" s="60" t="b">
        <f t="shared" si="214"/>
        <v>0</v>
      </c>
      <c r="AO1913" s="60" t="b">
        <f t="shared" si="215"/>
        <v>0</v>
      </c>
      <c r="AP1913" s="60" t="b">
        <f t="shared" si="216"/>
        <v>0</v>
      </c>
      <c r="AQ1913" s="60" t="b">
        <f t="shared" si="217"/>
        <v>0</v>
      </c>
      <c r="AR1913" s="60" t="str">
        <f t="shared" si="218"/>
        <v>No</v>
      </c>
      <c r="AS1913" s="60" t="str">
        <f t="shared" si="219"/>
        <v>No</v>
      </c>
    </row>
    <row r="1914" spans="1:45" hidden="1">
      <c r="A1914" s="103">
        <v>45244</v>
      </c>
      <c r="B1914" s="117" t="s">
        <v>7074</v>
      </c>
      <c r="C1914" s="28" t="s">
        <v>864</v>
      </c>
      <c r="D1914" s="28" t="s">
        <v>7079</v>
      </c>
      <c r="F1914" s="28" t="s">
        <v>7080</v>
      </c>
      <c r="G1914" s="28" t="s">
        <v>514</v>
      </c>
      <c r="H1914" s="28" t="s">
        <v>3667</v>
      </c>
      <c r="I1914" s="28" t="s">
        <v>516</v>
      </c>
      <c r="J1914" s="28" t="s">
        <v>517</v>
      </c>
      <c r="K1914" s="28" t="s">
        <v>518</v>
      </c>
      <c r="L1914" s="28" t="s">
        <v>604</v>
      </c>
      <c r="M1914" s="28" t="s">
        <v>535</v>
      </c>
      <c r="N1914" s="28" t="s">
        <v>559</v>
      </c>
      <c r="S1914" s="28" t="s">
        <v>740</v>
      </c>
      <c r="T1914" s="28" t="s">
        <v>607</v>
      </c>
      <c r="U1914" s="28" t="s">
        <v>607</v>
      </c>
      <c r="V1914" s="28" t="s">
        <v>517</v>
      </c>
      <c r="W1914" s="28" t="s">
        <v>1560</v>
      </c>
      <c r="AF1914" s="117"/>
      <c r="AK1914" s="60" t="s">
        <v>6558</v>
      </c>
      <c r="AL1914" s="117">
        <f>1/COUNTIF(Tableau6[LAT],B1914)</f>
        <v>0.33333333333333331</v>
      </c>
      <c r="AM1914" s="60" t="b">
        <f t="shared" si="213"/>
        <v>0</v>
      </c>
      <c r="AN1914" s="60" t="b">
        <f t="shared" si="214"/>
        <v>0</v>
      </c>
      <c r="AO1914" s="60" t="b">
        <f t="shared" si="215"/>
        <v>0</v>
      </c>
      <c r="AP1914" s="60" t="b">
        <f t="shared" si="216"/>
        <v>0</v>
      </c>
      <c r="AQ1914" s="60" t="b">
        <f t="shared" si="217"/>
        <v>0</v>
      </c>
      <c r="AR1914" s="60" t="str">
        <f t="shared" si="218"/>
        <v>No</v>
      </c>
      <c r="AS1914" s="60" t="str">
        <f t="shared" si="219"/>
        <v>No</v>
      </c>
    </row>
    <row r="1915" spans="1:45" hidden="1">
      <c r="A1915" s="103">
        <v>45244</v>
      </c>
      <c r="B1915" s="117" t="s">
        <v>7081</v>
      </c>
      <c r="C1915" s="28" t="s">
        <v>511</v>
      </c>
      <c r="D1915" s="28" t="s">
        <v>7082</v>
      </c>
      <c r="F1915" s="28" t="s">
        <v>1950</v>
      </c>
      <c r="G1915" s="28" t="s">
        <v>514</v>
      </c>
      <c r="H1915" s="28" t="s">
        <v>639</v>
      </c>
      <c r="I1915" s="28" t="s">
        <v>516</v>
      </c>
      <c r="J1915" s="28" t="s">
        <v>517</v>
      </c>
      <c r="K1915" s="28" t="s">
        <v>518</v>
      </c>
      <c r="L1915" s="28" t="s">
        <v>809</v>
      </c>
      <c r="M1915" s="28" t="s">
        <v>520</v>
      </c>
      <c r="N1915" s="28" t="s">
        <v>1415</v>
      </c>
      <c r="O1915" s="28" t="s">
        <v>557</v>
      </c>
      <c r="P1915" s="28" t="s">
        <v>544</v>
      </c>
      <c r="Q1915" s="28" t="s">
        <v>522</v>
      </c>
      <c r="S1915" s="28" t="s">
        <v>732</v>
      </c>
      <c r="T1915" s="28" t="s">
        <v>811</v>
      </c>
      <c r="U1915" s="28" t="s">
        <v>811</v>
      </c>
      <c r="V1915" s="28" t="s">
        <v>517</v>
      </c>
      <c r="W1915" s="28" t="s">
        <v>7083</v>
      </c>
      <c r="AF1915" s="117"/>
      <c r="AK1915" s="60" t="s">
        <v>6558</v>
      </c>
      <c r="AL1915" s="117">
        <f>1/COUNTIF(Tableau6[LAT],B1915)</f>
        <v>0.33333333333333331</v>
      </c>
      <c r="AM1915" s="60" t="str">
        <f t="shared" si="213"/>
        <v>Yes</v>
      </c>
      <c r="AN1915" s="60" t="b">
        <f t="shared" si="214"/>
        <v>0</v>
      </c>
      <c r="AO1915" s="60" t="b">
        <f t="shared" si="215"/>
        <v>0</v>
      </c>
      <c r="AP1915" s="60" t="b">
        <f t="shared" si="216"/>
        <v>0</v>
      </c>
      <c r="AQ1915" s="60" t="b">
        <f t="shared" si="217"/>
        <v>0</v>
      </c>
      <c r="AR1915" s="60" t="str">
        <f t="shared" si="218"/>
        <v>Yes</v>
      </c>
      <c r="AS1915" s="60" t="str">
        <f t="shared" si="219"/>
        <v>No</v>
      </c>
    </row>
    <row r="1916" spans="1:45" hidden="1">
      <c r="A1916" s="103">
        <v>45244</v>
      </c>
      <c r="B1916" s="117" t="s">
        <v>7081</v>
      </c>
      <c r="C1916" s="28" t="s">
        <v>548</v>
      </c>
      <c r="D1916" s="28" t="s">
        <v>7084</v>
      </c>
      <c r="F1916" s="28" t="s">
        <v>1950</v>
      </c>
      <c r="G1916" s="28" t="s">
        <v>514</v>
      </c>
      <c r="H1916" s="28" t="s">
        <v>639</v>
      </c>
      <c r="I1916" s="28" t="s">
        <v>516</v>
      </c>
      <c r="J1916" s="28" t="s">
        <v>517</v>
      </c>
      <c r="K1916" s="28" t="s">
        <v>518</v>
      </c>
      <c r="L1916" s="28" t="s">
        <v>809</v>
      </c>
      <c r="M1916" s="28" t="s">
        <v>520</v>
      </c>
      <c r="N1916" s="28" t="s">
        <v>1415</v>
      </c>
      <c r="O1916" s="28" t="s">
        <v>557</v>
      </c>
      <c r="P1916" s="28" t="s">
        <v>544</v>
      </c>
      <c r="Q1916" s="28" t="s">
        <v>522</v>
      </c>
      <c r="S1916" s="28" t="s">
        <v>732</v>
      </c>
      <c r="T1916" s="28" t="s">
        <v>811</v>
      </c>
      <c r="U1916" s="28" t="s">
        <v>811</v>
      </c>
      <c r="V1916" s="28" t="s">
        <v>517</v>
      </c>
      <c r="W1916" s="28" t="s">
        <v>7085</v>
      </c>
      <c r="AF1916" s="117"/>
      <c r="AK1916" s="60" t="s">
        <v>6558</v>
      </c>
      <c r="AL1916" s="117">
        <f>1/COUNTIF(Tableau6[LAT],B1916)</f>
        <v>0.33333333333333331</v>
      </c>
      <c r="AM1916" s="60" t="str">
        <f t="shared" si="213"/>
        <v>Yes</v>
      </c>
      <c r="AN1916" s="60" t="b">
        <f t="shared" si="214"/>
        <v>0</v>
      </c>
      <c r="AO1916" s="60" t="b">
        <f t="shared" si="215"/>
        <v>0</v>
      </c>
      <c r="AP1916" s="60" t="b">
        <f t="shared" si="216"/>
        <v>0</v>
      </c>
      <c r="AQ1916" s="60" t="b">
        <f t="shared" si="217"/>
        <v>0</v>
      </c>
      <c r="AR1916" s="60" t="str">
        <f t="shared" si="218"/>
        <v>Yes</v>
      </c>
      <c r="AS1916" s="60" t="str">
        <f t="shared" si="219"/>
        <v>No</v>
      </c>
    </row>
    <row r="1917" spans="1:45" hidden="1">
      <c r="A1917" s="103">
        <v>45244</v>
      </c>
      <c r="B1917" s="117" t="s">
        <v>7081</v>
      </c>
      <c r="C1917" s="28" t="s">
        <v>612</v>
      </c>
      <c r="D1917" s="28" t="s">
        <v>7086</v>
      </c>
      <c r="F1917" s="28" t="s">
        <v>1950</v>
      </c>
      <c r="G1917" s="28" t="s">
        <v>514</v>
      </c>
      <c r="H1917" s="28" t="s">
        <v>639</v>
      </c>
      <c r="I1917" s="28" t="s">
        <v>516</v>
      </c>
      <c r="J1917" s="28" t="s">
        <v>517</v>
      </c>
      <c r="K1917" s="28" t="s">
        <v>518</v>
      </c>
      <c r="L1917" s="28" t="s">
        <v>809</v>
      </c>
      <c r="M1917" s="28" t="s">
        <v>520</v>
      </c>
      <c r="N1917" s="28" t="s">
        <v>1415</v>
      </c>
      <c r="O1917" s="28" t="s">
        <v>557</v>
      </c>
      <c r="P1917" s="28" t="s">
        <v>544</v>
      </c>
      <c r="Q1917" s="28" t="s">
        <v>522</v>
      </c>
      <c r="S1917" s="28" t="s">
        <v>732</v>
      </c>
      <c r="T1917" s="28" t="s">
        <v>811</v>
      </c>
      <c r="U1917" s="28" t="s">
        <v>811</v>
      </c>
      <c r="V1917" s="28" t="s">
        <v>517</v>
      </c>
      <c r="W1917" s="28" t="s">
        <v>1620</v>
      </c>
      <c r="AF1917" s="117"/>
      <c r="AK1917" s="60" t="s">
        <v>6558</v>
      </c>
      <c r="AL1917" s="117">
        <f>1/COUNTIF(Tableau6[LAT],B1917)</f>
        <v>0.33333333333333331</v>
      </c>
      <c r="AM1917" s="60" t="str">
        <f t="shared" si="213"/>
        <v>Yes</v>
      </c>
      <c r="AN1917" s="60" t="b">
        <f t="shared" si="214"/>
        <v>0</v>
      </c>
      <c r="AO1917" s="60" t="b">
        <f t="shared" si="215"/>
        <v>0</v>
      </c>
      <c r="AP1917" s="60" t="b">
        <f t="shared" si="216"/>
        <v>0</v>
      </c>
      <c r="AQ1917" s="60" t="b">
        <f t="shared" si="217"/>
        <v>0</v>
      </c>
      <c r="AR1917" s="60" t="str">
        <f t="shared" si="218"/>
        <v>Yes</v>
      </c>
      <c r="AS1917" s="60" t="str">
        <f t="shared" si="219"/>
        <v>No</v>
      </c>
    </row>
    <row r="1918" spans="1:45" hidden="1">
      <c r="A1918" s="103">
        <v>45244</v>
      </c>
      <c r="B1918" s="117" t="s">
        <v>7087</v>
      </c>
      <c r="C1918" s="28" t="s">
        <v>511</v>
      </c>
      <c r="D1918" s="28" t="s">
        <v>7088</v>
      </c>
      <c r="F1918" s="28" t="s">
        <v>7089</v>
      </c>
      <c r="G1918" s="28" t="s">
        <v>514</v>
      </c>
      <c r="H1918" s="28" t="s">
        <v>1721</v>
      </c>
      <c r="I1918" s="28" t="s">
        <v>517</v>
      </c>
      <c r="J1918" s="28" t="s">
        <v>517</v>
      </c>
      <c r="K1918" s="28" t="s">
        <v>518</v>
      </c>
      <c r="L1918" s="28" t="s">
        <v>596</v>
      </c>
      <c r="M1918" s="28" t="s">
        <v>535</v>
      </c>
      <c r="N1918" s="28" t="s">
        <v>557</v>
      </c>
      <c r="O1918" s="28" t="s">
        <v>544</v>
      </c>
      <c r="P1918" s="28" t="s">
        <v>522</v>
      </c>
      <c r="S1918" s="28" t="s">
        <v>573</v>
      </c>
      <c r="T1918" s="28" t="s">
        <v>597</v>
      </c>
      <c r="U1918" s="28" t="s">
        <v>597</v>
      </c>
      <c r="V1918" s="28" t="s">
        <v>517</v>
      </c>
      <c r="W1918" s="28" t="s">
        <v>4322</v>
      </c>
      <c r="AF1918" s="117"/>
      <c r="AK1918" s="60" t="s">
        <v>6558</v>
      </c>
      <c r="AL1918" s="117">
        <f>1/COUNTIF(Tableau6[LAT],B1918)</f>
        <v>1</v>
      </c>
      <c r="AM1918" s="60" t="b">
        <f t="shared" si="213"/>
        <v>0</v>
      </c>
      <c r="AN1918" s="60" t="b">
        <f t="shared" si="214"/>
        <v>0</v>
      </c>
      <c r="AO1918" s="60" t="b">
        <f t="shared" si="215"/>
        <v>0</v>
      </c>
      <c r="AP1918" s="60" t="b">
        <f t="shared" si="216"/>
        <v>0</v>
      </c>
      <c r="AQ1918" s="60" t="b">
        <f t="shared" si="217"/>
        <v>0</v>
      </c>
      <c r="AR1918" s="60" t="str">
        <f t="shared" si="218"/>
        <v>No</v>
      </c>
      <c r="AS1918" s="60" t="str">
        <f t="shared" si="219"/>
        <v>No</v>
      </c>
    </row>
    <row r="1919" spans="1:45" hidden="1">
      <c r="A1919" s="103">
        <v>45244</v>
      </c>
      <c r="B1919" s="117" t="s">
        <v>7090</v>
      </c>
      <c r="C1919" s="28" t="s">
        <v>511</v>
      </c>
      <c r="D1919" s="28" t="s">
        <v>7091</v>
      </c>
      <c r="E1919" s="28" t="s">
        <v>7092</v>
      </c>
      <c r="F1919" s="28" t="s">
        <v>3180</v>
      </c>
      <c r="G1919" s="28" t="s">
        <v>514</v>
      </c>
      <c r="H1919" s="28" t="s">
        <v>5800</v>
      </c>
      <c r="I1919" s="28" t="s">
        <v>517</v>
      </c>
      <c r="J1919" s="28" t="s">
        <v>517</v>
      </c>
      <c r="K1919" s="28" t="s">
        <v>518</v>
      </c>
      <c r="L1919" s="28" t="s">
        <v>1032</v>
      </c>
      <c r="M1919" s="28" t="s">
        <v>535</v>
      </c>
      <c r="N1919" s="28" t="s">
        <v>1523</v>
      </c>
      <c r="S1919" s="28" t="s">
        <v>573</v>
      </c>
      <c r="T1919" s="28" t="s">
        <v>545</v>
      </c>
      <c r="U1919" s="28" t="s">
        <v>545</v>
      </c>
      <c r="V1919" s="28" t="s">
        <v>517</v>
      </c>
      <c r="W1919" s="28" t="s">
        <v>3332</v>
      </c>
      <c r="AF1919" s="117"/>
      <c r="AK1919" s="60" t="s">
        <v>6558</v>
      </c>
      <c r="AL1919" s="117">
        <f>1/COUNTIF(Tableau6[LAT],B1919)</f>
        <v>1</v>
      </c>
      <c r="AM1919" s="60" t="b">
        <f t="shared" si="213"/>
        <v>0</v>
      </c>
      <c r="AN1919" s="60" t="b">
        <f t="shared" si="214"/>
        <v>0</v>
      </c>
      <c r="AO1919" s="60" t="b">
        <f t="shared" si="215"/>
        <v>0</v>
      </c>
      <c r="AP1919" s="60" t="b">
        <f t="shared" si="216"/>
        <v>0</v>
      </c>
      <c r="AQ1919" s="60" t="b">
        <f t="shared" si="217"/>
        <v>0</v>
      </c>
      <c r="AR1919" s="60" t="str">
        <f t="shared" si="218"/>
        <v>No</v>
      </c>
      <c r="AS1919" s="60" t="str">
        <f t="shared" si="219"/>
        <v>No</v>
      </c>
    </row>
    <row r="1920" spans="1:45" hidden="1">
      <c r="A1920" s="103">
        <v>45244</v>
      </c>
      <c r="B1920" s="117" t="s">
        <v>7093</v>
      </c>
      <c r="C1920" s="28" t="s">
        <v>511</v>
      </c>
      <c r="D1920" s="28" t="s">
        <v>7094</v>
      </c>
      <c r="F1920" s="28" t="s">
        <v>3764</v>
      </c>
      <c r="G1920" s="28" t="s">
        <v>665</v>
      </c>
      <c r="H1920" s="28" t="s">
        <v>2668</v>
      </c>
      <c r="I1920" s="28" t="s">
        <v>517</v>
      </c>
      <c r="J1920" s="28" t="s">
        <v>517</v>
      </c>
      <c r="K1920" s="28" t="s">
        <v>518</v>
      </c>
      <c r="L1920" s="28" t="s">
        <v>916</v>
      </c>
      <c r="M1920" s="28" t="s">
        <v>535</v>
      </c>
      <c r="N1920" s="28" t="s">
        <v>2359</v>
      </c>
      <c r="O1920" s="28" t="s">
        <v>557</v>
      </c>
      <c r="P1920" s="28" t="s">
        <v>522</v>
      </c>
      <c r="S1920" s="28" t="s">
        <v>573</v>
      </c>
      <c r="T1920" s="28" t="s">
        <v>917</v>
      </c>
      <c r="U1920" s="28" t="s">
        <v>917</v>
      </c>
      <c r="V1920" s="28" t="s">
        <v>517</v>
      </c>
      <c r="W1920" s="28" t="s">
        <v>7095</v>
      </c>
      <c r="AF1920" s="117"/>
      <c r="AK1920" s="60" t="s">
        <v>6558</v>
      </c>
      <c r="AL1920" s="117">
        <f>1/COUNTIF(Tableau6[LAT],B1920)</f>
        <v>1</v>
      </c>
      <c r="AM1920" s="60" t="b">
        <f t="shared" si="213"/>
        <v>0</v>
      </c>
      <c r="AN1920" s="60" t="b">
        <f t="shared" si="214"/>
        <v>0</v>
      </c>
      <c r="AO1920" s="60" t="b">
        <f t="shared" si="215"/>
        <v>0</v>
      </c>
      <c r="AP1920" s="60" t="b">
        <f t="shared" si="216"/>
        <v>0</v>
      </c>
      <c r="AQ1920" s="60" t="b">
        <f t="shared" si="217"/>
        <v>0</v>
      </c>
      <c r="AR1920" s="60" t="str">
        <f t="shared" si="218"/>
        <v>No</v>
      </c>
      <c r="AS1920" s="60" t="str">
        <f t="shared" si="219"/>
        <v>No</v>
      </c>
    </row>
    <row r="1921" spans="1:45" hidden="1">
      <c r="A1921" s="103">
        <v>45244</v>
      </c>
      <c r="B1921" s="117" t="s">
        <v>7096</v>
      </c>
      <c r="C1921" s="28" t="s">
        <v>511</v>
      </c>
      <c r="D1921" s="28" t="s">
        <v>7097</v>
      </c>
      <c r="F1921" s="28" t="s">
        <v>7098</v>
      </c>
      <c r="G1921" s="28" t="s">
        <v>5880</v>
      </c>
      <c r="H1921" s="28" t="s">
        <v>4452</v>
      </c>
      <c r="I1921" s="28" t="s">
        <v>517</v>
      </c>
      <c r="J1921" s="28" t="s">
        <v>517</v>
      </c>
      <c r="K1921" s="28" t="s">
        <v>518</v>
      </c>
      <c r="L1921" s="28" t="s">
        <v>569</v>
      </c>
      <c r="M1921" s="28" t="s">
        <v>535</v>
      </c>
      <c r="N1921" s="28" t="s">
        <v>521</v>
      </c>
      <c r="O1921" s="28" t="s">
        <v>522</v>
      </c>
      <c r="P1921" s="28" t="s">
        <v>627</v>
      </c>
      <c r="S1921" s="28" t="s">
        <v>573</v>
      </c>
      <c r="T1921" s="28" t="s">
        <v>574</v>
      </c>
      <c r="U1921" s="28" t="s">
        <v>574</v>
      </c>
      <c r="V1921" s="28" t="s">
        <v>517</v>
      </c>
      <c r="W1921" s="28" t="s">
        <v>7099</v>
      </c>
      <c r="AF1921" s="117"/>
      <c r="AK1921" s="60" t="s">
        <v>6558</v>
      </c>
      <c r="AL1921" s="117">
        <f>1/COUNTIF(Tableau6[LAT],B1921)</f>
        <v>1</v>
      </c>
      <c r="AM1921" s="60" t="b">
        <f t="shared" si="213"/>
        <v>0</v>
      </c>
      <c r="AN1921" s="60" t="b">
        <f t="shared" si="214"/>
        <v>0</v>
      </c>
      <c r="AO1921" s="60" t="b">
        <f t="shared" si="215"/>
        <v>0</v>
      </c>
      <c r="AP1921" s="60" t="b">
        <f t="shared" si="216"/>
        <v>0</v>
      </c>
      <c r="AQ1921" s="60" t="b">
        <f t="shared" si="217"/>
        <v>0</v>
      </c>
      <c r="AR1921" s="60" t="str">
        <f t="shared" si="218"/>
        <v>No</v>
      </c>
      <c r="AS1921" s="60" t="str">
        <f t="shared" si="219"/>
        <v>No</v>
      </c>
    </row>
    <row r="1922" spans="1:45" hidden="1">
      <c r="A1922" s="103">
        <v>45244</v>
      </c>
      <c r="B1922" s="117" t="s">
        <v>7100</v>
      </c>
      <c r="C1922" s="28" t="s">
        <v>511</v>
      </c>
      <c r="D1922" s="28" t="s">
        <v>7101</v>
      </c>
      <c r="F1922" s="28" t="s">
        <v>7102</v>
      </c>
      <c r="G1922" s="28" t="s">
        <v>514</v>
      </c>
      <c r="H1922" s="28" t="s">
        <v>579</v>
      </c>
      <c r="I1922" s="28" t="s">
        <v>517</v>
      </c>
      <c r="J1922" s="28" t="s">
        <v>517</v>
      </c>
      <c r="K1922" s="28" t="s">
        <v>518</v>
      </c>
      <c r="L1922" s="28" t="s">
        <v>6636</v>
      </c>
      <c r="M1922" s="28" t="s">
        <v>535</v>
      </c>
      <c r="N1922" s="28" t="s">
        <v>1382</v>
      </c>
      <c r="O1922" s="28" t="s">
        <v>1383</v>
      </c>
      <c r="P1922" s="28" t="s">
        <v>522</v>
      </c>
      <c r="S1922" s="28" t="s">
        <v>573</v>
      </c>
      <c r="T1922" s="28" t="s">
        <v>1529</v>
      </c>
      <c r="U1922" s="28" t="s">
        <v>1529</v>
      </c>
      <c r="V1922" s="28" t="s">
        <v>517</v>
      </c>
      <c r="W1922" s="28" t="s">
        <v>7103</v>
      </c>
      <c r="AF1922" s="117"/>
      <c r="AK1922" s="60" t="s">
        <v>6558</v>
      </c>
      <c r="AL1922" s="117">
        <f>1/COUNTIF(Tableau6[LAT],B1922)</f>
        <v>1</v>
      </c>
      <c r="AM1922" s="60" t="b">
        <f t="shared" si="213"/>
        <v>0</v>
      </c>
      <c r="AN1922" s="60" t="b">
        <f t="shared" si="214"/>
        <v>0</v>
      </c>
      <c r="AO1922" s="60" t="b">
        <f t="shared" si="215"/>
        <v>0</v>
      </c>
      <c r="AP1922" s="60" t="b">
        <f t="shared" si="216"/>
        <v>0</v>
      </c>
      <c r="AQ1922" s="60" t="b">
        <f t="shared" si="217"/>
        <v>0</v>
      </c>
      <c r="AR1922" s="60" t="str">
        <f t="shared" si="218"/>
        <v>No</v>
      </c>
      <c r="AS1922" s="60" t="str">
        <f t="shared" si="219"/>
        <v>No</v>
      </c>
    </row>
    <row r="1923" spans="1:45" hidden="1">
      <c r="A1923" s="103">
        <v>45244</v>
      </c>
      <c r="B1923" s="117" t="s">
        <v>7104</v>
      </c>
      <c r="C1923" s="28" t="s">
        <v>511</v>
      </c>
      <c r="D1923" s="28" t="s">
        <v>7105</v>
      </c>
      <c r="F1923" s="28" t="s">
        <v>7106</v>
      </c>
      <c r="G1923" s="28" t="s">
        <v>958</v>
      </c>
      <c r="H1923" s="28" t="s">
        <v>533</v>
      </c>
      <c r="I1923" s="28" t="s">
        <v>517</v>
      </c>
      <c r="J1923" s="28" t="s">
        <v>517</v>
      </c>
      <c r="K1923" s="28" t="s">
        <v>518</v>
      </c>
      <c r="L1923" s="28" t="s">
        <v>3639</v>
      </c>
      <c r="M1923" s="28" t="s">
        <v>535</v>
      </c>
      <c r="N1923" s="28" t="s">
        <v>934</v>
      </c>
      <c r="O1923" s="28" t="s">
        <v>522</v>
      </c>
      <c r="S1923" s="28" t="s">
        <v>573</v>
      </c>
      <c r="T1923" s="28" t="s">
        <v>3640</v>
      </c>
      <c r="U1923" s="28" t="s">
        <v>3640</v>
      </c>
      <c r="V1923" s="28" t="s">
        <v>517</v>
      </c>
      <c r="W1923" s="28" t="s">
        <v>7107</v>
      </c>
      <c r="AF1923" s="117"/>
      <c r="AK1923" s="60" t="s">
        <v>6558</v>
      </c>
      <c r="AL1923" s="117">
        <f>1/COUNTIF(Tableau6[LAT],B1923)</f>
        <v>1</v>
      </c>
      <c r="AM1923" s="60" t="b">
        <f t="shared" si="213"/>
        <v>0</v>
      </c>
      <c r="AN1923" s="60" t="b">
        <f t="shared" si="214"/>
        <v>0</v>
      </c>
      <c r="AO1923" s="60" t="b">
        <f t="shared" si="215"/>
        <v>0</v>
      </c>
      <c r="AP1923" s="60" t="b">
        <f t="shared" si="216"/>
        <v>0</v>
      </c>
      <c r="AQ1923" s="60" t="b">
        <f t="shared" si="217"/>
        <v>0</v>
      </c>
      <c r="AR1923" s="60" t="str">
        <f t="shared" si="218"/>
        <v>No</v>
      </c>
      <c r="AS1923" s="60" t="str">
        <f t="shared" si="219"/>
        <v>No</v>
      </c>
    </row>
    <row r="1924" spans="1:45" hidden="1">
      <c r="A1924" s="103">
        <v>45244</v>
      </c>
      <c r="B1924" s="117" t="s">
        <v>7108</v>
      </c>
      <c r="C1924" s="28" t="s">
        <v>511</v>
      </c>
      <c r="D1924" s="28" t="s">
        <v>7109</v>
      </c>
      <c r="F1924" s="28" t="s">
        <v>5077</v>
      </c>
      <c r="G1924" s="28" t="s">
        <v>514</v>
      </c>
      <c r="H1924" s="28" t="s">
        <v>1554</v>
      </c>
      <c r="I1924" s="28" t="s">
        <v>517</v>
      </c>
      <c r="J1924" s="28" t="s">
        <v>517</v>
      </c>
      <c r="K1924" s="28" t="s">
        <v>518</v>
      </c>
      <c r="L1924" s="28" t="s">
        <v>3639</v>
      </c>
      <c r="M1924" s="28" t="s">
        <v>535</v>
      </c>
      <c r="N1924" s="28" t="s">
        <v>1523</v>
      </c>
      <c r="O1924" s="28" t="s">
        <v>522</v>
      </c>
      <c r="S1924" s="28" t="s">
        <v>573</v>
      </c>
      <c r="T1924" s="28" t="s">
        <v>3640</v>
      </c>
      <c r="U1924" s="28" t="s">
        <v>3640</v>
      </c>
      <c r="V1924" s="28" t="s">
        <v>517</v>
      </c>
      <c r="W1924" s="28" t="s">
        <v>7110</v>
      </c>
      <c r="AF1924" s="117"/>
      <c r="AK1924" s="60" t="s">
        <v>6558</v>
      </c>
      <c r="AL1924" s="117">
        <f>1/COUNTIF(Tableau6[LAT],B1924)</f>
        <v>1</v>
      </c>
      <c r="AM1924" s="60" t="b">
        <f t="shared" si="213"/>
        <v>0</v>
      </c>
      <c r="AN1924" s="60" t="b">
        <f t="shared" si="214"/>
        <v>0</v>
      </c>
      <c r="AO1924" s="60" t="b">
        <f t="shared" si="215"/>
        <v>0</v>
      </c>
      <c r="AP1924" s="60" t="b">
        <f t="shared" si="216"/>
        <v>0</v>
      </c>
      <c r="AQ1924" s="60" t="b">
        <f t="shared" si="217"/>
        <v>0</v>
      </c>
      <c r="AR1924" s="60" t="str">
        <f t="shared" si="218"/>
        <v>No</v>
      </c>
      <c r="AS1924" s="60" t="str">
        <f t="shared" si="219"/>
        <v>No</v>
      </c>
    </row>
    <row r="1925" spans="1:45" hidden="1">
      <c r="A1925" s="103">
        <v>45244</v>
      </c>
      <c r="B1925" s="117" t="s">
        <v>7111</v>
      </c>
      <c r="C1925" s="28" t="s">
        <v>511</v>
      </c>
      <c r="D1925" s="28" t="s">
        <v>7112</v>
      </c>
      <c r="F1925" s="28" t="s">
        <v>5612</v>
      </c>
      <c r="G1925" s="28" t="s">
        <v>958</v>
      </c>
      <c r="H1925" s="28" t="s">
        <v>618</v>
      </c>
      <c r="I1925" s="28" t="s">
        <v>517</v>
      </c>
      <c r="J1925" s="28" t="s">
        <v>517</v>
      </c>
      <c r="K1925" s="28" t="s">
        <v>518</v>
      </c>
      <c r="L1925" s="28" t="s">
        <v>3639</v>
      </c>
      <c r="M1925" s="28" t="s">
        <v>535</v>
      </c>
      <c r="N1925" s="28" t="s">
        <v>934</v>
      </c>
      <c r="O1925" s="28" t="s">
        <v>544</v>
      </c>
      <c r="S1925" s="28" t="s">
        <v>573</v>
      </c>
      <c r="T1925" s="28" t="s">
        <v>3640</v>
      </c>
      <c r="U1925" s="28" t="s">
        <v>3640</v>
      </c>
      <c r="V1925" s="28" t="s">
        <v>517</v>
      </c>
      <c r="W1925" s="28" t="s">
        <v>3181</v>
      </c>
      <c r="AF1925" s="117"/>
      <c r="AK1925" s="60" t="s">
        <v>6558</v>
      </c>
      <c r="AL1925" s="117">
        <f>1/COUNTIF(Tableau6[LAT],B1925)</f>
        <v>1</v>
      </c>
      <c r="AM1925" s="60" t="b">
        <f t="shared" si="213"/>
        <v>0</v>
      </c>
      <c r="AN1925" s="60" t="b">
        <f t="shared" si="214"/>
        <v>0</v>
      </c>
      <c r="AO1925" s="60" t="b">
        <f t="shared" si="215"/>
        <v>0</v>
      </c>
      <c r="AP1925" s="60" t="b">
        <f t="shared" si="216"/>
        <v>0</v>
      </c>
      <c r="AQ1925" s="60" t="b">
        <f t="shared" si="217"/>
        <v>0</v>
      </c>
      <c r="AR1925" s="60" t="str">
        <f t="shared" si="218"/>
        <v>No</v>
      </c>
      <c r="AS1925" s="60" t="str">
        <f t="shared" si="219"/>
        <v>No</v>
      </c>
    </row>
    <row r="1926" spans="1:45" hidden="1">
      <c r="A1926" s="103">
        <v>45244</v>
      </c>
      <c r="B1926" s="117" t="s">
        <v>7113</v>
      </c>
      <c r="C1926" s="28" t="s">
        <v>511</v>
      </c>
      <c r="D1926" s="28" t="s">
        <v>7114</v>
      </c>
      <c r="F1926" s="28" t="s">
        <v>7115</v>
      </c>
      <c r="G1926" s="28" t="s">
        <v>514</v>
      </c>
      <c r="H1926" s="28" t="s">
        <v>1540</v>
      </c>
      <c r="I1926" s="28" t="s">
        <v>517</v>
      </c>
      <c r="J1926" s="28" t="s">
        <v>517</v>
      </c>
      <c r="K1926" s="28" t="s">
        <v>518</v>
      </c>
      <c r="L1926" s="28" t="s">
        <v>4099</v>
      </c>
      <c r="M1926" s="28" t="s">
        <v>520</v>
      </c>
      <c r="N1926" s="28" t="s">
        <v>810</v>
      </c>
      <c r="O1926" s="28" t="s">
        <v>1383</v>
      </c>
      <c r="P1926" s="28" t="s">
        <v>544</v>
      </c>
      <c r="S1926" s="28" t="s">
        <v>573</v>
      </c>
      <c r="T1926" s="28" t="s">
        <v>4100</v>
      </c>
      <c r="U1926" s="28" t="s">
        <v>4100</v>
      </c>
      <c r="V1926" s="28" t="s">
        <v>517</v>
      </c>
      <c r="W1926" s="28" t="s">
        <v>7116</v>
      </c>
      <c r="AF1926" s="117"/>
      <c r="AK1926" s="60" t="s">
        <v>6558</v>
      </c>
      <c r="AL1926" s="117">
        <f>1/COUNTIF(Tableau6[LAT],B1926)</f>
        <v>0.33333333333333331</v>
      </c>
      <c r="AM1926" s="60" t="b">
        <f t="shared" ref="AM1926:AM1961" si="220">IF(N1926="ALM","Yes",IF(N1926="ALI","Yes",IF(N1926="CAO","Yes",IF(N1926="ICE","Yes",IF(N1926="MAG","Yes",IF(N1926="MAG","Yes",IF(N1926="RBI","Yes",IF(N1926="RBM","Yes",IF(N1926="RCL","Yes",IF(N1926="RCM","Yes",IF(N1926="RCX","Yes",IF(N1926="RDS","Yes",IF(N1926="REQ","Yes",IF(N1926="REX","Yes",IF(N1926="RFG","Yes",IF(N1926="RFL","Yes",IF(N1926="RFS","Yes",IF(N1926="RFW","Yes",IF(N1926="RGX","Yes",IF(N1926="RIS",IF(N1926="RLI","Yes",IF(N1926="RLM","Yes",IF(N1926="RMD","Yes",IF(N1926="RNG","Yes",IF(N1926="ROP","Yes",IF(N1926="ROX","Yes",IF(N1926="RPB","Yes",IF(N1926="RPG","Yes",IF(N1926="RRE","Yes",IF(N1926="RRW","Yes",IF(N1926="RRY","Yes",IF(N1926="RSB","Yes",IF(N1926="RSC","Yes",IF(N1926="RXB","Yes",IF(N1926="RXC","Yes",IF(N1926="RXD","Yes",IF(N1926="RXE","Yes",IF(N1926="RXG","Yes",IF(N1926="RXS","Yes",)))))))))))))))))))))))))))))))))))))))</f>
        <v>0</v>
      </c>
      <c r="AN1926" s="60" t="b">
        <f t="shared" ref="AN1926:AN1961" si="221">IF(O1926="ALM","Yes",IF(O1926="ALI","Yes",IF(O1926="CAO","Yes",IF(O1926="ICE","Yes",IF(O1926="MAG","Yes",IF(O1926="MAG","Yes",IF(O1926="RBI","Yes",IF(O1926="RBM","Yes",IF(O1926="RCL","Yes",IF(O1926="RCM","Yes",IF(O1926="RCX","Yes",IF(O1926="RDS","Yes",IF(O1926="REQ","Yes",IF(O1926="REX","Yes",IF(O1926="RFG","Yes",IF(O1926="RFL","Yes",IF(O1926="RFS","Yes",IF(O1926="RFW","Yes",IF(O1926="RGX","Yes",IF(O1926="RIS",IF(O1926="RLI","Yes",IF(O1926="RLM","Yes",IF(O1926="RMD","Yes",IF(O1926="RNG","Yes",IF(O1926="ROP","Yes",IF(O1926="ROX","Yes",IF(O1926="RPB","Yes",IF(O1926="RPG","Yes",IF(O1926="RRE","Yes",IF(O1926="RRW","Yes",IF(O1926="RRY","Yes",IF(O1926="RSB","Yes",IF(O1926="RSC","Yes",IF(O1926="RXB","Yes",IF(O1926="RXC","Yes",IF(O1926="RXD","Yes",IF(O1926="RXE","Yes",IF(O1926="RXG","Yes",IF(O1926="RXS","Yes",)))))))))))))))))))))))))))))))))))))))</f>
        <v>0</v>
      </c>
      <c r="AO1926" s="60" t="b">
        <f t="shared" ref="AO1926:AO1961" si="222">IF(P1926="ALM","Yes",IF(P1926="ALI","Yes",IF(P1926="CAO","Yes",IF(P1926="ICE","Yes",IF(P1926="MAG","Yes",IF(P1926="MAG","Yes",IF(P1926="RBI","Yes",IF(P1926="RBM","Yes",IF(P1926="RCL","Yes",IF(P1926="RCM","Yes",IF(P1926="RCX","Yes",IF(P1926="RDS","Yes",IF(P1926="REQ","Yes",IF(P1926="REX","Yes",IF(P1926="RFG","Yes",IF(P1926="RFL","Yes",IF(P1926="RFS","Yes",IF(P1926="RFW","Yes",IF(P1926="RGX","Yes",IF(P1926="RIS",IF(P1926="RLI","Yes",IF(P1926="RLM","Yes",IF(P1926="RMD","Yes",IF(P1926="RNG","Yes",IF(P1926="ROP","Yes",IF(P1926="ROX","Yes",IF(P1926="RPB","Yes",IF(P1926="RPG","Yes",IF(P1926="RRE","Yes",IF(P1926="RRW","Yes",IF(P1926="RRY","Yes",IF(P1926="RSB","Yes",IF(P1926="RSC","Yes",IF(P1926="RXB","Yes",IF(P1926="RXC","Yes",IF(P1926="RXD","Yes",IF(P1926="RXE","Yes",IF(P1926="RXG","Yes",IF(P1926="RXS","Yes",)))))))))))))))))))))))))))))))))))))))</f>
        <v>0</v>
      </c>
      <c r="AP1926" s="60" t="b">
        <f t="shared" ref="AP1926:AP1961" si="223">IF(Q1926="ALM","Yes",IF(Q1926="ALI","Yes",IF(Q1926="CAO","Yes",IF(Q1926="ICE","Yes",IF(Q1926="MAG","Yes",IF(Q1926="MAG","Yes",IF(Q1926="RBI","Yes",IF(Q1926="RBM","Yes",IF(Q1926="RCL","Yes",IF(Q1926="RCM","Yes",IF(Q1926="RCX","Yes",IF(Q1926="RDS","Yes",IF(Q1926="REQ","Yes",IF(Q1926="REX","Yes",IF(Q1926="RFG","Yes",IF(Q1926="RFL","Yes",IF(Q1926="RFS","Yes",IF(Q1926="RFW","Yes",IF(Q1926="RGX","Yes",IF(Q1926="RIS",IF(Q1926="RLI","Yes",IF(Q1926="RLM","Yes",IF(Q1926="RMD","Yes",IF(Q1926="RNG","Yes",IF(Q1926="ROP","Yes",IF(Q1926="ROX","Yes",IF(Q1926="RPB","Yes",IF(Q1926="RPG","Yes",IF(Q1926="RRE","Yes",IF(Q1926="RRW","Yes",IF(Q1926="RRY","Yes",IF(Q1926="RSB","Yes",IF(Q1926="RSC","Yes",IF(Q1926="RXB","Yes",IF(Q1926="RXC","Yes",IF(Q1926="RXD","Yes",IF(Q1926="RXE","Yes",IF(Q1926="RXG","Yes",IF(Q1926="RXS","Yes",)))))))))))))))))))))))))))))))))))))))</f>
        <v>0</v>
      </c>
      <c r="AQ1926" s="60" t="b">
        <f t="shared" ref="AQ1926:AQ1961" si="224">IF(R1926="ALM","Yes",IF(R1926="ALI","Yes",IF(R1926="CAO","Yes",IF(R1926="ICE","Yes",IF(R1926="MAG","Yes",IF(R1926="MAG","Yes",IF(R1926="RBI","Yes",IF(R1926="RBM","Yes",IF(R1926="RCL","Yes",IF(R1926="RCM","Yes",IF(R1926="RCX","Yes",IF(R1926="RDS","Yes",IF(R1926="REQ","Yes",IF(R1926="REX","Yes",IF(R1926="RFG","Yes",IF(R1926="RFL","Yes",IF(R1926="RFS","Yes",IF(R1926="RFW","Yes",IF(R1926="RGX","Yes",IF(R1926="RIS",IF(R1926="RLI","Yes",IF(R1926="RLM","Yes",IF(R1926="RMD","Yes",IF(R1926="RNG","Yes",IF(R1926="ROP","Yes",IF(R1926="ROX","Yes",IF(R1926="RPB","Yes",IF(R1926="RPG","Yes",IF(R1926="RRE","Yes",IF(R1926="RRW","Yes",IF(R1926="RRY","Yes",IF(R1926="RSB","Yes",IF(R1926="RSC","Yes",IF(R1926="RXB","Yes",IF(R1926="RXC","Yes",IF(R1926="RXD","Yes",IF(R1926="RXE","Yes",IF(R1926="RXG","Yes",IF(R1926="RXS","Yes",)))))))))))))))))))))))))))))))))))))))</f>
        <v>0</v>
      </c>
      <c r="AR1926" s="60" t="str">
        <f t="shared" ref="AR1926:AR1961" si="225">IF(AM1926="Yes","Yes",IF(AN1926="Yes","Yes",IF(AO1926="yes","Yes",IF(AP1926="Yes","Yes","No"))))</f>
        <v>No</v>
      </c>
      <c r="AS1926" s="60" t="str">
        <f t="shared" ref="AS1926:AS1961" si="226">IF(S1926="QFA","Yes",IF(S1926="LCJ","Yes",IF(S1926="CAJ","Yes",IF(S1926="WRO","Yes",IF(S1926="BEY","Yes",IF(S1926="TUN","Yes",IF(S1926="LFW","Yes",IF(S1926="DLA","Yes",IF(S1926="NSI","Yes",IF(S1926="OUA","Yes",IF(S1926="IAH","Yes",IF(S1926="LYS","Yes",IF(S1926="DSS","Yes",IF(S1926="BKO","Yes",IF(S1926="BZV","Yes",IF(S1926="COO","Yes",IF(S1926="EZE","Yes",IF(S1926="CKY","Yes",IF(S1926="PTP","Yes",IF(S1926="ORD","Yes",IF(S1926="CFE","Yes",IF(S1926="NKC","Yes",IF(S1926="FDF","Yes",IF(S1926="SDQ","Yes",IF(S1926="PNR","Yes",IF(S1926="ICAY","Yes",IF(S1926="DTW","Yes",IF(S1926="TNR","Yes",IF(S1926="RUN","Yes",IF(S1926="NIM","Yes","No"))))))))))))))))))))))))))))))</f>
        <v>No</v>
      </c>
    </row>
    <row r="1927" spans="1:45" hidden="1">
      <c r="A1927" s="103">
        <v>45244</v>
      </c>
      <c r="B1927" s="117" t="s">
        <v>7113</v>
      </c>
      <c r="C1927" s="28" t="s">
        <v>548</v>
      </c>
      <c r="D1927" s="28" t="s">
        <v>7117</v>
      </c>
      <c r="F1927" s="28" t="s">
        <v>7115</v>
      </c>
      <c r="G1927" s="28" t="s">
        <v>514</v>
      </c>
      <c r="H1927" s="28" t="s">
        <v>1540</v>
      </c>
      <c r="I1927" s="28" t="s">
        <v>517</v>
      </c>
      <c r="J1927" s="28" t="s">
        <v>517</v>
      </c>
      <c r="K1927" s="28" t="s">
        <v>518</v>
      </c>
      <c r="L1927" s="28" t="s">
        <v>4099</v>
      </c>
      <c r="M1927" s="28" t="s">
        <v>520</v>
      </c>
      <c r="N1927" s="28" t="s">
        <v>810</v>
      </c>
      <c r="O1927" s="28" t="s">
        <v>1383</v>
      </c>
      <c r="P1927" s="28" t="s">
        <v>544</v>
      </c>
      <c r="S1927" s="28" t="s">
        <v>573</v>
      </c>
      <c r="T1927" s="28" t="s">
        <v>4100</v>
      </c>
      <c r="U1927" s="28" t="s">
        <v>4100</v>
      </c>
      <c r="V1927" s="28" t="s">
        <v>517</v>
      </c>
      <c r="W1927" s="28" t="s">
        <v>7118</v>
      </c>
      <c r="AF1927" s="117"/>
      <c r="AK1927" s="60" t="s">
        <v>6558</v>
      </c>
      <c r="AL1927" s="117">
        <f>1/COUNTIF(Tableau6[LAT],B1927)</f>
        <v>0.33333333333333331</v>
      </c>
      <c r="AM1927" s="60" t="b">
        <f t="shared" si="220"/>
        <v>0</v>
      </c>
      <c r="AN1927" s="60" t="b">
        <f t="shared" si="221"/>
        <v>0</v>
      </c>
      <c r="AO1927" s="60" t="b">
        <f t="shared" si="222"/>
        <v>0</v>
      </c>
      <c r="AP1927" s="60" t="b">
        <f t="shared" si="223"/>
        <v>0</v>
      </c>
      <c r="AQ1927" s="60" t="b">
        <f t="shared" si="224"/>
        <v>0</v>
      </c>
      <c r="AR1927" s="60" t="str">
        <f t="shared" si="225"/>
        <v>No</v>
      </c>
      <c r="AS1927" s="60" t="str">
        <f t="shared" si="226"/>
        <v>No</v>
      </c>
    </row>
    <row r="1928" spans="1:45" hidden="1">
      <c r="A1928" s="103">
        <v>45244</v>
      </c>
      <c r="B1928" s="117" t="s">
        <v>7113</v>
      </c>
      <c r="C1928" s="28" t="s">
        <v>612</v>
      </c>
      <c r="D1928" s="28" t="s">
        <v>7119</v>
      </c>
      <c r="F1928" s="28" t="s">
        <v>7120</v>
      </c>
      <c r="G1928" s="28" t="s">
        <v>514</v>
      </c>
      <c r="H1928" s="28" t="s">
        <v>1540</v>
      </c>
      <c r="I1928" s="28" t="s">
        <v>517</v>
      </c>
      <c r="J1928" s="28" t="s">
        <v>517</v>
      </c>
      <c r="K1928" s="28" t="s">
        <v>518</v>
      </c>
      <c r="L1928" s="28" t="s">
        <v>4099</v>
      </c>
      <c r="M1928" s="28" t="s">
        <v>520</v>
      </c>
      <c r="N1928" s="28" t="s">
        <v>810</v>
      </c>
      <c r="O1928" s="28" t="s">
        <v>1383</v>
      </c>
      <c r="P1928" s="28" t="s">
        <v>544</v>
      </c>
      <c r="S1928" s="28" t="s">
        <v>573</v>
      </c>
      <c r="T1928" s="28" t="s">
        <v>4100</v>
      </c>
      <c r="U1928" s="28" t="s">
        <v>4100</v>
      </c>
      <c r="V1928" s="28" t="s">
        <v>517</v>
      </c>
      <c r="W1928" s="28" t="s">
        <v>7121</v>
      </c>
      <c r="AF1928" s="117"/>
      <c r="AK1928" s="60" t="s">
        <v>6558</v>
      </c>
      <c r="AL1928" s="117">
        <f>1/COUNTIF(Tableau6[LAT],B1928)</f>
        <v>0.33333333333333331</v>
      </c>
      <c r="AM1928" s="60" t="b">
        <f t="shared" si="220"/>
        <v>0</v>
      </c>
      <c r="AN1928" s="60" t="b">
        <f t="shared" si="221"/>
        <v>0</v>
      </c>
      <c r="AO1928" s="60" t="b">
        <f t="shared" si="222"/>
        <v>0</v>
      </c>
      <c r="AP1928" s="60" t="b">
        <f t="shared" si="223"/>
        <v>0</v>
      </c>
      <c r="AQ1928" s="60" t="b">
        <f t="shared" si="224"/>
        <v>0</v>
      </c>
      <c r="AR1928" s="60" t="str">
        <f t="shared" si="225"/>
        <v>No</v>
      </c>
      <c r="AS1928" s="60" t="str">
        <f t="shared" si="226"/>
        <v>No</v>
      </c>
    </row>
    <row r="1929" spans="1:45" hidden="1">
      <c r="A1929" s="103">
        <v>45244</v>
      </c>
      <c r="B1929" s="117" t="s">
        <v>7122</v>
      </c>
      <c r="C1929" s="28" t="s">
        <v>511</v>
      </c>
      <c r="D1929" s="28" t="s">
        <v>7123</v>
      </c>
      <c r="F1929" s="28" t="s">
        <v>1872</v>
      </c>
      <c r="G1929" s="28" t="s">
        <v>514</v>
      </c>
      <c r="H1929" s="28" t="s">
        <v>5950</v>
      </c>
      <c r="I1929" s="28" t="s">
        <v>516</v>
      </c>
      <c r="J1929" s="28" t="s">
        <v>517</v>
      </c>
      <c r="K1929" s="28" t="s">
        <v>518</v>
      </c>
      <c r="L1929" s="28" t="s">
        <v>4505</v>
      </c>
      <c r="M1929" s="28" t="s">
        <v>535</v>
      </c>
      <c r="N1929" s="28" t="s">
        <v>521</v>
      </c>
      <c r="S1929" s="28" t="s">
        <v>718</v>
      </c>
      <c r="T1929" s="28" t="s">
        <v>1934</v>
      </c>
      <c r="U1929" s="28" t="s">
        <v>1934</v>
      </c>
      <c r="V1929" s="28" t="s">
        <v>517</v>
      </c>
      <c r="W1929" s="28" t="s">
        <v>7124</v>
      </c>
      <c r="AF1929" s="117"/>
      <c r="AK1929" s="60" t="s">
        <v>6558</v>
      </c>
      <c r="AL1929" s="117">
        <f>1/COUNTIF(Tableau6[LAT],B1929)</f>
        <v>1</v>
      </c>
      <c r="AM1929" s="60" t="b">
        <f t="shared" si="220"/>
        <v>0</v>
      </c>
      <c r="AN1929" s="60" t="b">
        <f t="shared" si="221"/>
        <v>0</v>
      </c>
      <c r="AO1929" s="60" t="b">
        <f t="shared" si="222"/>
        <v>0</v>
      </c>
      <c r="AP1929" s="60" t="b">
        <f t="shared" si="223"/>
        <v>0</v>
      </c>
      <c r="AQ1929" s="60" t="b">
        <f t="shared" si="224"/>
        <v>0</v>
      </c>
      <c r="AR1929" s="60" t="str">
        <f t="shared" si="225"/>
        <v>No</v>
      </c>
      <c r="AS1929" s="60" t="str">
        <f t="shared" si="226"/>
        <v>No</v>
      </c>
    </row>
    <row r="1930" spans="1:45" hidden="1">
      <c r="A1930" s="103">
        <v>45244</v>
      </c>
      <c r="B1930" s="117" t="s">
        <v>7125</v>
      </c>
      <c r="C1930" s="28" t="s">
        <v>548</v>
      </c>
      <c r="D1930" s="28" t="s">
        <v>7126</v>
      </c>
      <c r="E1930" s="28" t="s">
        <v>6977</v>
      </c>
      <c r="F1930" s="28" t="s">
        <v>7127</v>
      </c>
      <c r="G1930" s="28" t="s">
        <v>724</v>
      </c>
      <c r="H1930" s="28" t="s">
        <v>7128</v>
      </c>
      <c r="I1930" s="28" t="s">
        <v>516</v>
      </c>
      <c r="J1930" s="28" t="s">
        <v>517</v>
      </c>
      <c r="K1930" s="28" t="s">
        <v>518</v>
      </c>
      <c r="L1930" s="28" t="s">
        <v>604</v>
      </c>
      <c r="M1930" s="28" t="s">
        <v>535</v>
      </c>
      <c r="N1930" s="28" t="s">
        <v>557</v>
      </c>
      <c r="O1930" s="28" t="s">
        <v>559</v>
      </c>
      <c r="S1930" s="28" t="s">
        <v>1318</v>
      </c>
      <c r="T1930" s="28" t="s">
        <v>607</v>
      </c>
      <c r="U1930" s="28" t="s">
        <v>607</v>
      </c>
      <c r="V1930" s="28" t="s">
        <v>517</v>
      </c>
      <c r="W1930" s="28" t="s">
        <v>6978</v>
      </c>
      <c r="X1930" s="28" t="s">
        <v>670</v>
      </c>
      <c r="AF1930" s="117"/>
      <c r="AK1930" s="60" t="s">
        <v>6558</v>
      </c>
      <c r="AL1930" s="117">
        <f>1/COUNTIF(Tableau6[LAT],B1930)</f>
        <v>1</v>
      </c>
      <c r="AM1930" s="60" t="b">
        <f t="shared" si="220"/>
        <v>0</v>
      </c>
      <c r="AN1930" s="60" t="b">
        <f t="shared" si="221"/>
        <v>0</v>
      </c>
      <c r="AO1930" s="60" t="b">
        <f t="shared" si="222"/>
        <v>0</v>
      </c>
      <c r="AP1930" s="60" t="b">
        <f t="shared" si="223"/>
        <v>0</v>
      </c>
      <c r="AQ1930" s="60" t="b">
        <f t="shared" si="224"/>
        <v>0</v>
      </c>
      <c r="AR1930" s="60" t="str">
        <f t="shared" si="225"/>
        <v>No</v>
      </c>
      <c r="AS1930" s="60" t="str">
        <f t="shared" si="226"/>
        <v>No</v>
      </c>
    </row>
    <row r="1931" spans="1:45" hidden="1">
      <c r="A1931" s="103">
        <v>45244</v>
      </c>
      <c r="B1931" s="117" t="s">
        <v>7129</v>
      </c>
      <c r="C1931" s="28" t="s">
        <v>548</v>
      </c>
      <c r="D1931" s="28" t="s">
        <v>7130</v>
      </c>
      <c r="E1931" s="28" t="s">
        <v>7131</v>
      </c>
      <c r="F1931" s="28" t="s">
        <v>7132</v>
      </c>
      <c r="G1931" s="28" t="s">
        <v>514</v>
      </c>
      <c r="H1931" s="28" t="s">
        <v>555</v>
      </c>
      <c r="I1931" s="28" t="s">
        <v>516</v>
      </c>
      <c r="J1931" s="28" t="s">
        <v>516</v>
      </c>
      <c r="K1931" s="28" t="s">
        <v>518</v>
      </c>
      <c r="L1931" s="28" t="s">
        <v>974</v>
      </c>
      <c r="M1931" s="28" t="s">
        <v>535</v>
      </c>
      <c r="N1931" s="28" t="s">
        <v>2359</v>
      </c>
      <c r="O1931" s="28" t="s">
        <v>544</v>
      </c>
      <c r="P1931" s="28" t="s">
        <v>558</v>
      </c>
      <c r="Q1931" s="28" t="s">
        <v>522</v>
      </c>
      <c r="S1931" s="28" t="s">
        <v>928</v>
      </c>
      <c r="T1931" s="28" t="s">
        <v>897</v>
      </c>
      <c r="U1931" s="28" t="s">
        <v>897</v>
      </c>
      <c r="V1931" s="28" t="s">
        <v>517</v>
      </c>
      <c r="W1931" s="28" t="s">
        <v>7133</v>
      </c>
      <c r="X1931" s="28" t="s">
        <v>670</v>
      </c>
      <c r="AF1931" s="117"/>
      <c r="AK1931" s="60" t="s">
        <v>6558</v>
      </c>
      <c r="AL1931" s="117">
        <f>1/COUNTIF(Tableau6[LAT],B1931)</f>
        <v>0.5</v>
      </c>
      <c r="AM1931" s="60" t="b">
        <f t="shared" si="220"/>
        <v>0</v>
      </c>
      <c r="AN1931" s="60" t="b">
        <f t="shared" si="221"/>
        <v>0</v>
      </c>
      <c r="AO1931" s="60" t="b">
        <f t="shared" si="222"/>
        <v>0</v>
      </c>
      <c r="AP1931" s="60" t="b">
        <f t="shared" si="223"/>
        <v>0</v>
      </c>
      <c r="AQ1931" s="60" t="b">
        <f t="shared" si="224"/>
        <v>0</v>
      </c>
      <c r="AR1931" s="60" t="str">
        <f t="shared" si="225"/>
        <v>No</v>
      </c>
      <c r="AS1931" s="60" t="str">
        <f t="shared" si="226"/>
        <v>No</v>
      </c>
    </row>
    <row r="1932" spans="1:45" hidden="1">
      <c r="A1932" s="103">
        <v>45244</v>
      </c>
      <c r="B1932" s="117" t="s">
        <v>7129</v>
      </c>
      <c r="C1932" s="28" t="s">
        <v>612</v>
      </c>
      <c r="D1932" s="28" t="s">
        <v>7134</v>
      </c>
      <c r="E1932" s="28" t="s">
        <v>7135</v>
      </c>
      <c r="F1932" s="28" t="s">
        <v>7136</v>
      </c>
      <c r="G1932" s="28" t="s">
        <v>514</v>
      </c>
      <c r="H1932" s="28" t="s">
        <v>555</v>
      </c>
      <c r="I1932" s="28" t="s">
        <v>516</v>
      </c>
      <c r="J1932" s="28" t="s">
        <v>516</v>
      </c>
      <c r="K1932" s="28" t="s">
        <v>518</v>
      </c>
      <c r="L1932" s="28" t="s">
        <v>974</v>
      </c>
      <c r="M1932" s="28" t="s">
        <v>535</v>
      </c>
      <c r="N1932" s="28" t="s">
        <v>2359</v>
      </c>
      <c r="O1932" s="28" t="s">
        <v>544</v>
      </c>
      <c r="P1932" s="28" t="s">
        <v>558</v>
      </c>
      <c r="Q1932" s="28" t="s">
        <v>522</v>
      </c>
      <c r="S1932" s="28" t="s">
        <v>928</v>
      </c>
      <c r="T1932" s="28" t="s">
        <v>897</v>
      </c>
      <c r="U1932" s="28" t="s">
        <v>897</v>
      </c>
      <c r="V1932" s="28" t="s">
        <v>517</v>
      </c>
      <c r="W1932" s="28" t="s">
        <v>7137</v>
      </c>
      <c r="X1932" s="28" t="s">
        <v>670</v>
      </c>
      <c r="AF1932" s="117"/>
      <c r="AK1932" s="60" t="s">
        <v>6558</v>
      </c>
      <c r="AL1932" s="117">
        <f>1/COUNTIF(Tableau6[LAT],B1932)</f>
        <v>0.5</v>
      </c>
      <c r="AM1932" s="60" t="b">
        <f t="shared" si="220"/>
        <v>0</v>
      </c>
      <c r="AN1932" s="60" t="b">
        <f t="shared" si="221"/>
        <v>0</v>
      </c>
      <c r="AO1932" s="60" t="b">
        <f t="shared" si="222"/>
        <v>0</v>
      </c>
      <c r="AP1932" s="60" t="b">
        <f t="shared" si="223"/>
        <v>0</v>
      </c>
      <c r="AQ1932" s="60" t="b">
        <f t="shared" si="224"/>
        <v>0</v>
      </c>
      <c r="AR1932" s="60" t="str">
        <f t="shared" si="225"/>
        <v>No</v>
      </c>
      <c r="AS1932" s="60" t="str">
        <f t="shared" si="226"/>
        <v>No</v>
      </c>
    </row>
    <row r="1933" spans="1:45" hidden="1">
      <c r="A1933" s="103">
        <v>45244</v>
      </c>
      <c r="B1933" s="117" t="s">
        <v>7138</v>
      </c>
      <c r="C1933" s="28" t="s">
        <v>511</v>
      </c>
      <c r="D1933" s="28" t="s">
        <v>7139</v>
      </c>
      <c r="E1933" s="28" t="s">
        <v>7140</v>
      </c>
      <c r="F1933" s="28" t="s">
        <v>7141</v>
      </c>
      <c r="G1933" s="28" t="s">
        <v>514</v>
      </c>
      <c r="H1933" s="28" t="s">
        <v>555</v>
      </c>
      <c r="I1933" s="28" t="s">
        <v>516</v>
      </c>
      <c r="J1933" s="28" t="s">
        <v>516</v>
      </c>
      <c r="K1933" s="28" t="s">
        <v>518</v>
      </c>
      <c r="L1933" s="28" t="s">
        <v>1032</v>
      </c>
      <c r="M1933" s="28" t="s">
        <v>535</v>
      </c>
      <c r="N1933" s="28" t="s">
        <v>4723</v>
      </c>
      <c r="O1933" s="28" t="s">
        <v>1383</v>
      </c>
      <c r="P1933" s="28" t="s">
        <v>557</v>
      </c>
      <c r="Q1933" s="28" t="s">
        <v>544</v>
      </c>
      <c r="R1933" s="28" t="s">
        <v>558</v>
      </c>
      <c r="S1933" s="28" t="s">
        <v>928</v>
      </c>
      <c r="T1933" s="28" t="s">
        <v>545</v>
      </c>
      <c r="U1933" s="28" t="s">
        <v>545</v>
      </c>
      <c r="V1933" s="28" t="s">
        <v>517</v>
      </c>
      <c r="W1933" s="28" t="s">
        <v>7142</v>
      </c>
      <c r="X1933" s="28" t="s">
        <v>1071</v>
      </c>
      <c r="AF1933" s="117"/>
      <c r="AK1933" s="60" t="s">
        <v>6558</v>
      </c>
      <c r="AL1933" s="117">
        <f>1/COUNTIF(Tableau6[LAT],B1933)</f>
        <v>0.5</v>
      </c>
      <c r="AM1933" s="60" t="b">
        <f t="shared" si="220"/>
        <v>0</v>
      </c>
      <c r="AN1933" s="60" t="b">
        <f t="shared" si="221"/>
        <v>0</v>
      </c>
      <c r="AO1933" s="60" t="b">
        <f t="shared" si="222"/>
        <v>0</v>
      </c>
      <c r="AP1933" s="60" t="b">
        <f t="shared" si="223"/>
        <v>0</v>
      </c>
      <c r="AQ1933" s="60" t="b">
        <f t="shared" si="224"/>
        <v>0</v>
      </c>
      <c r="AR1933" s="60" t="str">
        <f t="shared" si="225"/>
        <v>No</v>
      </c>
      <c r="AS1933" s="60" t="str">
        <f t="shared" si="226"/>
        <v>No</v>
      </c>
    </row>
    <row r="1934" spans="1:45" hidden="1">
      <c r="A1934" s="103">
        <v>45244</v>
      </c>
      <c r="B1934" s="117" t="s">
        <v>7138</v>
      </c>
      <c r="C1934" s="28" t="s">
        <v>548</v>
      </c>
      <c r="D1934" s="28" t="s">
        <v>7143</v>
      </c>
      <c r="E1934" s="28" t="s">
        <v>7144</v>
      </c>
      <c r="F1934" s="28" t="s">
        <v>7145</v>
      </c>
      <c r="G1934" s="28" t="s">
        <v>514</v>
      </c>
      <c r="H1934" s="28" t="s">
        <v>555</v>
      </c>
      <c r="I1934" s="28" t="s">
        <v>516</v>
      </c>
      <c r="J1934" s="28" t="s">
        <v>516</v>
      </c>
      <c r="K1934" s="28" t="s">
        <v>518</v>
      </c>
      <c r="L1934" s="28" t="s">
        <v>1032</v>
      </c>
      <c r="M1934" s="28" t="s">
        <v>535</v>
      </c>
      <c r="N1934" s="28" t="s">
        <v>4723</v>
      </c>
      <c r="O1934" s="28" t="s">
        <v>1383</v>
      </c>
      <c r="P1934" s="28" t="s">
        <v>557</v>
      </c>
      <c r="Q1934" s="28" t="s">
        <v>544</v>
      </c>
      <c r="R1934" s="28" t="s">
        <v>558</v>
      </c>
      <c r="S1934" s="28" t="s">
        <v>928</v>
      </c>
      <c r="T1934" s="28" t="s">
        <v>545</v>
      </c>
      <c r="U1934" s="28" t="s">
        <v>545</v>
      </c>
      <c r="V1934" s="28" t="s">
        <v>517</v>
      </c>
      <c r="W1934" s="28" t="s">
        <v>7146</v>
      </c>
      <c r="X1934" s="28" t="s">
        <v>1071</v>
      </c>
      <c r="AF1934" s="117"/>
      <c r="AK1934" s="60" t="s">
        <v>6558</v>
      </c>
      <c r="AL1934" s="117">
        <f>1/COUNTIF(Tableau6[LAT],B1934)</f>
        <v>0.5</v>
      </c>
      <c r="AM1934" s="60" t="b">
        <f t="shared" si="220"/>
        <v>0</v>
      </c>
      <c r="AN1934" s="60" t="b">
        <f t="shared" si="221"/>
        <v>0</v>
      </c>
      <c r="AO1934" s="60" t="b">
        <f t="shared" si="222"/>
        <v>0</v>
      </c>
      <c r="AP1934" s="60" t="b">
        <f t="shared" si="223"/>
        <v>0</v>
      </c>
      <c r="AQ1934" s="60" t="b">
        <f t="shared" si="224"/>
        <v>0</v>
      </c>
      <c r="AR1934" s="60" t="str">
        <f t="shared" si="225"/>
        <v>No</v>
      </c>
      <c r="AS1934" s="60" t="str">
        <f t="shared" si="226"/>
        <v>No</v>
      </c>
    </row>
    <row r="1935" spans="1:45" hidden="1">
      <c r="A1935" s="103">
        <v>45244</v>
      </c>
      <c r="B1935" s="117" t="s">
        <v>7147</v>
      </c>
      <c r="C1935" s="28" t="s">
        <v>511</v>
      </c>
      <c r="D1935" s="28" t="s">
        <v>7148</v>
      </c>
      <c r="E1935" s="28" t="s">
        <v>6645</v>
      </c>
      <c r="F1935" s="28" t="s">
        <v>1989</v>
      </c>
      <c r="G1935" s="28" t="s">
        <v>514</v>
      </c>
      <c r="H1935" s="28" t="s">
        <v>2985</v>
      </c>
      <c r="I1935" s="28" t="s">
        <v>516</v>
      </c>
      <c r="J1935" s="28" t="s">
        <v>517</v>
      </c>
      <c r="K1935" s="28" t="s">
        <v>682</v>
      </c>
      <c r="L1935" s="28" t="s">
        <v>4699</v>
      </c>
      <c r="M1935" s="28" t="s">
        <v>535</v>
      </c>
      <c r="S1935" s="28" t="s">
        <v>928</v>
      </c>
      <c r="T1935" s="28" t="s">
        <v>4700</v>
      </c>
      <c r="U1935" s="28" t="s">
        <v>4700</v>
      </c>
      <c r="V1935" s="28" t="s">
        <v>517</v>
      </c>
      <c r="W1935" s="28" t="s">
        <v>5942</v>
      </c>
      <c r="X1935" s="28" t="s">
        <v>1071</v>
      </c>
      <c r="AF1935" s="117"/>
      <c r="AK1935" s="60" t="s">
        <v>6558</v>
      </c>
      <c r="AL1935" s="117">
        <f>1/COUNTIF(Tableau6[LAT],B1935)</f>
        <v>1</v>
      </c>
      <c r="AM1935" s="60" t="b">
        <f t="shared" si="220"/>
        <v>0</v>
      </c>
      <c r="AN1935" s="60" t="b">
        <f t="shared" si="221"/>
        <v>0</v>
      </c>
      <c r="AO1935" s="60" t="b">
        <f t="shared" si="222"/>
        <v>0</v>
      </c>
      <c r="AP1935" s="60" t="b">
        <f t="shared" si="223"/>
        <v>0</v>
      </c>
      <c r="AQ1935" s="60" t="b">
        <f t="shared" si="224"/>
        <v>0</v>
      </c>
      <c r="AR1935" s="60" t="str">
        <f t="shared" si="225"/>
        <v>No</v>
      </c>
      <c r="AS1935" s="60" t="str">
        <f t="shared" si="226"/>
        <v>No</v>
      </c>
    </row>
    <row r="1936" spans="1:45" hidden="1">
      <c r="A1936" s="103">
        <v>45244</v>
      </c>
      <c r="B1936" s="117" t="s">
        <v>7149</v>
      </c>
      <c r="C1936" s="28" t="s">
        <v>511</v>
      </c>
      <c r="D1936" s="28" t="s">
        <v>7150</v>
      </c>
      <c r="F1936" s="28" t="s">
        <v>3477</v>
      </c>
      <c r="G1936" s="28" t="s">
        <v>514</v>
      </c>
      <c r="H1936" s="28" t="s">
        <v>808</v>
      </c>
      <c r="I1936" s="28" t="s">
        <v>516</v>
      </c>
      <c r="J1936" s="28" t="s">
        <v>517</v>
      </c>
      <c r="K1936" s="28" t="s">
        <v>518</v>
      </c>
      <c r="L1936" s="28" t="s">
        <v>4505</v>
      </c>
      <c r="M1936" s="28" t="s">
        <v>535</v>
      </c>
      <c r="N1936" s="28" t="s">
        <v>544</v>
      </c>
      <c r="O1936" s="28" t="s">
        <v>559</v>
      </c>
      <c r="S1936" s="28" t="s">
        <v>733</v>
      </c>
      <c r="T1936" s="28" t="s">
        <v>1934</v>
      </c>
      <c r="U1936" s="28" t="s">
        <v>1934</v>
      </c>
      <c r="V1936" s="28" t="s">
        <v>517</v>
      </c>
      <c r="W1936" s="28" t="s">
        <v>1399</v>
      </c>
      <c r="AF1936" s="117"/>
      <c r="AK1936" s="60" t="s">
        <v>6558</v>
      </c>
      <c r="AL1936" s="117">
        <f>1/COUNTIF(Tableau6[LAT],B1936)</f>
        <v>0.5</v>
      </c>
      <c r="AM1936" s="60" t="b">
        <f t="shared" si="220"/>
        <v>0</v>
      </c>
      <c r="AN1936" s="60" t="b">
        <f t="shared" si="221"/>
        <v>0</v>
      </c>
      <c r="AO1936" s="60" t="b">
        <f t="shared" si="222"/>
        <v>0</v>
      </c>
      <c r="AP1936" s="60" t="b">
        <f t="shared" si="223"/>
        <v>0</v>
      </c>
      <c r="AQ1936" s="60" t="b">
        <f t="shared" si="224"/>
        <v>0</v>
      </c>
      <c r="AR1936" s="60" t="str">
        <f t="shared" si="225"/>
        <v>No</v>
      </c>
      <c r="AS1936" s="60" t="str">
        <f t="shared" si="226"/>
        <v>Yes</v>
      </c>
    </row>
    <row r="1937" spans="1:45" hidden="1">
      <c r="A1937" s="103">
        <v>45244</v>
      </c>
      <c r="B1937" s="117" t="s">
        <v>7149</v>
      </c>
      <c r="C1937" s="28" t="s">
        <v>548</v>
      </c>
      <c r="D1937" s="28" t="s">
        <v>7151</v>
      </c>
      <c r="F1937" s="28" t="s">
        <v>3477</v>
      </c>
      <c r="G1937" s="28" t="s">
        <v>514</v>
      </c>
      <c r="H1937" s="28" t="s">
        <v>808</v>
      </c>
      <c r="I1937" s="28" t="s">
        <v>516</v>
      </c>
      <c r="J1937" s="28" t="s">
        <v>517</v>
      </c>
      <c r="K1937" s="28" t="s">
        <v>518</v>
      </c>
      <c r="L1937" s="28" t="s">
        <v>4505</v>
      </c>
      <c r="M1937" s="28" t="s">
        <v>535</v>
      </c>
      <c r="N1937" s="28" t="s">
        <v>544</v>
      </c>
      <c r="O1937" s="28" t="s">
        <v>559</v>
      </c>
      <c r="S1937" s="28" t="s">
        <v>733</v>
      </c>
      <c r="T1937" s="28" t="s">
        <v>1934</v>
      </c>
      <c r="U1937" s="28" t="s">
        <v>1934</v>
      </c>
      <c r="V1937" s="28" t="s">
        <v>517</v>
      </c>
      <c r="W1937" s="28" t="s">
        <v>5828</v>
      </c>
      <c r="AF1937" s="117"/>
      <c r="AK1937" s="60" t="s">
        <v>6558</v>
      </c>
      <c r="AL1937" s="117">
        <f>1/COUNTIF(Tableau6[LAT],B1937)</f>
        <v>0.5</v>
      </c>
      <c r="AM1937" s="60" t="b">
        <f t="shared" si="220"/>
        <v>0</v>
      </c>
      <c r="AN1937" s="60" t="b">
        <f t="shared" si="221"/>
        <v>0</v>
      </c>
      <c r="AO1937" s="60" t="b">
        <f t="shared" si="222"/>
        <v>0</v>
      </c>
      <c r="AP1937" s="60" t="b">
        <f t="shared" si="223"/>
        <v>0</v>
      </c>
      <c r="AQ1937" s="60" t="b">
        <f t="shared" si="224"/>
        <v>0</v>
      </c>
      <c r="AR1937" s="60" t="str">
        <f t="shared" si="225"/>
        <v>No</v>
      </c>
      <c r="AS1937" s="60" t="str">
        <f t="shared" si="226"/>
        <v>Yes</v>
      </c>
    </row>
    <row r="1938" spans="1:45" hidden="1">
      <c r="A1938" s="103">
        <v>45244</v>
      </c>
      <c r="B1938" s="117" t="s">
        <v>7152</v>
      </c>
      <c r="C1938" s="28" t="s">
        <v>511</v>
      </c>
      <c r="D1938" s="28" t="s">
        <v>7153</v>
      </c>
      <c r="F1938" s="28" t="s">
        <v>7154</v>
      </c>
      <c r="G1938" s="28" t="s">
        <v>514</v>
      </c>
      <c r="H1938" s="28" t="s">
        <v>990</v>
      </c>
      <c r="I1938" s="28" t="s">
        <v>516</v>
      </c>
      <c r="J1938" s="28" t="s">
        <v>517</v>
      </c>
      <c r="K1938" s="28" t="s">
        <v>518</v>
      </c>
      <c r="L1938" s="28" t="s">
        <v>4505</v>
      </c>
      <c r="M1938" s="28" t="s">
        <v>535</v>
      </c>
      <c r="N1938" s="28" t="s">
        <v>521</v>
      </c>
      <c r="O1938" s="28" t="s">
        <v>544</v>
      </c>
      <c r="S1938" s="28" t="s">
        <v>733</v>
      </c>
      <c r="T1938" s="28" t="s">
        <v>1934</v>
      </c>
      <c r="U1938" s="28" t="s">
        <v>1934</v>
      </c>
      <c r="V1938" s="28" t="s">
        <v>517</v>
      </c>
      <c r="W1938" s="28" t="s">
        <v>7155</v>
      </c>
      <c r="AF1938" s="117"/>
      <c r="AK1938" s="60" t="s">
        <v>6558</v>
      </c>
      <c r="AL1938" s="117">
        <f>1/COUNTIF(Tableau6[LAT],B1938)</f>
        <v>0.5</v>
      </c>
      <c r="AM1938" s="60" t="b">
        <f t="shared" si="220"/>
        <v>0</v>
      </c>
      <c r="AN1938" s="60" t="b">
        <f t="shared" si="221"/>
        <v>0</v>
      </c>
      <c r="AO1938" s="60" t="b">
        <f t="shared" si="222"/>
        <v>0</v>
      </c>
      <c r="AP1938" s="60" t="b">
        <f t="shared" si="223"/>
        <v>0</v>
      </c>
      <c r="AQ1938" s="60" t="b">
        <f t="shared" si="224"/>
        <v>0</v>
      </c>
      <c r="AR1938" s="60" t="str">
        <f t="shared" si="225"/>
        <v>No</v>
      </c>
      <c r="AS1938" s="60" t="str">
        <f t="shared" si="226"/>
        <v>Yes</v>
      </c>
    </row>
    <row r="1939" spans="1:45" hidden="1">
      <c r="A1939" s="103">
        <v>45244</v>
      </c>
      <c r="B1939" s="117" t="s">
        <v>7152</v>
      </c>
      <c r="C1939" s="28" t="s">
        <v>548</v>
      </c>
      <c r="D1939" s="28" t="s">
        <v>7156</v>
      </c>
      <c r="F1939" s="28" t="s">
        <v>7154</v>
      </c>
      <c r="G1939" s="28" t="s">
        <v>514</v>
      </c>
      <c r="H1939" s="28" t="s">
        <v>990</v>
      </c>
      <c r="I1939" s="28" t="s">
        <v>516</v>
      </c>
      <c r="J1939" s="28" t="s">
        <v>517</v>
      </c>
      <c r="K1939" s="28" t="s">
        <v>518</v>
      </c>
      <c r="L1939" s="28" t="s">
        <v>4505</v>
      </c>
      <c r="M1939" s="28" t="s">
        <v>535</v>
      </c>
      <c r="N1939" s="28" t="s">
        <v>521</v>
      </c>
      <c r="O1939" s="28" t="s">
        <v>544</v>
      </c>
      <c r="S1939" s="28" t="s">
        <v>733</v>
      </c>
      <c r="T1939" s="28" t="s">
        <v>1934</v>
      </c>
      <c r="U1939" s="28" t="s">
        <v>1934</v>
      </c>
      <c r="V1939" s="28" t="s">
        <v>517</v>
      </c>
      <c r="W1939" s="28" t="s">
        <v>7157</v>
      </c>
      <c r="AF1939" s="117"/>
      <c r="AK1939" s="60" t="s">
        <v>6558</v>
      </c>
      <c r="AL1939" s="117">
        <f>1/COUNTIF(Tableau6[LAT],B1939)</f>
        <v>0.5</v>
      </c>
      <c r="AM1939" s="60" t="b">
        <f t="shared" si="220"/>
        <v>0</v>
      </c>
      <c r="AN1939" s="60" t="b">
        <f t="shared" si="221"/>
        <v>0</v>
      </c>
      <c r="AO1939" s="60" t="b">
        <f t="shared" si="222"/>
        <v>0</v>
      </c>
      <c r="AP1939" s="60" t="b">
        <f t="shared" si="223"/>
        <v>0</v>
      </c>
      <c r="AQ1939" s="60" t="b">
        <f t="shared" si="224"/>
        <v>0</v>
      </c>
      <c r="AR1939" s="60" t="str">
        <f t="shared" si="225"/>
        <v>No</v>
      </c>
      <c r="AS1939" s="60" t="str">
        <f t="shared" si="226"/>
        <v>Yes</v>
      </c>
    </row>
    <row r="1940" spans="1:45" hidden="1">
      <c r="A1940" s="103">
        <v>45244</v>
      </c>
      <c r="B1940" s="117" t="s">
        <v>7158</v>
      </c>
      <c r="C1940" s="28" t="s">
        <v>548</v>
      </c>
      <c r="D1940" s="28" t="s">
        <v>7159</v>
      </c>
      <c r="E1940" s="28" t="s">
        <v>7160</v>
      </c>
      <c r="F1940" s="28" t="s">
        <v>5156</v>
      </c>
      <c r="G1940" s="28" t="s">
        <v>1077</v>
      </c>
      <c r="H1940" s="28" t="s">
        <v>7161</v>
      </c>
      <c r="I1940" s="28" t="s">
        <v>516</v>
      </c>
      <c r="J1940" s="28" t="s">
        <v>517</v>
      </c>
      <c r="K1940" s="28" t="s">
        <v>518</v>
      </c>
      <c r="L1940" s="28" t="s">
        <v>839</v>
      </c>
      <c r="M1940" s="28" t="s">
        <v>535</v>
      </c>
      <c r="N1940" s="28" t="s">
        <v>810</v>
      </c>
      <c r="O1940" s="28" t="s">
        <v>2412</v>
      </c>
      <c r="P1940" s="28" t="s">
        <v>557</v>
      </c>
      <c r="Q1940" s="28" t="s">
        <v>544</v>
      </c>
      <c r="R1940" s="28" t="s">
        <v>427</v>
      </c>
      <c r="S1940" s="28" t="s">
        <v>928</v>
      </c>
      <c r="T1940" s="28" t="s">
        <v>840</v>
      </c>
      <c r="U1940" s="28" t="s">
        <v>840</v>
      </c>
      <c r="V1940" s="28" t="s">
        <v>517</v>
      </c>
      <c r="W1940" s="28" t="s">
        <v>7162</v>
      </c>
      <c r="X1940" s="28" t="s">
        <v>670</v>
      </c>
      <c r="AF1940" s="117"/>
      <c r="AK1940" s="60" t="s">
        <v>6558</v>
      </c>
      <c r="AL1940" s="117">
        <f>1/COUNTIF(Tableau6[LAT],B1940)</f>
        <v>1</v>
      </c>
      <c r="AM1940" s="60" t="b">
        <f t="shared" si="220"/>
        <v>0</v>
      </c>
      <c r="AN1940" s="60" t="b">
        <f t="shared" si="221"/>
        <v>0</v>
      </c>
      <c r="AO1940" s="60" t="b">
        <f t="shared" si="222"/>
        <v>0</v>
      </c>
      <c r="AP1940" s="60" t="b">
        <f t="shared" si="223"/>
        <v>0</v>
      </c>
      <c r="AQ1940" s="60" t="b">
        <f t="shared" si="224"/>
        <v>0</v>
      </c>
      <c r="AR1940" s="60" t="str">
        <f t="shared" si="225"/>
        <v>No</v>
      </c>
      <c r="AS1940" s="60" t="str">
        <f t="shared" si="226"/>
        <v>No</v>
      </c>
    </row>
    <row r="1941" spans="1:45" hidden="1">
      <c r="A1941" s="103">
        <v>45244</v>
      </c>
      <c r="B1941" s="117" t="s">
        <v>7163</v>
      </c>
      <c r="C1941" s="28" t="s">
        <v>511</v>
      </c>
      <c r="D1941" s="28" t="s">
        <v>7164</v>
      </c>
      <c r="E1941" s="28" t="s">
        <v>6576</v>
      </c>
      <c r="F1941" s="28" t="s">
        <v>882</v>
      </c>
      <c r="G1941" s="28" t="s">
        <v>514</v>
      </c>
      <c r="H1941" s="28" t="s">
        <v>5993</v>
      </c>
      <c r="I1941" s="28" t="s">
        <v>516</v>
      </c>
      <c r="J1941" s="28" t="s">
        <v>517</v>
      </c>
      <c r="K1941" s="28" t="s">
        <v>518</v>
      </c>
      <c r="L1941" s="28" t="s">
        <v>839</v>
      </c>
      <c r="M1941" s="28" t="s">
        <v>535</v>
      </c>
      <c r="N1941" s="28" t="s">
        <v>544</v>
      </c>
      <c r="O1941" s="28" t="s">
        <v>522</v>
      </c>
      <c r="S1941" s="28" t="s">
        <v>928</v>
      </c>
      <c r="T1941" s="28" t="s">
        <v>840</v>
      </c>
      <c r="U1941" s="28" t="s">
        <v>840</v>
      </c>
      <c r="V1941" s="28" t="s">
        <v>517</v>
      </c>
      <c r="W1941" s="28" t="s">
        <v>6577</v>
      </c>
      <c r="X1941" s="28" t="s">
        <v>1071</v>
      </c>
      <c r="AF1941" s="117"/>
      <c r="AK1941" s="60" t="s">
        <v>6558</v>
      </c>
      <c r="AL1941" s="117">
        <f>1/COUNTIF(Tableau6[LAT],B1941)</f>
        <v>1</v>
      </c>
      <c r="AM1941" s="60" t="b">
        <f t="shared" si="220"/>
        <v>0</v>
      </c>
      <c r="AN1941" s="60" t="b">
        <f t="shared" si="221"/>
        <v>0</v>
      </c>
      <c r="AO1941" s="60" t="b">
        <f t="shared" si="222"/>
        <v>0</v>
      </c>
      <c r="AP1941" s="60" t="b">
        <f t="shared" si="223"/>
        <v>0</v>
      </c>
      <c r="AQ1941" s="60" t="b">
        <f t="shared" si="224"/>
        <v>0</v>
      </c>
      <c r="AR1941" s="60" t="str">
        <f t="shared" si="225"/>
        <v>No</v>
      </c>
      <c r="AS1941" s="60" t="str">
        <f t="shared" si="226"/>
        <v>No</v>
      </c>
    </row>
    <row r="1942" spans="1:45" hidden="1">
      <c r="A1942" s="103">
        <v>45244</v>
      </c>
      <c r="B1942" s="117" t="s">
        <v>7165</v>
      </c>
      <c r="C1942" s="28" t="s">
        <v>511</v>
      </c>
      <c r="D1942" s="28" t="s">
        <v>7166</v>
      </c>
      <c r="F1942" s="28" t="s">
        <v>7167</v>
      </c>
      <c r="G1942" s="28" t="s">
        <v>2895</v>
      </c>
      <c r="H1942" s="28" t="s">
        <v>1992</v>
      </c>
      <c r="I1942" s="28" t="s">
        <v>516</v>
      </c>
      <c r="J1942" s="28" t="s">
        <v>517</v>
      </c>
      <c r="K1942" s="28" t="s">
        <v>682</v>
      </c>
      <c r="L1942" s="28" t="s">
        <v>4796</v>
      </c>
      <c r="M1942" s="28" t="s">
        <v>535</v>
      </c>
      <c r="N1942" s="28" t="s">
        <v>522</v>
      </c>
      <c r="S1942" s="28" t="s">
        <v>928</v>
      </c>
      <c r="T1942" s="28" t="s">
        <v>1150</v>
      </c>
      <c r="U1942" s="28" t="s">
        <v>1150</v>
      </c>
      <c r="V1942" s="28" t="s">
        <v>517</v>
      </c>
      <c r="W1942" s="28" t="s">
        <v>7168</v>
      </c>
      <c r="AF1942" s="117"/>
      <c r="AK1942" s="60" t="s">
        <v>6558</v>
      </c>
      <c r="AL1942" s="117">
        <f>1/COUNTIF(Tableau6[LAT],B1942)</f>
        <v>0.5</v>
      </c>
      <c r="AM1942" s="60" t="b">
        <f t="shared" si="220"/>
        <v>0</v>
      </c>
      <c r="AN1942" s="60" t="b">
        <f t="shared" si="221"/>
        <v>0</v>
      </c>
      <c r="AO1942" s="60" t="b">
        <f t="shared" si="222"/>
        <v>0</v>
      </c>
      <c r="AP1942" s="60" t="b">
        <f t="shared" si="223"/>
        <v>0</v>
      </c>
      <c r="AQ1942" s="60" t="b">
        <f t="shared" si="224"/>
        <v>0</v>
      </c>
      <c r="AR1942" s="60" t="str">
        <f t="shared" si="225"/>
        <v>No</v>
      </c>
      <c r="AS1942" s="60" t="str">
        <f t="shared" si="226"/>
        <v>No</v>
      </c>
    </row>
    <row r="1943" spans="1:45" hidden="1">
      <c r="A1943" s="103">
        <v>45244</v>
      </c>
      <c r="B1943" s="117" t="s">
        <v>7165</v>
      </c>
      <c r="C1943" s="28" t="s">
        <v>548</v>
      </c>
      <c r="D1943" s="28" t="s">
        <v>7169</v>
      </c>
      <c r="F1943" s="28" t="s">
        <v>7170</v>
      </c>
      <c r="G1943" s="28" t="s">
        <v>4641</v>
      </c>
      <c r="H1943" s="28" t="s">
        <v>1187</v>
      </c>
      <c r="I1943" s="28" t="s">
        <v>516</v>
      </c>
      <c r="J1943" s="28" t="s">
        <v>517</v>
      </c>
      <c r="K1943" s="28" t="s">
        <v>682</v>
      </c>
      <c r="L1943" s="28" t="s">
        <v>4796</v>
      </c>
      <c r="M1943" s="28" t="s">
        <v>535</v>
      </c>
      <c r="N1943" s="28" t="s">
        <v>522</v>
      </c>
      <c r="S1943" s="28" t="s">
        <v>928</v>
      </c>
      <c r="T1943" s="28" t="s">
        <v>1150</v>
      </c>
      <c r="U1943" s="28" t="s">
        <v>1150</v>
      </c>
      <c r="V1943" s="28" t="s">
        <v>517</v>
      </c>
      <c r="W1943" s="28" t="s">
        <v>7171</v>
      </c>
      <c r="AF1943" s="117"/>
      <c r="AK1943" s="60" t="s">
        <v>6558</v>
      </c>
      <c r="AL1943" s="117">
        <f>1/COUNTIF(Tableau6[LAT],B1943)</f>
        <v>0.5</v>
      </c>
      <c r="AM1943" s="60" t="b">
        <f t="shared" si="220"/>
        <v>0</v>
      </c>
      <c r="AN1943" s="60" t="b">
        <f t="shared" si="221"/>
        <v>0</v>
      </c>
      <c r="AO1943" s="60" t="b">
        <f t="shared" si="222"/>
        <v>0</v>
      </c>
      <c r="AP1943" s="60" t="b">
        <f t="shared" si="223"/>
        <v>0</v>
      </c>
      <c r="AQ1943" s="60" t="b">
        <f t="shared" si="224"/>
        <v>0</v>
      </c>
      <c r="AR1943" s="60" t="str">
        <f t="shared" si="225"/>
        <v>No</v>
      </c>
      <c r="AS1943" s="60" t="str">
        <f t="shared" si="226"/>
        <v>No</v>
      </c>
    </row>
    <row r="1944" spans="1:45" hidden="1">
      <c r="A1944" s="103">
        <v>45244</v>
      </c>
      <c r="B1944" s="117" t="s">
        <v>7172</v>
      </c>
      <c r="C1944" s="28" t="s">
        <v>511</v>
      </c>
      <c r="D1944" s="28" t="s">
        <v>7173</v>
      </c>
      <c r="F1944" s="28" t="s">
        <v>2609</v>
      </c>
      <c r="G1944" s="28" t="s">
        <v>514</v>
      </c>
      <c r="H1944" s="28" t="s">
        <v>966</v>
      </c>
      <c r="I1944" s="28" t="s">
        <v>516</v>
      </c>
      <c r="J1944" s="28" t="s">
        <v>517</v>
      </c>
      <c r="K1944" s="28" t="s">
        <v>682</v>
      </c>
      <c r="L1944" s="28" t="s">
        <v>4796</v>
      </c>
      <c r="M1944" s="28" t="s">
        <v>535</v>
      </c>
      <c r="N1944" s="28" t="s">
        <v>557</v>
      </c>
      <c r="O1944" s="28" t="s">
        <v>544</v>
      </c>
      <c r="P1944" s="28" t="s">
        <v>559</v>
      </c>
      <c r="S1944" s="28" t="s">
        <v>1158</v>
      </c>
      <c r="T1944" s="28" t="s">
        <v>1150</v>
      </c>
      <c r="U1944" s="28" t="s">
        <v>1150</v>
      </c>
      <c r="V1944" s="28" t="s">
        <v>517</v>
      </c>
      <c r="W1944" s="28" t="s">
        <v>7174</v>
      </c>
      <c r="AF1944" s="117"/>
      <c r="AK1944" s="60" t="s">
        <v>6558</v>
      </c>
      <c r="AL1944" s="117">
        <f>1/COUNTIF(Tableau6[LAT],B1944)</f>
        <v>1</v>
      </c>
      <c r="AM1944" s="60" t="b">
        <f t="shared" si="220"/>
        <v>0</v>
      </c>
      <c r="AN1944" s="60" t="b">
        <f t="shared" si="221"/>
        <v>0</v>
      </c>
      <c r="AO1944" s="60" t="b">
        <f t="shared" si="222"/>
        <v>0</v>
      </c>
      <c r="AP1944" s="60" t="b">
        <f t="shared" si="223"/>
        <v>0</v>
      </c>
      <c r="AQ1944" s="60" t="b">
        <f t="shared" si="224"/>
        <v>0</v>
      </c>
      <c r="AR1944" s="60" t="str">
        <f t="shared" si="225"/>
        <v>No</v>
      </c>
      <c r="AS1944" s="60" t="str">
        <f t="shared" si="226"/>
        <v>No</v>
      </c>
    </row>
    <row r="1945" spans="1:45" hidden="1">
      <c r="A1945" s="103">
        <v>45244</v>
      </c>
      <c r="B1945" s="117" t="s">
        <v>7175</v>
      </c>
      <c r="C1945" s="28" t="s">
        <v>511</v>
      </c>
      <c r="D1945" s="28" t="s">
        <v>7176</v>
      </c>
      <c r="E1945" s="28" t="s">
        <v>7177</v>
      </c>
      <c r="F1945" s="28" t="s">
        <v>7178</v>
      </c>
      <c r="G1945" s="28" t="s">
        <v>1077</v>
      </c>
      <c r="H1945" s="28" t="s">
        <v>7179</v>
      </c>
      <c r="I1945" s="28" t="s">
        <v>516</v>
      </c>
      <c r="J1945" s="28" t="s">
        <v>517</v>
      </c>
      <c r="K1945" s="28" t="s">
        <v>518</v>
      </c>
      <c r="L1945" s="28" t="s">
        <v>2325</v>
      </c>
      <c r="M1945" s="28" t="s">
        <v>520</v>
      </c>
      <c r="N1945" s="28" t="s">
        <v>521</v>
      </c>
      <c r="S1945" s="28" t="s">
        <v>928</v>
      </c>
      <c r="T1945" s="28" t="s">
        <v>2326</v>
      </c>
      <c r="U1945" s="28" t="s">
        <v>2326</v>
      </c>
      <c r="V1945" s="28" t="s">
        <v>517</v>
      </c>
      <c r="W1945" s="28" t="s">
        <v>7180</v>
      </c>
      <c r="X1945" s="28" t="s">
        <v>670</v>
      </c>
      <c r="AF1945" s="117"/>
      <c r="AK1945" s="60" t="s">
        <v>6558</v>
      </c>
      <c r="AL1945" s="117">
        <f>1/COUNTIF(Tableau6[LAT],B1945)</f>
        <v>1</v>
      </c>
      <c r="AM1945" s="60" t="b">
        <f t="shared" si="220"/>
        <v>0</v>
      </c>
      <c r="AN1945" s="60" t="b">
        <f t="shared" si="221"/>
        <v>0</v>
      </c>
      <c r="AO1945" s="60" t="b">
        <f t="shared" si="222"/>
        <v>0</v>
      </c>
      <c r="AP1945" s="60" t="b">
        <f t="shared" si="223"/>
        <v>0</v>
      </c>
      <c r="AQ1945" s="60" t="b">
        <f t="shared" si="224"/>
        <v>0</v>
      </c>
      <c r="AR1945" s="60" t="str">
        <f t="shared" si="225"/>
        <v>No</v>
      </c>
      <c r="AS1945" s="60" t="str">
        <f t="shared" si="226"/>
        <v>No</v>
      </c>
    </row>
    <row r="1946" spans="1:45" hidden="1">
      <c r="A1946" s="103">
        <v>45244</v>
      </c>
      <c r="B1946" s="117" t="s">
        <v>7181</v>
      </c>
      <c r="C1946" s="28" t="s">
        <v>548</v>
      </c>
      <c r="D1946" s="28" t="s">
        <v>7182</v>
      </c>
      <c r="E1946" s="28" t="s">
        <v>7183</v>
      </c>
      <c r="F1946" s="28" t="s">
        <v>7184</v>
      </c>
      <c r="G1946" s="28" t="s">
        <v>1077</v>
      </c>
      <c r="H1946" s="28" t="s">
        <v>7185</v>
      </c>
      <c r="I1946" s="28" t="s">
        <v>516</v>
      </c>
      <c r="J1946" s="28" t="s">
        <v>517</v>
      </c>
      <c r="K1946" s="28" t="s">
        <v>518</v>
      </c>
      <c r="L1946" s="28" t="s">
        <v>4099</v>
      </c>
      <c r="M1946" s="28" t="s">
        <v>535</v>
      </c>
      <c r="N1946" s="28" t="s">
        <v>544</v>
      </c>
      <c r="S1946" s="28" t="s">
        <v>928</v>
      </c>
      <c r="T1946" s="28" t="s">
        <v>4100</v>
      </c>
      <c r="U1946" s="28" t="s">
        <v>4100</v>
      </c>
      <c r="V1946" s="28" t="s">
        <v>517</v>
      </c>
      <c r="W1946" s="28" t="s">
        <v>7186</v>
      </c>
      <c r="X1946" s="28" t="s">
        <v>670</v>
      </c>
      <c r="AF1946" s="117"/>
      <c r="AK1946" s="60" t="s">
        <v>6558</v>
      </c>
      <c r="AL1946" s="117">
        <f>1/COUNTIF(Tableau6[LAT],B1946)</f>
        <v>1</v>
      </c>
      <c r="AM1946" s="60" t="b">
        <f t="shared" si="220"/>
        <v>0</v>
      </c>
      <c r="AN1946" s="60" t="b">
        <f t="shared" si="221"/>
        <v>0</v>
      </c>
      <c r="AO1946" s="60" t="b">
        <f t="shared" si="222"/>
        <v>0</v>
      </c>
      <c r="AP1946" s="60" t="b">
        <f t="shared" si="223"/>
        <v>0</v>
      </c>
      <c r="AQ1946" s="60" t="b">
        <f t="shared" si="224"/>
        <v>0</v>
      </c>
      <c r="AR1946" s="60" t="str">
        <f t="shared" si="225"/>
        <v>No</v>
      </c>
      <c r="AS1946" s="60" t="str">
        <f t="shared" si="226"/>
        <v>No</v>
      </c>
    </row>
    <row r="1947" spans="1:45" hidden="1">
      <c r="A1947" s="103">
        <v>45244</v>
      </c>
      <c r="B1947" s="117" t="s">
        <v>7187</v>
      </c>
      <c r="C1947" s="28" t="s">
        <v>511</v>
      </c>
      <c r="D1947" s="28" t="s">
        <v>7188</v>
      </c>
      <c r="E1947" s="28" t="s">
        <v>6612</v>
      </c>
      <c r="F1947" s="28" t="s">
        <v>7189</v>
      </c>
      <c r="G1947" s="28" t="s">
        <v>724</v>
      </c>
      <c r="H1947" s="28" t="s">
        <v>7190</v>
      </c>
      <c r="I1947" s="28" t="s">
        <v>516</v>
      </c>
      <c r="J1947" s="28" t="s">
        <v>517</v>
      </c>
      <c r="K1947" s="28" t="s">
        <v>518</v>
      </c>
      <c r="L1947" s="28" t="s">
        <v>4099</v>
      </c>
      <c r="M1947" s="28" t="s">
        <v>535</v>
      </c>
      <c r="N1947" s="28" t="s">
        <v>522</v>
      </c>
      <c r="S1947" s="28" t="s">
        <v>928</v>
      </c>
      <c r="T1947" s="28" t="s">
        <v>4100</v>
      </c>
      <c r="U1947" s="28" t="s">
        <v>4100</v>
      </c>
      <c r="V1947" s="28" t="s">
        <v>517</v>
      </c>
      <c r="W1947" s="28" t="s">
        <v>6615</v>
      </c>
      <c r="X1947" s="28" t="s">
        <v>670</v>
      </c>
      <c r="AF1947" s="117"/>
      <c r="AK1947" s="60" t="s">
        <v>6558</v>
      </c>
      <c r="AL1947" s="117">
        <f>1/COUNTIF(Tableau6[LAT],B1947)</f>
        <v>1</v>
      </c>
      <c r="AM1947" s="60" t="b">
        <f t="shared" si="220"/>
        <v>0</v>
      </c>
      <c r="AN1947" s="60" t="b">
        <f t="shared" si="221"/>
        <v>0</v>
      </c>
      <c r="AO1947" s="60" t="b">
        <f t="shared" si="222"/>
        <v>0</v>
      </c>
      <c r="AP1947" s="60" t="b">
        <f t="shared" si="223"/>
        <v>0</v>
      </c>
      <c r="AQ1947" s="60" t="b">
        <f t="shared" si="224"/>
        <v>0</v>
      </c>
      <c r="AR1947" s="60" t="str">
        <f t="shared" si="225"/>
        <v>No</v>
      </c>
      <c r="AS1947" s="60" t="str">
        <f t="shared" si="226"/>
        <v>No</v>
      </c>
    </row>
    <row r="1948" spans="1:45" hidden="1">
      <c r="A1948" s="103">
        <v>45244</v>
      </c>
      <c r="B1948" s="117" t="s">
        <v>7191</v>
      </c>
      <c r="C1948" s="28" t="s">
        <v>511</v>
      </c>
      <c r="D1948" s="28" t="s">
        <v>7192</v>
      </c>
      <c r="F1948" s="28" t="s">
        <v>6226</v>
      </c>
      <c r="G1948" s="28" t="s">
        <v>514</v>
      </c>
      <c r="H1948" s="28" t="s">
        <v>1241</v>
      </c>
      <c r="I1948" s="28" t="s">
        <v>516</v>
      </c>
      <c r="J1948" s="28" t="s">
        <v>517</v>
      </c>
      <c r="K1948" s="28" t="s">
        <v>682</v>
      </c>
      <c r="L1948" s="28" t="s">
        <v>4796</v>
      </c>
      <c r="M1948" s="28" t="s">
        <v>535</v>
      </c>
      <c r="N1948" s="28" t="s">
        <v>544</v>
      </c>
      <c r="S1948" s="28" t="s">
        <v>928</v>
      </c>
      <c r="T1948" s="28" t="s">
        <v>7193</v>
      </c>
      <c r="U1948" s="28" t="s">
        <v>1150</v>
      </c>
      <c r="V1948" s="28" t="s">
        <v>517</v>
      </c>
      <c r="W1948" s="28" t="s">
        <v>922</v>
      </c>
      <c r="AF1948" s="117"/>
      <c r="AK1948" s="60" t="s">
        <v>6558</v>
      </c>
      <c r="AL1948" s="117">
        <f>1/COUNTIF(Tableau6[LAT],B1948)</f>
        <v>1</v>
      </c>
      <c r="AM1948" s="60" t="b">
        <f t="shared" si="220"/>
        <v>0</v>
      </c>
      <c r="AN1948" s="60" t="b">
        <f t="shared" si="221"/>
        <v>0</v>
      </c>
      <c r="AO1948" s="60" t="b">
        <f t="shared" si="222"/>
        <v>0</v>
      </c>
      <c r="AP1948" s="60" t="b">
        <f t="shared" si="223"/>
        <v>0</v>
      </c>
      <c r="AQ1948" s="60" t="b">
        <f t="shared" si="224"/>
        <v>0</v>
      </c>
      <c r="AR1948" s="60" t="str">
        <f t="shared" si="225"/>
        <v>No</v>
      </c>
      <c r="AS1948" s="60" t="str">
        <f t="shared" si="226"/>
        <v>No</v>
      </c>
    </row>
    <row r="1949" spans="1:45" hidden="1">
      <c r="A1949" s="103">
        <v>45244</v>
      </c>
      <c r="B1949" s="117" t="s">
        <v>7194</v>
      </c>
      <c r="C1949" s="28" t="s">
        <v>511</v>
      </c>
      <c r="D1949" s="28" t="s">
        <v>7195</v>
      </c>
      <c r="F1949" s="28" t="s">
        <v>7196</v>
      </c>
      <c r="G1949" s="28" t="s">
        <v>514</v>
      </c>
      <c r="H1949" s="28" t="s">
        <v>1291</v>
      </c>
      <c r="I1949" s="28" t="s">
        <v>516</v>
      </c>
      <c r="J1949" s="28" t="s">
        <v>517</v>
      </c>
      <c r="K1949" s="28" t="s">
        <v>682</v>
      </c>
      <c r="L1949" s="28" t="s">
        <v>4796</v>
      </c>
      <c r="M1949" s="28" t="s">
        <v>535</v>
      </c>
      <c r="N1949" s="28" t="s">
        <v>544</v>
      </c>
      <c r="S1949" s="28" t="s">
        <v>928</v>
      </c>
      <c r="T1949" s="28" t="s">
        <v>1150</v>
      </c>
      <c r="U1949" s="28" t="s">
        <v>1150</v>
      </c>
      <c r="V1949" s="28" t="s">
        <v>517</v>
      </c>
      <c r="W1949" s="28" t="s">
        <v>7197</v>
      </c>
      <c r="AF1949" s="117"/>
      <c r="AK1949" s="60" t="s">
        <v>6558</v>
      </c>
      <c r="AL1949" s="117">
        <f>1/COUNTIF(Tableau6[LAT],B1949)</f>
        <v>0.5</v>
      </c>
      <c r="AM1949" s="60" t="b">
        <f t="shared" si="220"/>
        <v>0</v>
      </c>
      <c r="AN1949" s="60" t="b">
        <f t="shared" si="221"/>
        <v>0</v>
      </c>
      <c r="AO1949" s="60" t="b">
        <f t="shared" si="222"/>
        <v>0</v>
      </c>
      <c r="AP1949" s="60" t="b">
        <f t="shared" si="223"/>
        <v>0</v>
      </c>
      <c r="AQ1949" s="60" t="b">
        <f t="shared" si="224"/>
        <v>0</v>
      </c>
      <c r="AR1949" s="60" t="str">
        <f t="shared" si="225"/>
        <v>No</v>
      </c>
      <c r="AS1949" s="60" t="str">
        <f t="shared" si="226"/>
        <v>No</v>
      </c>
    </row>
    <row r="1950" spans="1:45" hidden="1">
      <c r="A1950" s="103">
        <v>45244</v>
      </c>
      <c r="B1950" s="117" t="s">
        <v>7194</v>
      </c>
      <c r="C1950" s="28" t="s">
        <v>548</v>
      </c>
      <c r="D1950" s="28" t="s">
        <v>7198</v>
      </c>
      <c r="F1950" s="28" t="s">
        <v>7196</v>
      </c>
      <c r="G1950" s="28" t="s">
        <v>514</v>
      </c>
      <c r="H1950" s="28" t="s">
        <v>1198</v>
      </c>
      <c r="I1950" s="28" t="s">
        <v>516</v>
      </c>
      <c r="J1950" s="28" t="s">
        <v>517</v>
      </c>
      <c r="K1950" s="28" t="s">
        <v>682</v>
      </c>
      <c r="L1950" s="28" t="s">
        <v>4796</v>
      </c>
      <c r="M1950" s="28" t="s">
        <v>535</v>
      </c>
      <c r="N1950" s="28" t="s">
        <v>544</v>
      </c>
      <c r="S1950" s="28" t="s">
        <v>928</v>
      </c>
      <c r="T1950" s="28" t="s">
        <v>1150</v>
      </c>
      <c r="U1950" s="28" t="s">
        <v>1150</v>
      </c>
      <c r="V1950" s="28" t="s">
        <v>517</v>
      </c>
      <c r="W1950" s="28" t="s">
        <v>7199</v>
      </c>
      <c r="AF1950" s="117"/>
      <c r="AK1950" s="60" t="s">
        <v>6558</v>
      </c>
      <c r="AL1950" s="117">
        <f>1/COUNTIF(Tableau6[LAT],B1950)</f>
        <v>0.5</v>
      </c>
      <c r="AM1950" s="60" t="b">
        <f t="shared" si="220"/>
        <v>0</v>
      </c>
      <c r="AN1950" s="60" t="b">
        <f t="shared" si="221"/>
        <v>0</v>
      </c>
      <c r="AO1950" s="60" t="b">
        <f t="shared" si="222"/>
        <v>0</v>
      </c>
      <c r="AP1950" s="60" t="b">
        <f t="shared" si="223"/>
        <v>0</v>
      </c>
      <c r="AQ1950" s="60" t="b">
        <f t="shared" si="224"/>
        <v>0</v>
      </c>
      <c r="AR1950" s="60" t="str">
        <f t="shared" si="225"/>
        <v>No</v>
      </c>
      <c r="AS1950" s="60" t="str">
        <f t="shared" si="226"/>
        <v>No</v>
      </c>
    </row>
    <row r="1951" spans="1:45" hidden="1">
      <c r="A1951" s="103">
        <v>45244</v>
      </c>
      <c r="B1951" s="117" t="s">
        <v>7200</v>
      </c>
      <c r="C1951" s="28" t="s">
        <v>511</v>
      </c>
      <c r="D1951" s="28" t="s">
        <v>7201</v>
      </c>
      <c r="E1951" s="28" t="s">
        <v>7202</v>
      </c>
      <c r="F1951" s="28" t="s">
        <v>3125</v>
      </c>
      <c r="G1951" s="28" t="s">
        <v>514</v>
      </c>
      <c r="H1951" s="28" t="s">
        <v>515</v>
      </c>
      <c r="I1951" s="28" t="s">
        <v>516</v>
      </c>
      <c r="J1951" s="28" t="s">
        <v>517</v>
      </c>
      <c r="K1951" s="28" t="s">
        <v>682</v>
      </c>
      <c r="L1951" s="28" t="s">
        <v>6584</v>
      </c>
      <c r="M1951" s="28" t="s">
        <v>535</v>
      </c>
      <c r="S1951" s="28" t="s">
        <v>753</v>
      </c>
      <c r="T1951" s="28" t="s">
        <v>1918</v>
      </c>
      <c r="U1951" s="28" t="s">
        <v>1918</v>
      </c>
      <c r="V1951" s="28" t="s">
        <v>517</v>
      </c>
      <c r="W1951" s="28" t="s">
        <v>6836</v>
      </c>
      <c r="X1951" s="28" t="s">
        <v>1913</v>
      </c>
      <c r="AF1951" s="117"/>
      <c r="AK1951" s="60" t="s">
        <v>6558</v>
      </c>
      <c r="AL1951" s="117">
        <f>1/COUNTIF(Tableau6[LAT],B1951)</f>
        <v>1</v>
      </c>
      <c r="AM1951" s="60" t="b">
        <f t="shared" si="220"/>
        <v>0</v>
      </c>
      <c r="AN1951" s="60" t="b">
        <f t="shared" si="221"/>
        <v>0</v>
      </c>
      <c r="AO1951" s="60" t="b">
        <f t="shared" si="222"/>
        <v>0</v>
      </c>
      <c r="AP1951" s="60" t="b">
        <f t="shared" si="223"/>
        <v>0</v>
      </c>
      <c r="AQ1951" s="60" t="b">
        <f t="shared" si="224"/>
        <v>0</v>
      </c>
      <c r="AR1951" s="60" t="str">
        <f t="shared" si="225"/>
        <v>No</v>
      </c>
      <c r="AS1951" s="60" t="str">
        <f t="shared" si="226"/>
        <v>No</v>
      </c>
    </row>
    <row r="1952" spans="1:45" hidden="1">
      <c r="A1952" s="103">
        <v>45244</v>
      </c>
      <c r="B1952" s="117" t="s">
        <v>7203</v>
      </c>
      <c r="C1952" s="28" t="s">
        <v>511</v>
      </c>
      <c r="D1952" s="28" t="s">
        <v>7204</v>
      </c>
      <c r="F1952" s="28" t="s">
        <v>3764</v>
      </c>
      <c r="G1952" s="28" t="s">
        <v>514</v>
      </c>
      <c r="H1952" s="28" t="s">
        <v>1554</v>
      </c>
      <c r="I1952" s="28" t="s">
        <v>517</v>
      </c>
      <c r="J1952" s="28" t="s">
        <v>517</v>
      </c>
      <c r="K1952" s="28" t="s">
        <v>518</v>
      </c>
      <c r="L1952" s="28" t="s">
        <v>596</v>
      </c>
      <c r="M1952" s="28" t="s">
        <v>535</v>
      </c>
      <c r="N1952" s="28" t="s">
        <v>810</v>
      </c>
      <c r="O1952" s="28" t="s">
        <v>1383</v>
      </c>
      <c r="P1952" s="28" t="s">
        <v>522</v>
      </c>
      <c r="S1952" s="28" t="s">
        <v>573</v>
      </c>
      <c r="T1952" s="28" t="s">
        <v>597</v>
      </c>
      <c r="U1952" s="28" t="s">
        <v>597</v>
      </c>
      <c r="V1952" s="28" t="s">
        <v>517</v>
      </c>
      <c r="W1952" s="28" t="s">
        <v>7205</v>
      </c>
      <c r="AF1952" s="117"/>
      <c r="AK1952" s="60" t="s">
        <v>6558</v>
      </c>
      <c r="AL1952" s="117">
        <f>1/COUNTIF(Tableau6[LAT],B1952)</f>
        <v>1</v>
      </c>
      <c r="AM1952" s="60" t="b">
        <f t="shared" si="220"/>
        <v>0</v>
      </c>
      <c r="AN1952" s="60" t="b">
        <f t="shared" si="221"/>
        <v>0</v>
      </c>
      <c r="AO1952" s="60" t="b">
        <f t="shared" si="222"/>
        <v>0</v>
      </c>
      <c r="AP1952" s="60" t="b">
        <f t="shared" si="223"/>
        <v>0</v>
      </c>
      <c r="AQ1952" s="60" t="b">
        <f t="shared" si="224"/>
        <v>0</v>
      </c>
      <c r="AR1952" s="60" t="str">
        <f t="shared" si="225"/>
        <v>No</v>
      </c>
      <c r="AS1952" s="60" t="str">
        <f t="shared" si="226"/>
        <v>No</v>
      </c>
    </row>
    <row r="1953" spans="1:45" hidden="1">
      <c r="A1953" s="103">
        <v>45244</v>
      </c>
      <c r="B1953" s="117" t="s">
        <v>7206</v>
      </c>
      <c r="C1953" s="28" t="s">
        <v>511</v>
      </c>
      <c r="D1953" s="28" t="s">
        <v>7207</v>
      </c>
      <c r="F1953" s="28" t="s">
        <v>1995</v>
      </c>
      <c r="G1953" s="28" t="s">
        <v>514</v>
      </c>
      <c r="H1953" s="28" t="s">
        <v>3161</v>
      </c>
      <c r="I1953" s="28" t="s">
        <v>516</v>
      </c>
      <c r="J1953" s="28" t="s">
        <v>517</v>
      </c>
      <c r="K1953" s="28" t="s">
        <v>518</v>
      </c>
      <c r="L1953" s="28" t="s">
        <v>1097</v>
      </c>
      <c r="M1953" s="28" t="s">
        <v>520</v>
      </c>
      <c r="S1953" s="28" t="s">
        <v>536</v>
      </c>
      <c r="T1953" s="28" t="s">
        <v>1098</v>
      </c>
      <c r="U1953" s="28" t="s">
        <v>1098</v>
      </c>
      <c r="V1953" s="28" t="s">
        <v>517</v>
      </c>
      <c r="W1953" s="28" t="s">
        <v>1620</v>
      </c>
      <c r="AF1953" s="117"/>
      <c r="AK1953" s="60" t="s">
        <v>6558</v>
      </c>
      <c r="AL1953" s="117">
        <f>1/COUNTIF(Tableau6[LAT],B1953)</f>
        <v>1</v>
      </c>
      <c r="AM1953" s="60" t="b">
        <f t="shared" si="220"/>
        <v>0</v>
      </c>
      <c r="AN1953" s="60" t="b">
        <f t="shared" si="221"/>
        <v>0</v>
      </c>
      <c r="AO1953" s="60" t="b">
        <f t="shared" si="222"/>
        <v>0</v>
      </c>
      <c r="AP1953" s="60" t="b">
        <f t="shared" si="223"/>
        <v>0</v>
      </c>
      <c r="AQ1953" s="60" t="b">
        <f t="shared" si="224"/>
        <v>0</v>
      </c>
      <c r="AR1953" s="60" t="str">
        <f t="shared" si="225"/>
        <v>No</v>
      </c>
      <c r="AS1953" s="60" t="str">
        <f t="shared" si="226"/>
        <v>Yes</v>
      </c>
    </row>
    <row r="1954" spans="1:45" hidden="1">
      <c r="A1954" s="103">
        <v>45244</v>
      </c>
      <c r="B1954" s="117" t="s">
        <v>7208</v>
      </c>
      <c r="C1954" s="28" t="s">
        <v>691</v>
      </c>
      <c r="D1954" s="28" t="s">
        <v>7209</v>
      </c>
      <c r="E1954" s="28" t="s">
        <v>7210</v>
      </c>
      <c r="F1954" s="28" t="s">
        <v>7211</v>
      </c>
      <c r="G1954" s="28" t="s">
        <v>1077</v>
      </c>
      <c r="H1954" s="28" t="s">
        <v>7212</v>
      </c>
      <c r="I1954" s="28" t="s">
        <v>516</v>
      </c>
      <c r="J1954" s="28" t="s">
        <v>517</v>
      </c>
      <c r="K1954" s="28" t="s">
        <v>682</v>
      </c>
      <c r="L1954" s="28" t="s">
        <v>4699</v>
      </c>
      <c r="M1954" s="28" t="s">
        <v>535</v>
      </c>
      <c r="N1954" s="28" t="s">
        <v>559</v>
      </c>
      <c r="S1954" s="28" t="s">
        <v>740</v>
      </c>
      <c r="T1954" s="28" t="s">
        <v>607</v>
      </c>
      <c r="U1954" s="28" t="s">
        <v>4700</v>
      </c>
      <c r="V1954" s="28" t="s">
        <v>517</v>
      </c>
      <c r="W1954" s="28" t="s">
        <v>7213</v>
      </c>
      <c r="X1954" s="28" t="s">
        <v>670</v>
      </c>
      <c r="AF1954" s="117"/>
      <c r="AK1954" s="60" t="s">
        <v>6558</v>
      </c>
      <c r="AL1954" s="117">
        <f>1/COUNTIF(Tableau6[LAT],B1954)</f>
        <v>1</v>
      </c>
      <c r="AM1954" s="60" t="b">
        <f t="shared" si="220"/>
        <v>0</v>
      </c>
      <c r="AN1954" s="60" t="b">
        <f t="shared" si="221"/>
        <v>0</v>
      </c>
      <c r="AO1954" s="60" t="b">
        <f t="shared" si="222"/>
        <v>0</v>
      </c>
      <c r="AP1954" s="60" t="b">
        <f t="shared" si="223"/>
        <v>0</v>
      </c>
      <c r="AQ1954" s="60" t="b">
        <f t="shared" si="224"/>
        <v>0</v>
      </c>
      <c r="AR1954" s="60" t="str">
        <f t="shared" si="225"/>
        <v>No</v>
      </c>
      <c r="AS1954" s="60" t="str">
        <f t="shared" si="226"/>
        <v>No</v>
      </c>
    </row>
    <row r="1955" spans="1:45" hidden="1">
      <c r="A1955" s="103">
        <v>45244</v>
      </c>
      <c r="B1955" s="117" t="s">
        <v>5364</v>
      </c>
      <c r="C1955" s="28" t="s">
        <v>612</v>
      </c>
      <c r="D1955" s="28" t="s">
        <v>7214</v>
      </c>
      <c r="F1955" s="28" t="s">
        <v>7215</v>
      </c>
      <c r="G1955" s="28" t="s">
        <v>514</v>
      </c>
      <c r="H1955" s="28" t="s">
        <v>1284</v>
      </c>
      <c r="I1955" s="28" t="s">
        <v>516</v>
      </c>
      <c r="J1955" s="28" t="s">
        <v>517</v>
      </c>
      <c r="K1955" s="28" t="s">
        <v>682</v>
      </c>
      <c r="L1955" s="28" t="s">
        <v>4796</v>
      </c>
      <c r="M1955" s="28" t="s">
        <v>535</v>
      </c>
      <c r="N1955" s="28" t="s">
        <v>557</v>
      </c>
      <c r="O1955" s="28" t="s">
        <v>544</v>
      </c>
      <c r="P1955" s="28" t="s">
        <v>522</v>
      </c>
      <c r="S1955" s="28" t="s">
        <v>668</v>
      </c>
      <c r="T1955" s="28" t="s">
        <v>1150</v>
      </c>
      <c r="U1955" s="28" t="s">
        <v>1150</v>
      </c>
      <c r="V1955" s="28" t="s">
        <v>517</v>
      </c>
      <c r="W1955" s="28" t="s">
        <v>7216</v>
      </c>
      <c r="AF1955" s="117"/>
      <c r="AK1955" s="60" t="s">
        <v>6558</v>
      </c>
      <c r="AL1955" s="117">
        <f>1/COUNTIF(Tableau6[LAT],B1955)</f>
        <v>0.5</v>
      </c>
      <c r="AM1955" s="60" t="b">
        <f t="shared" si="220"/>
        <v>0</v>
      </c>
      <c r="AN1955" s="60" t="b">
        <f t="shared" si="221"/>
        <v>0</v>
      </c>
      <c r="AO1955" s="60" t="b">
        <f t="shared" si="222"/>
        <v>0</v>
      </c>
      <c r="AP1955" s="60" t="b">
        <f t="shared" si="223"/>
        <v>0</v>
      </c>
      <c r="AQ1955" s="60" t="b">
        <f t="shared" si="224"/>
        <v>0</v>
      </c>
      <c r="AR1955" s="60" t="str">
        <f t="shared" si="225"/>
        <v>No</v>
      </c>
      <c r="AS1955" s="60" t="str">
        <f t="shared" si="226"/>
        <v>No</v>
      </c>
    </row>
    <row r="1956" spans="1:45" hidden="1">
      <c r="A1956" s="103">
        <v>45244</v>
      </c>
      <c r="B1956" s="117" t="s">
        <v>7217</v>
      </c>
      <c r="C1956" s="28" t="s">
        <v>511</v>
      </c>
      <c r="D1956" s="28" t="s">
        <v>7218</v>
      </c>
      <c r="F1956" s="28" t="s">
        <v>7219</v>
      </c>
      <c r="G1956" s="28" t="s">
        <v>514</v>
      </c>
      <c r="H1956" s="28" t="s">
        <v>1992</v>
      </c>
      <c r="I1956" s="28" t="s">
        <v>516</v>
      </c>
      <c r="J1956" s="28" t="s">
        <v>517</v>
      </c>
      <c r="K1956" s="28" t="s">
        <v>682</v>
      </c>
      <c r="L1956" s="28" t="s">
        <v>1262</v>
      </c>
      <c r="M1956" s="28" t="s">
        <v>535</v>
      </c>
      <c r="N1956" s="28" t="s">
        <v>557</v>
      </c>
      <c r="O1956" s="28" t="s">
        <v>544</v>
      </c>
      <c r="P1956" s="28" t="s">
        <v>522</v>
      </c>
      <c r="S1956" s="28" t="s">
        <v>718</v>
      </c>
      <c r="T1956" s="28" t="s">
        <v>1264</v>
      </c>
      <c r="U1956" s="28" t="s">
        <v>1264</v>
      </c>
      <c r="V1956" s="28" t="s">
        <v>517</v>
      </c>
      <c r="W1956" s="28" t="s">
        <v>2004</v>
      </c>
      <c r="AF1956" s="117"/>
      <c r="AK1956" s="60" t="s">
        <v>6558</v>
      </c>
      <c r="AL1956" s="117">
        <f>1/COUNTIF(Tableau6[LAT],B1956)</f>
        <v>1</v>
      </c>
      <c r="AM1956" s="60" t="b">
        <f t="shared" si="220"/>
        <v>0</v>
      </c>
      <c r="AN1956" s="60" t="b">
        <f t="shared" si="221"/>
        <v>0</v>
      </c>
      <c r="AO1956" s="60" t="b">
        <f t="shared" si="222"/>
        <v>0</v>
      </c>
      <c r="AP1956" s="60" t="b">
        <f t="shared" si="223"/>
        <v>0</v>
      </c>
      <c r="AQ1956" s="60" t="b">
        <f t="shared" si="224"/>
        <v>0</v>
      </c>
      <c r="AR1956" s="60" t="str">
        <f t="shared" si="225"/>
        <v>No</v>
      </c>
      <c r="AS1956" s="60" t="str">
        <f t="shared" si="226"/>
        <v>No</v>
      </c>
    </row>
    <row r="1957" spans="1:45" hidden="1">
      <c r="A1957" s="103">
        <v>45244</v>
      </c>
      <c r="B1957" s="117" t="s">
        <v>7220</v>
      </c>
      <c r="C1957" s="28" t="s">
        <v>511</v>
      </c>
      <c r="D1957" s="28" t="s">
        <v>7221</v>
      </c>
      <c r="F1957" s="28" t="s">
        <v>7222</v>
      </c>
      <c r="G1957" s="28" t="s">
        <v>514</v>
      </c>
      <c r="H1957" s="28" t="s">
        <v>1605</v>
      </c>
      <c r="I1957" s="28" t="s">
        <v>516</v>
      </c>
      <c r="J1957" s="28" t="s">
        <v>517</v>
      </c>
      <c r="K1957" s="28" t="s">
        <v>518</v>
      </c>
      <c r="L1957" s="28" t="s">
        <v>6166</v>
      </c>
      <c r="M1957" s="28" t="s">
        <v>535</v>
      </c>
      <c r="N1957" s="28" t="s">
        <v>521</v>
      </c>
      <c r="O1957" s="28" t="s">
        <v>934</v>
      </c>
      <c r="P1957" s="28" t="s">
        <v>544</v>
      </c>
      <c r="Q1957" s="28" t="s">
        <v>522</v>
      </c>
      <c r="S1957" s="28" t="s">
        <v>3091</v>
      </c>
      <c r="T1957" s="28" t="s">
        <v>7223</v>
      </c>
      <c r="U1957" s="28" t="s">
        <v>718</v>
      </c>
      <c r="V1957" s="28" t="s">
        <v>517</v>
      </c>
      <c r="W1957" s="28" t="s">
        <v>1620</v>
      </c>
      <c r="AF1957" s="117"/>
      <c r="AK1957" s="60" t="s">
        <v>6558</v>
      </c>
      <c r="AL1957" s="117">
        <f>1/COUNTIF(Tableau6[LAT],B1957)</f>
        <v>1</v>
      </c>
      <c r="AM1957" s="60" t="b">
        <f t="shared" si="220"/>
        <v>0</v>
      </c>
      <c r="AN1957" s="60" t="b">
        <f t="shared" si="221"/>
        <v>0</v>
      </c>
      <c r="AO1957" s="60" t="b">
        <f t="shared" si="222"/>
        <v>0</v>
      </c>
      <c r="AP1957" s="60" t="b">
        <f t="shared" si="223"/>
        <v>0</v>
      </c>
      <c r="AQ1957" s="60" t="b">
        <f t="shared" si="224"/>
        <v>0</v>
      </c>
      <c r="AR1957" s="60" t="str">
        <f t="shared" si="225"/>
        <v>No</v>
      </c>
      <c r="AS1957" s="60" t="str">
        <f t="shared" si="226"/>
        <v>No</v>
      </c>
    </row>
    <row r="1958" spans="1:45" hidden="1">
      <c r="A1958" s="103">
        <v>45244</v>
      </c>
      <c r="B1958" s="117" t="s">
        <v>6526</v>
      </c>
      <c r="C1958" s="28" t="s">
        <v>548</v>
      </c>
      <c r="D1958" s="28" t="s">
        <v>7224</v>
      </c>
      <c r="F1958" s="28" t="s">
        <v>7225</v>
      </c>
      <c r="G1958" s="28" t="s">
        <v>514</v>
      </c>
      <c r="H1958" s="28" t="s">
        <v>1953</v>
      </c>
      <c r="I1958" s="28" t="s">
        <v>516</v>
      </c>
      <c r="J1958" s="28" t="s">
        <v>517</v>
      </c>
      <c r="K1958" s="28" t="s">
        <v>518</v>
      </c>
      <c r="L1958" s="28" t="s">
        <v>1013</v>
      </c>
      <c r="M1958" s="28" t="s">
        <v>605</v>
      </c>
      <c r="N1958" s="28" t="s">
        <v>557</v>
      </c>
      <c r="O1958" s="28" t="s">
        <v>522</v>
      </c>
      <c r="S1958" s="28" t="s">
        <v>606</v>
      </c>
      <c r="T1958" s="28" t="s">
        <v>1015</v>
      </c>
      <c r="U1958" s="28" t="s">
        <v>1015</v>
      </c>
      <c r="V1958" s="28" t="s">
        <v>517</v>
      </c>
      <c r="W1958" s="28" t="s">
        <v>821</v>
      </c>
      <c r="AF1958" s="117"/>
      <c r="AK1958" s="60" t="s">
        <v>6558</v>
      </c>
      <c r="AL1958" s="117">
        <f>1/COUNTIF(Tableau6[LAT],B1958)</f>
        <v>0.16666666666666666</v>
      </c>
      <c r="AM1958" s="60" t="b">
        <f t="shared" si="220"/>
        <v>0</v>
      </c>
      <c r="AN1958" s="60" t="b">
        <f t="shared" si="221"/>
        <v>0</v>
      </c>
      <c r="AO1958" s="60" t="b">
        <f t="shared" si="222"/>
        <v>0</v>
      </c>
      <c r="AP1958" s="60" t="b">
        <f t="shared" si="223"/>
        <v>0</v>
      </c>
      <c r="AQ1958" s="60" t="b">
        <f t="shared" si="224"/>
        <v>0</v>
      </c>
      <c r="AR1958" s="60" t="str">
        <f t="shared" si="225"/>
        <v>No</v>
      </c>
      <c r="AS1958" s="60" t="str">
        <f t="shared" si="226"/>
        <v>No</v>
      </c>
    </row>
    <row r="1959" spans="1:45" hidden="1">
      <c r="A1959" s="103">
        <v>45244</v>
      </c>
      <c r="B1959" s="117" t="s">
        <v>6526</v>
      </c>
      <c r="C1959" s="28" t="s">
        <v>859</v>
      </c>
      <c r="D1959" s="28" t="s">
        <v>7226</v>
      </c>
      <c r="F1959" s="28" t="s">
        <v>7225</v>
      </c>
      <c r="G1959" s="28" t="s">
        <v>514</v>
      </c>
      <c r="H1959" s="28" t="s">
        <v>2135</v>
      </c>
      <c r="I1959" s="28" t="s">
        <v>516</v>
      </c>
      <c r="J1959" s="28" t="s">
        <v>517</v>
      </c>
      <c r="K1959" s="28" t="s">
        <v>518</v>
      </c>
      <c r="L1959" s="28" t="s">
        <v>1013</v>
      </c>
      <c r="M1959" s="28" t="s">
        <v>605</v>
      </c>
      <c r="N1959" s="28" t="s">
        <v>557</v>
      </c>
      <c r="O1959" s="28" t="s">
        <v>522</v>
      </c>
      <c r="S1959" s="28" t="s">
        <v>606</v>
      </c>
      <c r="T1959" s="28" t="s">
        <v>1015</v>
      </c>
      <c r="U1959" s="28" t="s">
        <v>1015</v>
      </c>
      <c r="V1959" s="28" t="s">
        <v>517</v>
      </c>
      <c r="W1959" s="28" t="s">
        <v>821</v>
      </c>
      <c r="AF1959" s="117"/>
      <c r="AK1959" s="60" t="s">
        <v>6558</v>
      </c>
      <c r="AL1959" s="117">
        <f>1/COUNTIF(Tableau6[LAT],B1959)</f>
        <v>0.16666666666666666</v>
      </c>
      <c r="AM1959" s="60" t="b">
        <f t="shared" si="220"/>
        <v>0</v>
      </c>
      <c r="AN1959" s="60" t="b">
        <f t="shared" si="221"/>
        <v>0</v>
      </c>
      <c r="AO1959" s="60" t="b">
        <f t="shared" si="222"/>
        <v>0</v>
      </c>
      <c r="AP1959" s="60" t="b">
        <f t="shared" si="223"/>
        <v>0</v>
      </c>
      <c r="AQ1959" s="60" t="b">
        <f t="shared" si="224"/>
        <v>0</v>
      </c>
      <c r="AR1959" s="60" t="str">
        <f t="shared" si="225"/>
        <v>No</v>
      </c>
      <c r="AS1959" s="60" t="str">
        <f t="shared" si="226"/>
        <v>No</v>
      </c>
    </row>
    <row r="1960" spans="1:45" hidden="1">
      <c r="A1960" s="103">
        <v>45244</v>
      </c>
      <c r="B1960" s="117" t="s">
        <v>6526</v>
      </c>
      <c r="C1960" s="28" t="s">
        <v>861</v>
      </c>
      <c r="D1960" s="28" t="s">
        <v>7227</v>
      </c>
      <c r="F1960" s="28" t="s">
        <v>7225</v>
      </c>
      <c r="G1960" s="28" t="s">
        <v>514</v>
      </c>
      <c r="H1960" s="28" t="s">
        <v>2135</v>
      </c>
      <c r="I1960" s="28" t="s">
        <v>516</v>
      </c>
      <c r="J1960" s="28" t="s">
        <v>517</v>
      </c>
      <c r="K1960" s="28" t="s">
        <v>518</v>
      </c>
      <c r="L1960" s="28" t="s">
        <v>1013</v>
      </c>
      <c r="M1960" s="28" t="s">
        <v>605</v>
      </c>
      <c r="N1960" s="28" t="s">
        <v>557</v>
      </c>
      <c r="O1960" s="28" t="s">
        <v>522</v>
      </c>
      <c r="S1960" s="28" t="s">
        <v>606</v>
      </c>
      <c r="T1960" s="28" t="s">
        <v>1015</v>
      </c>
      <c r="U1960" s="28" t="s">
        <v>1015</v>
      </c>
      <c r="V1960" s="28" t="s">
        <v>517</v>
      </c>
      <c r="W1960" s="28" t="s">
        <v>821</v>
      </c>
      <c r="AF1960" s="117"/>
      <c r="AK1960" s="60" t="s">
        <v>6558</v>
      </c>
      <c r="AL1960" s="117">
        <f>1/COUNTIF(Tableau6[LAT],B1960)</f>
        <v>0.16666666666666666</v>
      </c>
      <c r="AM1960" s="60" t="b">
        <f t="shared" si="220"/>
        <v>0</v>
      </c>
      <c r="AN1960" s="60" t="b">
        <f t="shared" si="221"/>
        <v>0</v>
      </c>
      <c r="AO1960" s="60" t="b">
        <f t="shared" si="222"/>
        <v>0</v>
      </c>
      <c r="AP1960" s="60" t="b">
        <f t="shared" si="223"/>
        <v>0</v>
      </c>
      <c r="AQ1960" s="60" t="b">
        <f t="shared" si="224"/>
        <v>0</v>
      </c>
      <c r="AR1960" s="60" t="str">
        <f t="shared" si="225"/>
        <v>No</v>
      </c>
      <c r="AS1960" s="60" t="str">
        <f t="shared" si="226"/>
        <v>No</v>
      </c>
    </row>
    <row r="1961" spans="1:45" hidden="1">
      <c r="A1961" s="103">
        <v>45244</v>
      </c>
      <c r="B1961" s="117" t="s">
        <v>6526</v>
      </c>
      <c r="D1961" s="28" t="s">
        <v>7228</v>
      </c>
      <c r="F1961" s="28" t="s">
        <v>7225</v>
      </c>
      <c r="G1961" s="28" t="s">
        <v>514</v>
      </c>
      <c r="H1961" s="28" t="s">
        <v>2135</v>
      </c>
      <c r="I1961" s="28" t="s">
        <v>516</v>
      </c>
      <c r="J1961" s="28" t="s">
        <v>517</v>
      </c>
      <c r="K1961" s="28" t="s">
        <v>518</v>
      </c>
      <c r="L1961" s="28" t="s">
        <v>1013</v>
      </c>
      <c r="M1961" s="28" t="s">
        <v>605</v>
      </c>
      <c r="N1961" s="28" t="s">
        <v>557</v>
      </c>
      <c r="O1961" s="28" t="s">
        <v>522</v>
      </c>
      <c r="S1961" s="28" t="s">
        <v>606</v>
      </c>
      <c r="T1961" s="28" t="s">
        <v>1015</v>
      </c>
      <c r="U1961" s="28" t="s">
        <v>1015</v>
      </c>
      <c r="V1961" s="28" t="s">
        <v>517</v>
      </c>
      <c r="W1961" s="28" t="s">
        <v>821</v>
      </c>
      <c r="AF1961" s="117"/>
      <c r="AK1961" s="60" t="s">
        <v>6558</v>
      </c>
      <c r="AL1961" s="117">
        <f>1/COUNTIF(Tableau6[LAT],B1961)</f>
        <v>0.16666666666666666</v>
      </c>
      <c r="AM1961" s="60" t="b">
        <f t="shared" si="220"/>
        <v>0</v>
      </c>
      <c r="AN1961" s="60" t="b">
        <f t="shared" si="221"/>
        <v>0</v>
      </c>
      <c r="AO1961" s="60" t="b">
        <f t="shared" si="222"/>
        <v>0</v>
      </c>
      <c r="AP1961" s="60" t="b">
        <f t="shared" si="223"/>
        <v>0</v>
      </c>
      <c r="AQ1961" s="60" t="b">
        <f t="shared" si="224"/>
        <v>0</v>
      </c>
      <c r="AR1961" s="60" t="str">
        <f t="shared" si="225"/>
        <v>No</v>
      </c>
      <c r="AS1961" s="60" t="str">
        <f t="shared" si="226"/>
        <v>No</v>
      </c>
    </row>
  </sheetData>
  <mergeCells count="7">
    <mergeCell ref="AK1:AS2"/>
    <mergeCell ref="B2:Y2"/>
    <mergeCell ref="AD2:AF2"/>
    <mergeCell ref="B1:AA1"/>
    <mergeCell ref="AD1:AI1"/>
    <mergeCell ref="AH2:AI2"/>
    <mergeCell ref="Z2:AB2"/>
  </mergeCells>
  <phoneticPr fontId="20" type="noConversion"/>
  <conditionalFormatting sqref="AM3:AQ12 AM13:AR1048576 AR1:AR12 AS4:AS1961">
    <cfRule type="cellIs" dxfId="234" priority="11" operator="equal">
      <formula>"Yes"</formula>
    </cfRule>
  </conditionalFormatting>
  <conditionalFormatting sqref="AR3">
    <cfRule type="cellIs" dxfId="233" priority="10" operator="equal">
      <formula>"Yes"</formula>
    </cfRule>
  </conditionalFormatting>
  <conditionalFormatting sqref="I1:J1048576 AS1:AS1048576">
    <cfRule type="cellIs" dxfId="232" priority="8" operator="equal">
      <formula>"Y"</formula>
    </cfRule>
  </conditionalFormatting>
  <conditionalFormatting sqref="Z1:Z627 Z1734:Z1048576">
    <cfRule type="cellIs" dxfId="231" priority="4" operator="equal">
      <formula>"Failed"</formula>
    </cfRule>
    <cfRule type="cellIs" dxfId="230" priority="5" operator="equal">
      <formula>"Passed"</formula>
    </cfRule>
  </conditionalFormatting>
  <conditionalFormatting sqref="Z1:Z1393 Z1734:Z1048576">
    <cfRule type="cellIs" dxfId="229" priority="1" operator="equal">
      <formula>"Passed"</formula>
    </cfRule>
    <cfRule type="cellIs" dxfId="228" priority="2" operator="equal">
      <formula>"Failed"</formula>
    </cfRule>
  </conditionalFormatting>
  <pageMargins left="0.7" right="0.7" top="0.75" bottom="0.75" header="0.3" footer="0.3"/>
  <pageSetup paperSize="9" orientation="portrait" r:id="rId1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A967"/>
  <sheetViews>
    <sheetView zoomScale="85" zoomScaleNormal="85" workbookViewId="0">
      <selection activeCell="A4" sqref="A4"/>
    </sheetView>
  </sheetViews>
  <sheetFormatPr defaultColWidth="11.42578125" defaultRowHeight="12.75"/>
  <cols>
    <col min="1" max="1" width="11.42578125" style="28"/>
    <col min="2" max="2" width="13.7109375" style="28" bestFit="1" customWidth="1"/>
    <col min="3" max="3" width="12.140625" style="28" customWidth="1"/>
    <col min="4" max="4" width="15.85546875" style="28" customWidth="1"/>
    <col min="5" max="7" width="11.42578125" style="28"/>
    <col min="8" max="8" width="13.42578125" style="28" customWidth="1"/>
    <col min="9" max="9" width="11.7109375" style="28" customWidth="1"/>
    <col min="10" max="16384" width="11.42578125" style="28"/>
  </cols>
  <sheetData>
    <row r="1" spans="1:27" ht="30" customHeight="1">
      <c r="B1" s="157" t="s">
        <v>460</v>
      </c>
      <c r="C1" s="157"/>
      <c r="D1" s="157"/>
      <c r="E1" s="157"/>
      <c r="F1" s="157"/>
      <c r="G1" s="157"/>
      <c r="H1" s="157"/>
      <c r="I1" s="157"/>
      <c r="J1" s="157"/>
      <c r="K1" s="157"/>
      <c r="L1" s="157"/>
      <c r="M1" s="157"/>
      <c r="N1" s="157"/>
      <c r="O1" s="157"/>
      <c r="P1" s="157"/>
      <c r="Q1" s="157"/>
      <c r="R1" s="157"/>
      <c r="S1" s="157"/>
      <c r="T1" s="157"/>
      <c r="U1" s="151" t="s">
        <v>461</v>
      </c>
      <c r="V1" s="151"/>
      <c r="W1" s="151"/>
      <c r="X1" s="151"/>
      <c r="Y1" s="151"/>
    </row>
    <row r="2" spans="1:27" ht="30" customHeight="1">
      <c r="B2" s="154" t="s">
        <v>463</v>
      </c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5" t="s">
        <v>464</v>
      </c>
      <c r="T2" s="155"/>
      <c r="U2" s="156" t="s">
        <v>465</v>
      </c>
      <c r="V2" s="156"/>
      <c r="W2" s="156"/>
      <c r="X2" s="152" t="s">
        <v>7229</v>
      </c>
      <c r="Y2" s="152"/>
    </row>
    <row r="3" spans="1:27" ht="39.75" customHeight="1">
      <c r="A3" s="36" t="s">
        <v>467</v>
      </c>
      <c r="B3" s="2" t="s">
        <v>427</v>
      </c>
      <c r="C3" s="2" t="s">
        <v>489</v>
      </c>
      <c r="D3" s="2" t="s">
        <v>470</v>
      </c>
      <c r="E3" s="2" t="s">
        <v>471</v>
      </c>
      <c r="F3" s="2" t="s">
        <v>472</v>
      </c>
      <c r="G3" s="2" t="s">
        <v>473</v>
      </c>
      <c r="H3" s="2" t="s">
        <v>7230</v>
      </c>
      <c r="I3" s="2" t="s">
        <v>488</v>
      </c>
      <c r="J3" s="2" t="s">
        <v>485</v>
      </c>
      <c r="K3" s="2" t="s">
        <v>486</v>
      </c>
      <c r="L3" s="2" t="s">
        <v>476</v>
      </c>
      <c r="M3" s="2" t="s">
        <v>477</v>
      </c>
      <c r="N3" s="2" t="s">
        <v>478</v>
      </c>
      <c r="O3" s="2" t="s">
        <v>7231</v>
      </c>
      <c r="P3" s="2" t="s">
        <v>7232</v>
      </c>
      <c r="Q3" s="2" t="s">
        <v>7233</v>
      </c>
      <c r="R3" s="2" t="s">
        <v>7234</v>
      </c>
      <c r="S3" s="15" t="s">
        <v>13</v>
      </c>
      <c r="T3" s="19" t="s">
        <v>25</v>
      </c>
      <c r="U3" s="33" t="s">
        <v>494</v>
      </c>
      <c r="V3" s="33" t="s">
        <v>492</v>
      </c>
      <c r="W3" s="33" t="s">
        <v>496</v>
      </c>
      <c r="X3" s="34" t="s">
        <v>498</v>
      </c>
      <c r="Y3" s="34" t="s">
        <v>499</v>
      </c>
      <c r="Z3" s="35" t="s">
        <v>7235</v>
      </c>
      <c r="AA3" s="102" t="s">
        <v>501</v>
      </c>
    </row>
    <row r="4" spans="1:27" ht="15">
      <c r="A4" s="96">
        <v>45243</v>
      </c>
      <c r="B4" t="s">
        <v>2541</v>
      </c>
      <c r="C4" t="s">
        <v>670</v>
      </c>
      <c r="D4"/>
      <c r="E4" t="s">
        <v>7236</v>
      </c>
      <c r="F4"/>
      <c r="G4" t="s">
        <v>2543</v>
      </c>
      <c r="H4" t="s">
        <v>7237</v>
      </c>
      <c r="I4" t="s">
        <v>2544</v>
      </c>
      <c r="J4" t="s">
        <v>776</v>
      </c>
      <c r="K4" t="s">
        <v>776</v>
      </c>
      <c r="L4" t="s">
        <v>518</v>
      </c>
      <c r="M4" t="s">
        <v>774</v>
      </c>
      <c r="N4" t="s">
        <v>535</v>
      </c>
      <c r="O4"/>
      <c r="P4"/>
      <c r="Q4"/>
      <c r="R4"/>
      <c r="S4"/>
      <c r="T4"/>
      <c r="U4" s="73"/>
      <c r="V4" s="73"/>
      <c r="W4" s="73"/>
      <c r="X4" s="140"/>
      <c r="Y4" s="140"/>
      <c r="Z4" s="73"/>
      <c r="AA4" s="73">
        <v>2</v>
      </c>
    </row>
    <row r="5" spans="1:27" ht="45">
      <c r="B5"/>
      <c r="C5"/>
      <c r="D5" t="s">
        <v>2539</v>
      </c>
      <c r="E5" t="s">
        <v>2542</v>
      </c>
      <c r="F5" t="s">
        <v>514</v>
      </c>
      <c r="G5" t="s">
        <v>2543</v>
      </c>
      <c r="H5"/>
      <c r="I5"/>
      <c r="J5" t="s">
        <v>776</v>
      </c>
      <c r="K5" t="s">
        <v>776</v>
      </c>
      <c r="L5"/>
      <c r="M5"/>
      <c r="N5"/>
      <c r="O5"/>
      <c r="P5"/>
      <c r="Q5"/>
      <c r="R5"/>
      <c r="S5"/>
      <c r="T5"/>
      <c r="U5" s="73"/>
      <c r="V5" s="73"/>
      <c r="W5" s="73"/>
      <c r="X5" s="140" t="s">
        <v>563</v>
      </c>
      <c r="Y5" s="140" t="s">
        <v>7238</v>
      </c>
      <c r="Z5" s="73"/>
      <c r="AA5" s="73"/>
    </row>
    <row r="6" spans="1:27" ht="15">
      <c r="A6" s="96">
        <v>45243</v>
      </c>
      <c r="B6" t="s">
        <v>2820</v>
      </c>
      <c r="C6" t="s">
        <v>670</v>
      </c>
      <c r="D6"/>
      <c r="E6" t="s">
        <v>7239</v>
      </c>
      <c r="F6"/>
      <c r="G6" t="s">
        <v>2814</v>
      </c>
      <c r="H6" t="s">
        <v>7237</v>
      </c>
      <c r="I6" t="s">
        <v>2821</v>
      </c>
      <c r="J6" t="s">
        <v>607</v>
      </c>
      <c r="K6" t="s">
        <v>607</v>
      </c>
      <c r="L6" t="s">
        <v>518</v>
      </c>
      <c r="M6" t="s">
        <v>2234</v>
      </c>
      <c r="N6" t="s">
        <v>520</v>
      </c>
      <c r="O6"/>
      <c r="P6"/>
      <c r="Q6"/>
      <c r="R6"/>
      <c r="S6"/>
      <c r="T6"/>
      <c r="U6" s="73"/>
      <c r="V6" s="73"/>
      <c r="W6" s="73"/>
      <c r="X6" s="140"/>
      <c r="Y6" s="140"/>
      <c r="Z6" s="73"/>
      <c r="AA6" s="73">
        <v>2</v>
      </c>
    </row>
    <row r="7" spans="1:27" ht="45">
      <c r="B7"/>
      <c r="C7"/>
      <c r="D7" t="s">
        <v>2810</v>
      </c>
      <c r="E7" t="s">
        <v>2813</v>
      </c>
      <c r="F7" t="s">
        <v>1077</v>
      </c>
      <c r="G7" t="s">
        <v>2814</v>
      </c>
      <c r="H7"/>
      <c r="I7"/>
      <c r="J7" t="s">
        <v>607</v>
      </c>
      <c r="K7" t="s">
        <v>607</v>
      </c>
      <c r="L7"/>
      <c r="M7"/>
      <c r="N7"/>
      <c r="O7"/>
      <c r="P7"/>
      <c r="Q7"/>
      <c r="R7"/>
      <c r="S7"/>
      <c r="T7"/>
      <c r="U7" s="73"/>
      <c r="V7" s="73"/>
      <c r="W7" s="73"/>
      <c r="X7" s="140" t="s">
        <v>563</v>
      </c>
      <c r="Y7" s="140" t="s">
        <v>7238</v>
      </c>
      <c r="Z7" s="73"/>
      <c r="AA7" s="73"/>
    </row>
    <row r="8" spans="1:27" ht="15">
      <c r="A8" s="96">
        <v>45243</v>
      </c>
      <c r="B8" t="s">
        <v>2203</v>
      </c>
      <c r="C8" t="s">
        <v>670</v>
      </c>
      <c r="D8"/>
      <c r="E8" t="s">
        <v>7240</v>
      </c>
      <c r="F8"/>
      <c r="G8" t="s">
        <v>2205</v>
      </c>
      <c r="H8" t="s">
        <v>7237</v>
      </c>
      <c r="I8" t="s">
        <v>2206</v>
      </c>
      <c r="J8" t="s">
        <v>1159</v>
      </c>
      <c r="K8" t="s">
        <v>1159</v>
      </c>
      <c r="L8" t="s">
        <v>518</v>
      </c>
      <c r="M8" t="s">
        <v>1157</v>
      </c>
      <c r="N8" t="s">
        <v>535</v>
      </c>
      <c r="O8"/>
      <c r="P8"/>
      <c r="Q8"/>
      <c r="R8"/>
      <c r="S8"/>
      <c r="T8"/>
      <c r="U8" s="73"/>
      <c r="V8" s="73"/>
      <c r="W8" s="73"/>
      <c r="X8" s="140"/>
      <c r="Y8" s="140"/>
      <c r="Z8" s="73"/>
      <c r="AA8" s="73">
        <v>2</v>
      </c>
    </row>
    <row r="9" spans="1:27" ht="105">
      <c r="B9"/>
      <c r="C9"/>
      <c r="D9" t="s">
        <v>2201</v>
      </c>
      <c r="E9" t="s">
        <v>2204</v>
      </c>
      <c r="F9" t="s">
        <v>979</v>
      </c>
      <c r="G9" t="s">
        <v>2205</v>
      </c>
      <c r="H9"/>
      <c r="I9"/>
      <c r="J9" t="s">
        <v>1159</v>
      </c>
      <c r="K9" t="s">
        <v>1159</v>
      </c>
      <c r="L9"/>
      <c r="M9"/>
      <c r="N9"/>
      <c r="O9"/>
      <c r="P9"/>
      <c r="Q9"/>
      <c r="R9"/>
      <c r="S9"/>
      <c r="T9"/>
      <c r="U9" s="73"/>
      <c r="V9" s="73"/>
      <c r="W9" s="73"/>
      <c r="X9" s="140" t="s">
        <v>563</v>
      </c>
      <c r="Y9" s="140" t="s">
        <v>7241</v>
      </c>
      <c r="Z9" s="73"/>
      <c r="AA9" s="73"/>
    </row>
    <row r="10" spans="1:27" ht="15">
      <c r="A10" s="96">
        <v>45243</v>
      </c>
      <c r="B10" t="s">
        <v>1890</v>
      </c>
      <c r="C10" t="s">
        <v>670</v>
      </c>
      <c r="D10"/>
      <c r="E10" t="s">
        <v>7242</v>
      </c>
      <c r="F10"/>
      <c r="G10" t="s">
        <v>555</v>
      </c>
      <c r="H10" t="s">
        <v>7237</v>
      </c>
      <c r="I10" t="s">
        <v>1892</v>
      </c>
      <c r="J10" t="s">
        <v>699</v>
      </c>
      <c r="K10" t="s">
        <v>699</v>
      </c>
      <c r="L10" t="s">
        <v>518</v>
      </c>
      <c r="M10" t="s">
        <v>697</v>
      </c>
      <c r="N10" t="s">
        <v>535</v>
      </c>
      <c r="O10"/>
      <c r="P10"/>
      <c r="Q10"/>
      <c r="R10"/>
      <c r="S10"/>
      <c r="T10"/>
      <c r="U10" s="73"/>
      <c r="V10" s="73"/>
      <c r="W10" s="73"/>
      <c r="X10" s="140"/>
      <c r="Y10" s="140"/>
      <c r="Z10" s="73"/>
      <c r="AA10" s="73">
        <v>2</v>
      </c>
    </row>
    <row r="11" spans="1:27" ht="90">
      <c r="B11"/>
      <c r="C11"/>
      <c r="D11" t="s">
        <v>1888</v>
      </c>
      <c r="E11" t="s">
        <v>1891</v>
      </c>
      <c r="F11" t="s">
        <v>514</v>
      </c>
      <c r="G11" t="s">
        <v>555</v>
      </c>
      <c r="H11"/>
      <c r="I11"/>
      <c r="J11" t="s">
        <v>699</v>
      </c>
      <c r="K11" t="s">
        <v>699</v>
      </c>
      <c r="L11"/>
      <c r="M11"/>
      <c r="N11"/>
      <c r="O11" s="73"/>
      <c r="P11" s="73"/>
      <c r="Q11" s="73"/>
      <c r="R11" s="73"/>
      <c r="S11" s="73"/>
      <c r="T11" s="73"/>
      <c r="U11" s="73"/>
      <c r="V11" s="73"/>
      <c r="W11" s="73"/>
      <c r="X11" s="140" t="s">
        <v>563</v>
      </c>
      <c r="Y11" s="140" t="s">
        <v>7243</v>
      </c>
      <c r="Z11" s="73"/>
      <c r="AA11" s="73"/>
    </row>
    <row r="12" spans="1:27" ht="15">
      <c r="A12" s="96">
        <v>45243</v>
      </c>
      <c r="B12" t="s">
        <v>2257</v>
      </c>
      <c r="C12" t="s">
        <v>670</v>
      </c>
      <c r="D12"/>
      <c r="E12" t="s">
        <v>7244</v>
      </c>
      <c r="F12"/>
      <c r="G12" t="s">
        <v>2259</v>
      </c>
      <c r="H12" t="s">
        <v>7237</v>
      </c>
      <c r="I12" t="s">
        <v>2260</v>
      </c>
      <c r="J12" t="s">
        <v>1015</v>
      </c>
      <c r="K12" t="s">
        <v>1015</v>
      </c>
      <c r="L12" t="s">
        <v>518</v>
      </c>
      <c r="M12" t="s">
        <v>1013</v>
      </c>
      <c r="N12" t="s">
        <v>535</v>
      </c>
      <c r="O12" s="73"/>
      <c r="P12" s="73"/>
      <c r="Q12" s="73"/>
      <c r="R12" s="73"/>
      <c r="S12" s="73"/>
      <c r="T12" s="73"/>
      <c r="U12" s="73"/>
      <c r="V12" s="73"/>
      <c r="W12" s="73"/>
      <c r="X12" s="140"/>
      <c r="Y12" s="140"/>
      <c r="Z12" s="73"/>
      <c r="AA12" s="73">
        <v>2</v>
      </c>
    </row>
    <row r="13" spans="1:27" ht="105">
      <c r="B13"/>
      <c r="C13"/>
      <c r="D13" t="s">
        <v>2250</v>
      </c>
      <c r="E13" t="s">
        <v>2258</v>
      </c>
      <c r="F13" t="s">
        <v>1456</v>
      </c>
      <c r="G13" t="s">
        <v>2259</v>
      </c>
      <c r="H13"/>
      <c r="I13"/>
      <c r="J13" t="s">
        <v>1015</v>
      </c>
      <c r="K13" t="s">
        <v>1015</v>
      </c>
      <c r="L13"/>
      <c r="M13"/>
      <c r="N13"/>
      <c r="O13" s="73"/>
      <c r="P13" s="73"/>
      <c r="Q13" s="73"/>
      <c r="R13" s="73"/>
      <c r="S13" s="73"/>
      <c r="T13" s="73"/>
      <c r="U13" s="73"/>
      <c r="V13" s="73"/>
      <c r="W13" s="73"/>
      <c r="X13" s="140" t="s">
        <v>563</v>
      </c>
      <c r="Y13" s="140" t="s">
        <v>7245</v>
      </c>
      <c r="Z13" s="73"/>
      <c r="AA13" s="73"/>
    </row>
    <row r="14" spans="1:27" ht="15">
      <c r="A14" s="96">
        <v>45243</v>
      </c>
      <c r="B14" t="s">
        <v>2048</v>
      </c>
      <c r="C14" t="s">
        <v>670</v>
      </c>
      <c r="D14"/>
      <c r="E14" t="s">
        <v>7246</v>
      </c>
      <c r="F14"/>
      <c r="G14" t="s">
        <v>2050</v>
      </c>
      <c r="H14" t="s">
        <v>7237</v>
      </c>
      <c r="I14" t="s">
        <v>2051</v>
      </c>
      <c r="J14" t="s">
        <v>1098</v>
      </c>
      <c r="K14" t="s">
        <v>1098</v>
      </c>
      <c r="L14" t="s">
        <v>518</v>
      </c>
      <c r="M14" t="s">
        <v>1097</v>
      </c>
      <c r="N14" t="s">
        <v>535</v>
      </c>
      <c r="O14" s="73"/>
      <c r="P14" s="73"/>
      <c r="Q14" s="73"/>
      <c r="R14" s="73"/>
      <c r="S14" s="73"/>
      <c r="T14" s="73"/>
      <c r="U14" s="73"/>
      <c r="V14" s="73"/>
      <c r="W14" s="73"/>
      <c r="X14" s="140"/>
      <c r="Y14" s="140"/>
      <c r="Z14" s="73"/>
      <c r="AA14" s="73">
        <v>2</v>
      </c>
    </row>
    <row r="15" spans="1:27" ht="105">
      <c r="B15"/>
      <c r="C15"/>
      <c r="D15" t="s">
        <v>2041</v>
      </c>
      <c r="E15" t="s">
        <v>2049</v>
      </c>
      <c r="F15" t="s">
        <v>657</v>
      </c>
      <c r="G15" t="s">
        <v>2050</v>
      </c>
      <c r="H15"/>
      <c r="I15"/>
      <c r="J15" t="s">
        <v>1098</v>
      </c>
      <c r="K15" t="s">
        <v>1098</v>
      </c>
      <c r="L15"/>
      <c r="M15"/>
      <c r="N15"/>
      <c r="O15" s="73"/>
      <c r="P15" s="73"/>
      <c r="Q15" s="73"/>
      <c r="R15" s="73"/>
      <c r="S15" s="73"/>
      <c r="T15" s="73"/>
      <c r="U15" s="73"/>
      <c r="V15" s="73"/>
      <c r="W15" s="73"/>
      <c r="X15" s="140" t="s">
        <v>563</v>
      </c>
      <c r="Y15" s="140" t="s">
        <v>7247</v>
      </c>
      <c r="Z15" s="73"/>
      <c r="AA15" s="73"/>
    </row>
    <row r="16" spans="1:27" ht="15">
      <c r="A16" s="96">
        <v>45243</v>
      </c>
      <c r="B16" t="s">
        <v>1876</v>
      </c>
      <c r="C16" t="s">
        <v>670</v>
      </c>
      <c r="D16"/>
      <c r="E16" t="s">
        <v>7248</v>
      </c>
      <c r="F16"/>
      <c r="G16" t="s">
        <v>7249</v>
      </c>
      <c r="H16" t="s">
        <v>7237</v>
      </c>
      <c r="I16" t="s">
        <v>1880</v>
      </c>
      <c r="J16" t="s">
        <v>1712</v>
      </c>
      <c r="K16" t="s">
        <v>1712</v>
      </c>
      <c r="L16" t="s">
        <v>518</v>
      </c>
      <c r="M16" t="s">
        <v>1879</v>
      </c>
      <c r="N16" t="s">
        <v>535</v>
      </c>
      <c r="O16" s="73"/>
      <c r="P16" s="73"/>
      <c r="Q16" s="73"/>
      <c r="R16" s="73"/>
      <c r="S16" s="73"/>
      <c r="T16" s="73"/>
      <c r="U16" s="73"/>
      <c r="V16" s="73"/>
      <c r="W16" s="73"/>
      <c r="X16" s="140"/>
      <c r="Y16" s="140"/>
      <c r="Z16" s="73"/>
      <c r="AA16" s="73">
        <v>2</v>
      </c>
    </row>
    <row r="17" spans="1:27" ht="90">
      <c r="B17"/>
      <c r="C17"/>
      <c r="D17" t="s">
        <v>1874</v>
      </c>
      <c r="E17" t="s">
        <v>1877</v>
      </c>
      <c r="F17" t="s">
        <v>1456</v>
      </c>
      <c r="G17" t="s">
        <v>1878</v>
      </c>
      <c r="H17"/>
      <c r="I17"/>
      <c r="J17" t="s">
        <v>1712</v>
      </c>
      <c r="K17" t="s">
        <v>1712</v>
      </c>
      <c r="L17"/>
      <c r="M17"/>
      <c r="N17"/>
      <c r="O17" s="73"/>
      <c r="P17" s="73"/>
      <c r="Q17" s="73"/>
      <c r="R17" s="73"/>
      <c r="S17" s="73"/>
      <c r="T17" s="73"/>
      <c r="U17" s="73"/>
      <c r="V17" s="73"/>
      <c r="W17" s="73"/>
      <c r="X17" s="140" t="s">
        <v>563</v>
      </c>
      <c r="Y17" s="140" t="s">
        <v>7250</v>
      </c>
      <c r="Z17" s="73"/>
      <c r="AA17" s="73"/>
    </row>
    <row r="18" spans="1:27" ht="90">
      <c r="B18"/>
      <c r="C18"/>
      <c r="D18" t="s">
        <v>1874</v>
      </c>
      <c r="E18" t="s">
        <v>1885</v>
      </c>
      <c r="F18" t="s">
        <v>1886</v>
      </c>
      <c r="G18" t="s">
        <v>1887</v>
      </c>
      <c r="H18"/>
      <c r="I18"/>
      <c r="J18" t="s">
        <v>1712</v>
      </c>
      <c r="K18" t="s">
        <v>1712</v>
      </c>
      <c r="L18"/>
      <c r="M18"/>
      <c r="N18"/>
      <c r="O18" s="73"/>
      <c r="P18" s="73"/>
      <c r="Q18" s="73"/>
      <c r="R18" s="73"/>
      <c r="S18" s="73"/>
      <c r="T18" s="73"/>
      <c r="U18" s="73"/>
      <c r="V18" s="73"/>
      <c r="W18" s="73"/>
      <c r="X18" s="140" t="s">
        <v>563</v>
      </c>
      <c r="Y18" s="140" t="s">
        <v>7250</v>
      </c>
      <c r="Z18" s="73"/>
      <c r="AA18" s="73"/>
    </row>
    <row r="19" spans="1:27" ht="15">
      <c r="A19" s="96">
        <v>45243</v>
      </c>
      <c r="B19" t="s">
        <v>945</v>
      </c>
      <c r="C19" t="s">
        <v>670</v>
      </c>
      <c r="D19"/>
      <c r="E19" t="s">
        <v>7251</v>
      </c>
      <c r="F19"/>
      <c r="G19" t="s">
        <v>7252</v>
      </c>
      <c r="H19" t="s">
        <v>7237</v>
      </c>
      <c r="I19" t="s">
        <v>948</v>
      </c>
      <c r="J19" t="s">
        <v>811</v>
      </c>
      <c r="K19" t="s">
        <v>811</v>
      </c>
      <c r="L19" t="s">
        <v>518</v>
      </c>
      <c r="M19" t="s">
        <v>809</v>
      </c>
      <c r="N19" t="s">
        <v>535</v>
      </c>
      <c r="O19" s="73"/>
      <c r="P19" s="73"/>
      <c r="Q19" s="73"/>
      <c r="R19" s="73"/>
      <c r="S19" s="73"/>
      <c r="T19" s="73"/>
      <c r="U19" s="73"/>
      <c r="V19" s="73"/>
      <c r="W19" s="73"/>
      <c r="X19" s="140"/>
      <c r="Y19" s="140"/>
      <c r="Z19" s="73"/>
      <c r="AA19" s="73">
        <v>2</v>
      </c>
    </row>
    <row r="20" spans="1:27" ht="90">
      <c r="B20"/>
      <c r="C20"/>
      <c r="D20" t="s">
        <v>2769</v>
      </c>
      <c r="E20" t="s">
        <v>2771</v>
      </c>
      <c r="F20" t="s">
        <v>665</v>
      </c>
      <c r="G20" t="s">
        <v>2772</v>
      </c>
      <c r="H20"/>
      <c r="I20"/>
      <c r="J20" t="s">
        <v>811</v>
      </c>
      <c r="K20" t="s">
        <v>811</v>
      </c>
      <c r="L20"/>
      <c r="M20"/>
      <c r="N20"/>
      <c r="O20" s="73"/>
      <c r="P20" s="73"/>
      <c r="Q20" s="73"/>
      <c r="R20" s="73"/>
      <c r="S20" s="73"/>
      <c r="T20" s="73"/>
      <c r="U20" s="73"/>
      <c r="V20" s="73"/>
      <c r="W20" s="73"/>
      <c r="X20" s="140" t="s">
        <v>563</v>
      </c>
      <c r="Y20" s="140" t="s">
        <v>7250</v>
      </c>
      <c r="Z20" s="73"/>
      <c r="AA20" s="73"/>
    </row>
    <row r="21" spans="1:27" ht="90">
      <c r="B21"/>
      <c r="C21"/>
      <c r="D21" t="s">
        <v>1928</v>
      </c>
      <c r="E21" t="s">
        <v>1930</v>
      </c>
      <c r="F21" t="s">
        <v>1077</v>
      </c>
      <c r="G21" t="s">
        <v>704</v>
      </c>
      <c r="H21"/>
      <c r="I21"/>
      <c r="J21" t="s">
        <v>811</v>
      </c>
      <c r="K21" t="s">
        <v>811</v>
      </c>
      <c r="L21"/>
      <c r="M21"/>
      <c r="N21"/>
      <c r="O21" s="73"/>
      <c r="P21" s="73"/>
      <c r="Q21" s="73"/>
      <c r="R21" s="73"/>
      <c r="S21" s="73"/>
      <c r="T21" s="73"/>
      <c r="U21" s="73"/>
      <c r="V21" s="73"/>
      <c r="W21" s="73"/>
      <c r="X21" s="140" t="s">
        <v>563</v>
      </c>
      <c r="Y21" s="140" t="s">
        <v>7243</v>
      </c>
      <c r="Z21" s="73"/>
      <c r="AA21" s="73"/>
    </row>
    <row r="22" spans="1:27" ht="45">
      <c r="B22"/>
      <c r="C22"/>
      <c r="D22" t="s">
        <v>943</v>
      </c>
      <c r="E22" t="s">
        <v>946</v>
      </c>
      <c r="F22" t="s">
        <v>514</v>
      </c>
      <c r="G22" t="s">
        <v>947</v>
      </c>
      <c r="H22"/>
      <c r="I22"/>
      <c r="J22" t="s">
        <v>811</v>
      </c>
      <c r="K22" t="s">
        <v>811</v>
      </c>
      <c r="L22"/>
      <c r="M22"/>
      <c r="N22"/>
      <c r="O22" s="73"/>
      <c r="P22" s="73"/>
      <c r="Q22" s="73"/>
      <c r="R22" s="73"/>
      <c r="S22" s="73"/>
      <c r="T22" s="73"/>
      <c r="U22" s="73"/>
      <c r="V22" s="73"/>
      <c r="W22" s="73"/>
      <c r="X22" s="140" t="s">
        <v>563</v>
      </c>
      <c r="Y22" s="140" t="s">
        <v>7238</v>
      </c>
      <c r="Z22" s="73"/>
      <c r="AA22" s="73"/>
    </row>
    <row r="23" spans="1:27" ht="15">
      <c r="A23" s="96">
        <v>45243</v>
      </c>
      <c r="B23" t="s">
        <v>1865</v>
      </c>
      <c r="C23" t="s">
        <v>670</v>
      </c>
      <c r="D23"/>
      <c r="E23" t="s">
        <v>7253</v>
      </c>
      <c r="F23"/>
      <c r="G23" t="s">
        <v>1855</v>
      </c>
      <c r="H23" t="s">
        <v>7237</v>
      </c>
      <c r="I23" t="s">
        <v>1866</v>
      </c>
      <c r="J23" t="s">
        <v>1857</v>
      </c>
      <c r="K23" t="s">
        <v>1857</v>
      </c>
      <c r="L23" t="s">
        <v>518</v>
      </c>
      <c r="M23" t="s">
        <v>1856</v>
      </c>
      <c r="N23" t="s">
        <v>535</v>
      </c>
      <c r="O23" s="73"/>
      <c r="P23" s="73"/>
      <c r="Q23" s="73"/>
      <c r="R23" s="73"/>
      <c r="S23" s="73"/>
      <c r="T23" s="73"/>
      <c r="U23" s="73"/>
      <c r="V23" s="73"/>
      <c r="W23" s="73"/>
      <c r="X23" s="140"/>
      <c r="Y23" s="140"/>
      <c r="Z23" s="73"/>
      <c r="AA23" s="73">
        <v>2</v>
      </c>
    </row>
    <row r="24" spans="1:27" ht="90">
      <c r="B24"/>
      <c r="C24"/>
      <c r="D24" t="s">
        <v>1851</v>
      </c>
      <c r="E24" t="s">
        <v>1854</v>
      </c>
      <c r="F24" t="s">
        <v>958</v>
      </c>
      <c r="G24" t="s">
        <v>1855</v>
      </c>
      <c r="H24"/>
      <c r="I24"/>
      <c r="J24" t="s">
        <v>1857</v>
      </c>
      <c r="K24" t="s">
        <v>1857</v>
      </c>
      <c r="L24"/>
      <c r="M24"/>
      <c r="N24"/>
      <c r="O24" s="73"/>
      <c r="P24" s="73"/>
      <c r="Q24" s="73"/>
      <c r="R24" s="73"/>
      <c r="S24" s="73"/>
      <c r="T24" s="73"/>
      <c r="U24" s="73"/>
      <c r="V24" s="73"/>
      <c r="W24" s="73"/>
      <c r="X24" s="140" t="s">
        <v>563</v>
      </c>
      <c r="Y24" s="140" t="s">
        <v>7250</v>
      </c>
      <c r="Z24" s="73"/>
      <c r="AA24" s="73"/>
    </row>
    <row r="25" spans="1:27" ht="15">
      <c r="A25" s="96">
        <v>45243</v>
      </c>
      <c r="B25" t="s">
        <v>1757</v>
      </c>
      <c r="C25" t="s">
        <v>670</v>
      </c>
      <c r="D25"/>
      <c r="E25" t="s">
        <v>7254</v>
      </c>
      <c r="F25"/>
      <c r="G25" t="s">
        <v>1754</v>
      </c>
      <c r="H25" t="s">
        <v>7237</v>
      </c>
      <c r="I25" t="s">
        <v>1758</v>
      </c>
      <c r="J25" t="s">
        <v>524</v>
      </c>
      <c r="K25" t="s">
        <v>524</v>
      </c>
      <c r="L25" t="s">
        <v>518</v>
      </c>
      <c r="M25" t="s">
        <v>519</v>
      </c>
      <c r="N25" t="s">
        <v>520</v>
      </c>
      <c r="O25" s="73"/>
      <c r="P25" s="73"/>
      <c r="Q25" s="73"/>
      <c r="R25" s="73"/>
      <c r="S25" s="73"/>
      <c r="T25" s="73"/>
      <c r="U25" s="73"/>
      <c r="V25" s="73"/>
      <c r="W25" s="73"/>
      <c r="X25" s="140"/>
      <c r="Y25" s="140"/>
      <c r="Z25" s="73"/>
      <c r="AA25" s="73">
        <v>2</v>
      </c>
    </row>
    <row r="26" spans="1:27" ht="90">
      <c r="B26"/>
      <c r="C26"/>
      <c r="D26" t="s">
        <v>1744</v>
      </c>
      <c r="E26" t="s">
        <v>1753</v>
      </c>
      <c r="F26" t="s">
        <v>724</v>
      </c>
      <c r="G26" t="s">
        <v>1754</v>
      </c>
      <c r="H26"/>
      <c r="I26"/>
      <c r="J26" t="s">
        <v>524</v>
      </c>
      <c r="K26" t="s">
        <v>524</v>
      </c>
      <c r="L26"/>
      <c r="M26"/>
      <c r="N26"/>
      <c r="O26" s="73"/>
      <c r="P26" s="73"/>
      <c r="Q26" s="73"/>
      <c r="R26" s="73"/>
      <c r="S26" s="73"/>
      <c r="T26" s="73"/>
      <c r="U26" s="73"/>
      <c r="V26" s="73"/>
      <c r="W26" s="73"/>
      <c r="X26" s="140" t="s">
        <v>563</v>
      </c>
      <c r="Y26" s="140" t="s">
        <v>7250</v>
      </c>
      <c r="Z26" s="73"/>
      <c r="AA26" s="73"/>
    </row>
    <row r="27" spans="1:27" ht="15">
      <c r="A27" s="96">
        <v>45243</v>
      </c>
      <c r="B27" t="s">
        <v>2054</v>
      </c>
      <c r="C27" t="s">
        <v>670</v>
      </c>
      <c r="D27"/>
      <c r="E27" t="s">
        <v>7255</v>
      </c>
      <c r="F27"/>
      <c r="G27" t="s">
        <v>2056</v>
      </c>
      <c r="H27" t="s">
        <v>7256</v>
      </c>
      <c r="I27" t="s">
        <v>2057</v>
      </c>
      <c r="J27" t="s">
        <v>651</v>
      </c>
      <c r="K27" t="s">
        <v>651</v>
      </c>
      <c r="L27" t="s">
        <v>518</v>
      </c>
      <c r="M27" t="s">
        <v>649</v>
      </c>
      <c r="N27" t="s">
        <v>520</v>
      </c>
      <c r="O27" s="73"/>
      <c r="P27" s="73"/>
      <c r="Q27" s="73"/>
      <c r="R27" s="73"/>
      <c r="S27" s="73"/>
      <c r="T27" s="73"/>
      <c r="U27" s="73"/>
      <c r="V27" s="73"/>
      <c r="W27" s="73"/>
      <c r="X27" s="137"/>
      <c r="Y27" s="143"/>
      <c r="Z27" s="73"/>
      <c r="AA27" s="73">
        <v>2</v>
      </c>
    </row>
    <row r="28" spans="1:27" ht="30">
      <c r="B28"/>
      <c r="C28"/>
      <c r="D28" t="s">
        <v>2052</v>
      </c>
      <c r="E28" t="s">
        <v>2055</v>
      </c>
      <c r="F28" t="s">
        <v>665</v>
      </c>
      <c r="G28" t="s">
        <v>2056</v>
      </c>
      <c r="H28"/>
      <c r="I28"/>
      <c r="J28" t="s">
        <v>651</v>
      </c>
      <c r="K28" t="s">
        <v>651</v>
      </c>
      <c r="L28"/>
      <c r="M28"/>
      <c r="N28"/>
      <c r="O28" s="73"/>
      <c r="P28" s="73"/>
      <c r="Q28" s="73"/>
      <c r="R28" s="73"/>
      <c r="S28" s="73"/>
      <c r="T28" s="73"/>
      <c r="U28" s="73"/>
      <c r="V28" s="73"/>
      <c r="W28" s="73"/>
      <c r="X28" s="140" t="s">
        <v>563</v>
      </c>
      <c r="Y28" s="140" t="s">
        <v>7257</v>
      </c>
      <c r="Z28" s="73"/>
      <c r="AA28" s="73"/>
    </row>
    <row r="29" spans="1:27" ht="15">
      <c r="A29" s="96">
        <v>45243</v>
      </c>
      <c r="B29" t="s">
        <v>1655</v>
      </c>
      <c r="C29" t="s">
        <v>670</v>
      </c>
      <c r="D29"/>
      <c r="E29" t="s">
        <v>7258</v>
      </c>
      <c r="F29"/>
      <c r="G29" t="s">
        <v>888</v>
      </c>
      <c r="H29" t="s">
        <v>7256</v>
      </c>
      <c r="I29" t="s">
        <v>1657</v>
      </c>
      <c r="J29" t="s">
        <v>651</v>
      </c>
      <c r="K29" t="s">
        <v>651</v>
      </c>
      <c r="L29" t="s">
        <v>518</v>
      </c>
      <c r="M29" t="s">
        <v>1199</v>
      </c>
      <c r="N29" t="s">
        <v>520</v>
      </c>
      <c r="O29" s="73"/>
      <c r="P29" s="73"/>
      <c r="Q29" s="73"/>
      <c r="R29" s="73"/>
      <c r="S29" s="73"/>
      <c r="T29" s="73"/>
      <c r="U29" s="73"/>
      <c r="V29" s="73"/>
      <c r="W29" s="73"/>
      <c r="X29" s="137"/>
      <c r="Y29" s="140"/>
      <c r="Z29" s="73"/>
      <c r="AA29" s="73">
        <v>2</v>
      </c>
    </row>
    <row r="30" spans="1:27" ht="90">
      <c r="B30"/>
      <c r="C30"/>
      <c r="D30" t="s">
        <v>1632</v>
      </c>
      <c r="E30" t="s">
        <v>1656</v>
      </c>
      <c r="F30" t="s">
        <v>1077</v>
      </c>
      <c r="G30" t="s">
        <v>888</v>
      </c>
      <c r="H30"/>
      <c r="I30"/>
      <c r="J30" t="s">
        <v>651</v>
      </c>
      <c r="K30" t="s">
        <v>651</v>
      </c>
      <c r="L30"/>
      <c r="M30"/>
      <c r="N30"/>
      <c r="O30" s="73"/>
      <c r="P30" s="73"/>
      <c r="Q30" s="73"/>
      <c r="R30" s="73"/>
      <c r="S30" s="73"/>
      <c r="T30" s="73"/>
      <c r="U30" s="73"/>
      <c r="V30" s="73"/>
      <c r="W30" s="73"/>
      <c r="X30" s="140" t="s">
        <v>563</v>
      </c>
      <c r="Y30" s="140" t="s">
        <v>7259</v>
      </c>
      <c r="Z30" s="73"/>
      <c r="AA30" s="73"/>
    </row>
    <row r="31" spans="1:27" ht="15">
      <c r="A31" s="96">
        <v>45243</v>
      </c>
      <c r="B31" t="s">
        <v>2431</v>
      </c>
      <c r="C31" t="s">
        <v>670</v>
      </c>
      <c r="D31"/>
      <c r="E31" t="s">
        <v>7260</v>
      </c>
      <c r="F31"/>
      <c r="G31" t="s">
        <v>555</v>
      </c>
      <c r="H31" t="s">
        <v>7256</v>
      </c>
      <c r="I31" t="s">
        <v>2433</v>
      </c>
      <c r="J31" t="s">
        <v>628</v>
      </c>
      <c r="K31" t="s">
        <v>628</v>
      </c>
      <c r="L31" t="s">
        <v>518</v>
      </c>
      <c r="M31" t="s">
        <v>625</v>
      </c>
      <c r="N31" t="s">
        <v>535</v>
      </c>
      <c r="O31" s="73"/>
      <c r="P31" s="73"/>
      <c r="Q31" s="73"/>
      <c r="R31" s="73"/>
      <c r="S31" s="73"/>
      <c r="T31" s="73"/>
      <c r="U31" s="73"/>
      <c r="V31" s="73"/>
      <c r="W31" s="73"/>
      <c r="X31" s="140"/>
      <c r="Y31" s="140"/>
      <c r="Z31" s="73"/>
      <c r="AA31" s="73">
        <v>2</v>
      </c>
    </row>
    <row r="32" spans="1:27" ht="90">
      <c r="B32"/>
      <c r="C32"/>
      <c r="D32" t="s">
        <v>2429</v>
      </c>
      <c r="E32" t="s">
        <v>2432</v>
      </c>
      <c r="F32" t="s">
        <v>724</v>
      </c>
      <c r="G32" t="s">
        <v>555</v>
      </c>
      <c r="H32"/>
      <c r="I32"/>
      <c r="J32" t="s">
        <v>628</v>
      </c>
      <c r="K32" t="s">
        <v>628</v>
      </c>
      <c r="L32"/>
      <c r="M32"/>
      <c r="N32"/>
      <c r="O32" s="73"/>
      <c r="P32" s="73"/>
      <c r="Q32" s="73"/>
      <c r="R32" s="73"/>
      <c r="S32" s="73"/>
      <c r="T32" s="73"/>
      <c r="U32" s="73"/>
      <c r="V32" s="73"/>
      <c r="W32" s="73"/>
      <c r="X32" s="140" t="s">
        <v>563</v>
      </c>
      <c r="Y32" s="140" t="s">
        <v>7261</v>
      </c>
      <c r="Z32" s="73"/>
      <c r="AA32" s="73"/>
    </row>
    <row r="33" spans="1:27" ht="15">
      <c r="A33" s="96">
        <v>45243</v>
      </c>
      <c r="B33" t="s">
        <v>2546</v>
      </c>
      <c r="C33" t="s">
        <v>670</v>
      </c>
      <c r="D33"/>
      <c r="E33" t="s">
        <v>7236</v>
      </c>
      <c r="F33"/>
      <c r="G33" t="s">
        <v>2543</v>
      </c>
      <c r="H33" t="s">
        <v>7262</v>
      </c>
      <c r="I33" t="s">
        <v>2547</v>
      </c>
      <c r="J33" t="s">
        <v>776</v>
      </c>
      <c r="K33" t="s">
        <v>776</v>
      </c>
      <c r="L33" t="s">
        <v>518</v>
      </c>
      <c r="M33" t="s">
        <v>774</v>
      </c>
      <c r="N33" t="s">
        <v>535</v>
      </c>
      <c r="O33" s="73"/>
      <c r="P33" s="73"/>
      <c r="Q33" s="73"/>
      <c r="R33" s="73"/>
      <c r="S33" s="73"/>
      <c r="T33" s="73"/>
      <c r="U33" s="73"/>
      <c r="V33" s="73"/>
      <c r="W33" s="73"/>
      <c r="X33" s="140"/>
      <c r="Y33" s="140"/>
      <c r="Z33" s="73"/>
      <c r="AA33" s="73">
        <v>2</v>
      </c>
    </row>
    <row r="34" spans="1:27" ht="30">
      <c r="B34"/>
      <c r="C34"/>
      <c r="D34" t="s">
        <v>2539</v>
      </c>
      <c r="E34" t="s">
        <v>2542</v>
      </c>
      <c r="F34" t="s">
        <v>514</v>
      </c>
      <c r="G34" t="s">
        <v>2543</v>
      </c>
      <c r="H34"/>
      <c r="I34"/>
      <c r="J34" t="s">
        <v>776</v>
      </c>
      <c r="K34" t="s">
        <v>776</v>
      </c>
      <c r="L34"/>
      <c r="M34"/>
      <c r="N34"/>
      <c r="O34" s="73"/>
      <c r="P34" s="73"/>
      <c r="Q34" s="73"/>
      <c r="R34" s="73"/>
      <c r="S34" s="73"/>
      <c r="T34" s="73"/>
      <c r="U34" s="73"/>
      <c r="V34" s="73"/>
      <c r="W34" s="73"/>
      <c r="X34" s="140" t="s">
        <v>563</v>
      </c>
      <c r="Y34" s="140" t="s">
        <v>7263</v>
      </c>
      <c r="Z34" s="73"/>
      <c r="AA34" s="73"/>
    </row>
    <row r="35" spans="1:27" ht="15">
      <c r="A35" s="96">
        <v>45243</v>
      </c>
      <c r="B35" t="s">
        <v>792</v>
      </c>
      <c r="C35" t="s">
        <v>670</v>
      </c>
      <c r="D35"/>
      <c r="E35" t="s">
        <v>7264</v>
      </c>
      <c r="F35"/>
      <c r="G35" t="s">
        <v>7265</v>
      </c>
      <c r="H35" t="s">
        <v>7262</v>
      </c>
      <c r="I35" t="s">
        <v>796</v>
      </c>
      <c r="J35" t="s">
        <v>776</v>
      </c>
      <c r="K35" t="s">
        <v>776</v>
      </c>
      <c r="L35" t="s">
        <v>518</v>
      </c>
      <c r="M35" t="s">
        <v>774</v>
      </c>
      <c r="N35" t="s">
        <v>605</v>
      </c>
      <c r="O35" s="73"/>
      <c r="P35" s="73"/>
      <c r="Q35" s="73"/>
      <c r="R35" s="73"/>
      <c r="S35" s="73"/>
      <c r="T35" s="73"/>
      <c r="U35" s="73"/>
      <c r="V35" s="73"/>
      <c r="W35" s="73"/>
      <c r="X35" s="140"/>
      <c r="Y35" s="140"/>
      <c r="Z35" s="73"/>
      <c r="AA35" s="73">
        <v>2</v>
      </c>
    </row>
    <row r="36" spans="1:27" ht="30">
      <c r="B36"/>
      <c r="C36"/>
      <c r="D36" t="s">
        <v>1593</v>
      </c>
      <c r="E36" t="s">
        <v>1595</v>
      </c>
      <c r="F36" t="s">
        <v>1456</v>
      </c>
      <c r="G36" t="s">
        <v>1596</v>
      </c>
      <c r="H36"/>
      <c r="I36"/>
      <c r="J36" t="s">
        <v>776</v>
      </c>
      <c r="K36" t="s">
        <v>776</v>
      </c>
      <c r="L36"/>
      <c r="M36"/>
      <c r="N36"/>
      <c r="O36" s="73"/>
      <c r="P36" s="73"/>
      <c r="Q36" s="73"/>
      <c r="R36" s="73"/>
      <c r="S36" s="73"/>
      <c r="T36" s="73"/>
      <c r="U36" s="73"/>
      <c r="V36" s="73"/>
      <c r="W36" s="73"/>
      <c r="X36" s="140" t="s">
        <v>563</v>
      </c>
      <c r="Y36" s="140" t="s">
        <v>7266</v>
      </c>
      <c r="Z36" s="73"/>
      <c r="AA36" s="73"/>
    </row>
    <row r="37" spans="1:27" ht="15">
      <c r="B37"/>
      <c r="C37"/>
      <c r="D37" t="s">
        <v>790</v>
      </c>
      <c r="E37" t="s">
        <v>793</v>
      </c>
      <c r="F37" t="s">
        <v>514</v>
      </c>
      <c r="G37" t="s">
        <v>794</v>
      </c>
      <c r="H37"/>
      <c r="I37"/>
      <c r="J37" t="s">
        <v>776</v>
      </c>
      <c r="K37" t="s">
        <v>776</v>
      </c>
      <c r="L37"/>
      <c r="M37"/>
      <c r="N37"/>
      <c r="O37" s="73"/>
      <c r="P37" s="73"/>
      <c r="Q37" s="73"/>
      <c r="R37" s="73"/>
      <c r="S37" s="73"/>
      <c r="T37" s="73"/>
      <c r="U37" s="73"/>
      <c r="V37" s="73"/>
      <c r="W37" s="73"/>
      <c r="X37" s="140" t="s">
        <v>526</v>
      </c>
      <c r="Y37" s="140"/>
      <c r="Z37" s="73"/>
      <c r="AA37" s="73"/>
    </row>
    <row r="38" spans="1:27" ht="30">
      <c r="B38"/>
      <c r="C38"/>
      <c r="D38" t="s">
        <v>2423</v>
      </c>
      <c r="E38" t="s">
        <v>2428</v>
      </c>
      <c r="F38" t="s">
        <v>514</v>
      </c>
      <c r="G38" t="s">
        <v>1957</v>
      </c>
      <c r="H38"/>
      <c r="I38"/>
      <c r="J38" t="s">
        <v>776</v>
      </c>
      <c r="K38" t="s">
        <v>776</v>
      </c>
      <c r="L38"/>
      <c r="M38"/>
      <c r="N38"/>
      <c r="O38" s="73"/>
      <c r="P38" s="73"/>
      <c r="Q38" s="73"/>
      <c r="R38" s="73"/>
      <c r="S38" s="73"/>
      <c r="T38" s="73"/>
      <c r="U38" s="73"/>
      <c r="V38" s="73"/>
      <c r="W38" s="73"/>
      <c r="X38" s="140" t="s">
        <v>563</v>
      </c>
      <c r="Y38" s="140" t="s">
        <v>7267</v>
      </c>
      <c r="Z38" s="73"/>
      <c r="AA38" s="73"/>
    </row>
    <row r="39" spans="1:27" ht="15">
      <c r="A39" s="96">
        <v>45243</v>
      </c>
      <c r="B39" t="s">
        <v>1641</v>
      </c>
      <c r="C39" t="s">
        <v>670</v>
      </c>
      <c r="D39"/>
      <c r="E39" t="s">
        <v>7268</v>
      </c>
      <c r="F39"/>
      <c r="G39" t="s">
        <v>1643</v>
      </c>
      <c r="H39" t="s">
        <v>7262</v>
      </c>
      <c r="I39" t="s">
        <v>1644</v>
      </c>
      <c r="J39" t="s">
        <v>651</v>
      </c>
      <c r="K39" t="s">
        <v>651</v>
      </c>
      <c r="L39" t="s">
        <v>518</v>
      </c>
      <c r="M39" t="s">
        <v>1199</v>
      </c>
      <c r="N39" t="s">
        <v>520</v>
      </c>
      <c r="O39" s="73"/>
      <c r="P39" s="73"/>
      <c r="Q39" s="73"/>
      <c r="R39" s="73"/>
      <c r="S39" s="73"/>
      <c r="T39" s="73"/>
      <c r="U39" s="73"/>
      <c r="V39" s="73"/>
      <c r="W39" s="73"/>
      <c r="X39" s="140"/>
      <c r="Y39" s="140"/>
      <c r="Z39" s="73"/>
      <c r="AA39" s="73">
        <v>2</v>
      </c>
    </row>
    <row r="40" spans="1:27" ht="15">
      <c r="B40"/>
      <c r="C40"/>
      <c r="D40" t="s">
        <v>1632</v>
      </c>
      <c r="E40" t="s">
        <v>1642</v>
      </c>
      <c r="F40" t="s">
        <v>1077</v>
      </c>
      <c r="G40" t="s">
        <v>1643</v>
      </c>
      <c r="H40"/>
      <c r="I40"/>
      <c r="J40" t="s">
        <v>651</v>
      </c>
      <c r="K40" t="s">
        <v>651</v>
      </c>
      <c r="L40"/>
      <c r="M40"/>
      <c r="N40"/>
      <c r="O40" s="73"/>
      <c r="P40" s="73"/>
      <c r="Q40" s="73"/>
      <c r="R40" s="73"/>
      <c r="S40" s="73"/>
      <c r="T40" s="73"/>
      <c r="U40" s="73"/>
      <c r="V40" s="73"/>
      <c r="W40" s="73"/>
      <c r="X40" s="140" t="s">
        <v>526</v>
      </c>
      <c r="Y40" s="140"/>
      <c r="Z40" s="73"/>
      <c r="AA40" s="73"/>
    </row>
    <row r="41" spans="1:27" ht="15">
      <c r="A41" s="96">
        <v>45243</v>
      </c>
      <c r="B41" t="s">
        <v>1648</v>
      </c>
      <c r="C41" t="s">
        <v>670</v>
      </c>
      <c r="D41"/>
      <c r="E41" t="s">
        <v>1086</v>
      </c>
      <c r="F41"/>
      <c r="G41" t="s">
        <v>1650</v>
      </c>
      <c r="H41" t="s">
        <v>7262</v>
      </c>
      <c r="I41" t="s">
        <v>1651</v>
      </c>
      <c r="J41" t="s">
        <v>651</v>
      </c>
      <c r="K41" t="s">
        <v>651</v>
      </c>
      <c r="L41" t="s">
        <v>518</v>
      </c>
      <c r="M41" t="s">
        <v>1199</v>
      </c>
      <c r="N41" t="s">
        <v>520</v>
      </c>
      <c r="O41" s="73"/>
      <c r="P41" s="73"/>
      <c r="Q41" s="73"/>
      <c r="R41" s="73"/>
      <c r="S41" s="73"/>
      <c r="T41" s="73"/>
      <c r="U41" s="73"/>
      <c r="V41" s="73"/>
      <c r="W41" s="73"/>
      <c r="X41" s="140"/>
      <c r="Y41" s="140"/>
      <c r="Z41" s="73"/>
      <c r="AA41" s="73">
        <v>2</v>
      </c>
    </row>
    <row r="42" spans="1:27" ht="15">
      <c r="B42"/>
      <c r="C42"/>
      <c r="D42" t="s">
        <v>1632</v>
      </c>
      <c r="E42" t="s">
        <v>1649</v>
      </c>
      <c r="F42" t="s">
        <v>1077</v>
      </c>
      <c r="G42" t="s">
        <v>1650</v>
      </c>
      <c r="H42"/>
      <c r="I42"/>
      <c r="J42" t="s">
        <v>651</v>
      </c>
      <c r="K42" t="s">
        <v>651</v>
      </c>
      <c r="L42"/>
      <c r="M42"/>
      <c r="N42"/>
      <c r="O42" s="73"/>
      <c r="P42" s="73"/>
      <c r="Q42" s="73"/>
      <c r="R42" s="73"/>
      <c r="S42" s="73"/>
      <c r="T42" s="73"/>
      <c r="U42" s="73"/>
      <c r="V42" s="73"/>
      <c r="W42" s="73"/>
      <c r="X42" s="140" t="s">
        <v>526</v>
      </c>
      <c r="Y42" s="140"/>
      <c r="Z42" s="73"/>
      <c r="AA42" s="73"/>
    </row>
    <row r="43" spans="1:27" ht="15">
      <c r="A43" s="96">
        <v>45243</v>
      </c>
      <c r="B43" t="s">
        <v>2817</v>
      </c>
      <c r="C43" t="s">
        <v>670</v>
      </c>
      <c r="D43"/>
      <c r="E43" t="s">
        <v>7239</v>
      </c>
      <c r="F43"/>
      <c r="G43" t="s">
        <v>2814</v>
      </c>
      <c r="H43" t="s">
        <v>7262</v>
      </c>
      <c r="I43" t="s">
        <v>2818</v>
      </c>
      <c r="J43" t="s">
        <v>607</v>
      </c>
      <c r="K43" t="s">
        <v>607</v>
      </c>
      <c r="L43" t="s">
        <v>518</v>
      </c>
      <c r="M43" t="s">
        <v>2234</v>
      </c>
      <c r="N43" t="s">
        <v>520</v>
      </c>
      <c r="O43" s="73"/>
      <c r="P43" s="73"/>
      <c r="Q43" s="73"/>
      <c r="R43" s="73"/>
      <c r="S43" s="73"/>
      <c r="T43" s="73"/>
      <c r="U43" s="73"/>
      <c r="V43" s="73"/>
      <c r="W43" s="73"/>
      <c r="X43" s="140"/>
      <c r="Y43" s="140"/>
      <c r="Z43" s="73"/>
      <c r="AA43" s="73">
        <v>2</v>
      </c>
    </row>
    <row r="44" spans="1:27" ht="30">
      <c r="B44"/>
      <c r="C44"/>
      <c r="D44" t="s">
        <v>2810</v>
      </c>
      <c r="E44" t="s">
        <v>2813</v>
      </c>
      <c r="F44" t="s">
        <v>1077</v>
      </c>
      <c r="G44" t="s">
        <v>2814</v>
      </c>
      <c r="H44"/>
      <c r="I44"/>
      <c r="J44" t="s">
        <v>607</v>
      </c>
      <c r="K44" t="s">
        <v>607</v>
      </c>
      <c r="L44"/>
      <c r="M44"/>
      <c r="N44"/>
      <c r="O44" s="73"/>
      <c r="P44" s="73"/>
      <c r="Q44" s="73"/>
      <c r="R44" s="73"/>
      <c r="S44" s="73"/>
      <c r="T44" s="73"/>
      <c r="U44" s="73"/>
      <c r="V44" s="73"/>
      <c r="W44" s="73"/>
      <c r="X44" s="140" t="s">
        <v>563</v>
      </c>
      <c r="Y44" s="140" t="s">
        <v>7263</v>
      </c>
      <c r="Z44" s="73"/>
      <c r="AA44" s="73"/>
    </row>
    <row r="45" spans="1:27" ht="15">
      <c r="A45" s="96">
        <v>45243</v>
      </c>
      <c r="B45" t="s">
        <v>2028</v>
      </c>
      <c r="C45" t="s">
        <v>670</v>
      </c>
      <c r="D45"/>
      <c r="E45" t="s">
        <v>7269</v>
      </c>
      <c r="F45"/>
      <c r="G45" t="s">
        <v>2031</v>
      </c>
      <c r="H45" t="s">
        <v>7262</v>
      </c>
      <c r="I45" t="s">
        <v>2032</v>
      </c>
      <c r="J45" t="s">
        <v>1494</v>
      </c>
      <c r="K45" t="s">
        <v>1494</v>
      </c>
      <c r="L45" t="s">
        <v>518</v>
      </c>
      <c r="M45" t="s">
        <v>1491</v>
      </c>
      <c r="N45" t="s">
        <v>520</v>
      </c>
      <c r="O45" s="73"/>
      <c r="P45" s="73"/>
      <c r="Q45" s="73"/>
      <c r="R45" s="73"/>
      <c r="S45" s="73"/>
      <c r="T45" s="73"/>
      <c r="U45" s="73"/>
      <c r="V45" s="73"/>
      <c r="W45" s="73"/>
      <c r="X45" s="140"/>
      <c r="Y45" s="140"/>
      <c r="Z45" s="73"/>
      <c r="AA45" s="73">
        <v>2</v>
      </c>
    </row>
    <row r="46" spans="1:27" ht="45">
      <c r="B46"/>
      <c r="C46"/>
      <c r="D46" t="s">
        <v>2026</v>
      </c>
      <c r="E46" t="s">
        <v>2029</v>
      </c>
      <c r="F46" t="s">
        <v>2030</v>
      </c>
      <c r="G46" t="s">
        <v>2031</v>
      </c>
      <c r="H46"/>
      <c r="I46"/>
      <c r="J46" t="s">
        <v>1494</v>
      </c>
      <c r="K46" t="s">
        <v>1494</v>
      </c>
      <c r="L46"/>
      <c r="M46"/>
      <c r="N46"/>
      <c r="O46" s="73"/>
      <c r="P46" s="73"/>
      <c r="Q46" s="73"/>
      <c r="R46" s="73"/>
      <c r="S46" s="73"/>
      <c r="T46" s="73"/>
      <c r="U46" s="73"/>
      <c r="V46" s="73"/>
      <c r="W46" s="73"/>
      <c r="X46" s="140" t="s">
        <v>563</v>
      </c>
      <c r="Y46" s="140" t="s">
        <v>7270</v>
      </c>
      <c r="Z46" s="73"/>
      <c r="AA46" s="73"/>
    </row>
    <row r="47" spans="1:27" ht="15">
      <c r="A47" s="96">
        <v>45243</v>
      </c>
      <c r="B47" t="s">
        <v>926</v>
      </c>
      <c r="C47" t="s">
        <v>670</v>
      </c>
      <c r="D47"/>
      <c r="E47" t="s">
        <v>7271</v>
      </c>
      <c r="F47"/>
      <c r="G47" t="s">
        <v>7272</v>
      </c>
      <c r="H47" t="s">
        <v>7262</v>
      </c>
      <c r="I47" t="s">
        <v>929</v>
      </c>
      <c r="J47" t="s">
        <v>811</v>
      </c>
      <c r="K47" t="s">
        <v>811</v>
      </c>
      <c r="L47" t="s">
        <v>518</v>
      </c>
      <c r="M47" t="s">
        <v>809</v>
      </c>
      <c r="N47" t="s">
        <v>535</v>
      </c>
      <c r="O47" s="73"/>
      <c r="P47" s="73"/>
      <c r="Q47" s="73"/>
      <c r="R47" s="73"/>
      <c r="S47" s="73"/>
      <c r="T47" s="73"/>
      <c r="U47" s="73"/>
      <c r="V47" s="73"/>
      <c r="W47" s="73"/>
      <c r="X47" s="140"/>
      <c r="Y47" s="140"/>
      <c r="Z47" s="73"/>
      <c r="AA47" s="73">
        <v>2</v>
      </c>
    </row>
    <row r="48" spans="1:27" ht="30">
      <c r="B48"/>
      <c r="C48"/>
      <c r="D48" t="s">
        <v>924</v>
      </c>
      <c r="E48" t="s">
        <v>927</v>
      </c>
      <c r="F48" t="s">
        <v>514</v>
      </c>
      <c r="G48" t="s">
        <v>904</v>
      </c>
      <c r="H48"/>
      <c r="I48"/>
      <c r="J48" t="s">
        <v>811</v>
      </c>
      <c r="K48" t="s">
        <v>811</v>
      </c>
      <c r="L48"/>
      <c r="M48"/>
      <c r="N48"/>
      <c r="O48" s="73"/>
      <c r="P48" s="73"/>
      <c r="Q48" s="73"/>
      <c r="R48" s="73"/>
      <c r="S48" s="73"/>
      <c r="T48" s="73"/>
      <c r="U48" s="73"/>
      <c r="V48" s="73"/>
      <c r="W48" s="73"/>
      <c r="X48" s="140" t="s">
        <v>563</v>
      </c>
      <c r="Y48" s="140" t="s">
        <v>7273</v>
      </c>
      <c r="Z48" s="73"/>
      <c r="AA48" s="73"/>
    </row>
    <row r="49" spans="1:27" ht="15">
      <c r="B49"/>
      <c r="C49"/>
      <c r="D49" t="s">
        <v>2548</v>
      </c>
      <c r="E49" t="s">
        <v>2550</v>
      </c>
      <c r="F49" t="s">
        <v>514</v>
      </c>
      <c r="G49" t="s">
        <v>1171</v>
      </c>
      <c r="H49"/>
      <c r="I49"/>
      <c r="J49" t="s">
        <v>811</v>
      </c>
      <c r="K49" t="s">
        <v>811</v>
      </c>
      <c r="L49"/>
      <c r="M49"/>
      <c r="N49"/>
      <c r="O49" s="73"/>
      <c r="P49" s="73"/>
      <c r="Q49" s="73"/>
      <c r="R49" s="73"/>
      <c r="S49" s="73"/>
      <c r="T49" s="73"/>
      <c r="U49" s="73"/>
      <c r="V49" s="73"/>
      <c r="W49" s="73"/>
      <c r="X49" s="140" t="s">
        <v>526</v>
      </c>
      <c r="Y49" s="140"/>
      <c r="Z49" s="73"/>
      <c r="AA49" s="73"/>
    </row>
    <row r="50" spans="1:27" ht="45">
      <c r="B50"/>
      <c r="C50"/>
      <c r="D50" t="s">
        <v>1288</v>
      </c>
      <c r="E50" t="s">
        <v>1290</v>
      </c>
      <c r="F50" t="s">
        <v>514</v>
      </c>
      <c r="G50" t="s">
        <v>1291</v>
      </c>
      <c r="H50"/>
      <c r="I50"/>
      <c r="J50" t="s">
        <v>811</v>
      </c>
      <c r="K50" t="s">
        <v>811</v>
      </c>
      <c r="L50"/>
      <c r="M50"/>
      <c r="N50"/>
      <c r="O50" s="73"/>
      <c r="P50" s="73"/>
      <c r="Q50" s="73"/>
      <c r="R50" s="73"/>
      <c r="S50" s="73"/>
      <c r="T50" s="73"/>
      <c r="U50" s="73"/>
      <c r="V50" s="73"/>
      <c r="W50" s="73"/>
      <c r="X50" s="140" t="s">
        <v>563</v>
      </c>
      <c r="Y50" s="140" t="s">
        <v>7270</v>
      </c>
      <c r="Z50" s="73"/>
      <c r="AA50" s="73"/>
    </row>
    <row r="51" spans="1:27" ht="15">
      <c r="B51"/>
      <c r="C51"/>
      <c r="D51" t="s">
        <v>994</v>
      </c>
      <c r="E51" t="s">
        <v>997</v>
      </c>
      <c r="F51" t="s">
        <v>665</v>
      </c>
      <c r="G51" t="s">
        <v>998</v>
      </c>
      <c r="H51"/>
      <c r="I51"/>
      <c r="J51" t="s">
        <v>811</v>
      </c>
      <c r="K51" t="s">
        <v>811</v>
      </c>
      <c r="L51"/>
      <c r="M51"/>
      <c r="N51"/>
      <c r="O51" s="73"/>
      <c r="P51" s="73"/>
      <c r="Q51" s="73"/>
      <c r="R51" s="73"/>
      <c r="S51" s="73"/>
      <c r="T51" s="73"/>
      <c r="U51" s="73"/>
      <c r="V51" s="73"/>
      <c r="W51" s="73"/>
      <c r="X51" s="140" t="s">
        <v>526</v>
      </c>
      <c r="Y51" s="140"/>
      <c r="Z51" s="73"/>
      <c r="AA51" s="73"/>
    </row>
    <row r="52" spans="1:27" ht="30">
      <c r="B52"/>
      <c r="C52"/>
      <c r="D52" t="s">
        <v>1893</v>
      </c>
      <c r="E52" t="s">
        <v>1895</v>
      </c>
      <c r="F52" t="s">
        <v>514</v>
      </c>
      <c r="G52" t="s">
        <v>1896</v>
      </c>
      <c r="H52"/>
      <c r="I52"/>
      <c r="J52" t="s">
        <v>811</v>
      </c>
      <c r="K52" t="s">
        <v>1897</v>
      </c>
      <c r="L52"/>
      <c r="M52"/>
      <c r="N52"/>
      <c r="O52" s="73"/>
      <c r="P52" s="73"/>
      <c r="Q52" s="73"/>
      <c r="R52" s="73"/>
      <c r="S52" s="73"/>
      <c r="T52" s="73"/>
      <c r="U52" s="73"/>
      <c r="V52" s="73"/>
      <c r="W52" s="73"/>
      <c r="X52" s="140" t="s">
        <v>563</v>
      </c>
      <c r="Y52" s="140" t="s">
        <v>7273</v>
      </c>
      <c r="Z52" s="73"/>
      <c r="AA52" s="73"/>
    </row>
    <row r="53" spans="1:27" ht="15">
      <c r="A53" s="96">
        <v>45243</v>
      </c>
      <c r="B53" t="s">
        <v>2447</v>
      </c>
      <c r="C53" t="s">
        <v>670</v>
      </c>
      <c r="D53"/>
      <c r="E53" t="s">
        <v>7274</v>
      </c>
      <c r="F53"/>
      <c r="G53" t="s">
        <v>2449</v>
      </c>
      <c r="H53" t="s">
        <v>7262</v>
      </c>
      <c r="I53" t="s">
        <v>2450</v>
      </c>
      <c r="J53" t="s">
        <v>607</v>
      </c>
      <c r="K53" t="s">
        <v>607</v>
      </c>
      <c r="L53" t="s">
        <v>682</v>
      </c>
      <c r="M53" t="s">
        <v>2443</v>
      </c>
      <c r="N53" t="s">
        <v>535</v>
      </c>
      <c r="O53" s="73"/>
      <c r="P53" s="73"/>
      <c r="Q53" s="73"/>
      <c r="R53" s="73"/>
      <c r="S53" s="73"/>
      <c r="T53" s="73"/>
      <c r="U53" s="73"/>
      <c r="V53" s="73"/>
      <c r="W53" s="73"/>
      <c r="X53" s="137"/>
      <c r="Y53" s="143"/>
      <c r="Z53" s="73"/>
      <c r="AA53" s="73">
        <v>2</v>
      </c>
    </row>
    <row r="54" spans="1:27" ht="39">
      <c r="B54"/>
      <c r="C54"/>
      <c r="D54" t="s">
        <v>2438</v>
      </c>
      <c r="E54" t="s">
        <v>2448</v>
      </c>
      <c r="F54" t="s">
        <v>665</v>
      </c>
      <c r="G54" t="s">
        <v>2449</v>
      </c>
      <c r="H54"/>
      <c r="I54"/>
      <c r="J54" t="s">
        <v>607</v>
      </c>
      <c r="K54" t="s">
        <v>607</v>
      </c>
      <c r="L54"/>
      <c r="M54"/>
      <c r="N54"/>
      <c r="O54" s="73"/>
      <c r="P54" s="73"/>
      <c r="Q54" s="73"/>
      <c r="R54" s="73"/>
      <c r="S54" s="73"/>
      <c r="T54" s="73"/>
      <c r="U54" s="73"/>
      <c r="V54" s="73"/>
      <c r="W54" s="73"/>
      <c r="X54" s="137" t="s">
        <v>563</v>
      </c>
      <c r="Y54" s="143" t="s">
        <v>7238</v>
      </c>
      <c r="Z54" s="73"/>
      <c r="AA54" s="73"/>
    </row>
    <row r="55" spans="1:27" ht="15">
      <c r="A55" s="96">
        <v>45243</v>
      </c>
      <c r="B55" t="s">
        <v>1853</v>
      </c>
      <c r="C55" t="s">
        <v>670</v>
      </c>
      <c r="D55"/>
      <c r="E55" t="s">
        <v>7253</v>
      </c>
      <c r="F55"/>
      <c r="G55" t="s">
        <v>1855</v>
      </c>
      <c r="H55" t="s">
        <v>7262</v>
      </c>
      <c r="I55" t="s">
        <v>1858</v>
      </c>
      <c r="J55" t="s">
        <v>1857</v>
      </c>
      <c r="K55" t="s">
        <v>1857</v>
      </c>
      <c r="L55" t="s">
        <v>518</v>
      </c>
      <c r="M55" t="s">
        <v>1856</v>
      </c>
      <c r="N55" t="s">
        <v>535</v>
      </c>
      <c r="O55" s="73"/>
      <c r="P55" s="73"/>
      <c r="Q55" s="73"/>
      <c r="R55" s="73"/>
      <c r="S55" s="73"/>
      <c r="T55" s="73"/>
      <c r="U55" s="73"/>
      <c r="V55" s="73"/>
      <c r="W55" s="73"/>
      <c r="X55" s="137"/>
      <c r="Y55" s="143"/>
      <c r="Z55" s="73"/>
      <c r="AA55" s="73">
        <v>2</v>
      </c>
    </row>
    <row r="56" spans="1:27" ht="90">
      <c r="B56"/>
      <c r="C56"/>
      <c r="D56" t="s">
        <v>1851</v>
      </c>
      <c r="E56" t="s">
        <v>1854</v>
      </c>
      <c r="F56" t="s">
        <v>958</v>
      </c>
      <c r="G56" t="s">
        <v>1855</v>
      </c>
      <c r="H56"/>
      <c r="I56"/>
      <c r="J56" t="s">
        <v>1857</v>
      </c>
      <c r="K56" t="s">
        <v>1857</v>
      </c>
      <c r="L56"/>
      <c r="M56"/>
      <c r="N56"/>
      <c r="O56" s="73"/>
      <c r="P56" s="73"/>
      <c r="Q56" s="73"/>
      <c r="R56" s="73"/>
      <c r="S56" s="73"/>
      <c r="T56" s="73"/>
      <c r="U56" s="73"/>
      <c r="V56" s="73"/>
      <c r="W56" s="73"/>
      <c r="X56" s="137" t="s">
        <v>563</v>
      </c>
      <c r="Y56" s="143" t="s">
        <v>7275</v>
      </c>
      <c r="Z56" s="73"/>
      <c r="AA56" s="73"/>
    </row>
    <row r="57" spans="1:27" ht="15">
      <c r="A57" s="96">
        <v>45243</v>
      </c>
      <c r="B57" t="s">
        <v>1746</v>
      </c>
      <c r="C57" t="s">
        <v>670</v>
      </c>
      <c r="D57"/>
      <c r="E57" t="s">
        <v>7276</v>
      </c>
      <c r="F57"/>
      <c r="G57" t="s">
        <v>1748</v>
      </c>
      <c r="H57" t="s">
        <v>7262</v>
      </c>
      <c r="I57" t="s">
        <v>1750</v>
      </c>
      <c r="J57" t="s">
        <v>524</v>
      </c>
      <c r="K57" t="s">
        <v>524</v>
      </c>
      <c r="L57" t="s">
        <v>518</v>
      </c>
      <c r="M57" t="s">
        <v>519</v>
      </c>
      <c r="N57" t="s">
        <v>520</v>
      </c>
      <c r="O57" s="73"/>
      <c r="P57" s="73"/>
      <c r="Q57" s="73"/>
      <c r="R57" s="73"/>
      <c r="S57" s="73"/>
      <c r="T57" s="73"/>
      <c r="U57" s="73"/>
      <c r="V57" s="73"/>
      <c r="W57" s="73"/>
      <c r="X57" s="137"/>
      <c r="Y57" s="143"/>
      <c r="Z57" s="73"/>
      <c r="AA57" s="73">
        <v>2</v>
      </c>
    </row>
    <row r="58" spans="1:27" ht="90">
      <c r="B58"/>
      <c r="C58"/>
      <c r="D58" t="s">
        <v>1744</v>
      </c>
      <c r="E58" t="s">
        <v>1747</v>
      </c>
      <c r="F58" t="s">
        <v>1077</v>
      </c>
      <c r="G58" t="s">
        <v>1748</v>
      </c>
      <c r="H58"/>
      <c r="I58"/>
      <c r="J58" t="s">
        <v>524</v>
      </c>
      <c r="K58" t="s">
        <v>524</v>
      </c>
      <c r="L58"/>
      <c r="M58"/>
      <c r="N58"/>
      <c r="O58" s="73"/>
      <c r="P58" s="73"/>
      <c r="Q58" s="73"/>
      <c r="R58" s="73"/>
      <c r="S58" s="73"/>
      <c r="T58" s="73"/>
      <c r="U58" s="73"/>
      <c r="V58" s="73"/>
      <c r="W58" s="73"/>
      <c r="X58" s="137" t="s">
        <v>563</v>
      </c>
      <c r="Y58" s="143" t="s">
        <v>7275</v>
      </c>
      <c r="Z58" s="73"/>
      <c r="AA58" s="73"/>
    </row>
    <row r="59" spans="1:27" ht="15">
      <c r="A59" s="96">
        <v>45243</v>
      </c>
      <c r="B59" t="s">
        <v>1667</v>
      </c>
      <c r="C59" t="s">
        <v>670</v>
      </c>
      <c r="D59"/>
      <c r="E59" t="s">
        <v>7258</v>
      </c>
      <c r="F59"/>
      <c r="G59" t="s">
        <v>888</v>
      </c>
      <c r="H59" t="s">
        <v>7262</v>
      </c>
      <c r="I59" t="s">
        <v>1668</v>
      </c>
      <c r="J59" t="s">
        <v>651</v>
      </c>
      <c r="K59" t="s">
        <v>651</v>
      </c>
      <c r="L59" t="s">
        <v>518</v>
      </c>
      <c r="M59" t="s">
        <v>1199</v>
      </c>
      <c r="N59" t="s">
        <v>520</v>
      </c>
      <c r="O59" s="73"/>
      <c r="P59" s="73"/>
      <c r="Q59" s="73"/>
      <c r="R59" s="73"/>
      <c r="S59" s="73"/>
      <c r="T59" s="73"/>
      <c r="U59" s="73"/>
      <c r="V59" s="73"/>
      <c r="W59" s="73"/>
      <c r="X59" s="137"/>
      <c r="Y59" s="143"/>
      <c r="Z59" s="73"/>
      <c r="AA59" s="73">
        <v>2</v>
      </c>
    </row>
    <row r="60" spans="1:27" ht="26.25">
      <c r="B60"/>
      <c r="C60"/>
      <c r="D60" t="s">
        <v>1632</v>
      </c>
      <c r="E60" t="s">
        <v>1656</v>
      </c>
      <c r="F60" t="s">
        <v>1077</v>
      </c>
      <c r="G60" t="s">
        <v>888</v>
      </c>
      <c r="H60"/>
      <c r="I60"/>
      <c r="J60" t="s">
        <v>651</v>
      </c>
      <c r="K60" t="s">
        <v>651</v>
      </c>
      <c r="L60"/>
      <c r="M60"/>
      <c r="N60"/>
      <c r="O60" s="73"/>
      <c r="P60" s="73"/>
      <c r="Q60" s="73"/>
      <c r="R60" s="73"/>
      <c r="S60" s="73"/>
      <c r="T60" s="73"/>
      <c r="U60" s="73"/>
      <c r="V60" s="73"/>
      <c r="W60" s="73"/>
      <c r="X60" s="137" t="s">
        <v>526</v>
      </c>
      <c r="Y60" s="143" t="s">
        <v>7277</v>
      </c>
      <c r="Z60" s="73"/>
      <c r="AA60" s="73"/>
    </row>
    <row r="61" spans="1:27" ht="15">
      <c r="A61" s="96">
        <v>45243</v>
      </c>
      <c r="B61" t="s">
        <v>2645</v>
      </c>
      <c r="C61" t="s">
        <v>670</v>
      </c>
      <c r="D61"/>
      <c r="E61" t="s">
        <v>7278</v>
      </c>
      <c r="F61"/>
      <c r="G61" t="s">
        <v>7279</v>
      </c>
      <c r="H61" t="s">
        <v>7262</v>
      </c>
      <c r="I61" t="s">
        <v>2646</v>
      </c>
      <c r="J61" t="s">
        <v>1098</v>
      </c>
      <c r="K61" t="s">
        <v>1098</v>
      </c>
      <c r="L61" t="s">
        <v>518</v>
      </c>
      <c r="M61" t="s">
        <v>1097</v>
      </c>
      <c r="N61" t="s">
        <v>520</v>
      </c>
      <c r="O61" s="73"/>
      <c r="P61" s="73"/>
      <c r="Q61" s="73"/>
      <c r="R61" s="73"/>
      <c r="S61" s="73"/>
      <c r="T61" s="73"/>
      <c r="U61" s="73"/>
      <c r="V61" s="73"/>
      <c r="W61" s="73"/>
      <c r="X61" s="137"/>
      <c r="Y61" s="143"/>
      <c r="Z61" s="73"/>
      <c r="AA61" s="73">
        <v>2</v>
      </c>
    </row>
    <row r="62" spans="1:27" ht="115.5">
      <c r="B62"/>
      <c r="C62"/>
      <c r="D62" t="s">
        <v>2647</v>
      </c>
      <c r="E62" t="s">
        <v>2649</v>
      </c>
      <c r="F62" t="s">
        <v>514</v>
      </c>
      <c r="G62" t="s">
        <v>808</v>
      </c>
      <c r="H62"/>
      <c r="I62"/>
      <c r="J62" t="s">
        <v>1098</v>
      </c>
      <c r="K62" t="s">
        <v>1098</v>
      </c>
      <c r="L62"/>
      <c r="M62"/>
      <c r="N62"/>
      <c r="O62" s="73"/>
      <c r="P62" s="73"/>
      <c r="Q62" s="73"/>
      <c r="R62" s="73"/>
      <c r="S62" s="73"/>
      <c r="T62" s="73"/>
      <c r="U62" s="73"/>
      <c r="V62" s="73"/>
      <c r="W62" s="73"/>
      <c r="X62" s="137" t="s">
        <v>563</v>
      </c>
      <c r="Y62" s="143" t="s">
        <v>7280</v>
      </c>
      <c r="Z62" s="73"/>
      <c r="AA62" s="73"/>
    </row>
    <row r="63" spans="1:27" ht="15">
      <c r="B63"/>
      <c r="C63"/>
      <c r="D63" t="s">
        <v>2647</v>
      </c>
      <c r="E63" t="s">
        <v>2649</v>
      </c>
      <c r="F63" t="s">
        <v>514</v>
      </c>
      <c r="G63" t="s">
        <v>808</v>
      </c>
      <c r="H63"/>
      <c r="I63"/>
      <c r="J63" t="s">
        <v>1098</v>
      </c>
      <c r="K63" t="s">
        <v>1098</v>
      </c>
      <c r="L63"/>
      <c r="M63"/>
      <c r="N63"/>
      <c r="O63" s="73"/>
      <c r="P63" s="73"/>
      <c r="Q63" s="73"/>
      <c r="R63" s="73"/>
      <c r="S63" s="73"/>
      <c r="T63" s="73"/>
      <c r="U63" s="73"/>
      <c r="V63" s="73"/>
      <c r="W63" s="73"/>
      <c r="X63" s="137" t="s">
        <v>563</v>
      </c>
      <c r="Y63" s="143"/>
      <c r="Z63" s="73"/>
      <c r="AA63" s="73"/>
    </row>
    <row r="64" spans="1:27" ht="15">
      <c r="B64"/>
      <c r="C64"/>
      <c r="D64" t="s">
        <v>2647</v>
      </c>
      <c r="E64" t="s">
        <v>2649</v>
      </c>
      <c r="F64" t="s">
        <v>514</v>
      </c>
      <c r="G64" t="s">
        <v>808</v>
      </c>
      <c r="H64"/>
      <c r="I64"/>
      <c r="J64" t="s">
        <v>1098</v>
      </c>
      <c r="K64" t="s">
        <v>1098</v>
      </c>
      <c r="L64"/>
      <c r="M64"/>
      <c r="N64"/>
      <c r="O64" s="73"/>
      <c r="P64" s="73"/>
      <c r="Q64" s="73"/>
      <c r="R64" s="73"/>
      <c r="S64" s="73"/>
      <c r="T64" s="73"/>
      <c r="U64" s="73"/>
      <c r="V64" s="73"/>
      <c r="W64" s="73"/>
      <c r="X64" s="137" t="s">
        <v>563</v>
      </c>
      <c r="Y64" s="143"/>
      <c r="Z64" s="73"/>
      <c r="AA64" s="73"/>
    </row>
    <row r="65" spans="1:27" ht="15">
      <c r="B65"/>
      <c r="C65"/>
      <c r="D65" t="s">
        <v>2647</v>
      </c>
      <c r="E65" t="s">
        <v>2649</v>
      </c>
      <c r="F65" t="s">
        <v>514</v>
      </c>
      <c r="G65" t="s">
        <v>808</v>
      </c>
      <c r="H65"/>
      <c r="I65"/>
      <c r="J65" t="s">
        <v>1098</v>
      </c>
      <c r="K65" t="s">
        <v>1098</v>
      </c>
      <c r="L65"/>
      <c r="M65"/>
      <c r="N65"/>
      <c r="O65" s="73"/>
      <c r="P65" s="73"/>
      <c r="Q65" s="73"/>
      <c r="R65" s="73"/>
      <c r="S65" s="73"/>
      <c r="T65" s="73"/>
      <c r="U65" s="73"/>
      <c r="V65" s="73"/>
      <c r="W65" s="73"/>
      <c r="X65" s="137" t="s">
        <v>563</v>
      </c>
      <c r="Y65" s="143"/>
      <c r="Z65" s="73"/>
      <c r="AA65" s="73"/>
    </row>
    <row r="66" spans="1:27" ht="15">
      <c r="B66"/>
      <c r="C66"/>
      <c r="D66" t="s">
        <v>2639</v>
      </c>
      <c r="E66" t="s">
        <v>2641</v>
      </c>
      <c r="F66" t="s">
        <v>958</v>
      </c>
      <c r="G66" t="s">
        <v>2642</v>
      </c>
      <c r="H66"/>
      <c r="I66"/>
      <c r="J66" t="s">
        <v>1098</v>
      </c>
      <c r="K66" t="s">
        <v>1098</v>
      </c>
      <c r="L66"/>
      <c r="M66"/>
      <c r="N66"/>
      <c r="O66" s="73"/>
      <c r="P66" s="73"/>
      <c r="Q66" s="73"/>
      <c r="R66" s="73"/>
      <c r="S66" s="73"/>
      <c r="T66" s="73"/>
      <c r="U66" s="73"/>
      <c r="V66" s="73"/>
      <c r="W66" s="73"/>
      <c r="X66" s="137" t="s">
        <v>563</v>
      </c>
      <c r="Y66" s="143"/>
      <c r="Z66" s="73"/>
      <c r="AA66" s="73"/>
    </row>
    <row r="67" spans="1:27" ht="15">
      <c r="A67" s="96">
        <v>45243</v>
      </c>
      <c r="B67" t="s">
        <v>1826</v>
      </c>
      <c r="C67" t="s">
        <v>670</v>
      </c>
      <c r="D67"/>
      <c r="E67" t="s">
        <v>7281</v>
      </c>
      <c r="F67"/>
      <c r="G67" t="s">
        <v>1829</v>
      </c>
      <c r="H67" t="s">
        <v>7262</v>
      </c>
      <c r="I67" t="s">
        <v>1830</v>
      </c>
      <c r="J67" t="s">
        <v>537</v>
      </c>
      <c r="K67" t="s">
        <v>537</v>
      </c>
      <c r="L67" t="s">
        <v>518</v>
      </c>
      <c r="M67" t="s">
        <v>534</v>
      </c>
      <c r="N67" t="s">
        <v>535</v>
      </c>
      <c r="O67" s="73"/>
      <c r="P67" s="73"/>
      <c r="Q67" s="73"/>
      <c r="R67" s="73"/>
      <c r="S67" s="73"/>
      <c r="T67" s="73"/>
      <c r="U67" s="73"/>
      <c r="V67" s="73"/>
      <c r="W67" s="73"/>
      <c r="X67" s="137"/>
      <c r="Y67" s="143"/>
      <c r="Z67" s="73"/>
      <c r="AA67" s="73">
        <v>2</v>
      </c>
    </row>
    <row r="68" spans="1:27" ht="39">
      <c r="B68"/>
      <c r="C68"/>
      <c r="D68" t="s">
        <v>1824</v>
      </c>
      <c r="E68" t="s">
        <v>1827</v>
      </c>
      <c r="F68" t="s">
        <v>1828</v>
      </c>
      <c r="G68" t="s">
        <v>1829</v>
      </c>
      <c r="H68"/>
      <c r="I68"/>
      <c r="J68" t="s">
        <v>537</v>
      </c>
      <c r="K68" t="s">
        <v>537</v>
      </c>
      <c r="L68"/>
      <c r="M68"/>
      <c r="N68"/>
      <c r="O68" s="73"/>
      <c r="P68" s="73"/>
      <c r="Q68" s="73"/>
      <c r="R68" s="73"/>
      <c r="S68" s="73"/>
      <c r="T68" s="73"/>
      <c r="U68" s="73"/>
      <c r="V68" s="73"/>
      <c r="W68" s="73"/>
      <c r="X68" s="137" t="s">
        <v>563</v>
      </c>
      <c r="Y68" s="143" t="s">
        <v>7238</v>
      </c>
      <c r="Z68" s="73"/>
      <c r="AA68" s="73"/>
    </row>
    <row r="69" spans="1:27" ht="15">
      <c r="A69" s="96">
        <v>45243</v>
      </c>
      <c r="B69" t="s">
        <v>2231</v>
      </c>
      <c r="C69" t="s">
        <v>670</v>
      </c>
      <c r="D69"/>
      <c r="E69" t="s">
        <v>7282</v>
      </c>
      <c r="F69"/>
      <c r="G69" t="s">
        <v>7283</v>
      </c>
      <c r="H69" t="s">
        <v>7262</v>
      </c>
      <c r="I69" t="s">
        <v>2235</v>
      </c>
      <c r="J69" t="s">
        <v>607</v>
      </c>
      <c r="K69" t="s">
        <v>607</v>
      </c>
      <c r="L69" t="s">
        <v>518</v>
      </c>
      <c r="M69" t="s">
        <v>2234</v>
      </c>
      <c r="N69" t="s">
        <v>520</v>
      </c>
      <c r="O69" s="73"/>
      <c r="P69" s="73"/>
      <c r="Q69" s="73"/>
      <c r="R69" s="73"/>
      <c r="S69" s="73"/>
      <c r="T69" s="73"/>
      <c r="U69" s="73"/>
      <c r="V69" s="73"/>
      <c r="W69" s="73"/>
      <c r="X69" s="137"/>
      <c r="Y69" s="143"/>
      <c r="Z69" s="73"/>
      <c r="AA69" s="73">
        <v>2</v>
      </c>
    </row>
    <row r="70" spans="1:27" ht="90">
      <c r="B70"/>
      <c r="C70"/>
      <c r="D70" t="s">
        <v>2229</v>
      </c>
      <c r="E70" t="s">
        <v>2232</v>
      </c>
      <c r="F70" t="s">
        <v>514</v>
      </c>
      <c r="G70" t="s">
        <v>2233</v>
      </c>
      <c r="H70"/>
      <c r="I70"/>
      <c r="J70" t="s">
        <v>607</v>
      </c>
      <c r="K70" t="s">
        <v>607</v>
      </c>
      <c r="L70"/>
      <c r="M70"/>
      <c r="N70"/>
      <c r="O70" s="73"/>
      <c r="P70" s="73"/>
      <c r="Q70" s="73"/>
      <c r="R70" s="73"/>
      <c r="S70" s="73"/>
      <c r="T70" s="73"/>
      <c r="U70" s="73"/>
      <c r="V70" s="73"/>
      <c r="W70" s="73"/>
      <c r="X70" s="137" t="s">
        <v>563</v>
      </c>
      <c r="Y70" s="143" t="s">
        <v>7275</v>
      </c>
      <c r="Z70" s="73"/>
      <c r="AA70" s="73"/>
    </row>
    <row r="71" spans="1:27" ht="15">
      <c r="B71"/>
      <c r="C71"/>
      <c r="D71" t="s">
        <v>2229</v>
      </c>
      <c r="E71" t="s">
        <v>2232</v>
      </c>
      <c r="F71" t="s">
        <v>514</v>
      </c>
      <c r="G71" t="s">
        <v>2233</v>
      </c>
      <c r="H71"/>
      <c r="I71"/>
      <c r="J71" t="s">
        <v>607</v>
      </c>
      <c r="K71" t="s">
        <v>607</v>
      </c>
      <c r="L71"/>
      <c r="M71"/>
      <c r="N71"/>
      <c r="O71" s="73"/>
      <c r="P71" s="73"/>
      <c r="Q71" s="73"/>
      <c r="R71" s="73"/>
      <c r="S71" s="73"/>
      <c r="T71" s="73"/>
      <c r="U71" s="73"/>
      <c r="V71" s="73"/>
      <c r="W71" s="73"/>
      <c r="X71" s="137" t="s">
        <v>563</v>
      </c>
      <c r="Y71" s="143"/>
      <c r="Z71" s="73"/>
      <c r="AA71" s="73"/>
    </row>
    <row r="72" spans="1:27" ht="15">
      <c r="B72"/>
      <c r="C72"/>
      <c r="D72" t="s">
        <v>2229</v>
      </c>
      <c r="E72" t="s">
        <v>2232</v>
      </c>
      <c r="F72" t="s">
        <v>514</v>
      </c>
      <c r="G72" t="s">
        <v>2233</v>
      </c>
      <c r="H72"/>
      <c r="I72"/>
      <c r="J72" t="s">
        <v>607</v>
      </c>
      <c r="K72" t="s">
        <v>607</v>
      </c>
      <c r="L72"/>
      <c r="M72"/>
      <c r="N72"/>
      <c r="O72" s="73"/>
      <c r="P72" s="73"/>
      <c r="Q72" s="73"/>
      <c r="R72" s="73"/>
      <c r="S72" s="73"/>
      <c r="T72" s="73"/>
      <c r="U72" s="73"/>
      <c r="V72" s="73"/>
      <c r="W72" s="73"/>
      <c r="X72" s="137" t="s">
        <v>563</v>
      </c>
      <c r="Y72" s="143"/>
      <c r="Z72" s="73"/>
      <c r="AA72" s="73"/>
    </row>
    <row r="73" spans="1:27" ht="15">
      <c r="B73"/>
      <c r="C73"/>
      <c r="D73" t="s">
        <v>2229</v>
      </c>
      <c r="E73" t="s">
        <v>2232</v>
      </c>
      <c r="F73" t="s">
        <v>514</v>
      </c>
      <c r="G73" t="s">
        <v>2233</v>
      </c>
      <c r="H73"/>
      <c r="I73"/>
      <c r="J73" t="s">
        <v>607</v>
      </c>
      <c r="K73" t="s">
        <v>607</v>
      </c>
      <c r="L73"/>
      <c r="M73"/>
      <c r="N73"/>
      <c r="O73" s="73"/>
      <c r="P73" s="73"/>
      <c r="Q73" s="73"/>
      <c r="R73" s="73"/>
      <c r="S73" s="73"/>
      <c r="T73" s="73"/>
      <c r="U73" s="73"/>
      <c r="V73" s="73"/>
      <c r="W73" s="73"/>
      <c r="X73" s="137" t="s">
        <v>563</v>
      </c>
      <c r="Y73" s="143"/>
      <c r="Z73" s="73"/>
      <c r="AA73" s="73"/>
    </row>
    <row r="74" spans="1:27" ht="15">
      <c r="B74"/>
      <c r="C74"/>
      <c r="D74" t="s">
        <v>2229</v>
      </c>
      <c r="E74" t="s">
        <v>2232</v>
      </c>
      <c r="F74" t="s">
        <v>514</v>
      </c>
      <c r="G74" t="s">
        <v>2233</v>
      </c>
      <c r="H74"/>
      <c r="I74"/>
      <c r="J74" t="s">
        <v>607</v>
      </c>
      <c r="K74" t="s">
        <v>607</v>
      </c>
      <c r="L74"/>
      <c r="M74"/>
      <c r="N74"/>
      <c r="O74" s="73"/>
      <c r="P74" s="73"/>
      <c r="Q74" s="73"/>
      <c r="R74" s="73"/>
      <c r="S74" s="73"/>
      <c r="T74" s="73"/>
      <c r="U74" s="73"/>
      <c r="V74" s="73"/>
      <c r="W74" s="73"/>
      <c r="X74" s="137" t="s">
        <v>563</v>
      </c>
      <c r="Y74" s="143"/>
      <c r="Z74" s="73"/>
      <c r="AA74" s="73"/>
    </row>
    <row r="75" spans="1:27" ht="15">
      <c r="A75" s="96">
        <v>45243</v>
      </c>
      <c r="B75" t="s">
        <v>2812</v>
      </c>
      <c r="C75" t="s">
        <v>670</v>
      </c>
      <c r="D75"/>
      <c r="E75" t="s">
        <v>7239</v>
      </c>
      <c r="F75"/>
      <c r="G75" t="s">
        <v>2814</v>
      </c>
      <c r="H75" t="s">
        <v>7284</v>
      </c>
      <c r="I75" t="s">
        <v>2815</v>
      </c>
      <c r="J75" t="s">
        <v>607</v>
      </c>
      <c r="K75" t="s">
        <v>607</v>
      </c>
      <c r="L75" t="s">
        <v>518</v>
      </c>
      <c r="M75" t="s">
        <v>2234</v>
      </c>
      <c r="N75" t="s">
        <v>520</v>
      </c>
      <c r="O75" s="73"/>
      <c r="P75" s="73"/>
      <c r="Q75" s="73"/>
      <c r="R75" s="73"/>
      <c r="S75" s="73"/>
      <c r="T75" s="73"/>
      <c r="U75" s="73"/>
      <c r="V75" s="73"/>
      <c r="W75" s="73"/>
      <c r="X75" s="137"/>
      <c r="Y75" s="143"/>
      <c r="Z75" s="73"/>
      <c r="AA75" s="73">
        <v>2</v>
      </c>
    </row>
    <row r="76" spans="1:27" ht="39">
      <c r="B76"/>
      <c r="C76"/>
      <c r="D76" t="s">
        <v>2810</v>
      </c>
      <c r="E76" t="s">
        <v>2813</v>
      </c>
      <c r="F76" t="s">
        <v>1077</v>
      </c>
      <c r="G76" t="s">
        <v>2814</v>
      </c>
      <c r="H76"/>
      <c r="I76"/>
      <c r="J76" t="s">
        <v>607</v>
      </c>
      <c r="K76" t="s">
        <v>607</v>
      </c>
      <c r="L76"/>
      <c r="M76"/>
      <c r="N76"/>
      <c r="O76" s="73"/>
      <c r="P76" s="73"/>
      <c r="Q76" s="73"/>
      <c r="R76" s="73"/>
      <c r="S76" s="73"/>
      <c r="T76" s="73"/>
      <c r="U76" s="73"/>
      <c r="V76" s="73"/>
      <c r="W76" s="73"/>
      <c r="X76" s="137" t="s">
        <v>563</v>
      </c>
      <c r="Y76" s="143" t="s">
        <v>7238</v>
      </c>
      <c r="Z76" s="73"/>
      <c r="AA76" s="73"/>
    </row>
    <row r="77" spans="1:27" ht="15">
      <c r="A77" s="96">
        <v>45243</v>
      </c>
      <c r="B77" t="s">
        <v>723</v>
      </c>
      <c r="C77" t="s">
        <v>670</v>
      </c>
      <c r="D77"/>
      <c r="E77" t="s">
        <v>1002</v>
      </c>
      <c r="F77"/>
      <c r="G77" t="s">
        <v>725</v>
      </c>
      <c r="H77" t="s">
        <v>7284</v>
      </c>
      <c r="I77" t="s">
        <v>727</v>
      </c>
      <c r="J77" t="s">
        <v>589</v>
      </c>
      <c r="K77" t="s">
        <v>589</v>
      </c>
      <c r="L77" t="s">
        <v>518</v>
      </c>
      <c r="M77" t="s">
        <v>726</v>
      </c>
      <c r="N77" t="s">
        <v>535</v>
      </c>
      <c r="O77" s="73"/>
      <c r="P77" s="73"/>
      <c r="Q77" s="73"/>
      <c r="R77" s="73"/>
      <c r="S77" s="73"/>
      <c r="T77" s="73"/>
      <c r="U77" s="73"/>
      <c r="V77" s="73"/>
      <c r="W77" s="73"/>
      <c r="X77" s="137"/>
      <c r="Y77" s="143"/>
      <c r="Z77" s="73"/>
      <c r="AA77" s="73">
        <v>2</v>
      </c>
    </row>
    <row r="78" spans="1:27" ht="115.5">
      <c r="B78"/>
      <c r="C78"/>
      <c r="D78" t="s">
        <v>721</v>
      </c>
      <c r="E78" t="s">
        <v>696</v>
      </c>
      <c r="F78" t="s">
        <v>724</v>
      </c>
      <c r="G78" t="s">
        <v>725</v>
      </c>
      <c r="H78"/>
      <c r="I78"/>
      <c r="J78" t="s">
        <v>589</v>
      </c>
      <c r="K78" t="s">
        <v>589</v>
      </c>
      <c r="L78"/>
      <c r="M78"/>
      <c r="N78"/>
      <c r="O78" s="73"/>
      <c r="P78" s="73"/>
      <c r="Q78" s="73"/>
      <c r="R78" s="73"/>
      <c r="S78" s="73"/>
      <c r="T78" s="73"/>
      <c r="U78" s="73"/>
      <c r="V78" s="73"/>
      <c r="W78" s="73"/>
      <c r="X78" s="137" t="s">
        <v>563</v>
      </c>
      <c r="Y78" s="143" t="s">
        <v>7285</v>
      </c>
      <c r="Z78" s="73"/>
      <c r="AA78" s="73"/>
    </row>
    <row r="79" spans="1:27" ht="15">
      <c r="A79" s="96">
        <v>45243</v>
      </c>
      <c r="B79" t="s">
        <v>1061</v>
      </c>
      <c r="C79" t="s">
        <v>670</v>
      </c>
      <c r="D79"/>
      <c r="E79" t="s">
        <v>7286</v>
      </c>
      <c r="F79"/>
      <c r="G79" t="s">
        <v>1063</v>
      </c>
      <c r="H79" t="s">
        <v>7284</v>
      </c>
      <c r="I79" t="s">
        <v>1064</v>
      </c>
      <c r="J79" t="s">
        <v>582</v>
      </c>
      <c r="K79" t="s">
        <v>582</v>
      </c>
      <c r="L79" t="s">
        <v>518</v>
      </c>
      <c r="M79" t="s">
        <v>580</v>
      </c>
      <c r="N79" t="s">
        <v>520</v>
      </c>
      <c r="O79" s="73"/>
      <c r="P79" s="73"/>
      <c r="Q79" s="73"/>
      <c r="R79" s="73"/>
      <c r="S79" s="73"/>
      <c r="T79" s="73"/>
      <c r="U79" s="73"/>
      <c r="V79" s="73"/>
      <c r="W79" s="73"/>
      <c r="X79" s="137"/>
      <c r="Y79" s="143"/>
      <c r="Z79" s="73"/>
      <c r="AA79" s="73">
        <v>2</v>
      </c>
    </row>
    <row r="80" spans="1:27" ht="26.25">
      <c r="B80"/>
      <c r="C80"/>
      <c r="D80" t="s">
        <v>1054</v>
      </c>
      <c r="E80" t="s">
        <v>1062</v>
      </c>
      <c r="F80" t="s">
        <v>657</v>
      </c>
      <c r="G80" t="s">
        <v>1063</v>
      </c>
      <c r="H80"/>
      <c r="I80"/>
      <c r="J80" t="s">
        <v>582</v>
      </c>
      <c r="K80" t="s">
        <v>582</v>
      </c>
      <c r="L80"/>
      <c r="M80"/>
      <c r="N80"/>
      <c r="O80" s="73"/>
      <c r="P80" s="73"/>
      <c r="Q80" s="73"/>
      <c r="R80" s="73"/>
      <c r="S80" s="73"/>
      <c r="T80" s="73"/>
      <c r="U80" s="73"/>
      <c r="V80" s="73"/>
      <c r="W80" s="73"/>
      <c r="X80" s="137" t="s">
        <v>526</v>
      </c>
      <c r="Y80" s="143" t="s">
        <v>7277</v>
      </c>
      <c r="Z80" s="73"/>
      <c r="AA80" s="73"/>
    </row>
    <row r="81" spans="1:27" ht="15">
      <c r="A81" s="96">
        <v>45243</v>
      </c>
      <c r="B81" t="s">
        <v>663</v>
      </c>
      <c r="C81" t="s">
        <v>670</v>
      </c>
      <c r="D81"/>
      <c r="E81" t="s">
        <v>6148</v>
      </c>
      <c r="F81"/>
      <c r="G81" t="s">
        <v>666</v>
      </c>
      <c r="H81" t="s">
        <v>7284</v>
      </c>
      <c r="I81" t="s">
        <v>669</v>
      </c>
      <c r="J81" t="s">
        <v>597</v>
      </c>
      <c r="K81" t="s">
        <v>597</v>
      </c>
      <c r="L81" t="s">
        <v>518</v>
      </c>
      <c r="M81" t="s">
        <v>667</v>
      </c>
      <c r="N81" t="s">
        <v>520</v>
      </c>
      <c r="O81" s="73"/>
      <c r="P81" s="73"/>
      <c r="Q81" s="73"/>
      <c r="R81" s="73"/>
      <c r="S81" s="73"/>
      <c r="T81" s="73"/>
      <c r="U81" s="73"/>
      <c r="V81" s="73"/>
      <c r="W81" s="73"/>
      <c r="X81" s="137"/>
      <c r="Y81" s="143"/>
      <c r="Z81" s="73"/>
      <c r="AA81" s="73">
        <v>2</v>
      </c>
    </row>
    <row r="82" spans="1:27" ht="39">
      <c r="B82"/>
      <c r="C82"/>
      <c r="D82" t="s">
        <v>661</v>
      </c>
      <c r="E82" t="s">
        <v>664</v>
      </c>
      <c r="F82" t="s">
        <v>665</v>
      </c>
      <c r="G82" t="s">
        <v>666</v>
      </c>
      <c r="H82"/>
      <c r="I82"/>
      <c r="J82" t="s">
        <v>597</v>
      </c>
      <c r="K82" t="s">
        <v>597</v>
      </c>
      <c r="L82"/>
      <c r="M82"/>
      <c r="N82"/>
      <c r="O82" s="73"/>
      <c r="P82" s="73"/>
      <c r="Q82" s="73"/>
      <c r="R82" s="73"/>
      <c r="S82" s="73"/>
      <c r="T82" s="73"/>
      <c r="U82" s="73"/>
      <c r="V82" s="73"/>
      <c r="W82" s="73"/>
      <c r="X82" s="137" t="s">
        <v>563</v>
      </c>
      <c r="Y82" s="143" t="s">
        <v>7238</v>
      </c>
      <c r="Z82" s="73"/>
      <c r="AA82" s="73"/>
    </row>
    <row r="83" spans="1:27" ht="15">
      <c r="A83" s="96">
        <v>45243</v>
      </c>
      <c r="B83" t="s">
        <v>1075</v>
      </c>
      <c r="C83" t="s">
        <v>670</v>
      </c>
      <c r="D83"/>
      <c r="E83" t="s">
        <v>5713</v>
      </c>
      <c r="F83"/>
      <c r="G83" t="s">
        <v>7287</v>
      </c>
      <c r="H83" t="s">
        <v>7284</v>
      </c>
      <c r="I83" t="s">
        <v>1081</v>
      </c>
      <c r="J83" t="s">
        <v>668</v>
      </c>
      <c r="K83" t="s">
        <v>668</v>
      </c>
      <c r="L83" t="s">
        <v>518</v>
      </c>
      <c r="M83" t="s">
        <v>1079</v>
      </c>
      <c r="N83" t="s">
        <v>535</v>
      </c>
      <c r="O83" s="73"/>
      <c r="P83" s="73"/>
      <c r="Q83" s="73"/>
      <c r="R83" s="73"/>
      <c r="S83" s="73"/>
      <c r="T83" s="73"/>
      <c r="U83" s="73"/>
      <c r="V83" s="73"/>
      <c r="W83" s="73"/>
      <c r="X83" s="137"/>
      <c r="Y83" s="143"/>
      <c r="Z83" s="73"/>
      <c r="AA83" s="73">
        <v>2</v>
      </c>
    </row>
    <row r="84" spans="1:27" ht="90">
      <c r="B84"/>
      <c r="C84"/>
      <c r="D84" t="s">
        <v>1073</v>
      </c>
      <c r="E84" t="s">
        <v>1076</v>
      </c>
      <c r="F84" t="s">
        <v>1077</v>
      </c>
      <c r="G84" t="s">
        <v>1078</v>
      </c>
      <c r="H84"/>
      <c r="I84"/>
      <c r="J84" t="s">
        <v>668</v>
      </c>
      <c r="K84" t="s">
        <v>668</v>
      </c>
      <c r="L84"/>
      <c r="M84"/>
      <c r="N84"/>
      <c r="O84" s="73"/>
      <c r="P84" s="73"/>
      <c r="Q84" s="73"/>
      <c r="R84" s="73"/>
      <c r="S84" s="73"/>
      <c r="T84" s="73"/>
      <c r="U84" s="73"/>
      <c r="V84" s="73"/>
      <c r="W84" s="73"/>
      <c r="X84" s="140" t="s">
        <v>563</v>
      </c>
      <c r="Y84" s="140" t="s">
        <v>7243</v>
      </c>
      <c r="Z84" s="73"/>
      <c r="AA84" s="73"/>
    </row>
    <row r="85" spans="1:27" ht="90">
      <c r="B85"/>
      <c r="C85"/>
      <c r="D85" t="s">
        <v>1839</v>
      </c>
      <c r="E85" t="s">
        <v>1841</v>
      </c>
      <c r="F85" t="s">
        <v>958</v>
      </c>
      <c r="G85" t="s">
        <v>794</v>
      </c>
      <c r="H85"/>
      <c r="I85"/>
      <c r="J85" t="s">
        <v>668</v>
      </c>
      <c r="K85" t="s">
        <v>668</v>
      </c>
      <c r="L85"/>
      <c r="M85"/>
      <c r="N85"/>
      <c r="O85" s="73"/>
      <c r="P85" s="73"/>
      <c r="Q85" s="73"/>
      <c r="R85" s="73"/>
      <c r="S85" s="73"/>
      <c r="T85" s="73"/>
      <c r="U85" s="73"/>
      <c r="V85" s="73"/>
      <c r="W85" s="73"/>
      <c r="X85" s="140" t="s">
        <v>563</v>
      </c>
      <c r="Y85" s="140" t="s">
        <v>7243</v>
      </c>
      <c r="Z85" s="73"/>
      <c r="AA85" s="73"/>
    </row>
    <row r="86" spans="1:27" ht="15">
      <c r="A86" s="96">
        <v>45243</v>
      </c>
      <c r="B86" t="s">
        <v>2522</v>
      </c>
      <c r="C86" t="s">
        <v>2526</v>
      </c>
      <c r="D86"/>
      <c r="E86" t="s">
        <v>7288</v>
      </c>
      <c r="F86"/>
      <c r="G86" t="s">
        <v>2524</v>
      </c>
      <c r="H86" t="s">
        <v>7284</v>
      </c>
      <c r="I86" t="s">
        <v>2525</v>
      </c>
      <c r="J86" t="s">
        <v>753</v>
      </c>
      <c r="K86" t="s">
        <v>753</v>
      </c>
      <c r="L86" t="s">
        <v>518</v>
      </c>
      <c r="M86" t="s">
        <v>751</v>
      </c>
      <c r="N86" t="s">
        <v>535</v>
      </c>
      <c r="O86" s="73"/>
      <c r="P86" s="73"/>
      <c r="Q86" s="73"/>
      <c r="R86" s="73"/>
      <c r="S86" s="73"/>
      <c r="T86" s="73"/>
      <c r="U86" s="73"/>
      <c r="V86" s="73"/>
      <c r="W86" s="73"/>
      <c r="X86" s="140"/>
      <c r="Y86" s="140"/>
      <c r="Z86" s="73"/>
      <c r="AA86" s="73">
        <v>2</v>
      </c>
    </row>
    <row r="87" spans="1:27" ht="90">
      <c r="B87"/>
      <c r="C87"/>
      <c r="D87" t="s">
        <v>2520</v>
      </c>
      <c r="E87" t="s">
        <v>2523</v>
      </c>
      <c r="F87" t="s">
        <v>958</v>
      </c>
      <c r="G87" t="s">
        <v>2524</v>
      </c>
      <c r="H87"/>
      <c r="I87"/>
      <c r="J87" t="s">
        <v>753</v>
      </c>
      <c r="K87" t="s">
        <v>753</v>
      </c>
      <c r="L87"/>
      <c r="M87"/>
      <c r="N87"/>
      <c r="O87" s="73"/>
      <c r="P87" s="73"/>
      <c r="Q87" s="73"/>
      <c r="R87" s="73"/>
      <c r="S87" s="73"/>
      <c r="T87" s="73"/>
      <c r="U87" s="73"/>
      <c r="V87" s="73"/>
      <c r="W87" s="73"/>
      <c r="X87" s="140" t="s">
        <v>563</v>
      </c>
      <c r="Y87" s="140" t="s">
        <v>7250</v>
      </c>
      <c r="Z87" s="73"/>
      <c r="AA87" s="73"/>
    </row>
    <row r="88" spans="1:27" ht="15">
      <c r="A88" s="96">
        <v>45243</v>
      </c>
      <c r="B88" t="s">
        <v>2528</v>
      </c>
      <c r="C88" t="s">
        <v>670</v>
      </c>
      <c r="D88"/>
      <c r="E88" t="s">
        <v>7289</v>
      </c>
      <c r="F88"/>
      <c r="G88" t="s">
        <v>2530</v>
      </c>
      <c r="H88" t="s">
        <v>7284</v>
      </c>
      <c r="I88" t="s">
        <v>2531</v>
      </c>
      <c r="J88" t="s">
        <v>753</v>
      </c>
      <c r="K88" t="s">
        <v>753</v>
      </c>
      <c r="L88" t="s">
        <v>518</v>
      </c>
      <c r="M88" t="s">
        <v>751</v>
      </c>
      <c r="N88" t="s">
        <v>535</v>
      </c>
      <c r="O88" s="73"/>
      <c r="P88" s="73"/>
      <c r="Q88" s="73"/>
      <c r="R88" s="73"/>
      <c r="S88" s="73"/>
      <c r="T88" s="73"/>
      <c r="U88" s="73"/>
      <c r="V88" s="73"/>
      <c r="W88" s="73"/>
      <c r="X88" s="140"/>
      <c r="Y88" s="140"/>
      <c r="Z88" s="73"/>
      <c r="AA88" s="73">
        <v>2</v>
      </c>
    </row>
    <row r="89" spans="1:27" ht="90">
      <c r="B89"/>
      <c r="C89"/>
      <c r="D89" t="s">
        <v>2520</v>
      </c>
      <c r="E89" t="s">
        <v>2529</v>
      </c>
      <c r="F89" t="s">
        <v>724</v>
      </c>
      <c r="G89" t="s">
        <v>2530</v>
      </c>
      <c r="H89"/>
      <c r="I89"/>
      <c r="J89" t="s">
        <v>753</v>
      </c>
      <c r="K89" t="s">
        <v>753</v>
      </c>
      <c r="L89"/>
      <c r="M89"/>
      <c r="N89"/>
      <c r="O89" s="73"/>
      <c r="P89" s="73"/>
      <c r="Q89" s="73"/>
      <c r="R89" s="73"/>
      <c r="S89" s="73"/>
      <c r="T89" s="73"/>
      <c r="U89" s="73"/>
      <c r="V89" s="73"/>
      <c r="W89" s="73"/>
      <c r="X89" s="140" t="s">
        <v>563</v>
      </c>
      <c r="Y89" s="140" t="s">
        <v>7250</v>
      </c>
      <c r="Z89" s="73"/>
      <c r="AA89" s="73"/>
    </row>
    <row r="90" spans="1:27" ht="15">
      <c r="A90" s="96">
        <v>45243</v>
      </c>
      <c r="B90" t="s">
        <v>2562</v>
      </c>
      <c r="C90" t="s">
        <v>1071</v>
      </c>
      <c r="D90"/>
      <c r="E90" t="s">
        <v>7290</v>
      </c>
      <c r="F90"/>
      <c r="G90" t="s">
        <v>7291</v>
      </c>
      <c r="H90" t="s">
        <v>7292</v>
      </c>
      <c r="I90" t="s">
        <v>2565</v>
      </c>
      <c r="J90" t="s">
        <v>607</v>
      </c>
      <c r="K90" t="s">
        <v>607</v>
      </c>
      <c r="L90" t="s">
        <v>518</v>
      </c>
      <c r="M90" t="s">
        <v>2234</v>
      </c>
      <c r="N90" t="s">
        <v>535</v>
      </c>
      <c r="O90" s="73"/>
      <c r="P90" s="73"/>
      <c r="Q90" s="73"/>
      <c r="R90" s="73"/>
      <c r="S90" s="73"/>
      <c r="T90" s="73"/>
      <c r="U90" s="73"/>
      <c r="V90" s="73"/>
      <c r="W90" s="73"/>
      <c r="X90" s="140"/>
      <c r="Y90" s="140"/>
      <c r="Z90" s="73"/>
      <c r="AA90" s="73">
        <v>2</v>
      </c>
    </row>
    <row r="91" spans="1:27" ht="90">
      <c r="B91"/>
      <c r="C91"/>
      <c r="D91" t="s">
        <v>2560</v>
      </c>
      <c r="E91" t="s">
        <v>2563</v>
      </c>
      <c r="F91" t="s">
        <v>514</v>
      </c>
      <c r="G91" t="s">
        <v>2564</v>
      </c>
      <c r="H91"/>
      <c r="I91"/>
      <c r="J91" t="s">
        <v>607</v>
      </c>
      <c r="K91" t="s">
        <v>607</v>
      </c>
      <c r="L91"/>
      <c r="M91"/>
      <c r="N91"/>
      <c r="O91" s="73"/>
      <c r="P91" s="73"/>
      <c r="Q91" s="73"/>
      <c r="R91" s="73"/>
      <c r="S91" s="73"/>
      <c r="T91" s="73"/>
      <c r="U91" s="73"/>
      <c r="V91" s="73"/>
      <c r="W91" s="73"/>
      <c r="X91" s="140" t="s">
        <v>563</v>
      </c>
      <c r="Y91" s="140" t="s">
        <v>7243</v>
      </c>
      <c r="Z91" s="73"/>
      <c r="AA91" s="73"/>
    </row>
    <row r="92" spans="1:27" ht="90">
      <c r="B92"/>
      <c r="C92"/>
      <c r="D92" t="s">
        <v>2560</v>
      </c>
      <c r="E92" t="s">
        <v>2563</v>
      </c>
      <c r="F92" t="s">
        <v>514</v>
      </c>
      <c r="G92" t="s">
        <v>2564</v>
      </c>
      <c r="H92"/>
      <c r="I92"/>
      <c r="J92" t="s">
        <v>607</v>
      </c>
      <c r="K92" t="s">
        <v>607</v>
      </c>
      <c r="L92"/>
      <c r="M92"/>
      <c r="N92"/>
      <c r="O92" s="73"/>
      <c r="P92" s="73"/>
      <c r="Q92" s="73"/>
      <c r="R92" s="73"/>
      <c r="S92" s="73"/>
      <c r="T92" s="73"/>
      <c r="U92" s="73"/>
      <c r="V92" s="73"/>
      <c r="W92" s="73"/>
      <c r="X92" s="140" t="s">
        <v>563</v>
      </c>
      <c r="Y92" s="140" t="s">
        <v>7243</v>
      </c>
      <c r="Z92" s="73"/>
      <c r="AA92" s="73"/>
    </row>
    <row r="93" spans="1:27" ht="90">
      <c r="B93"/>
      <c r="C93"/>
      <c r="D93" t="s">
        <v>2560</v>
      </c>
      <c r="E93" t="s">
        <v>2563</v>
      </c>
      <c r="F93" t="s">
        <v>514</v>
      </c>
      <c r="G93" t="s">
        <v>2564</v>
      </c>
      <c r="H93"/>
      <c r="I93"/>
      <c r="J93" t="s">
        <v>607</v>
      </c>
      <c r="K93" t="s">
        <v>607</v>
      </c>
      <c r="L93"/>
      <c r="M93"/>
      <c r="N93"/>
      <c r="O93" s="73"/>
      <c r="P93" s="73"/>
      <c r="Q93" s="73"/>
      <c r="R93" s="73"/>
      <c r="S93" s="73"/>
      <c r="T93" s="73"/>
      <c r="U93" s="73"/>
      <c r="V93" s="73"/>
      <c r="W93" s="73"/>
      <c r="X93" s="140" t="s">
        <v>563</v>
      </c>
      <c r="Y93" s="140" t="s">
        <v>7243</v>
      </c>
      <c r="Z93" s="73"/>
      <c r="AA93" s="73"/>
    </row>
    <row r="94" spans="1:27" ht="90">
      <c r="B94"/>
      <c r="C94"/>
      <c r="D94" t="s">
        <v>2560</v>
      </c>
      <c r="E94" t="s">
        <v>2563</v>
      </c>
      <c r="F94" t="s">
        <v>514</v>
      </c>
      <c r="G94" t="s">
        <v>2564</v>
      </c>
      <c r="H94"/>
      <c r="I94"/>
      <c r="J94" t="s">
        <v>607</v>
      </c>
      <c r="K94" t="s">
        <v>607</v>
      </c>
      <c r="L94"/>
      <c r="M94"/>
      <c r="N94"/>
      <c r="O94" s="73"/>
      <c r="P94" s="73"/>
      <c r="Q94" s="73"/>
      <c r="R94" s="73"/>
      <c r="S94" s="73"/>
      <c r="T94" s="73"/>
      <c r="U94" s="73"/>
      <c r="V94" s="73"/>
      <c r="W94" s="73"/>
      <c r="X94" s="140" t="s">
        <v>563</v>
      </c>
      <c r="Y94" s="140" t="s">
        <v>7243</v>
      </c>
      <c r="Z94" s="73"/>
      <c r="AA94" s="73"/>
    </row>
    <row r="95" spans="1:27" ht="90">
      <c r="B95"/>
      <c r="C95"/>
      <c r="D95" t="s">
        <v>2560</v>
      </c>
      <c r="E95" t="s">
        <v>2563</v>
      </c>
      <c r="F95" t="s">
        <v>514</v>
      </c>
      <c r="G95" t="s">
        <v>2564</v>
      </c>
      <c r="H95"/>
      <c r="I95"/>
      <c r="J95" t="s">
        <v>607</v>
      </c>
      <c r="K95" t="s">
        <v>607</v>
      </c>
      <c r="L95"/>
      <c r="M95"/>
      <c r="N95"/>
      <c r="O95" s="73"/>
      <c r="P95" s="73"/>
      <c r="Q95" s="73"/>
      <c r="R95" s="73"/>
      <c r="S95" s="73"/>
      <c r="T95" s="73"/>
      <c r="U95" s="73"/>
      <c r="V95" s="73"/>
      <c r="W95" s="73"/>
      <c r="X95" s="140" t="s">
        <v>563</v>
      </c>
      <c r="Y95" s="140" t="s">
        <v>7243</v>
      </c>
      <c r="Z95" s="73"/>
      <c r="AA95" s="73"/>
    </row>
    <row r="96" spans="1:27" ht="15">
      <c r="A96" s="96">
        <v>45243</v>
      </c>
      <c r="B96" t="s">
        <v>2844</v>
      </c>
      <c r="C96" t="s">
        <v>670</v>
      </c>
      <c r="D96"/>
      <c r="E96" t="s">
        <v>7293</v>
      </c>
      <c r="F96"/>
      <c r="G96" t="s">
        <v>2846</v>
      </c>
      <c r="H96" t="s">
        <v>7292</v>
      </c>
      <c r="I96" t="s">
        <v>2847</v>
      </c>
      <c r="J96" t="s">
        <v>2364</v>
      </c>
      <c r="K96" t="s">
        <v>2364</v>
      </c>
      <c r="L96" t="s">
        <v>518</v>
      </c>
      <c r="M96" t="s">
        <v>2363</v>
      </c>
      <c r="N96" t="s">
        <v>535</v>
      </c>
      <c r="O96" s="73"/>
      <c r="P96" s="73"/>
      <c r="Q96" s="73"/>
      <c r="R96" s="73"/>
      <c r="S96" s="73"/>
      <c r="T96" s="73"/>
      <c r="U96" s="73"/>
      <c r="V96" s="73"/>
      <c r="W96" s="73"/>
      <c r="X96" s="140"/>
      <c r="Y96" s="140"/>
      <c r="Z96" s="73"/>
      <c r="AA96" s="73">
        <v>2</v>
      </c>
    </row>
    <row r="97" spans="1:27" ht="90">
      <c r="B97"/>
      <c r="C97"/>
      <c r="D97" t="s">
        <v>2842</v>
      </c>
      <c r="E97" t="s">
        <v>2845</v>
      </c>
      <c r="F97" t="s">
        <v>724</v>
      </c>
      <c r="G97" t="s">
        <v>2846</v>
      </c>
      <c r="H97"/>
      <c r="I97"/>
      <c r="J97" t="s">
        <v>2364</v>
      </c>
      <c r="K97" t="s">
        <v>2364</v>
      </c>
      <c r="L97"/>
      <c r="M97"/>
      <c r="N97"/>
      <c r="O97" s="73"/>
      <c r="P97" s="73"/>
      <c r="Q97" s="73"/>
      <c r="R97" s="73"/>
      <c r="S97" s="73"/>
      <c r="T97" s="73"/>
      <c r="U97" s="73"/>
      <c r="V97" s="73"/>
      <c r="W97" s="73"/>
      <c r="X97" s="140" t="s">
        <v>563</v>
      </c>
      <c r="Y97" s="140" t="s">
        <v>7250</v>
      </c>
      <c r="Z97" s="73"/>
      <c r="AA97" s="73"/>
    </row>
    <row r="98" spans="1:27" ht="15">
      <c r="A98" s="96">
        <v>45243</v>
      </c>
      <c r="B98" t="s">
        <v>2128</v>
      </c>
      <c r="C98" t="s">
        <v>670</v>
      </c>
      <c r="D98"/>
      <c r="E98" t="s">
        <v>7294</v>
      </c>
      <c r="F98"/>
      <c r="G98" t="s">
        <v>7295</v>
      </c>
      <c r="H98" t="s">
        <v>7292</v>
      </c>
      <c r="I98" t="s">
        <v>2132</v>
      </c>
      <c r="J98" t="s">
        <v>545</v>
      </c>
      <c r="K98" t="s">
        <v>545</v>
      </c>
      <c r="L98" t="s">
        <v>682</v>
      </c>
      <c r="M98" t="s">
        <v>2131</v>
      </c>
      <c r="N98" t="s">
        <v>535</v>
      </c>
      <c r="O98" s="73"/>
      <c r="P98" s="73"/>
      <c r="Q98" s="73"/>
      <c r="R98" s="73"/>
      <c r="S98" s="73"/>
      <c r="T98" s="73"/>
      <c r="U98" s="73"/>
      <c r="V98" s="73"/>
      <c r="W98" s="73"/>
      <c r="X98" s="137"/>
      <c r="Y98" s="143"/>
      <c r="Z98" s="73"/>
      <c r="AA98" s="73">
        <v>2</v>
      </c>
    </row>
    <row r="99" spans="1:27" ht="30">
      <c r="B99"/>
      <c r="C99"/>
      <c r="D99" t="s">
        <v>2126</v>
      </c>
      <c r="E99" t="s">
        <v>2134</v>
      </c>
      <c r="F99" t="s">
        <v>514</v>
      </c>
      <c r="G99" t="s">
        <v>2135</v>
      </c>
      <c r="H99"/>
      <c r="I99"/>
      <c r="J99" t="s">
        <v>545</v>
      </c>
      <c r="K99" t="s">
        <v>545</v>
      </c>
      <c r="L99"/>
      <c r="M99"/>
      <c r="N99"/>
      <c r="O99" s="73"/>
      <c r="P99" s="73"/>
      <c r="Q99" s="73"/>
      <c r="R99" s="73"/>
      <c r="S99" s="73"/>
      <c r="T99" s="73"/>
      <c r="U99" s="73"/>
      <c r="V99" s="73"/>
      <c r="W99" s="73"/>
      <c r="X99" s="140" t="s">
        <v>563</v>
      </c>
      <c r="Y99" s="140" t="s">
        <v>7266</v>
      </c>
      <c r="Z99" s="73"/>
      <c r="AA99" s="73"/>
    </row>
    <row r="100" spans="1:27" ht="15">
      <c r="B100"/>
      <c r="C100"/>
      <c r="D100" t="s">
        <v>2126</v>
      </c>
      <c r="E100" t="s">
        <v>2134</v>
      </c>
      <c r="F100" t="s">
        <v>514</v>
      </c>
      <c r="G100" t="s">
        <v>2135</v>
      </c>
      <c r="H100"/>
      <c r="I100"/>
      <c r="J100" t="s">
        <v>545</v>
      </c>
      <c r="K100" t="s">
        <v>545</v>
      </c>
      <c r="L100"/>
      <c r="M100"/>
      <c r="N100"/>
      <c r="O100" s="73"/>
      <c r="P100" s="73"/>
      <c r="Q100" s="73"/>
      <c r="R100" s="73"/>
      <c r="S100" s="73"/>
      <c r="T100" s="73"/>
      <c r="U100" s="73"/>
      <c r="V100" s="73"/>
      <c r="W100" s="73"/>
      <c r="X100" s="140" t="s">
        <v>563</v>
      </c>
      <c r="Y100" s="140"/>
      <c r="Z100" s="73"/>
      <c r="AA100" s="73"/>
    </row>
    <row r="101" spans="1:27" ht="15">
      <c r="B101"/>
      <c r="C101"/>
      <c r="D101" t="s">
        <v>2126</v>
      </c>
      <c r="E101" t="s">
        <v>2129</v>
      </c>
      <c r="F101" t="s">
        <v>1163</v>
      </c>
      <c r="G101" t="s">
        <v>2130</v>
      </c>
      <c r="H101"/>
      <c r="I101"/>
      <c r="J101" t="s">
        <v>545</v>
      </c>
      <c r="K101" t="s">
        <v>545</v>
      </c>
      <c r="L101"/>
      <c r="M101"/>
      <c r="N101"/>
      <c r="O101" s="73"/>
      <c r="P101" s="73"/>
      <c r="Q101" s="73"/>
      <c r="R101" s="73"/>
      <c r="S101" s="73"/>
      <c r="T101" s="73"/>
      <c r="U101" s="73"/>
      <c r="V101" s="73"/>
      <c r="W101" s="73"/>
      <c r="X101" s="140" t="s">
        <v>563</v>
      </c>
      <c r="Y101" s="140"/>
      <c r="Z101" s="73"/>
      <c r="AA101" s="73"/>
    </row>
    <row r="102" spans="1:27" ht="15">
      <c r="B102"/>
      <c r="C102"/>
      <c r="D102" t="s">
        <v>2126</v>
      </c>
      <c r="E102" t="s">
        <v>2134</v>
      </c>
      <c r="F102" t="s">
        <v>514</v>
      </c>
      <c r="G102" t="s">
        <v>2135</v>
      </c>
      <c r="H102"/>
      <c r="I102"/>
      <c r="J102" t="s">
        <v>545</v>
      </c>
      <c r="K102" t="s">
        <v>545</v>
      </c>
      <c r="L102"/>
      <c r="M102"/>
      <c r="N102"/>
      <c r="O102" s="73"/>
      <c r="P102" s="73"/>
      <c r="Q102" s="73"/>
      <c r="R102" s="73"/>
      <c r="S102" s="73"/>
      <c r="T102" s="73"/>
      <c r="U102" s="73"/>
      <c r="V102" s="73"/>
      <c r="W102" s="73"/>
      <c r="X102" s="140" t="s">
        <v>563</v>
      </c>
      <c r="Y102" s="140"/>
      <c r="Z102" s="73"/>
      <c r="AA102" s="73"/>
    </row>
    <row r="103" spans="1:27" ht="15">
      <c r="B103"/>
      <c r="C103"/>
      <c r="D103" t="s">
        <v>2126</v>
      </c>
      <c r="E103" t="s">
        <v>2134</v>
      </c>
      <c r="F103" t="s">
        <v>514</v>
      </c>
      <c r="G103" t="s">
        <v>2135</v>
      </c>
      <c r="H103"/>
      <c r="I103"/>
      <c r="J103" t="s">
        <v>545</v>
      </c>
      <c r="K103" t="s">
        <v>545</v>
      </c>
      <c r="L103"/>
      <c r="M103"/>
      <c r="N103"/>
      <c r="O103" s="73"/>
      <c r="P103" s="73"/>
      <c r="Q103" s="73"/>
      <c r="R103" s="73"/>
      <c r="S103" s="73"/>
      <c r="T103" s="73"/>
      <c r="U103" s="73"/>
      <c r="V103" s="73"/>
      <c r="W103" s="73"/>
      <c r="X103" s="140" t="s">
        <v>563</v>
      </c>
      <c r="Y103" s="140"/>
      <c r="Z103" s="73"/>
      <c r="AA103" s="73"/>
    </row>
    <row r="104" spans="1:27" ht="15">
      <c r="A104" s="96">
        <v>45243</v>
      </c>
      <c r="B104" t="s">
        <v>1802</v>
      </c>
      <c r="C104" t="s">
        <v>670</v>
      </c>
      <c r="D104"/>
      <c r="E104" t="s">
        <v>7296</v>
      </c>
      <c r="F104"/>
      <c r="G104" t="s">
        <v>7297</v>
      </c>
      <c r="H104" t="s">
        <v>7292</v>
      </c>
      <c r="I104" t="s">
        <v>1804</v>
      </c>
      <c r="J104" t="s">
        <v>1098</v>
      </c>
      <c r="K104" t="s">
        <v>1098</v>
      </c>
      <c r="L104" t="s">
        <v>518</v>
      </c>
      <c r="M104" t="s">
        <v>1097</v>
      </c>
      <c r="N104" t="s">
        <v>535</v>
      </c>
      <c r="O104" s="73"/>
      <c r="P104" s="73"/>
      <c r="Q104" s="73"/>
      <c r="R104" s="73"/>
      <c r="S104" s="73"/>
      <c r="T104" s="73"/>
      <c r="U104" s="73"/>
      <c r="V104" s="73"/>
      <c r="W104" s="73"/>
      <c r="X104" s="140"/>
      <c r="Y104" s="140"/>
      <c r="Z104" s="73"/>
      <c r="AA104" s="73">
        <v>2</v>
      </c>
    </row>
    <row r="105" spans="1:27" ht="15">
      <c r="B105"/>
      <c r="C105"/>
      <c r="D105" t="s">
        <v>2408</v>
      </c>
      <c r="E105" t="s">
        <v>2410</v>
      </c>
      <c r="F105" t="s">
        <v>514</v>
      </c>
      <c r="G105" t="s">
        <v>2411</v>
      </c>
      <c r="H105"/>
      <c r="I105"/>
      <c r="J105" t="s">
        <v>1098</v>
      </c>
      <c r="K105" t="s">
        <v>1098</v>
      </c>
      <c r="L105"/>
      <c r="M105"/>
      <c r="N105"/>
      <c r="O105" s="73"/>
      <c r="P105" s="73"/>
      <c r="Q105" s="73"/>
      <c r="R105" s="73"/>
      <c r="S105" s="73"/>
      <c r="T105" s="73"/>
      <c r="U105" s="73"/>
      <c r="V105" s="73"/>
      <c r="W105" s="73"/>
      <c r="X105" s="140" t="s">
        <v>526</v>
      </c>
      <c r="Y105" s="140"/>
      <c r="Z105" s="73"/>
      <c r="AA105" s="73"/>
    </row>
    <row r="106" spans="1:27" ht="30">
      <c r="B106"/>
      <c r="C106"/>
      <c r="D106" t="s">
        <v>2696</v>
      </c>
      <c r="E106" t="s">
        <v>2698</v>
      </c>
      <c r="F106" t="s">
        <v>514</v>
      </c>
      <c r="G106" t="s">
        <v>2701</v>
      </c>
      <c r="H106"/>
      <c r="I106"/>
      <c r="J106" t="s">
        <v>1098</v>
      </c>
      <c r="K106" t="s">
        <v>1098</v>
      </c>
      <c r="L106"/>
      <c r="M106"/>
      <c r="N106"/>
      <c r="O106" s="73"/>
      <c r="P106" s="73"/>
      <c r="Q106" s="73"/>
      <c r="R106" s="73"/>
      <c r="S106" s="73"/>
      <c r="T106" s="73"/>
      <c r="U106" s="73"/>
      <c r="V106" s="73"/>
      <c r="W106" s="73"/>
      <c r="X106" s="140" t="s">
        <v>563</v>
      </c>
      <c r="Y106" s="140" t="s">
        <v>7273</v>
      </c>
      <c r="Z106" s="73"/>
      <c r="AA106" s="73"/>
    </row>
    <row r="107" spans="1:27" ht="30">
      <c r="B107"/>
      <c r="C107"/>
      <c r="D107" t="s">
        <v>2696</v>
      </c>
      <c r="E107" t="s">
        <v>2698</v>
      </c>
      <c r="F107" t="s">
        <v>514</v>
      </c>
      <c r="G107" t="s">
        <v>2699</v>
      </c>
      <c r="H107"/>
      <c r="I107"/>
      <c r="J107" t="s">
        <v>1098</v>
      </c>
      <c r="K107" t="s">
        <v>1098</v>
      </c>
      <c r="L107"/>
      <c r="M107"/>
      <c r="N107"/>
      <c r="O107" s="73"/>
      <c r="P107" s="73"/>
      <c r="Q107" s="73"/>
      <c r="R107" s="73"/>
      <c r="S107" s="73"/>
      <c r="T107" s="73"/>
      <c r="U107" s="73"/>
      <c r="V107" s="73"/>
      <c r="W107" s="73"/>
      <c r="X107" s="140" t="s">
        <v>563</v>
      </c>
      <c r="Y107" s="140" t="s">
        <v>7273</v>
      </c>
      <c r="Z107" s="73"/>
      <c r="AA107" s="73"/>
    </row>
    <row r="108" spans="1:27" ht="30">
      <c r="B108"/>
      <c r="C108"/>
      <c r="D108" t="s">
        <v>2717</v>
      </c>
      <c r="E108" t="s">
        <v>2719</v>
      </c>
      <c r="F108" t="s">
        <v>514</v>
      </c>
      <c r="G108" t="s">
        <v>738</v>
      </c>
      <c r="H108"/>
      <c r="I108"/>
      <c r="J108" t="s">
        <v>1098</v>
      </c>
      <c r="K108" t="s">
        <v>1098</v>
      </c>
      <c r="L108"/>
      <c r="M108"/>
      <c r="N108"/>
      <c r="O108" s="73"/>
      <c r="P108" s="73"/>
      <c r="Q108" s="73"/>
      <c r="R108" s="73"/>
      <c r="S108" s="73"/>
      <c r="T108" s="73"/>
      <c r="U108" s="73"/>
      <c r="V108" s="73"/>
      <c r="W108" s="73"/>
      <c r="X108" s="140" t="s">
        <v>563</v>
      </c>
      <c r="Y108" s="140" t="s">
        <v>7273</v>
      </c>
      <c r="Z108" s="73"/>
      <c r="AA108" s="73"/>
    </row>
    <row r="109" spans="1:27" ht="30">
      <c r="B109"/>
      <c r="C109"/>
      <c r="D109" t="s">
        <v>1987</v>
      </c>
      <c r="E109" t="s">
        <v>1991</v>
      </c>
      <c r="F109" t="s">
        <v>724</v>
      </c>
      <c r="G109" t="s">
        <v>1992</v>
      </c>
      <c r="H109"/>
      <c r="I109"/>
      <c r="J109" t="s">
        <v>1098</v>
      </c>
      <c r="K109" t="s">
        <v>1098</v>
      </c>
      <c r="L109"/>
      <c r="M109"/>
      <c r="N109"/>
      <c r="O109" s="73"/>
      <c r="P109" s="73"/>
      <c r="Q109" s="73"/>
      <c r="R109" s="73"/>
      <c r="S109" s="73"/>
      <c r="T109" s="73"/>
      <c r="U109" s="73"/>
      <c r="V109" s="73"/>
      <c r="W109" s="73"/>
      <c r="X109" s="140" t="s">
        <v>563</v>
      </c>
      <c r="Y109" s="140" t="s">
        <v>7273</v>
      </c>
      <c r="Z109" s="73"/>
      <c r="AA109" s="73"/>
    </row>
    <row r="110" spans="1:27" ht="30">
      <c r="B110"/>
      <c r="C110"/>
      <c r="D110" t="s">
        <v>1800</v>
      </c>
      <c r="E110" t="s">
        <v>1803</v>
      </c>
      <c r="F110" t="s">
        <v>514</v>
      </c>
      <c r="G110" t="s">
        <v>704</v>
      </c>
      <c r="H110"/>
      <c r="I110"/>
      <c r="J110" t="s">
        <v>1098</v>
      </c>
      <c r="K110" t="s">
        <v>1098</v>
      </c>
      <c r="L110"/>
      <c r="M110"/>
      <c r="N110"/>
      <c r="O110" s="73"/>
      <c r="P110" s="73"/>
      <c r="Q110" s="73"/>
      <c r="R110" s="73"/>
      <c r="S110" s="73"/>
      <c r="T110" s="73"/>
      <c r="U110" s="73"/>
      <c r="V110" s="73"/>
      <c r="W110" s="73"/>
      <c r="X110" s="140" t="s">
        <v>563</v>
      </c>
      <c r="Y110" s="140" t="s">
        <v>7266</v>
      </c>
      <c r="Z110" s="73"/>
      <c r="AA110" s="73"/>
    </row>
    <row r="111" spans="1:27" ht="30">
      <c r="B111"/>
      <c r="C111"/>
      <c r="D111" t="s">
        <v>1987</v>
      </c>
      <c r="E111" t="s">
        <v>1989</v>
      </c>
      <c r="F111" t="s">
        <v>1456</v>
      </c>
      <c r="G111" t="s">
        <v>1171</v>
      </c>
      <c r="H111"/>
      <c r="I111"/>
      <c r="J111" t="s">
        <v>1098</v>
      </c>
      <c r="K111" t="s">
        <v>1098</v>
      </c>
      <c r="L111"/>
      <c r="M111"/>
      <c r="N111"/>
      <c r="O111" s="73"/>
      <c r="P111" s="73"/>
      <c r="Q111" s="73"/>
      <c r="R111" s="73"/>
      <c r="S111" s="73"/>
      <c r="T111" s="73"/>
      <c r="U111" s="73"/>
      <c r="V111" s="73"/>
      <c r="W111" s="73"/>
      <c r="X111" s="140" t="s">
        <v>563</v>
      </c>
      <c r="Y111" s="140" t="s">
        <v>7273</v>
      </c>
      <c r="Z111" s="73"/>
      <c r="AA111" s="73"/>
    </row>
    <row r="112" spans="1:27" ht="15">
      <c r="A112" s="96">
        <v>45243</v>
      </c>
      <c r="B112" t="s">
        <v>2440</v>
      </c>
      <c r="C112" t="s">
        <v>670</v>
      </c>
      <c r="D112"/>
      <c r="E112" t="s">
        <v>7298</v>
      </c>
      <c r="F112"/>
      <c r="G112" t="s">
        <v>2442</v>
      </c>
      <c r="H112" t="s">
        <v>7292</v>
      </c>
      <c r="I112" t="s">
        <v>2444</v>
      </c>
      <c r="J112" t="s">
        <v>607</v>
      </c>
      <c r="K112" t="s">
        <v>607</v>
      </c>
      <c r="L112" t="s">
        <v>682</v>
      </c>
      <c r="M112" t="s">
        <v>2443</v>
      </c>
      <c r="N112" t="s">
        <v>535</v>
      </c>
      <c r="O112" s="73"/>
      <c r="P112" s="73"/>
      <c r="Q112" s="73"/>
      <c r="R112" s="73"/>
      <c r="S112" s="73"/>
      <c r="T112" s="73"/>
      <c r="U112" s="73"/>
      <c r="V112" s="73"/>
      <c r="W112" s="73"/>
      <c r="X112" s="140"/>
      <c r="Y112" s="140"/>
      <c r="Z112" s="73"/>
      <c r="AA112" s="73">
        <v>2</v>
      </c>
    </row>
    <row r="113" spans="1:27" ht="30">
      <c r="B113"/>
      <c r="C113"/>
      <c r="D113" t="s">
        <v>2438</v>
      </c>
      <c r="E113" t="s">
        <v>2441</v>
      </c>
      <c r="F113" t="s">
        <v>1077</v>
      </c>
      <c r="G113" t="s">
        <v>2442</v>
      </c>
      <c r="H113"/>
      <c r="I113"/>
      <c r="J113" t="s">
        <v>607</v>
      </c>
      <c r="K113" t="s">
        <v>607</v>
      </c>
      <c r="L113"/>
      <c r="M113"/>
      <c r="N113"/>
      <c r="O113" s="73"/>
      <c r="P113" s="73"/>
      <c r="Q113" s="73"/>
      <c r="R113" s="73"/>
      <c r="S113" s="73"/>
      <c r="T113" s="73"/>
      <c r="U113" s="73"/>
      <c r="V113" s="73"/>
      <c r="W113" s="73"/>
      <c r="X113" s="140" t="s">
        <v>563</v>
      </c>
      <c r="Y113" s="140" t="s">
        <v>7266</v>
      </c>
      <c r="Z113" s="73"/>
      <c r="AA113" s="73"/>
    </row>
    <row r="114" spans="1:27" ht="15">
      <c r="A114" s="96">
        <v>45243</v>
      </c>
      <c r="B114" t="s">
        <v>1068</v>
      </c>
      <c r="C114" t="s">
        <v>1071</v>
      </c>
      <c r="D114"/>
      <c r="E114" t="s">
        <v>7299</v>
      </c>
      <c r="F114"/>
      <c r="G114" t="s">
        <v>1063</v>
      </c>
      <c r="H114" t="s">
        <v>7292</v>
      </c>
      <c r="I114" t="s">
        <v>1070</v>
      </c>
      <c r="J114" t="s">
        <v>582</v>
      </c>
      <c r="K114" t="s">
        <v>582</v>
      </c>
      <c r="L114" t="s">
        <v>518</v>
      </c>
      <c r="M114" t="s">
        <v>580</v>
      </c>
      <c r="N114" t="s">
        <v>520</v>
      </c>
      <c r="O114" s="73"/>
      <c r="P114" s="73"/>
      <c r="Q114" s="73"/>
      <c r="R114" s="73"/>
      <c r="S114" s="73"/>
      <c r="T114" s="73"/>
      <c r="U114" s="73"/>
      <c r="V114" s="73"/>
      <c r="W114" s="73"/>
      <c r="X114" s="140"/>
      <c r="Y114" s="140"/>
      <c r="Z114" s="73"/>
      <c r="AA114" s="73">
        <v>2</v>
      </c>
    </row>
    <row r="115" spans="1:27" ht="15">
      <c r="B115"/>
      <c r="C115"/>
      <c r="D115" t="s">
        <v>1054</v>
      </c>
      <c r="E115" t="s">
        <v>1069</v>
      </c>
      <c r="F115" t="s">
        <v>657</v>
      </c>
      <c r="G115" t="s">
        <v>1063</v>
      </c>
      <c r="H115"/>
      <c r="I115"/>
      <c r="J115" t="s">
        <v>582</v>
      </c>
      <c r="K115" t="s">
        <v>582</v>
      </c>
      <c r="L115"/>
      <c r="M115"/>
      <c r="N115"/>
      <c r="O115" s="73"/>
      <c r="P115" s="73"/>
      <c r="Q115" s="73"/>
      <c r="R115" s="73"/>
      <c r="S115" s="73"/>
      <c r="T115" s="73"/>
      <c r="U115" s="73"/>
      <c r="V115" s="73"/>
      <c r="W115" s="73"/>
      <c r="X115" s="140" t="s">
        <v>526</v>
      </c>
      <c r="Y115" s="140"/>
      <c r="Z115" s="73"/>
      <c r="AA115" s="73"/>
    </row>
    <row r="116" spans="1:27" ht="15">
      <c r="A116" s="96">
        <v>45243</v>
      </c>
      <c r="B116" t="s">
        <v>1908</v>
      </c>
      <c r="C116" t="s">
        <v>1913</v>
      </c>
      <c r="D116"/>
      <c r="E116" t="s">
        <v>7300</v>
      </c>
      <c r="F116"/>
      <c r="G116" t="s">
        <v>1911</v>
      </c>
      <c r="H116" t="s">
        <v>7301</v>
      </c>
      <c r="I116" t="s">
        <v>1912</v>
      </c>
      <c r="J116" t="s">
        <v>1431</v>
      </c>
      <c r="K116" t="s">
        <v>1431</v>
      </c>
      <c r="L116" t="s">
        <v>518</v>
      </c>
      <c r="M116" t="s">
        <v>1429</v>
      </c>
      <c r="N116" t="s">
        <v>535</v>
      </c>
      <c r="O116" s="73"/>
      <c r="P116" s="73"/>
      <c r="Q116" s="73"/>
      <c r="R116" s="73"/>
      <c r="S116" s="73"/>
      <c r="T116" s="73"/>
      <c r="U116" s="73"/>
      <c r="V116" s="73"/>
      <c r="W116" s="73"/>
      <c r="X116" s="140"/>
      <c r="Y116" s="140"/>
      <c r="Z116" s="73"/>
      <c r="AA116" s="73">
        <v>2</v>
      </c>
    </row>
    <row r="117" spans="1:27" ht="45">
      <c r="B117"/>
      <c r="C117"/>
      <c r="D117" t="s">
        <v>1906</v>
      </c>
      <c r="E117" t="s">
        <v>1909</v>
      </c>
      <c r="F117" t="s">
        <v>1910</v>
      </c>
      <c r="G117" t="s">
        <v>1911</v>
      </c>
      <c r="H117"/>
      <c r="I117"/>
      <c r="J117" t="s">
        <v>1431</v>
      </c>
      <c r="K117" t="s">
        <v>1431</v>
      </c>
      <c r="L117"/>
      <c r="M117"/>
      <c r="N117"/>
      <c r="O117" s="73"/>
      <c r="P117" s="73"/>
      <c r="Q117" s="73"/>
      <c r="R117" s="73"/>
      <c r="S117" s="73"/>
      <c r="T117" s="73"/>
      <c r="U117" s="73"/>
      <c r="V117" s="73"/>
      <c r="W117" s="73"/>
      <c r="X117" s="140" t="s">
        <v>563</v>
      </c>
      <c r="Y117" s="140" t="s">
        <v>7302</v>
      </c>
      <c r="Z117" s="73"/>
      <c r="AA117" s="73"/>
    </row>
    <row r="118" spans="1:27" ht="15">
      <c r="A118" s="96">
        <v>45243</v>
      </c>
      <c r="B118" t="s">
        <v>2786</v>
      </c>
      <c r="C118" t="s">
        <v>1418</v>
      </c>
      <c r="D118"/>
      <c r="E118" t="s">
        <v>7303</v>
      </c>
      <c r="F118"/>
      <c r="G118" t="s">
        <v>555</v>
      </c>
      <c r="H118" t="s">
        <v>7304</v>
      </c>
      <c r="I118" t="s">
        <v>2789</v>
      </c>
      <c r="J118" t="s">
        <v>733</v>
      </c>
      <c r="K118" t="s">
        <v>733</v>
      </c>
      <c r="L118" t="s">
        <v>518</v>
      </c>
      <c r="M118" t="s">
        <v>1769</v>
      </c>
      <c r="N118" t="s">
        <v>605</v>
      </c>
      <c r="O118" s="73"/>
      <c r="P118" s="73"/>
      <c r="Q118" s="73"/>
      <c r="R118" s="73"/>
      <c r="S118" s="73"/>
      <c r="T118" s="73"/>
      <c r="U118" s="73"/>
      <c r="V118" s="73"/>
      <c r="W118" s="73"/>
      <c r="X118" s="137"/>
      <c r="Y118" s="143"/>
      <c r="Z118" s="73"/>
      <c r="AA118" s="73">
        <v>2</v>
      </c>
    </row>
    <row r="119" spans="1:27" ht="26.25">
      <c r="B119"/>
      <c r="C119"/>
      <c r="D119" t="s">
        <v>2784</v>
      </c>
      <c r="E119" t="s">
        <v>2787</v>
      </c>
      <c r="F119" t="s">
        <v>724</v>
      </c>
      <c r="G119" t="s">
        <v>555</v>
      </c>
      <c r="H119"/>
      <c r="I119"/>
      <c r="J119" t="s">
        <v>733</v>
      </c>
      <c r="K119" t="s">
        <v>733</v>
      </c>
      <c r="L119"/>
      <c r="M119"/>
      <c r="N119"/>
      <c r="O119" s="73"/>
      <c r="P119" s="73"/>
      <c r="Q119" s="73"/>
      <c r="R119" s="73"/>
      <c r="S119" s="73"/>
      <c r="T119" s="73"/>
      <c r="U119" s="73"/>
      <c r="V119" s="73"/>
      <c r="W119" s="73"/>
      <c r="X119" s="137" t="s">
        <v>526</v>
      </c>
      <c r="Y119" s="143" t="s">
        <v>7277</v>
      </c>
      <c r="Z119" s="73"/>
      <c r="AA119" s="73"/>
    </row>
    <row r="120" spans="1:27" ht="15">
      <c r="A120" s="96">
        <v>45243</v>
      </c>
      <c r="B120" t="s">
        <v>2252</v>
      </c>
      <c r="C120" t="s">
        <v>670</v>
      </c>
      <c r="D120"/>
      <c r="E120" t="s">
        <v>7305</v>
      </c>
      <c r="F120"/>
      <c r="G120" t="s">
        <v>2254</v>
      </c>
      <c r="H120" t="s">
        <v>7306</v>
      </c>
      <c r="I120" t="s">
        <v>2255</v>
      </c>
      <c r="J120" t="s">
        <v>1015</v>
      </c>
      <c r="K120" t="s">
        <v>1015</v>
      </c>
      <c r="L120" t="s">
        <v>518</v>
      </c>
      <c r="M120" t="s">
        <v>1013</v>
      </c>
      <c r="N120" t="s">
        <v>535</v>
      </c>
      <c r="O120" s="73"/>
      <c r="P120" s="73"/>
      <c r="Q120" s="73"/>
      <c r="R120" s="73"/>
      <c r="S120" s="73"/>
      <c r="T120" s="73"/>
      <c r="U120" s="73"/>
      <c r="V120" s="73"/>
      <c r="W120" s="73"/>
      <c r="X120" s="137"/>
      <c r="Y120" s="143"/>
      <c r="Z120" s="73"/>
      <c r="AA120" s="73">
        <v>2</v>
      </c>
    </row>
    <row r="121" spans="1:27" ht="115.5">
      <c r="B121"/>
      <c r="C121"/>
      <c r="D121" t="s">
        <v>2250</v>
      </c>
      <c r="E121" t="s">
        <v>2253</v>
      </c>
      <c r="F121" t="s">
        <v>979</v>
      </c>
      <c r="G121" t="s">
        <v>2254</v>
      </c>
      <c r="H121"/>
      <c r="I121"/>
      <c r="J121" t="s">
        <v>1015</v>
      </c>
      <c r="K121" t="s">
        <v>1015</v>
      </c>
      <c r="L121"/>
      <c r="M121"/>
      <c r="N121"/>
      <c r="O121" s="73"/>
      <c r="P121" s="73"/>
      <c r="Q121" s="73"/>
      <c r="R121" s="73"/>
      <c r="S121" s="73"/>
      <c r="T121" s="73"/>
      <c r="U121" s="73"/>
      <c r="V121" s="73"/>
      <c r="W121" s="73"/>
      <c r="X121" s="137" t="s">
        <v>563</v>
      </c>
      <c r="Y121" s="143" t="s">
        <v>7307</v>
      </c>
      <c r="Z121" s="73"/>
      <c r="AA121" s="73"/>
    </row>
    <row r="122" spans="1:27" ht="15">
      <c r="A122" s="96">
        <v>45243</v>
      </c>
      <c r="B122" t="s">
        <v>2043</v>
      </c>
      <c r="C122" t="s">
        <v>670</v>
      </c>
      <c r="D122"/>
      <c r="E122" t="s">
        <v>7308</v>
      </c>
      <c r="F122"/>
      <c r="G122" t="s">
        <v>2045</v>
      </c>
      <c r="H122" t="s">
        <v>7306</v>
      </c>
      <c r="I122" t="s">
        <v>2046</v>
      </c>
      <c r="J122" t="s">
        <v>1098</v>
      </c>
      <c r="K122" t="s">
        <v>1098</v>
      </c>
      <c r="L122" t="s">
        <v>518</v>
      </c>
      <c r="M122" t="s">
        <v>1097</v>
      </c>
      <c r="N122" t="s">
        <v>535</v>
      </c>
      <c r="O122" s="73"/>
      <c r="P122" s="73"/>
      <c r="Q122" s="73"/>
      <c r="R122" s="73"/>
      <c r="S122" s="73"/>
      <c r="T122" s="73"/>
      <c r="U122" s="73"/>
      <c r="V122" s="73"/>
      <c r="W122" s="73"/>
      <c r="X122" s="137"/>
      <c r="Y122" s="143"/>
      <c r="Z122" s="73"/>
      <c r="AA122" s="73">
        <v>2</v>
      </c>
    </row>
    <row r="123" spans="1:27" ht="115.5">
      <c r="B123"/>
      <c r="C123"/>
      <c r="D123" t="s">
        <v>2041</v>
      </c>
      <c r="E123" t="s">
        <v>2044</v>
      </c>
      <c r="F123" t="s">
        <v>1077</v>
      </c>
      <c r="G123" t="s">
        <v>2045</v>
      </c>
      <c r="H123"/>
      <c r="I123"/>
      <c r="J123" t="s">
        <v>1098</v>
      </c>
      <c r="K123" t="s">
        <v>1098</v>
      </c>
      <c r="L123"/>
      <c r="M123"/>
      <c r="N123"/>
      <c r="O123" s="73"/>
      <c r="P123" s="73"/>
      <c r="Q123" s="73"/>
      <c r="R123" s="73"/>
      <c r="S123" s="73"/>
      <c r="T123" s="73"/>
      <c r="U123" s="73"/>
      <c r="V123" s="73"/>
      <c r="W123" s="73"/>
      <c r="X123" s="137" t="s">
        <v>563</v>
      </c>
      <c r="Y123" s="143" t="s">
        <v>7309</v>
      </c>
      <c r="Z123" s="73"/>
      <c r="AA123" s="73"/>
    </row>
    <row r="124" spans="1:27" ht="15">
      <c r="A124" s="96">
        <v>45243</v>
      </c>
      <c r="B124" t="s">
        <v>1411</v>
      </c>
      <c r="C124" t="s">
        <v>1418</v>
      </c>
      <c r="D124"/>
      <c r="E124" t="s">
        <v>7310</v>
      </c>
      <c r="F124"/>
      <c r="G124" t="s">
        <v>1413</v>
      </c>
      <c r="H124" t="s">
        <v>7306</v>
      </c>
      <c r="I124" t="s">
        <v>1417</v>
      </c>
      <c r="J124" t="s">
        <v>733</v>
      </c>
      <c r="K124" t="s">
        <v>733</v>
      </c>
      <c r="L124" t="s">
        <v>518</v>
      </c>
      <c r="M124" t="s">
        <v>731</v>
      </c>
      <c r="N124" t="s">
        <v>535</v>
      </c>
      <c r="O124" s="73"/>
      <c r="P124" s="73"/>
      <c r="Q124" s="73"/>
      <c r="R124" s="73"/>
      <c r="S124" s="73"/>
      <c r="T124" s="73"/>
      <c r="U124" s="73"/>
      <c r="V124" s="73"/>
      <c r="W124" s="73"/>
      <c r="X124" s="137"/>
      <c r="Y124" s="143"/>
      <c r="Z124" s="73"/>
      <c r="AA124" s="73">
        <v>2</v>
      </c>
    </row>
    <row r="125" spans="1:27" ht="115.5">
      <c r="B125"/>
      <c r="C125"/>
      <c r="D125" t="s">
        <v>7311</v>
      </c>
      <c r="E125" t="s">
        <v>1412</v>
      </c>
      <c r="F125" t="s">
        <v>648</v>
      </c>
      <c r="G125" t="s">
        <v>1413</v>
      </c>
      <c r="H125"/>
      <c r="I125"/>
      <c r="J125" t="s">
        <v>733</v>
      </c>
      <c r="K125" t="s">
        <v>733</v>
      </c>
      <c r="L125"/>
      <c r="M125"/>
      <c r="N125"/>
      <c r="O125" s="73"/>
      <c r="P125" s="73"/>
      <c r="Q125" s="73"/>
      <c r="R125" s="73"/>
      <c r="S125" s="73"/>
      <c r="T125" s="73"/>
      <c r="U125" s="73"/>
      <c r="V125" s="73"/>
      <c r="W125" s="73"/>
      <c r="X125" s="137" t="s">
        <v>563</v>
      </c>
      <c r="Y125" s="143" t="s">
        <v>7312</v>
      </c>
      <c r="Z125" s="73"/>
      <c r="AA125" s="73"/>
    </row>
    <row r="126" spans="1:27" ht="15">
      <c r="A126" s="96">
        <v>45243</v>
      </c>
      <c r="B126" t="s">
        <v>2367</v>
      </c>
      <c r="C126" t="s">
        <v>670</v>
      </c>
      <c r="D126"/>
      <c r="E126" t="s">
        <v>7313</v>
      </c>
      <c r="F126"/>
      <c r="G126" t="s">
        <v>7314</v>
      </c>
      <c r="H126" t="s">
        <v>7306</v>
      </c>
      <c r="I126" t="s">
        <v>2370</v>
      </c>
      <c r="J126" t="s">
        <v>2364</v>
      </c>
      <c r="K126" t="s">
        <v>2364</v>
      </c>
      <c r="L126" t="s">
        <v>518</v>
      </c>
      <c r="M126" t="s">
        <v>2363</v>
      </c>
      <c r="N126" t="s">
        <v>605</v>
      </c>
      <c r="O126" s="73"/>
      <c r="P126" s="73"/>
      <c r="Q126" s="73"/>
      <c r="R126" s="73"/>
      <c r="S126" s="73"/>
      <c r="T126" s="73"/>
      <c r="U126" s="73"/>
      <c r="V126" s="73"/>
      <c r="W126" s="73"/>
      <c r="X126" s="137"/>
      <c r="Y126" s="143"/>
      <c r="Z126" s="73"/>
      <c r="AA126" s="73">
        <v>2</v>
      </c>
    </row>
    <row r="127" spans="1:27" ht="51.75">
      <c r="B127"/>
      <c r="C127"/>
      <c r="D127" t="s">
        <v>2361</v>
      </c>
      <c r="E127" t="s">
        <v>2368</v>
      </c>
      <c r="F127" t="s">
        <v>958</v>
      </c>
      <c r="G127" t="s">
        <v>2369</v>
      </c>
      <c r="H127"/>
      <c r="I127"/>
      <c r="J127" t="s">
        <v>2364</v>
      </c>
      <c r="K127" t="s">
        <v>2364</v>
      </c>
      <c r="L127"/>
      <c r="M127"/>
      <c r="N127"/>
      <c r="O127" s="73"/>
      <c r="P127" s="73"/>
      <c r="Q127" s="73"/>
      <c r="R127" s="73"/>
      <c r="S127" s="73"/>
      <c r="T127" s="73"/>
      <c r="U127" s="73"/>
      <c r="V127" s="73"/>
      <c r="W127" s="73"/>
      <c r="X127" s="137" t="s">
        <v>563</v>
      </c>
      <c r="Y127" s="143" t="s">
        <v>7315</v>
      </c>
      <c r="Z127" s="73"/>
      <c r="AA127" s="73"/>
    </row>
    <row r="128" spans="1:27" ht="26.25">
      <c r="B128"/>
      <c r="C128"/>
      <c r="D128" t="s">
        <v>2361</v>
      </c>
      <c r="E128" t="s">
        <v>2381</v>
      </c>
      <c r="F128" t="s">
        <v>514</v>
      </c>
      <c r="G128" t="s">
        <v>848</v>
      </c>
      <c r="H128"/>
      <c r="I128"/>
      <c r="J128" t="s">
        <v>2364</v>
      </c>
      <c r="K128" t="s">
        <v>2364</v>
      </c>
      <c r="L128"/>
      <c r="M128"/>
      <c r="N128"/>
      <c r="O128" s="73"/>
      <c r="P128" s="73"/>
      <c r="Q128" s="73"/>
      <c r="R128" s="73"/>
      <c r="S128" s="73"/>
      <c r="T128" s="73"/>
      <c r="U128" s="73"/>
      <c r="V128" s="73"/>
      <c r="W128" s="73"/>
      <c r="X128" s="137" t="s">
        <v>526</v>
      </c>
      <c r="Y128" s="143" t="s">
        <v>7277</v>
      </c>
      <c r="Z128" s="73"/>
      <c r="AA128" s="73"/>
    </row>
    <row r="129" spans="1:27" ht="15">
      <c r="A129" s="96">
        <v>45243</v>
      </c>
      <c r="B129" t="s">
        <v>2854</v>
      </c>
      <c r="C129" t="s">
        <v>1071</v>
      </c>
      <c r="D129"/>
      <c r="E129" t="s">
        <v>7316</v>
      </c>
      <c r="F129"/>
      <c r="G129" t="s">
        <v>2856</v>
      </c>
      <c r="H129" t="s">
        <v>7306</v>
      </c>
      <c r="I129" t="s">
        <v>2857</v>
      </c>
      <c r="J129" t="s">
        <v>651</v>
      </c>
      <c r="K129" t="s">
        <v>651</v>
      </c>
      <c r="L129" t="s">
        <v>518</v>
      </c>
      <c r="M129" t="s">
        <v>1199</v>
      </c>
      <c r="N129" t="s">
        <v>535</v>
      </c>
      <c r="O129" s="73"/>
      <c r="P129" s="73"/>
      <c r="Q129" s="73"/>
      <c r="R129" s="73"/>
      <c r="S129" s="73"/>
      <c r="T129" s="73"/>
      <c r="U129" s="73"/>
      <c r="V129" s="73"/>
      <c r="W129" s="73"/>
      <c r="X129" s="137"/>
      <c r="Y129" s="143"/>
      <c r="Z129" s="73"/>
      <c r="AA129" s="73">
        <v>2</v>
      </c>
    </row>
    <row r="130" spans="1:27" ht="45">
      <c r="B130"/>
      <c r="C130"/>
      <c r="D130" t="s">
        <v>2852</v>
      </c>
      <c r="E130" t="s">
        <v>2855</v>
      </c>
      <c r="F130" t="s">
        <v>724</v>
      </c>
      <c r="G130" t="s">
        <v>2856</v>
      </c>
      <c r="H130"/>
      <c r="I130"/>
      <c r="J130" t="s">
        <v>651</v>
      </c>
      <c r="K130" t="s">
        <v>651</v>
      </c>
      <c r="L130"/>
      <c r="M130"/>
      <c r="N130"/>
      <c r="O130" s="73"/>
      <c r="P130" s="73"/>
      <c r="Q130" s="73"/>
      <c r="R130" s="73"/>
      <c r="S130" s="73"/>
      <c r="T130" s="73"/>
      <c r="U130" s="73"/>
      <c r="V130" s="73"/>
      <c r="W130" s="73"/>
      <c r="X130" s="140" t="s">
        <v>563</v>
      </c>
      <c r="Y130" s="140" t="s">
        <v>7238</v>
      </c>
      <c r="Z130" s="73"/>
      <c r="AA130" s="73"/>
    </row>
    <row r="131" spans="1:27" ht="15">
      <c r="A131" s="96">
        <v>45243</v>
      </c>
      <c r="B131" t="s">
        <v>1860</v>
      </c>
      <c r="C131" t="s">
        <v>670</v>
      </c>
      <c r="D131"/>
      <c r="E131" t="s">
        <v>7317</v>
      </c>
      <c r="F131"/>
      <c r="G131" t="s">
        <v>1862</v>
      </c>
      <c r="H131" t="s">
        <v>7306</v>
      </c>
      <c r="I131" t="s">
        <v>1863</v>
      </c>
      <c r="J131" t="s">
        <v>1857</v>
      </c>
      <c r="K131" t="s">
        <v>1857</v>
      </c>
      <c r="L131" t="s">
        <v>518</v>
      </c>
      <c r="M131" t="s">
        <v>1856</v>
      </c>
      <c r="N131" t="s">
        <v>535</v>
      </c>
      <c r="O131" s="73"/>
      <c r="P131" s="73"/>
      <c r="Q131" s="73"/>
      <c r="R131" s="73"/>
      <c r="S131" s="73"/>
      <c r="T131" s="73"/>
      <c r="U131" s="73"/>
      <c r="V131" s="73"/>
      <c r="W131" s="73"/>
      <c r="X131" s="140"/>
      <c r="Y131" s="140"/>
      <c r="Z131" s="73"/>
      <c r="AA131" s="73">
        <v>2</v>
      </c>
    </row>
    <row r="132" spans="1:27" ht="90">
      <c r="B132"/>
      <c r="C132"/>
      <c r="D132" t="s">
        <v>1851</v>
      </c>
      <c r="E132" t="s">
        <v>1861</v>
      </c>
      <c r="F132" t="s">
        <v>514</v>
      </c>
      <c r="G132" t="s">
        <v>1862</v>
      </c>
      <c r="H132"/>
      <c r="I132"/>
      <c r="J132" t="s">
        <v>1857</v>
      </c>
      <c r="K132" t="s">
        <v>1857</v>
      </c>
      <c r="L132"/>
      <c r="M132"/>
      <c r="N132"/>
      <c r="O132" s="73"/>
      <c r="P132" s="73"/>
      <c r="Q132" s="73"/>
      <c r="R132" s="73"/>
      <c r="S132" s="73"/>
      <c r="T132" s="73"/>
      <c r="U132" s="73"/>
      <c r="V132" s="73"/>
      <c r="W132" s="73"/>
      <c r="X132" s="140" t="s">
        <v>563</v>
      </c>
      <c r="Y132" s="140" t="s">
        <v>7250</v>
      </c>
      <c r="Z132" s="73"/>
      <c r="AA132" s="73"/>
    </row>
    <row r="133" spans="1:27" ht="15">
      <c r="A133" s="96">
        <v>45243</v>
      </c>
      <c r="B133" t="s">
        <v>2436</v>
      </c>
      <c r="C133" t="s">
        <v>670</v>
      </c>
      <c r="D133"/>
      <c r="E133" t="s">
        <v>7260</v>
      </c>
      <c r="F133"/>
      <c r="G133" t="s">
        <v>555</v>
      </c>
      <c r="H133" t="s">
        <v>7306</v>
      </c>
      <c r="I133" t="s">
        <v>2437</v>
      </c>
      <c r="J133" t="s">
        <v>628</v>
      </c>
      <c r="K133" t="s">
        <v>628</v>
      </c>
      <c r="L133" t="s">
        <v>518</v>
      </c>
      <c r="M133" t="s">
        <v>625</v>
      </c>
      <c r="N133" t="s">
        <v>535</v>
      </c>
      <c r="O133" s="73"/>
      <c r="P133" s="73"/>
      <c r="Q133" s="73"/>
      <c r="R133" s="73"/>
      <c r="S133" s="73"/>
      <c r="T133" s="73"/>
      <c r="U133" s="73"/>
      <c r="V133" s="73"/>
      <c r="W133" s="73"/>
      <c r="X133" s="140"/>
      <c r="Y133" s="140"/>
      <c r="Z133" s="73"/>
      <c r="AA133" s="73">
        <v>2</v>
      </c>
    </row>
    <row r="134" spans="1:27" ht="90">
      <c r="B134"/>
      <c r="C134"/>
      <c r="D134" t="s">
        <v>2434</v>
      </c>
      <c r="E134" t="s">
        <v>2432</v>
      </c>
      <c r="F134" t="s">
        <v>724</v>
      </c>
      <c r="G134" t="s">
        <v>555</v>
      </c>
      <c r="H134"/>
      <c r="I134"/>
      <c r="J134" t="s">
        <v>628</v>
      </c>
      <c r="K134" t="s">
        <v>628</v>
      </c>
      <c r="L134"/>
      <c r="M134"/>
      <c r="N134"/>
      <c r="O134" s="73"/>
      <c r="P134" s="73"/>
      <c r="Q134" s="73"/>
      <c r="R134" s="73"/>
      <c r="S134" s="73"/>
      <c r="T134" s="73"/>
      <c r="U134" s="73"/>
      <c r="V134" s="73"/>
      <c r="W134" s="73"/>
      <c r="X134" s="140" t="s">
        <v>563</v>
      </c>
      <c r="Y134" s="140" t="s">
        <v>7243</v>
      </c>
      <c r="Z134" s="73"/>
      <c r="AA134" s="73"/>
    </row>
    <row r="135" spans="1:27" ht="15">
      <c r="A135" s="96">
        <v>45243</v>
      </c>
      <c r="B135" t="s">
        <v>687</v>
      </c>
      <c r="C135" t="s">
        <v>670</v>
      </c>
      <c r="D135"/>
      <c r="E135" t="s">
        <v>7318</v>
      </c>
      <c r="F135"/>
      <c r="G135" t="s">
        <v>689</v>
      </c>
      <c r="H135" t="s">
        <v>7319</v>
      </c>
      <c r="I135" t="s">
        <v>690</v>
      </c>
      <c r="J135" t="s">
        <v>545</v>
      </c>
      <c r="K135" t="s">
        <v>545</v>
      </c>
      <c r="L135" t="s">
        <v>682</v>
      </c>
      <c r="M135" t="s">
        <v>683</v>
      </c>
      <c r="N135" t="s">
        <v>535</v>
      </c>
      <c r="O135" s="73"/>
      <c r="P135" s="73"/>
      <c r="Q135" s="73"/>
      <c r="R135" s="73"/>
      <c r="S135" s="73"/>
      <c r="T135" s="73"/>
      <c r="U135" s="73"/>
      <c r="V135" s="73"/>
      <c r="W135" s="73"/>
      <c r="X135" s="140"/>
      <c r="Y135" s="140"/>
      <c r="Z135" s="73"/>
      <c r="AA135" s="73">
        <v>2</v>
      </c>
    </row>
    <row r="136" spans="1:27" ht="105">
      <c r="B136"/>
      <c r="C136"/>
      <c r="D136" t="s">
        <v>678</v>
      </c>
      <c r="E136" t="s">
        <v>688</v>
      </c>
      <c r="F136" t="s">
        <v>657</v>
      </c>
      <c r="G136" t="s">
        <v>689</v>
      </c>
      <c r="H136"/>
      <c r="I136"/>
      <c r="J136" t="s">
        <v>545</v>
      </c>
      <c r="K136" t="s">
        <v>545</v>
      </c>
      <c r="L136"/>
      <c r="M136"/>
      <c r="N136"/>
      <c r="O136" s="73"/>
      <c r="P136" s="73"/>
      <c r="Q136" s="73"/>
      <c r="R136" s="73"/>
      <c r="S136" s="73"/>
      <c r="T136" s="73"/>
      <c r="U136" s="73"/>
      <c r="V136" s="73"/>
      <c r="W136" s="73"/>
      <c r="X136" s="140" t="s">
        <v>563</v>
      </c>
      <c r="Y136" s="140" t="s">
        <v>7320</v>
      </c>
      <c r="Z136" s="73"/>
      <c r="AA136" s="73"/>
    </row>
    <row r="137" spans="1:27" ht="15">
      <c r="A137" s="96">
        <v>45243</v>
      </c>
      <c r="B137" t="s">
        <v>1661</v>
      </c>
      <c r="C137" t="s">
        <v>670</v>
      </c>
      <c r="D137"/>
      <c r="E137" t="s">
        <v>7321</v>
      </c>
      <c r="F137"/>
      <c r="G137" t="s">
        <v>888</v>
      </c>
      <c r="H137" t="s">
        <v>7319</v>
      </c>
      <c r="I137" t="s">
        <v>1663</v>
      </c>
      <c r="J137" t="s">
        <v>651</v>
      </c>
      <c r="K137" t="s">
        <v>651</v>
      </c>
      <c r="L137" t="s">
        <v>518</v>
      </c>
      <c r="M137" t="s">
        <v>1199</v>
      </c>
      <c r="N137" t="s">
        <v>520</v>
      </c>
      <c r="O137" s="73"/>
      <c r="P137" s="73"/>
      <c r="Q137" s="73"/>
      <c r="R137" s="73"/>
      <c r="S137" s="73"/>
      <c r="T137" s="73"/>
      <c r="U137" s="73"/>
      <c r="V137" s="73"/>
      <c r="W137" s="73"/>
      <c r="X137" s="140"/>
      <c r="Y137" s="140"/>
      <c r="Z137" s="73"/>
      <c r="AA137" s="73">
        <v>2</v>
      </c>
    </row>
    <row r="138" spans="1:27" ht="60">
      <c r="B138"/>
      <c r="C138"/>
      <c r="D138" t="s">
        <v>1632</v>
      </c>
      <c r="E138" t="s">
        <v>1662</v>
      </c>
      <c r="F138" t="s">
        <v>1077</v>
      </c>
      <c r="G138" t="s">
        <v>888</v>
      </c>
      <c r="H138"/>
      <c r="I138"/>
      <c r="J138" t="s">
        <v>651</v>
      </c>
      <c r="K138" t="s">
        <v>651</v>
      </c>
      <c r="L138"/>
      <c r="M138"/>
      <c r="N138"/>
      <c r="O138" s="73"/>
      <c r="P138" s="73"/>
      <c r="Q138" s="73"/>
      <c r="R138" s="73"/>
      <c r="S138" s="73"/>
      <c r="T138" s="73"/>
      <c r="U138" s="73"/>
      <c r="V138" s="73"/>
      <c r="W138" s="73"/>
      <c r="X138" s="140" t="s">
        <v>526</v>
      </c>
      <c r="Y138" s="140" t="s">
        <v>7322</v>
      </c>
      <c r="Z138" s="73"/>
      <c r="AA138" s="73"/>
    </row>
    <row r="139" spans="1:27" ht="15">
      <c r="A139" s="96">
        <v>45243</v>
      </c>
      <c r="B139" t="s">
        <v>1421</v>
      </c>
      <c r="C139" t="s">
        <v>1418</v>
      </c>
      <c r="D139"/>
      <c r="E139" t="s">
        <v>7323</v>
      </c>
      <c r="F139"/>
      <c r="G139" t="s">
        <v>1413</v>
      </c>
      <c r="H139" t="s">
        <v>7319</v>
      </c>
      <c r="I139" t="s">
        <v>1423</v>
      </c>
      <c r="J139" t="s">
        <v>733</v>
      </c>
      <c r="K139" t="s">
        <v>733</v>
      </c>
      <c r="L139" t="s">
        <v>518</v>
      </c>
      <c r="M139" t="s">
        <v>731</v>
      </c>
      <c r="N139" t="s">
        <v>535</v>
      </c>
      <c r="O139" s="73"/>
      <c r="P139" s="73"/>
      <c r="Q139" s="73"/>
      <c r="R139" s="73"/>
      <c r="S139" s="73"/>
      <c r="T139" s="73"/>
      <c r="U139" s="73"/>
      <c r="V139" s="73"/>
      <c r="W139" s="73"/>
      <c r="X139" s="137"/>
      <c r="Y139" s="143"/>
      <c r="Z139" s="73"/>
      <c r="AA139" s="73">
        <v>2</v>
      </c>
    </row>
    <row r="140" spans="1:27" ht="115.5">
      <c r="B140"/>
      <c r="C140"/>
      <c r="D140" t="s">
        <v>7311</v>
      </c>
      <c r="E140" t="s">
        <v>1422</v>
      </c>
      <c r="F140" t="s">
        <v>648</v>
      </c>
      <c r="G140" t="s">
        <v>1413</v>
      </c>
      <c r="H140"/>
      <c r="I140"/>
      <c r="J140" t="s">
        <v>733</v>
      </c>
      <c r="K140" t="s">
        <v>733</v>
      </c>
      <c r="L140"/>
      <c r="M140"/>
      <c r="N140"/>
      <c r="O140" s="73"/>
      <c r="P140" s="73"/>
      <c r="Q140" s="73"/>
      <c r="R140" s="73"/>
      <c r="S140" s="73"/>
      <c r="T140" s="73"/>
      <c r="U140" s="73"/>
      <c r="V140" s="73"/>
      <c r="W140" s="73"/>
      <c r="X140" s="137" t="s">
        <v>563</v>
      </c>
      <c r="Y140" s="143" t="s">
        <v>7324</v>
      </c>
      <c r="Z140" s="73"/>
      <c r="AA140" s="73"/>
    </row>
    <row r="141" spans="1:27" ht="15">
      <c r="A141" s="96">
        <v>45243</v>
      </c>
      <c r="B141" t="s">
        <v>1882</v>
      </c>
      <c r="C141" t="s">
        <v>670</v>
      </c>
      <c r="D141"/>
      <c r="E141" t="s">
        <v>7325</v>
      </c>
      <c r="F141"/>
      <c r="G141" t="s">
        <v>1878</v>
      </c>
      <c r="H141" t="s">
        <v>7319</v>
      </c>
      <c r="I141" t="s">
        <v>1883</v>
      </c>
      <c r="J141" t="s">
        <v>1712</v>
      </c>
      <c r="K141" t="s">
        <v>1712</v>
      </c>
      <c r="L141" t="s">
        <v>518</v>
      </c>
      <c r="M141" t="s">
        <v>1879</v>
      </c>
      <c r="N141" t="s">
        <v>535</v>
      </c>
      <c r="O141" s="73"/>
      <c r="P141" s="73"/>
      <c r="Q141" s="73"/>
      <c r="R141" s="73"/>
      <c r="S141" s="73"/>
      <c r="T141" s="73"/>
      <c r="U141" s="73"/>
      <c r="V141" s="73"/>
      <c r="W141" s="73"/>
      <c r="X141" s="137"/>
      <c r="Y141" s="143"/>
      <c r="Z141" s="73"/>
      <c r="AA141" s="73">
        <v>2</v>
      </c>
    </row>
    <row r="142" spans="1:27" ht="90">
      <c r="B142"/>
      <c r="C142"/>
      <c r="D142" t="s">
        <v>1874</v>
      </c>
      <c r="E142" t="s">
        <v>1877</v>
      </c>
      <c r="F142" t="s">
        <v>1456</v>
      </c>
      <c r="G142" t="s">
        <v>1878</v>
      </c>
      <c r="H142"/>
      <c r="I142"/>
      <c r="J142" t="s">
        <v>1712</v>
      </c>
      <c r="K142" t="s">
        <v>1712</v>
      </c>
      <c r="L142"/>
      <c r="M142"/>
      <c r="N142"/>
      <c r="O142" s="73"/>
      <c r="P142" s="73"/>
      <c r="Q142" s="73"/>
      <c r="R142" s="73"/>
      <c r="S142" s="73"/>
      <c r="T142" s="73"/>
      <c r="U142" s="73"/>
      <c r="V142" s="73"/>
      <c r="W142" s="73"/>
      <c r="X142" s="137" t="s">
        <v>563</v>
      </c>
      <c r="Y142" s="143" t="s">
        <v>7326</v>
      </c>
      <c r="Z142" s="73"/>
      <c r="AA142" s="73"/>
    </row>
    <row r="143" spans="1:27" ht="15">
      <c r="A143" s="96">
        <v>45243</v>
      </c>
      <c r="B143" t="s">
        <v>1752</v>
      </c>
      <c r="C143" t="s">
        <v>670</v>
      </c>
      <c r="D143"/>
      <c r="E143" t="s">
        <v>7254</v>
      </c>
      <c r="F143"/>
      <c r="G143" t="s">
        <v>1754</v>
      </c>
      <c r="H143" t="s">
        <v>7319</v>
      </c>
      <c r="I143" t="s">
        <v>1755</v>
      </c>
      <c r="J143" t="s">
        <v>524</v>
      </c>
      <c r="K143" t="s">
        <v>524</v>
      </c>
      <c r="L143" t="s">
        <v>518</v>
      </c>
      <c r="M143" t="s">
        <v>519</v>
      </c>
      <c r="N143" t="s">
        <v>520</v>
      </c>
      <c r="O143" s="73"/>
      <c r="P143" s="73"/>
      <c r="Q143" s="73"/>
      <c r="R143" s="73"/>
      <c r="S143" s="73"/>
      <c r="T143" s="73"/>
      <c r="U143" s="73"/>
      <c r="V143" s="73"/>
      <c r="W143" s="73"/>
      <c r="X143" s="137"/>
      <c r="Y143" s="143"/>
      <c r="Z143" s="73"/>
      <c r="AA143" s="73">
        <v>2</v>
      </c>
    </row>
    <row r="144" spans="1:27" ht="90">
      <c r="B144"/>
      <c r="C144"/>
      <c r="D144" t="s">
        <v>1744</v>
      </c>
      <c r="E144" t="s">
        <v>1753</v>
      </c>
      <c r="F144" t="s">
        <v>724</v>
      </c>
      <c r="G144" t="s">
        <v>1754</v>
      </c>
      <c r="H144"/>
      <c r="I144"/>
      <c r="J144" t="s">
        <v>524</v>
      </c>
      <c r="K144" t="s">
        <v>524</v>
      </c>
      <c r="L144"/>
      <c r="M144"/>
      <c r="N144"/>
      <c r="O144" s="73"/>
      <c r="P144" s="73"/>
      <c r="Q144" s="73"/>
      <c r="R144" s="73"/>
      <c r="S144" s="73"/>
      <c r="T144" s="73"/>
      <c r="U144" s="73"/>
      <c r="V144" s="73"/>
      <c r="W144" s="73"/>
      <c r="X144" s="137" t="s">
        <v>563</v>
      </c>
      <c r="Y144" s="143" t="s">
        <v>7275</v>
      </c>
      <c r="Z144" s="73"/>
      <c r="AA144" s="73"/>
    </row>
    <row r="145" spans="1:27" ht="15">
      <c r="A145" s="96">
        <v>45243</v>
      </c>
      <c r="B145" t="s">
        <v>2795</v>
      </c>
      <c r="C145" t="s">
        <v>1418</v>
      </c>
      <c r="D145"/>
      <c r="E145" t="s">
        <v>7327</v>
      </c>
      <c r="F145"/>
      <c r="G145" t="s">
        <v>555</v>
      </c>
      <c r="H145" t="s">
        <v>7328</v>
      </c>
      <c r="I145" t="s">
        <v>2797</v>
      </c>
      <c r="J145" t="s">
        <v>733</v>
      </c>
      <c r="K145" t="s">
        <v>733</v>
      </c>
      <c r="L145" t="s">
        <v>518</v>
      </c>
      <c r="M145" t="s">
        <v>1769</v>
      </c>
      <c r="N145" t="s">
        <v>605</v>
      </c>
      <c r="O145" s="73"/>
      <c r="P145" s="73"/>
      <c r="Q145" s="73"/>
      <c r="R145" s="73"/>
      <c r="S145" s="73"/>
      <c r="T145" s="73"/>
      <c r="U145" s="73"/>
      <c r="V145" s="73"/>
      <c r="W145" s="73"/>
      <c r="X145" s="137"/>
      <c r="Y145" s="143"/>
      <c r="Z145" s="73"/>
      <c r="AA145" s="73">
        <v>2</v>
      </c>
    </row>
    <row r="146" spans="1:27" ht="15">
      <c r="B146"/>
      <c r="C146"/>
      <c r="D146" t="s">
        <v>2784</v>
      </c>
      <c r="E146" t="s">
        <v>2796</v>
      </c>
      <c r="F146" t="s">
        <v>514</v>
      </c>
      <c r="G146" t="s">
        <v>555</v>
      </c>
      <c r="H146"/>
      <c r="I146"/>
      <c r="J146" t="s">
        <v>733</v>
      </c>
      <c r="K146" t="s">
        <v>733</v>
      </c>
      <c r="L146"/>
      <c r="M146"/>
      <c r="N146"/>
      <c r="O146" s="73"/>
      <c r="P146" s="73"/>
      <c r="Q146" s="73"/>
      <c r="R146" s="73"/>
      <c r="S146" s="73"/>
      <c r="T146" s="73"/>
      <c r="U146" s="73"/>
      <c r="V146" s="73"/>
      <c r="W146" s="73"/>
      <c r="X146" s="137" t="s">
        <v>526</v>
      </c>
      <c r="Y146" s="143"/>
      <c r="Z146" s="73"/>
      <c r="AA146" s="73"/>
    </row>
    <row r="147" spans="1:27" ht="15">
      <c r="A147" s="96">
        <v>45243</v>
      </c>
      <c r="B147" t="s">
        <v>2791</v>
      </c>
      <c r="C147" t="s">
        <v>1418</v>
      </c>
      <c r="D147"/>
      <c r="E147" t="s">
        <v>7329</v>
      </c>
      <c r="F147"/>
      <c r="G147" t="s">
        <v>555</v>
      </c>
      <c r="H147" t="s">
        <v>7328</v>
      </c>
      <c r="I147" t="s">
        <v>2793</v>
      </c>
      <c r="J147" t="s">
        <v>733</v>
      </c>
      <c r="K147" t="s">
        <v>733</v>
      </c>
      <c r="L147" t="s">
        <v>518</v>
      </c>
      <c r="M147" t="s">
        <v>1769</v>
      </c>
      <c r="N147" t="s">
        <v>605</v>
      </c>
      <c r="O147" s="73"/>
      <c r="P147" s="73"/>
      <c r="Q147" s="73"/>
      <c r="R147" s="73"/>
      <c r="S147" s="73"/>
      <c r="T147" s="73"/>
      <c r="U147" s="73"/>
      <c r="V147" s="73"/>
      <c r="W147" s="73"/>
      <c r="X147" s="137"/>
      <c r="Y147" s="143"/>
      <c r="Z147" s="73"/>
      <c r="AA147" s="73">
        <v>2</v>
      </c>
    </row>
    <row r="148" spans="1:27" ht="15">
      <c r="B148"/>
      <c r="C148"/>
      <c r="D148" t="s">
        <v>2784</v>
      </c>
      <c r="E148" t="s">
        <v>2792</v>
      </c>
      <c r="F148" t="s">
        <v>958</v>
      </c>
      <c r="G148" t="s">
        <v>555</v>
      </c>
      <c r="H148"/>
      <c r="I148"/>
      <c r="J148" t="s">
        <v>733</v>
      </c>
      <c r="K148" t="s">
        <v>733</v>
      </c>
      <c r="L148"/>
      <c r="M148"/>
      <c r="N148"/>
      <c r="O148" s="73"/>
      <c r="P148" s="73"/>
      <c r="Q148" s="73"/>
      <c r="R148" s="73"/>
      <c r="S148" s="73"/>
      <c r="T148" s="73"/>
      <c r="U148" s="73"/>
      <c r="V148" s="73"/>
      <c r="W148" s="73"/>
      <c r="X148" s="137" t="s">
        <v>526</v>
      </c>
      <c r="Y148" s="143"/>
      <c r="Z148" s="73"/>
      <c r="AA148" s="73"/>
    </row>
    <row r="149" spans="1:27" ht="15">
      <c r="A149" s="96">
        <v>45243</v>
      </c>
      <c r="B149" t="s">
        <v>2799</v>
      </c>
      <c r="C149" t="s">
        <v>1418</v>
      </c>
      <c r="D149"/>
      <c r="E149" t="s">
        <v>3120</v>
      </c>
      <c r="F149"/>
      <c r="G149" t="s">
        <v>555</v>
      </c>
      <c r="H149" t="s">
        <v>7328</v>
      </c>
      <c r="I149" t="s">
        <v>2801</v>
      </c>
      <c r="J149" t="s">
        <v>733</v>
      </c>
      <c r="K149" t="s">
        <v>733</v>
      </c>
      <c r="L149" t="s">
        <v>518</v>
      </c>
      <c r="M149" t="s">
        <v>1769</v>
      </c>
      <c r="N149" t="s">
        <v>605</v>
      </c>
      <c r="O149" s="73"/>
      <c r="P149" s="73"/>
      <c r="Q149" s="73"/>
      <c r="R149" s="73"/>
      <c r="S149" s="73"/>
      <c r="T149" s="73"/>
      <c r="U149" s="73"/>
      <c r="V149" s="73"/>
      <c r="W149" s="73"/>
      <c r="X149" s="137"/>
      <c r="Y149" s="143"/>
      <c r="Z149" s="73"/>
      <c r="AA149" s="73">
        <v>2</v>
      </c>
    </row>
    <row r="150" spans="1:27" ht="168.75">
      <c r="B150"/>
      <c r="C150"/>
      <c r="D150" t="s">
        <v>2784</v>
      </c>
      <c r="E150" t="s">
        <v>2800</v>
      </c>
      <c r="F150" t="s">
        <v>958</v>
      </c>
      <c r="G150" t="s">
        <v>555</v>
      </c>
      <c r="H150"/>
      <c r="I150"/>
      <c r="J150" t="s">
        <v>733</v>
      </c>
      <c r="K150" t="s">
        <v>733</v>
      </c>
      <c r="L150"/>
      <c r="M150"/>
      <c r="N150"/>
      <c r="O150" s="73"/>
      <c r="P150" s="73"/>
      <c r="Q150" s="73"/>
      <c r="R150" s="73"/>
      <c r="S150" s="73"/>
      <c r="T150" s="73"/>
      <c r="U150" s="73"/>
      <c r="V150" s="73"/>
      <c r="W150" s="73"/>
      <c r="X150" s="137" t="s">
        <v>563</v>
      </c>
      <c r="Y150" s="141" t="s">
        <v>7330</v>
      </c>
      <c r="Z150" s="73"/>
      <c r="AA150" s="73"/>
    </row>
    <row r="151" spans="1:27" ht="15">
      <c r="A151" s="96">
        <v>45244</v>
      </c>
      <c r="B151" t="s">
        <v>4838</v>
      </c>
      <c r="C151" t="s">
        <v>1071</v>
      </c>
      <c r="D151"/>
      <c r="E151" t="s">
        <v>7331</v>
      </c>
      <c r="F151"/>
      <c r="G151" t="s">
        <v>4841</v>
      </c>
      <c r="H151" t="s">
        <v>7237</v>
      </c>
      <c r="I151" t="s">
        <v>4842</v>
      </c>
      <c r="J151" t="s">
        <v>1918</v>
      </c>
      <c r="K151" t="s">
        <v>1918</v>
      </c>
      <c r="L151" t="s">
        <v>518</v>
      </c>
      <c r="M151" t="s">
        <v>2100</v>
      </c>
      <c r="N151" t="s">
        <v>605</v>
      </c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</row>
    <row r="152" spans="1:27" ht="15">
      <c r="B152"/>
      <c r="C152"/>
      <c r="D152" t="s">
        <v>4836</v>
      </c>
      <c r="E152" t="s">
        <v>4839</v>
      </c>
      <c r="F152" t="s">
        <v>4840</v>
      </c>
      <c r="G152" t="s">
        <v>4841</v>
      </c>
      <c r="H152"/>
      <c r="I152"/>
      <c r="J152" t="s">
        <v>1918</v>
      </c>
      <c r="K152" t="s">
        <v>1918</v>
      </c>
      <c r="L152"/>
      <c r="M152"/>
      <c r="N152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</row>
    <row r="153" spans="1:27" ht="15">
      <c r="A153" s="96">
        <v>45244</v>
      </c>
      <c r="B153" t="s">
        <v>4281</v>
      </c>
      <c r="C153" t="s">
        <v>670</v>
      </c>
      <c r="D153"/>
      <c r="E153" t="s">
        <v>7332</v>
      </c>
      <c r="F153"/>
      <c r="G153" t="s">
        <v>7333</v>
      </c>
      <c r="H153" t="s">
        <v>7237</v>
      </c>
      <c r="I153" t="s">
        <v>4285</v>
      </c>
      <c r="J153" t="s">
        <v>524</v>
      </c>
      <c r="K153" t="s">
        <v>524</v>
      </c>
      <c r="L153" t="s">
        <v>518</v>
      </c>
      <c r="M153" t="s">
        <v>519</v>
      </c>
      <c r="N153" t="s">
        <v>535</v>
      </c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</row>
    <row r="154" spans="1:27" ht="15">
      <c r="B154"/>
      <c r="C154"/>
      <c r="D154" t="s">
        <v>4279</v>
      </c>
      <c r="E154" t="s">
        <v>4288</v>
      </c>
      <c r="F154" t="s">
        <v>514</v>
      </c>
      <c r="G154" t="s">
        <v>1580</v>
      </c>
      <c r="H154"/>
      <c r="I154"/>
      <c r="J154" t="s">
        <v>524</v>
      </c>
      <c r="K154" t="s">
        <v>524</v>
      </c>
      <c r="L154"/>
      <c r="M154"/>
      <c r="N154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</row>
    <row r="155" spans="1:27" ht="15">
      <c r="B155"/>
      <c r="C155"/>
      <c r="D155" t="s">
        <v>4279</v>
      </c>
      <c r="E155" t="s">
        <v>4282</v>
      </c>
      <c r="F155" t="s">
        <v>3812</v>
      </c>
      <c r="G155" t="s">
        <v>4283</v>
      </c>
      <c r="H155"/>
      <c r="I155"/>
      <c r="J155" t="s">
        <v>524</v>
      </c>
      <c r="K155" t="s">
        <v>524</v>
      </c>
      <c r="L155"/>
      <c r="M155"/>
      <c r="N155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</row>
    <row r="156" spans="1:27" ht="15">
      <c r="A156" s="96">
        <v>45244</v>
      </c>
      <c r="B156" t="s">
        <v>3655</v>
      </c>
      <c r="C156" t="s">
        <v>670</v>
      </c>
      <c r="D156"/>
      <c r="E156" t="s">
        <v>7334</v>
      </c>
      <c r="F156"/>
      <c r="G156" t="s">
        <v>7335</v>
      </c>
      <c r="H156" t="s">
        <v>7237</v>
      </c>
      <c r="I156" t="s">
        <v>3657</v>
      </c>
      <c r="J156" t="s">
        <v>1918</v>
      </c>
      <c r="K156" t="s">
        <v>1918</v>
      </c>
      <c r="L156" t="s">
        <v>682</v>
      </c>
      <c r="M156" t="s">
        <v>3261</v>
      </c>
      <c r="N156" t="s">
        <v>535</v>
      </c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</row>
    <row r="157" spans="1:27" ht="15">
      <c r="B157"/>
      <c r="C157"/>
      <c r="D157" t="s">
        <v>5306</v>
      </c>
      <c r="E157" t="s">
        <v>5308</v>
      </c>
      <c r="F157" t="s">
        <v>514</v>
      </c>
      <c r="G157" t="s">
        <v>5310</v>
      </c>
      <c r="H157"/>
      <c r="I157"/>
      <c r="J157" t="s">
        <v>1918</v>
      </c>
      <c r="K157" t="s">
        <v>1918</v>
      </c>
      <c r="L157"/>
      <c r="M157"/>
      <c r="N157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</row>
    <row r="158" spans="1:27" ht="15">
      <c r="B158"/>
      <c r="C158"/>
      <c r="D158" t="s">
        <v>5306</v>
      </c>
      <c r="E158" t="s">
        <v>5308</v>
      </c>
      <c r="F158" t="s">
        <v>514</v>
      </c>
      <c r="G158" t="s">
        <v>5092</v>
      </c>
      <c r="H158"/>
      <c r="I158"/>
      <c r="J158" t="s">
        <v>1918</v>
      </c>
      <c r="K158" t="s">
        <v>1918</v>
      </c>
      <c r="L158"/>
      <c r="M158"/>
      <c r="N158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</row>
    <row r="159" spans="1:27" ht="15">
      <c r="B159"/>
      <c r="C159"/>
      <c r="D159" t="s">
        <v>3653</v>
      </c>
      <c r="E159" t="s">
        <v>3659</v>
      </c>
      <c r="F159" t="s">
        <v>514</v>
      </c>
      <c r="G159" t="s">
        <v>3158</v>
      </c>
      <c r="H159"/>
      <c r="I159"/>
      <c r="J159" t="s">
        <v>1918</v>
      </c>
      <c r="K159" t="s">
        <v>1918</v>
      </c>
      <c r="L159"/>
      <c r="M159"/>
      <c r="N159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</row>
    <row r="160" spans="1:27" ht="15">
      <c r="B160"/>
      <c r="C160"/>
      <c r="D160" t="s">
        <v>3653</v>
      </c>
      <c r="E160" t="s">
        <v>3656</v>
      </c>
      <c r="F160" t="s">
        <v>514</v>
      </c>
      <c r="G160" t="s">
        <v>3158</v>
      </c>
      <c r="H160"/>
      <c r="I160"/>
      <c r="J160" t="s">
        <v>1918</v>
      </c>
      <c r="K160" t="s">
        <v>1918</v>
      </c>
      <c r="L160"/>
      <c r="M160"/>
      <c r="N160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</row>
    <row r="161" spans="1:27" ht="15">
      <c r="B161"/>
      <c r="C161"/>
      <c r="D161" t="s">
        <v>3653</v>
      </c>
      <c r="E161" t="s">
        <v>3659</v>
      </c>
      <c r="F161" t="s">
        <v>514</v>
      </c>
      <c r="G161" t="s">
        <v>3158</v>
      </c>
      <c r="H161"/>
      <c r="I161"/>
      <c r="J161" t="s">
        <v>1918</v>
      </c>
      <c r="K161" t="s">
        <v>1918</v>
      </c>
      <c r="L161"/>
      <c r="M161"/>
      <c r="N161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</row>
    <row r="162" spans="1:27" ht="15">
      <c r="B162"/>
      <c r="C162"/>
      <c r="D162" t="s">
        <v>3653</v>
      </c>
      <c r="E162" t="s">
        <v>3659</v>
      </c>
      <c r="F162" t="s">
        <v>514</v>
      </c>
      <c r="G162" t="s">
        <v>3158</v>
      </c>
      <c r="H162"/>
      <c r="I162"/>
      <c r="J162" t="s">
        <v>1918</v>
      </c>
      <c r="K162" t="s">
        <v>1918</v>
      </c>
      <c r="L162"/>
      <c r="M162"/>
      <c r="N162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</row>
    <row r="163" spans="1:27" ht="15">
      <c r="A163" s="96">
        <v>45244</v>
      </c>
      <c r="B163" t="s">
        <v>3827</v>
      </c>
      <c r="C163" t="s">
        <v>670</v>
      </c>
      <c r="D163"/>
      <c r="E163" t="s">
        <v>7336</v>
      </c>
      <c r="F163"/>
      <c r="G163" t="s">
        <v>555</v>
      </c>
      <c r="H163" t="s">
        <v>7237</v>
      </c>
      <c r="I163" t="s">
        <v>3829</v>
      </c>
      <c r="J163" t="s">
        <v>1098</v>
      </c>
      <c r="K163" t="s">
        <v>1098</v>
      </c>
      <c r="L163" t="s">
        <v>518</v>
      </c>
      <c r="M163" t="s">
        <v>1097</v>
      </c>
      <c r="N163" t="s">
        <v>535</v>
      </c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</row>
    <row r="164" spans="1:27" ht="15">
      <c r="B164"/>
      <c r="C164"/>
      <c r="D164" t="s">
        <v>3825</v>
      </c>
      <c r="E164" t="s">
        <v>3828</v>
      </c>
      <c r="F164" t="s">
        <v>1077</v>
      </c>
      <c r="G164" t="s">
        <v>555</v>
      </c>
      <c r="H164"/>
      <c r="I164"/>
      <c r="J164" t="s">
        <v>1098</v>
      </c>
      <c r="K164" t="s">
        <v>607</v>
      </c>
      <c r="L164"/>
      <c r="M164"/>
      <c r="N164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</row>
    <row r="165" spans="1:27" ht="15">
      <c r="A165" s="96">
        <v>45244</v>
      </c>
      <c r="B165" t="s">
        <v>3671</v>
      </c>
      <c r="C165" t="s">
        <v>670</v>
      </c>
      <c r="D165"/>
      <c r="E165" t="s">
        <v>7337</v>
      </c>
      <c r="F165"/>
      <c r="G165" t="s">
        <v>2468</v>
      </c>
      <c r="H165" t="s">
        <v>7237</v>
      </c>
      <c r="I165" t="s">
        <v>3674</v>
      </c>
      <c r="J165" t="s">
        <v>733</v>
      </c>
      <c r="K165" t="s">
        <v>733</v>
      </c>
      <c r="L165" t="s">
        <v>518</v>
      </c>
      <c r="M165" t="s">
        <v>731</v>
      </c>
      <c r="N165" t="s">
        <v>535</v>
      </c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</row>
    <row r="166" spans="1:27" ht="15">
      <c r="B166"/>
      <c r="C166"/>
      <c r="D166" t="s">
        <v>728</v>
      </c>
      <c r="E166" t="s">
        <v>730</v>
      </c>
      <c r="F166" t="s">
        <v>514</v>
      </c>
      <c r="G166" t="s">
        <v>618</v>
      </c>
      <c r="H166"/>
      <c r="I166"/>
      <c r="J166" t="s">
        <v>733</v>
      </c>
      <c r="K166" t="s">
        <v>733</v>
      </c>
      <c r="L166"/>
      <c r="M166"/>
      <c r="N166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</row>
    <row r="167" spans="1:27" ht="15">
      <c r="B167"/>
      <c r="C167"/>
      <c r="D167" t="s">
        <v>3669</v>
      </c>
      <c r="E167" t="s">
        <v>3672</v>
      </c>
      <c r="F167" t="s">
        <v>724</v>
      </c>
      <c r="G167" t="s">
        <v>3673</v>
      </c>
      <c r="H167"/>
      <c r="I167"/>
      <c r="J167" t="s">
        <v>733</v>
      </c>
      <c r="K167" t="s">
        <v>733</v>
      </c>
      <c r="L167"/>
      <c r="M167"/>
      <c r="N167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</row>
    <row r="168" spans="1:27" ht="15">
      <c r="A168" s="96">
        <v>45244</v>
      </c>
      <c r="B168" t="s">
        <v>3802</v>
      </c>
      <c r="C168" t="s">
        <v>1071</v>
      </c>
      <c r="D168"/>
      <c r="E168" t="s">
        <v>7338</v>
      </c>
      <c r="F168"/>
      <c r="G168" t="s">
        <v>3805</v>
      </c>
      <c r="H168" t="s">
        <v>7237</v>
      </c>
      <c r="I168" t="s">
        <v>3807</v>
      </c>
      <c r="J168" t="s">
        <v>597</v>
      </c>
      <c r="K168" t="s">
        <v>597</v>
      </c>
      <c r="L168" t="s">
        <v>518</v>
      </c>
      <c r="M168" t="s">
        <v>596</v>
      </c>
      <c r="N168" t="s">
        <v>520</v>
      </c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</row>
    <row r="169" spans="1:27" ht="15">
      <c r="B169"/>
      <c r="C169"/>
      <c r="D169" t="s">
        <v>3800</v>
      </c>
      <c r="E169" t="s">
        <v>3803</v>
      </c>
      <c r="F169" t="s">
        <v>3804</v>
      </c>
      <c r="G169" t="s">
        <v>3805</v>
      </c>
      <c r="H169"/>
      <c r="I169"/>
      <c r="J169" t="s">
        <v>597</v>
      </c>
      <c r="K169" t="s">
        <v>597</v>
      </c>
      <c r="L169"/>
      <c r="M169"/>
      <c r="N169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</row>
    <row r="170" spans="1:27" ht="15">
      <c r="A170" s="96">
        <v>45244</v>
      </c>
      <c r="B170" t="s">
        <v>3689</v>
      </c>
      <c r="C170" t="s">
        <v>670</v>
      </c>
      <c r="D170"/>
      <c r="E170" t="s">
        <v>7339</v>
      </c>
      <c r="F170"/>
      <c r="G170" t="s">
        <v>3691</v>
      </c>
      <c r="H170" t="s">
        <v>7237</v>
      </c>
      <c r="I170" t="s">
        <v>3692</v>
      </c>
      <c r="J170" t="s">
        <v>590</v>
      </c>
      <c r="K170" t="s">
        <v>590</v>
      </c>
      <c r="L170" t="s">
        <v>518</v>
      </c>
      <c r="M170" t="s">
        <v>588</v>
      </c>
      <c r="N170" t="s">
        <v>520</v>
      </c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</row>
    <row r="171" spans="1:27" ht="15">
      <c r="B171"/>
      <c r="C171"/>
      <c r="D171" t="s">
        <v>3687</v>
      </c>
      <c r="E171" t="s">
        <v>3690</v>
      </c>
      <c r="F171" t="s">
        <v>657</v>
      </c>
      <c r="G171" t="s">
        <v>3691</v>
      </c>
      <c r="H171"/>
      <c r="I171"/>
      <c r="J171" t="s">
        <v>590</v>
      </c>
      <c r="K171" t="s">
        <v>590</v>
      </c>
      <c r="L171"/>
      <c r="M171"/>
      <c r="N171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</row>
    <row r="172" spans="1:27" ht="15">
      <c r="A172" s="96">
        <v>45244</v>
      </c>
      <c r="B172" t="s">
        <v>5284</v>
      </c>
      <c r="C172" t="s">
        <v>670</v>
      </c>
      <c r="D172"/>
      <c r="E172" t="s">
        <v>7340</v>
      </c>
      <c r="F172"/>
      <c r="G172" t="s">
        <v>5286</v>
      </c>
      <c r="H172" t="s">
        <v>7237</v>
      </c>
      <c r="I172" t="s">
        <v>5287</v>
      </c>
      <c r="J172" t="s">
        <v>3083</v>
      </c>
      <c r="K172" t="s">
        <v>3083</v>
      </c>
      <c r="L172" t="s">
        <v>518</v>
      </c>
      <c r="M172" t="s">
        <v>3338</v>
      </c>
      <c r="N172" t="s">
        <v>520</v>
      </c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</row>
    <row r="173" spans="1:27" ht="15">
      <c r="B173"/>
      <c r="C173"/>
      <c r="D173" t="s">
        <v>5282</v>
      </c>
      <c r="E173" t="s">
        <v>5285</v>
      </c>
      <c r="F173" t="s">
        <v>657</v>
      </c>
      <c r="G173" t="s">
        <v>5286</v>
      </c>
      <c r="H173"/>
      <c r="I173"/>
      <c r="J173" t="s">
        <v>3083</v>
      </c>
      <c r="K173" t="s">
        <v>3083</v>
      </c>
      <c r="L173"/>
      <c r="M173"/>
      <c r="N1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</row>
    <row r="174" spans="1:27" ht="15">
      <c r="A174" s="96">
        <v>45244</v>
      </c>
      <c r="B174" t="s">
        <v>3932</v>
      </c>
      <c r="C174" t="s">
        <v>670</v>
      </c>
      <c r="D174"/>
      <c r="E174" t="s">
        <v>7341</v>
      </c>
      <c r="F174"/>
      <c r="G174" t="s">
        <v>3934</v>
      </c>
      <c r="H174" t="s">
        <v>7237</v>
      </c>
      <c r="I174" t="s">
        <v>3935</v>
      </c>
      <c r="J174" t="s">
        <v>597</v>
      </c>
      <c r="K174" t="s">
        <v>597</v>
      </c>
      <c r="L174" t="s">
        <v>518</v>
      </c>
      <c r="M174" t="s">
        <v>596</v>
      </c>
      <c r="N174" t="s">
        <v>605</v>
      </c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</row>
    <row r="175" spans="1:27" ht="15">
      <c r="B175"/>
      <c r="C175"/>
      <c r="D175" t="s">
        <v>3930</v>
      </c>
      <c r="E175" t="s">
        <v>3933</v>
      </c>
      <c r="F175" t="s">
        <v>657</v>
      </c>
      <c r="G175" t="s">
        <v>3934</v>
      </c>
      <c r="H175"/>
      <c r="I175"/>
      <c r="J175" t="s">
        <v>597</v>
      </c>
      <c r="K175" t="s">
        <v>597</v>
      </c>
      <c r="L175"/>
      <c r="M175"/>
      <c r="N175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</row>
    <row r="176" spans="1:27" ht="15">
      <c r="A176" s="96">
        <v>45244</v>
      </c>
      <c r="B176" t="s">
        <v>7342</v>
      </c>
      <c r="C176" t="s">
        <v>670</v>
      </c>
      <c r="D176"/>
      <c r="E176" t="s">
        <v>1002</v>
      </c>
      <c r="F176"/>
      <c r="G176" t="s">
        <v>2107</v>
      </c>
      <c r="H176" t="s">
        <v>7237</v>
      </c>
      <c r="I176" t="s">
        <v>7343</v>
      </c>
      <c r="J176" t="s">
        <v>1549</v>
      </c>
      <c r="K176" t="s">
        <v>1549</v>
      </c>
      <c r="L176" t="s">
        <v>518</v>
      </c>
      <c r="M176" t="s">
        <v>1548</v>
      </c>
      <c r="N176" t="s">
        <v>535</v>
      </c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</row>
    <row r="177" spans="1:27" ht="15">
      <c r="A177" s="96">
        <v>45244</v>
      </c>
      <c r="B177" t="s">
        <v>4341</v>
      </c>
      <c r="C177" t="s">
        <v>1071</v>
      </c>
      <c r="D177"/>
      <c r="E177" t="s">
        <v>3863</v>
      </c>
      <c r="F177"/>
      <c r="G177" t="s">
        <v>4343</v>
      </c>
      <c r="H177" t="s">
        <v>7256</v>
      </c>
      <c r="I177" t="s">
        <v>4344</v>
      </c>
      <c r="J177" t="s">
        <v>2364</v>
      </c>
      <c r="K177" t="s">
        <v>2364</v>
      </c>
      <c r="L177" t="s">
        <v>518</v>
      </c>
      <c r="M177" t="s">
        <v>2363</v>
      </c>
      <c r="N177" t="s">
        <v>535</v>
      </c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</row>
    <row r="178" spans="1:27" ht="15">
      <c r="B178"/>
      <c r="C178"/>
      <c r="D178" t="s">
        <v>4339</v>
      </c>
      <c r="E178" t="s">
        <v>4342</v>
      </c>
      <c r="F178" t="s">
        <v>3864</v>
      </c>
      <c r="G178" t="s">
        <v>4343</v>
      </c>
      <c r="H178"/>
      <c r="I178"/>
      <c r="J178" t="s">
        <v>2364</v>
      </c>
      <c r="K178" t="s">
        <v>2364</v>
      </c>
      <c r="L178"/>
      <c r="M178"/>
      <c r="N178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</row>
    <row r="179" spans="1:27" ht="15">
      <c r="A179" s="96">
        <v>45244</v>
      </c>
      <c r="B179" t="s">
        <v>3610</v>
      </c>
      <c r="C179" t="s">
        <v>670</v>
      </c>
      <c r="D179"/>
      <c r="E179" t="s">
        <v>7344</v>
      </c>
      <c r="F179"/>
      <c r="G179" t="s">
        <v>3337</v>
      </c>
      <c r="H179" t="s">
        <v>7256</v>
      </c>
      <c r="I179" t="s">
        <v>3612</v>
      </c>
      <c r="J179" t="s">
        <v>1042</v>
      </c>
      <c r="K179" t="s">
        <v>1042</v>
      </c>
      <c r="L179" t="s">
        <v>518</v>
      </c>
      <c r="M179" t="s">
        <v>2925</v>
      </c>
      <c r="N179" t="s">
        <v>535</v>
      </c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</row>
    <row r="180" spans="1:27" ht="15">
      <c r="B180"/>
      <c r="C180"/>
      <c r="D180" t="s">
        <v>3608</v>
      </c>
      <c r="E180" t="s">
        <v>3614</v>
      </c>
      <c r="F180" t="s">
        <v>1077</v>
      </c>
      <c r="G180" t="s">
        <v>2642</v>
      </c>
      <c r="H180"/>
      <c r="I180"/>
      <c r="J180" t="s">
        <v>1042</v>
      </c>
      <c r="K180" t="s">
        <v>1042</v>
      </c>
      <c r="L180"/>
      <c r="M180"/>
      <c r="N180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</row>
    <row r="181" spans="1:27" ht="15">
      <c r="B181"/>
      <c r="C181"/>
      <c r="D181" t="s">
        <v>3608</v>
      </c>
      <c r="E181" t="s">
        <v>3616</v>
      </c>
      <c r="F181" t="s">
        <v>958</v>
      </c>
      <c r="G181" t="s">
        <v>756</v>
      </c>
      <c r="H181"/>
      <c r="I181"/>
      <c r="J181" t="s">
        <v>1042</v>
      </c>
      <c r="K181" t="s">
        <v>1042</v>
      </c>
      <c r="L181"/>
      <c r="M181"/>
      <c r="N181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</row>
    <row r="182" spans="1:27" ht="15">
      <c r="B182"/>
      <c r="C182"/>
      <c r="D182" t="s">
        <v>3625</v>
      </c>
      <c r="E182" t="s">
        <v>3627</v>
      </c>
      <c r="F182" t="s">
        <v>514</v>
      </c>
      <c r="G182" t="s">
        <v>921</v>
      </c>
      <c r="H182"/>
      <c r="I182"/>
      <c r="J182" t="s">
        <v>1042</v>
      </c>
      <c r="K182" t="s">
        <v>1042</v>
      </c>
      <c r="L182"/>
      <c r="M182"/>
      <c r="N182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</row>
    <row r="183" spans="1:27" ht="15">
      <c r="B183"/>
      <c r="C183"/>
      <c r="D183" t="s">
        <v>3608</v>
      </c>
      <c r="E183" t="s">
        <v>3611</v>
      </c>
      <c r="F183" t="s">
        <v>514</v>
      </c>
      <c r="G183" t="s">
        <v>1457</v>
      </c>
      <c r="H183"/>
      <c r="I183"/>
      <c r="J183" t="s">
        <v>1042</v>
      </c>
      <c r="K183" t="s">
        <v>1042</v>
      </c>
      <c r="L183"/>
      <c r="M183"/>
      <c r="N18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</row>
    <row r="184" spans="1:27" ht="15">
      <c r="B184"/>
      <c r="C184"/>
      <c r="D184" t="s">
        <v>3625</v>
      </c>
      <c r="E184" t="s">
        <v>3627</v>
      </c>
      <c r="F184" t="s">
        <v>514</v>
      </c>
      <c r="G184" t="s">
        <v>3628</v>
      </c>
      <c r="H184"/>
      <c r="I184"/>
      <c r="J184" t="s">
        <v>1042</v>
      </c>
      <c r="K184" t="s">
        <v>1042</v>
      </c>
      <c r="L184"/>
      <c r="M184"/>
      <c r="N184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</row>
    <row r="185" spans="1:27" ht="15">
      <c r="B185"/>
      <c r="C185"/>
      <c r="D185" t="s">
        <v>3608</v>
      </c>
      <c r="E185" t="s">
        <v>3611</v>
      </c>
      <c r="F185" t="s">
        <v>514</v>
      </c>
      <c r="G185" t="s">
        <v>1457</v>
      </c>
      <c r="H185"/>
      <c r="I185"/>
      <c r="J185" t="s">
        <v>1042</v>
      </c>
      <c r="K185" t="s">
        <v>1042</v>
      </c>
      <c r="L185"/>
      <c r="M185"/>
      <c r="N185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</row>
    <row r="186" spans="1:27" ht="15">
      <c r="B186"/>
      <c r="C186"/>
      <c r="D186" t="s">
        <v>3608</v>
      </c>
      <c r="E186" t="s">
        <v>3611</v>
      </c>
      <c r="F186" t="s">
        <v>514</v>
      </c>
      <c r="G186" t="s">
        <v>1457</v>
      </c>
      <c r="H186"/>
      <c r="I186"/>
      <c r="J186" t="s">
        <v>1042</v>
      </c>
      <c r="K186" t="s">
        <v>1042</v>
      </c>
      <c r="L186"/>
      <c r="M186"/>
      <c r="N186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</row>
    <row r="187" spans="1:27" ht="15">
      <c r="A187" s="96">
        <v>45244</v>
      </c>
      <c r="B187" t="s">
        <v>5338</v>
      </c>
      <c r="C187" t="s">
        <v>670</v>
      </c>
      <c r="D187"/>
      <c r="E187" t="s">
        <v>7345</v>
      </c>
      <c r="F187"/>
      <c r="G187" t="s">
        <v>5340</v>
      </c>
      <c r="H187" t="s">
        <v>7256</v>
      </c>
      <c r="I187" t="s">
        <v>5341</v>
      </c>
      <c r="J187" t="s">
        <v>597</v>
      </c>
      <c r="K187" t="s">
        <v>597</v>
      </c>
      <c r="L187" t="s">
        <v>518</v>
      </c>
      <c r="M187" t="s">
        <v>596</v>
      </c>
      <c r="N187" t="s">
        <v>520</v>
      </c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</row>
    <row r="188" spans="1:27" ht="15">
      <c r="B188"/>
      <c r="C188"/>
      <c r="D188" t="s">
        <v>5336</v>
      </c>
      <c r="E188" t="s">
        <v>5339</v>
      </c>
      <c r="F188" t="s">
        <v>724</v>
      </c>
      <c r="G188" t="s">
        <v>5340</v>
      </c>
      <c r="H188"/>
      <c r="I188"/>
      <c r="J188" t="s">
        <v>597</v>
      </c>
      <c r="K188" t="s">
        <v>597</v>
      </c>
      <c r="L188"/>
      <c r="M188"/>
      <c r="N188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</row>
    <row r="189" spans="1:27" ht="15">
      <c r="A189" s="96">
        <v>45244</v>
      </c>
      <c r="B189" t="s">
        <v>4290</v>
      </c>
      <c r="C189" t="s">
        <v>670</v>
      </c>
      <c r="D189"/>
      <c r="E189" t="s">
        <v>7346</v>
      </c>
      <c r="F189"/>
      <c r="G189" t="s">
        <v>4292</v>
      </c>
      <c r="H189" t="s">
        <v>7256</v>
      </c>
      <c r="I189" t="s">
        <v>4293</v>
      </c>
      <c r="J189" t="s">
        <v>524</v>
      </c>
      <c r="K189" t="s">
        <v>524</v>
      </c>
      <c r="L189" t="s">
        <v>518</v>
      </c>
      <c r="M189" t="s">
        <v>519</v>
      </c>
      <c r="N189" t="s">
        <v>535</v>
      </c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</row>
    <row r="190" spans="1:27" ht="15">
      <c r="B190"/>
      <c r="C190"/>
      <c r="D190" t="s">
        <v>4279</v>
      </c>
      <c r="E190" t="s">
        <v>4291</v>
      </c>
      <c r="F190" t="s">
        <v>3864</v>
      </c>
      <c r="G190" t="s">
        <v>4292</v>
      </c>
      <c r="H190"/>
      <c r="I190"/>
      <c r="J190" t="s">
        <v>524</v>
      </c>
      <c r="K190" t="s">
        <v>524</v>
      </c>
      <c r="L190"/>
      <c r="M190"/>
      <c r="N190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</row>
    <row r="191" spans="1:27" ht="15">
      <c r="A191" s="96">
        <v>45244</v>
      </c>
      <c r="B191" t="s">
        <v>3389</v>
      </c>
      <c r="C191" t="s">
        <v>670</v>
      </c>
      <c r="D191"/>
      <c r="E191" t="s">
        <v>7347</v>
      </c>
      <c r="F191"/>
      <c r="G191" t="s">
        <v>3121</v>
      </c>
      <c r="H191" t="s">
        <v>7256</v>
      </c>
      <c r="I191" t="s">
        <v>3391</v>
      </c>
      <c r="J191" t="s">
        <v>2834</v>
      </c>
      <c r="K191" t="s">
        <v>2834</v>
      </c>
      <c r="L191" t="s">
        <v>518</v>
      </c>
      <c r="M191" t="s">
        <v>2833</v>
      </c>
      <c r="N191" t="s">
        <v>535</v>
      </c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</row>
    <row r="192" spans="1:27" ht="15">
      <c r="B192"/>
      <c r="C192"/>
      <c r="D192" t="s">
        <v>3387</v>
      </c>
      <c r="E192" t="s">
        <v>3390</v>
      </c>
      <c r="F192" t="s">
        <v>724</v>
      </c>
      <c r="G192" t="s">
        <v>3121</v>
      </c>
      <c r="H192"/>
      <c r="I192"/>
      <c r="J192" t="s">
        <v>2834</v>
      </c>
      <c r="K192" t="s">
        <v>2834</v>
      </c>
      <c r="L192"/>
      <c r="M192"/>
      <c r="N192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</row>
    <row r="193" spans="1:27" ht="15">
      <c r="A193" s="96">
        <v>45244</v>
      </c>
      <c r="B193" t="s">
        <v>3439</v>
      </c>
      <c r="C193" t="s">
        <v>1071</v>
      </c>
      <c r="D193"/>
      <c r="E193" t="s">
        <v>7348</v>
      </c>
      <c r="F193"/>
      <c r="G193" t="s">
        <v>3442</v>
      </c>
      <c r="H193" t="s">
        <v>7256</v>
      </c>
      <c r="I193" t="s">
        <v>3443</v>
      </c>
      <c r="J193" t="s">
        <v>1549</v>
      </c>
      <c r="K193" t="s">
        <v>1549</v>
      </c>
      <c r="L193" t="s">
        <v>518</v>
      </c>
      <c r="M193" t="s">
        <v>1548</v>
      </c>
      <c r="N193" t="s">
        <v>605</v>
      </c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</row>
    <row r="194" spans="1:27" ht="15">
      <c r="B194"/>
      <c r="C194"/>
      <c r="D194" t="s">
        <v>3437</v>
      </c>
      <c r="E194" t="s">
        <v>3440</v>
      </c>
      <c r="F194" t="s">
        <v>3441</v>
      </c>
      <c r="G194" t="s">
        <v>3442</v>
      </c>
      <c r="H194"/>
      <c r="I194"/>
      <c r="J194" t="s">
        <v>1549</v>
      </c>
      <c r="K194" t="s">
        <v>1549</v>
      </c>
      <c r="L194"/>
      <c r="M194"/>
      <c r="N194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</row>
    <row r="195" spans="1:27" ht="15">
      <c r="A195" s="96">
        <v>45244</v>
      </c>
      <c r="B195" t="s">
        <v>3172</v>
      </c>
      <c r="C195" t="s">
        <v>1418</v>
      </c>
      <c r="D195"/>
      <c r="E195" t="s">
        <v>7349</v>
      </c>
      <c r="F195"/>
      <c r="G195" t="s">
        <v>3169</v>
      </c>
      <c r="H195" t="s">
        <v>7256</v>
      </c>
      <c r="I195" t="s">
        <v>3173</v>
      </c>
      <c r="J195" t="s">
        <v>733</v>
      </c>
      <c r="K195" t="s">
        <v>733</v>
      </c>
      <c r="L195" t="s">
        <v>518</v>
      </c>
      <c r="M195" t="s">
        <v>1769</v>
      </c>
      <c r="N195" t="s">
        <v>605</v>
      </c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</row>
    <row r="196" spans="1:27" ht="15">
      <c r="B196"/>
      <c r="C196"/>
      <c r="D196" t="s">
        <v>3165</v>
      </c>
      <c r="E196" t="s">
        <v>3168</v>
      </c>
      <c r="F196" t="s">
        <v>958</v>
      </c>
      <c r="G196" t="s">
        <v>3169</v>
      </c>
      <c r="H196"/>
      <c r="I196"/>
      <c r="J196" t="s">
        <v>733</v>
      </c>
      <c r="K196" t="s">
        <v>733</v>
      </c>
      <c r="L196"/>
      <c r="M196"/>
      <c r="N196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</row>
    <row r="197" spans="1:27" ht="15">
      <c r="A197" s="96">
        <v>45244</v>
      </c>
      <c r="B197" t="s">
        <v>3681</v>
      </c>
      <c r="C197" t="s">
        <v>670</v>
      </c>
      <c r="D197"/>
      <c r="E197" t="s">
        <v>7350</v>
      </c>
      <c r="F197"/>
      <c r="G197" t="s">
        <v>2851</v>
      </c>
      <c r="H197" t="s">
        <v>7256</v>
      </c>
      <c r="I197" t="s">
        <v>3682</v>
      </c>
      <c r="J197" t="s">
        <v>733</v>
      </c>
      <c r="K197" t="s">
        <v>733</v>
      </c>
      <c r="L197" t="s">
        <v>518</v>
      </c>
      <c r="M197" t="s">
        <v>731</v>
      </c>
      <c r="N197" t="s">
        <v>535</v>
      </c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</row>
    <row r="198" spans="1:27" ht="15">
      <c r="B198"/>
      <c r="C198"/>
      <c r="D198" t="s">
        <v>3669</v>
      </c>
      <c r="E198" t="s">
        <v>3677</v>
      </c>
      <c r="F198" t="s">
        <v>657</v>
      </c>
      <c r="G198" t="s">
        <v>2851</v>
      </c>
      <c r="H198"/>
      <c r="I198"/>
      <c r="J198" t="s">
        <v>733</v>
      </c>
      <c r="K198" t="s">
        <v>733</v>
      </c>
      <c r="L198"/>
      <c r="M198"/>
      <c r="N198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</row>
    <row r="199" spans="1:27" ht="15">
      <c r="A199" s="96">
        <v>45244</v>
      </c>
      <c r="B199" t="s">
        <v>5086</v>
      </c>
      <c r="C199" t="s">
        <v>670</v>
      </c>
      <c r="D199"/>
      <c r="E199" t="s">
        <v>7351</v>
      </c>
      <c r="F199"/>
      <c r="G199" t="s">
        <v>555</v>
      </c>
      <c r="H199" t="s">
        <v>7256</v>
      </c>
      <c r="I199" t="s">
        <v>5088</v>
      </c>
      <c r="J199" t="s">
        <v>1918</v>
      </c>
      <c r="K199" t="s">
        <v>1918</v>
      </c>
      <c r="L199" t="s">
        <v>682</v>
      </c>
      <c r="M199" t="s">
        <v>3143</v>
      </c>
      <c r="N199" t="s">
        <v>535</v>
      </c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</row>
    <row r="200" spans="1:27" ht="15">
      <c r="B200"/>
      <c r="C200"/>
      <c r="D200" t="s">
        <v>5080</v>
      </c>
      <c r="E200" t="s">
        <v>5087</v>
      </c>
      <c r="F200" t="s">
        <v>514</v>
      </c>
      <c r="G200" t="s">
        <v>555</v>
      </c>
      <c r="H200"/>
      <c r="I200"/>
      <c r="J200" t="s">
        <v>1918</v>
      </c>
      <c r="K200" t="s">
        <v>1918</v>
      </c>
      <c r="L200"/>
      <c r="M200"/>
      <c r="N200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</row>
    <row r="201" spans="1:27" ht="15">
      <c r="A201" s="96">
        <v>45244</v>
      </c>
      <c r="B201" t="s">
        <v>3512</v>
      </c>
      <c r="C201" t="s">
        <v>670</v>
      </c>
      <c r="D201"/>
      <c r="E201" t="s">
        <v>3746</v>
      </c>
      <c r="F201"/>
      <c r="G201" t="s">
        <v>555</v>
      </c>
      <c r="H201" t="s">
        <v>7256</v>
      </c>
      <c r="I201" t="s">
        <v>3513</v>
      </c>
      <c r="J201" t="s">
        <v>1918</v>
      </c>
      <c r="K201" t="s">
        <v>1918</v>
      </c>
      <c r="L201" t="s">
        <v>518</v>
      </c>
      <c r="M201" t="s">
        <v>1917</v>
      </c>
      <c r="N201" t="s">
        <v>520</v>
      </c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</row>
    <row r="202" spans="1:27" ht="15">
      <c r="B202"/>
      <c r="C202"/>
      <c r="D202" t="s">
        <v>3502</v>
      </c>
      <c r="E202" t="s">
        <v>3509</v>
      </c>
      <c r="F202" t="s">
        <v>514</v>
      </c>
      <c r="G202" t="s">
        <v>555</v>
      </c>
      <c r="H202"/>
      <c r="I202"/>
      <c r="J202" t="s">
        <v>1918</v>
      </c>
      <c r="K202" t="s">
        <v>1918</v>
      </c>
      <c r="L202"/>
      <c r="M202"/>
      <c r="N202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</row>
    <row r="203" spans="1:27" ht="15">
      <c r="A203" s="96">
        <v>45244</v>
      </c>
      <c r="B203" t="s">
        <v>5107</v>
      </c>
      <c r="C203" t="s">
        <v>670</v>
      </c>
      <c r="D203"/>
      <c r="E203" t="s">
        <v>7352</v>
      </c>
      <c r="F203"/>
      <c r="G203" t="s">
        <v>555</v>
      </c>
      <c r="H203" t="s">
        <v>7256</v>
      </c>
      <c r="I203" t="s">
        <v>5109</v>
      </c>
      <c r="J203" t="s">
        <v>1918</v>
      </c>
      <c r="K203" t="s">
        <v>1918</v>
      </c>
      <c r="L203" t="s">
        <v>682</v>
      </c>
      <c r="M203" t="s">
        <v>3143</v>
      </c>
      <c r="N203" t="s">
        <v>535</v>
      </c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</row>
    <row r="204" spans="1:27" ht="15">
      <c r="B204"/>
      <c r="C204"/>
      <c r="D204" t="s">
        <v>5105</v>
      </c>
      <c r="E204" t="s">
        <v>5108</v>
      </c>
      <c r="F204" t="s">
        <v>514</v>
      </c>
      <c r="G204" t="s">
        <v>555</v>
      </c>
      <c r="H204"/>
      <c r="I204"/>
      <c r="J204" t="s">
        <v>1918</v>
      </c>
      <c r="K204" t="s">
        <v>1918</v>
      </c>
      <c r="L204"/>
      <c r="M204"/>
      <c r="N204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</row>
    <row r="205" spans="1:27" ht="15">
      <c r="A205" s="96">
        <v>45244</v>
      </c>
      <c r="B205" t="s">
        <v>5119</v>
      </c>
      <c r="C205" t="s">
        <v>670</v>
      </c>
      <c r="D205"/>
      <c r="E205" t="s">
        <v>7353</v>
      </c>
      <c r="F205"/>
      <c r="G205" t="s">
        <v>555</v>
      </c>
      <c r="H205" t="s">
        <v>7256</v>
      </c>
      <c r="I205" t="s">
        <v>5121</v>
      </c>
      <c r="J205" t="s">
        <v>1918</v>
      </c>
      <c r="K205" t="s">
        <v>1918</v>
      </c>
      <c r="L205" t="s">
        <v>682</v>
      </c>
      <c r="M205" t="s">
        <v>3143</v>
      </c>
      <c r="N205" t="s">
        <v>520</v>
      </c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</row>
    <row r="206" spans="1:27" ht="15">
      <c r="B206"/>
      <c r="C206"/>
      <c r="D206" t="s">
        <v>5105</v>
      </c>
      <c r="E206" t="s">
        <v>5120</v>
      </c>
      <c r="F206" t="s">
        <v>514</v>
      </c>
      <c r="G206" t="s">
        <v>555</v>
      </c>
      <c r="H206"/>
      <c r="I206"/>
      <c r="J206" t="s">
        <v>1918</v>
      </c>
      <c r="K206" t="s">
        <v>1918</v>
      </c>
      <c r="L206"/>
      <c r="M206"/>
      <c r="N206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</row>
    <row r="207" spans="1:27" ht="15">
      <c r="A207" s="96">
        <v>45244</v>
      </c>
      <c r="B207" t="s">
        <v>4207</v>
      </c>
      <c r="C207" t="s">
        <v>670</v>
      </c>
      <c r="D207"/>
      <c r="E207" t="s">
        <v>7354</v>
      </c>
      <c r="F207"/>
      <c r="G207" t="s">
        <v>3805</v>
      </c>
      <c r="H207" t="s">
        <v>7256</v>
      </c>
      <c r="I207" t="s">
        <v>4209</v>
      </c>
      <c r="J207" t="s">
        <v>753</v>
      </c>
      <c r="K207" t="s">
        <v>753</v>
      </c>
      <c r="L207" t="s">
        <v>518</v>
      </c>
      <c r="M207" t="s">
        <v>751</v>
      </c>
      <c r="N207" t="s">
        <v>520</v>
      </c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</row>
    <row r="208" spans="1:27" ht="15">
      <c r="B208"/>
      <c r="C208"/>
      <c r="D208" t="s">
        <v>4202</v>
      </c>
      <c r="E208" t="s">
        <v>4208</v>
      </c>
      <c r="F208" t="s">
        <v>1077</v>
      </c>
      <c r="G208" t="s">
        <v>3805</v>
      </c>
      <c r="H208"/>
      <c r="I208"/>
      <c r="J208" t="s">
        <v>753</v>
      </c>
      <c r="K208" t="s">
        <v>753</v>
      </c>
      <c r="L208"/>
      <c r="M208"/>
      <c r="N208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</row>
    <row r="209" spans="1:27" ht="15">
      <c r="A209" s="96">
        <v>45244</v>
      </c>
      <c r="B209" t="s">
        <v>4226</v>
      </c>
      <c r="C209" t="s">
        <v>670</v>
      </c>
      <c r="D209"/>
      <c r="E209" t="s">
        <v>7355</v>
      </c>
      <c r="F209"/>
      <c r="G209" t="s">
        <v>4220</v>
      </c>
      <c r="H209" t="s">
        <v>7256</v>
      </c>
      <c r="I209" t="s">
        <v>4227</v>
      </c>
      <c r="J209" t="s">
        <v>3640</v>
      </c>
      <c r="K209" t="s">
        <v>3640</v>
      </c>
      <c r="L209" t="s">
        <v>518</v>
      </c>
      <c r="M209" t="s">
        <v>3639</v>
      </c>
      <c r="N209" t="s">
        <v>535</v>
      </c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</row>
    <row r="210" spans="1:27" ht="15">
      <c r="B210"/>
      <c r="C210"/>
      <c r="D210" t="s">
        <v>4216</v>
      </c>
      <c r="E210" t="s">
        <v>4219</v>
      </c>
      <c r="F210" t="s">
        <v>657</v>
      </c>
      <c r="G210" t="s">
        <v>4220</v>
      </c>
      <c r="H210"/>
      <c r="I210"/>
      <c r="J210" t="s">
        <v>3640</v>
      </c>
      <c r="K210" t="s">
        <v>3640</v>
      </c>
      <c r="L210"/>
      <c r="M210"/>
      <c r="N210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</row>
    <row r="211" spans="1:27" ht="15">
      <c r="A211" s="96">
        <v>45244</v>
      </c>
      <c r="B211" t="s">
        <v>3712</v>
      </c>
      <c r="C211" t="s">
        <v>670</v>
      </c>
      <c r="D211"/>
      <c r="E211" t="s">
        <v>7356</v>
      </c>
      <c r="F211"/>
      <c r="G211" t="s">
        <v>555</v>
      </c>
      <c r="H211" t="s">
        <v>7256</v>
      </c>
      <c r="I211" t="s">
        <v>3715</v>
      </c>
      <c r="J211" t="s">
        <v>561</v>
      </c>
      <c r="K211" t="s">
        <v>561</v>
      </c>
      <c r="L211" t="s">
        <v>518</v>
      </c>
      <c r="M211" t="s">
        <v>3714</v>
      </c>
      <c r="N211" t="s">
        <v>535</v>
      </c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</row>
    <row r="212" spans="1:27" ht="15">
      <c r="B212"/>
      <c r="C212"/>
      <c r="D212" t="s">
        <v>551</v>
      </c>
      <c r="E212" t="s">
        <v>3713</v>
      </c>
      <c r="F212" t="s">
        <v>514</v>
      </c>
      <c r="G212" t="s">
        <v>555</v>
      </c>
      <c r="H212"/>
      <c r="I212"/>
      <c r="J212" t="s">
        <v>561</v>
      </c>
      <c r="K212" t="s">
        <v>561</v>
      </c>
      <c r="L212"/>
      <c r="M212"/>
      <c r="N212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</row>
    <row r="213" spans="1:27" ht="15">
      <c r="A213" s="96">
        <v>45244</v>
      </c>
      <c r="B213" t="s">
        <v>3913</v>
      </c>
      <c r="C213" t="s">
        <v>670</v>
      </c>
      <c r="D213"/>
      <c r="E213" t="s">
        <v>7357</v>
      </c>
      <c r="F213"/>
      <c r="G213" t="s">
        <v>2856</v>
      </c>
      <c r="H213" t="s">
        <v>7256</v>
      </c>
      <c r="I213" t="s">
        <v>3915</v>
      </c>
      <c r="J213" t="s">
        <v>733</v>
      </c>
      <c r="K213" t="s">
        <v>733</v>
      </c>
      <c r="L213" t="s">
        <v>518</v>
      </c>
      <c r="M213" t="s">
        <v>3910</v>
      </c>
      <c r="N213" t="s">
        <v>1374</v>
      </c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</row>
    <row r="214" spans="1:27" ht="15">
      <c r="B214"/>
      <c r="C214"/>
      <c r="D214" t="s">
        <v>3905</v>
      </c>
      <c r="E214" t="s">
        <v>3914</v>
      </c>
      <c r="F214" t="s">
        <v>1077</v>
      </c>
      <c r="G214" t="s">
        <v>2856</v>
      </c>
      <c r="H214"/>
      <c r="I214"/>
      <c r="J214" t="s">
        <v>733</v>
      </c>
      <c r="K214" t="s">
        <v>733</v>
      </c>
      <c r="L214"/>
      <c r="M214"/>
      <c r="N214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</row>
    <row r="215" spans="1:27" ht="15">
      <c r="A215" s="96">
        <v>45244</v>
      </c>
      <c r="B215" t="s">
        <v>7358</v>
      </c>
      <c r="C215" t="s">
        <v>1071</v>
      </c>
      <c r="D215"/>
      <c r="E215" t="s">
        <v>7102</v>
      </c>
      <c r="F215"/>
      <c r="G215" t="s">
        <v>2107</v>
      </c>
      <c r="H215" t="s">
        <v>7262</v>
      </c>
      <c r="I215" t="s">
        <v>7359</v>
      </c>
      <c r="J215" t="s">
        <v>1934</v>
      </c>
      <c r="K215" t="s">
        <v>1934</v>
      </c>
      <c r="L215" t="s">
        <v>518</v>
      </c>
      <c r="M215" t="s">
        <v>4505</v>
      </c>
      <c r="N215" t="s">
        <v>535</v>
      </c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</row>
    <row r="216" spans="1:27" ht="15">
      <c r="A216" s="96">
        <v>45244</v>
      </c>
      <c r="B216" t="s">
        <v>5366</v>
      </c>
      <c r="C216" t="s">
        <v>670</v>
      </c>
      <c r="D216"/>
      <c r="E216" t="s">
        <v>7360</v>
      </c>
      <c r="F216"/>
      <c r="G216" t="s">
        <v>5368</v>
      </c>
      <c r="H216" t="s">
        <v>7262</v>
      </c>
      <c r="I216" t="s">
        <v>5369</v>
      </c>
      <c r="J216" t="s">
        <v>1150</v>
      </c>
      <c r="K216" t="s">
        <v>1150</v>
      </c>
      <c r="L216" t="s">
        <v>682</v>
      </c>
      <c r="M216" t="s">
        <v>4796</v>
      </c>
      <c r="N216" t="s">
        <v>535</v>
      </c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</row>
    <row r="217" spans="1:27" ht="15">
      <c r="B217"/>
      <c r="C217"/>
      <c r="D217" t="s">
        <v>5364</v>
      </c>
      <c r="E217" t="s">
        <v>5367</v>
      </c>
      <c r="F217" t="s">
        <v>1077</v>
      </c>
      <c r="G217" t="s">
        <v>5368</v>
      </c>
      <c r="H217"/>
      <c r="I217"/>
      <c r="J217" t="s">
        <v>1150</v>
      </c>
      <c r="K217" t="s">
        <v>1150</v>
      </c>
      <c r="L217"/>
      <c r="M217"/>
      <c r="N217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</row>
    <row r="218" spans="1:27" ht="15">
      <c r="A218" s="96">
        <v>45244</v>
      </c>
      <c r="B218" t="s">
        <v>3220</v>
      </c>
      <c r="C218" t="s">
        <v>1071</v>
      </c>
      <c r="D218"/>
      <c r="E218" t="s">
        <v>7361</v>
      </c>
      <c r="F218"/>
      <c r="G218" t="s">
        <v>7362</v>
      </c>
      <c r="H218" t="s">
        <v>7262</v>
      </c>
      <c r="I218" t="s">
        <v>3223</v>
      </c>
      <c r="J218" t="s">
        <v>1042</v>
      </c>
      <c r="K218" t="s">
        <v>1042</v>
      </c>
      <c r="L218" t="s">
        <v>518</v>
      </c>
      <c r="M218" t="s">
        <v>2925</v>
      </c>
      <c r="N218" t="s">
        <v>535</v>
      </c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</row>
    <row r="219" spans="1:27" ht="15">
      <c r="B219"/>
      <c r="C219"/>
      <c r="D219" t="s">
        <v>3218</v>
      </c>
      <c r="E219" t="s">
        <v>3225</v>
      </c>
      <c r="F219" t="s">
        <v>958</v>
      </c>
      <c r="G219" t="s">
        <v>3222</v>
      </c>
      <c r="H219"/>
      <c r="I219"/>
      <c r="J219" t="s">
        <v>1042</v>
      </c>
      <c r="K219" t="s">
        <v>1042</v>
      </c>
      <c r="L219"/>
      <c r="M219"/>
      <c r="N219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</row>
    <row r="220" spans="1:27" ht="15">
      <c r="B220"/>
      <c r="C220"/>
      <c r="D220" t="s">
        <v>3218</v>
      </c>
      <c r="E220" t="s">
        <v>3221</v>
      </c>
      <c r="F220" t="s">
        <v>958</v>
      </c>
      <c r="G220" t="s">
        <v>3222</v>
      </c>
      <c r="H220"/>
      <c r="I220"/>
      <c r="J220" t="s">
        <v>1042</v>
      </c>
      <c r="K220" t="s">
        <v>1042</v>
      </c>
      <c r="L220"/>
      <c r="M220"/>
      <c r="N220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</row>
    <row r="221" spans="1:27" ht="15">
      <c r="B221"/>
      <c r="C221"/>
      <c r="D221" t="s">
        <v>3218</v>
      </c>
      <c r="E221" t="s">
        <v>3225</v>
      </c>
      <c r="F221" t="s">
        <v>958</v>
      </c>
      <c r="G221" t="s">
        <v>3222</v>
      </c>
      <c r="H221"/>
      <c r="I221"/>
      <c r="J221" t="s">
        <v>1042</v>
      </c>
      <c r="K221" t="s">
        <v>1042</v>
      </c>
      <c r="L221"/>
      <c r="M221"/>
      <c r="N221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</row>
    <row r="222" spans="1:27" ht="15">
      <c r="B222"/>
      <c r="C222"/>
      <c r="D222" t="s">
        <v>3218</v>
      </c>
      <c r="E222" t="s">
        <v>3225</v>
      </c>
      <c r="F222" t="s">
        <v>958</v>
      </c>
      <c r="G222" t="s">
        <v>3222</v>
      </c>
      <c r="H222"/>
      <c r="I222"/>
      <c r="J222" t="s">
        <v>1042</v>
      </c>
      <c r="K222" t="s">
        <v>1042</v>
      </c>
      <c r="L222"/>
      <c r="M222"/>
      <c r="N222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</row>
    <row r="223" spans="1:27" ht="15">
      <c r="B223"/>
      <c r="C223"/>
      <c r="D223" t="s">
        <v>4186</v>
      </c>
      <c r="E223" t="s">
        <v>1050</v>
      </c>
      <c r="F223" t="s">
        <v>514</v>
      </c>
      <c r="G223" t="s">
        <v>904</v>
      </c>
      <c r="H223"/>
      <c r="I223"/>
      <c r="J223" t="s">
        <v>1042</v>
      </c>
      <c r="K223" t="s">
        <v>1042</v>
      </c>
      <c r="L223"/>
      <c r="M223"/>
      <c r="N22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</row>
    <row r="224" spans="1:27" ht="15">
      <c r="A224" s="96">
        <v>45244</v>
      </c>
      <c r="B224" t="s">
        <v>2999</v>
      </c>
      <c r="C224" t="s">
        <v>670</v>
      </c>
      <c r="D224"/>
      <c r="E224" t="s">
        <v>7363</v>
      </c>
      <c r="F224"/>
      <c r="G224" t="s">
        <v>5324</v>
      </c>
      <c r="H224" t="s">
        <v>7262</v>
      </c>
      <c r="I224" t="s">
        <v>3002</v>
      </c>
      <c r="J224" t="s">
        <v>1918</v>
      </c>
      <c r="K224" t="s">
        <v>1918</v>
      </c>
      <c r="L224" t="s">
        <v>518</v>
      </c>
      <c r="M224" t="s">
        <v>2100</v>
      </c>
      <c r="N224" t="s">
        <v>605</v>
      </c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</row>
    <row r="225" spans="1:27" ht="15">
      <c r="B225"/>
      <c r="C225"/>
      <c r="D225" t="s">
        <v>2997</v>
      </c>
      <c r="E225" t="s">
        <v>1290</v>
      </c>
      <c r="F225" t="s">
        <v>514</v>
      </c>
      <c r="G225" t="s">
        <v>3000</v>
      </c>
      <c r="H225"/>
      <c r="I225"/>
      <c r="J225" t="s">
        <v>1918</v>
      </c>
      <c r="K225" t="s">
        <v>1918</v>
      </c>
      <c r="L225"/>
      <c r="M225"/>
      <c r="N225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</row>
    <row r="226" spans="1:27" ht="15">
      <c r="B226"/>
      <c r="C226"/>
      <c r="D226" t="s">
        <v>2997</v>
      </c>
      <c r="E226" t="s">
        <v>1290</v>
      </c>
      <c r="F226" t="s">
        <v>514</v>
      </c>
      <c r="G226" t="s">
        <v>3000</v>
      </c>
      <c r="H226"/>
      <c r="I226"/>
      <c r="J226" t="s">
        <v>1918</v>
      </c>
      <c r="K226" t="s">
        <v>1918</v>
      </c>
      <c r="L226"/>
      <c r="M226"/>
      <c r="N226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</row>
    <row r="227" spans="1:27" ht="15">
      <c r="B227"/>
      <c r="C227"/>
      <c r="D227" t="s">
        <v>2997</v>
      </c>
      <c r="E227" t="s">
        <v>1290</v>
      </c>
      <c r="F227" t="s">
        <v>514</v>
      </c>
      <c r="G227" t="s">
        <v>3000</v>
      </c>
      <c r="H227"/>
      <c r="I227"/>
      <c r="J227" t="s">
        <v>1918</v>
      </c>
      <c r="K227" t="s">
        <v>1918</v>
      </c>
      <c r="L227"/>
      <c r="M227"/>
      <c r="N227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</row>
    <row r="228" spans="1:27" ht="15">
      <c r="B228"/>
      <c r="C228"/>
      <c r="D228" t="s">
        <v>2997</v>
      </c>
      <c r="E228" t="s">
        <v>1290</v>
      </c>
      <c r="F228" t="s">
        <v>514</v>
      </c>
      <c r="G228" t="s">
        <v>3000</v>
      </c>
      <c r="H228"/>
      <c r="I228"/>
      <c r="J228" t="s">
        <v>1918</v>
      </c>
      <c r="K228" t="s">
        <v>1918</v>
      </c>
      <c r="L228"/>
      <c r="M228"/>
      <c r="N228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</row>
    <row r="229" spans="1:27" ht="15">
      <c r="B229"/>
      <c r="C229"/>
      <c r="D229" t="s">
        <v>2997</v>
      </c>
      <c r="E229" t="s">
        <v>1290</v>
      </c>
      <c r="F229" t="s">
        <v>514</v>
      </c>
      <c r="G229" t="s">
        <v>3000</v>
      </c>
      <c r="H229"/>
      <c r="I229"/>
      <c r="J229" t="s">
        <v>1918</v>
      </c>
      <c r="K229" t="s">
        <v>1918</v>
      </c>
      <c r="L229"/>
      <c r="M229"/>
      <c r="N229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</row>
    <row r="230" spans="1:27" ht="15">
      <c r="B230"/>
      <c r="C230"/>
      <c r="D230" t="s">
        <v>2997</v>
      </c>
      <c r="E230" t="s">
        <v>1290</v>
      </c>
      <c r="F230" t="s">
        <v>514</v>
      </c>
      <c r="G230" t="s">
        <v>3000</v>
      </c>
      <c r="H230"/>
      <c r="I230"/>
      <c r="J230" t="s">
        <v>1918</v>
      </c>
      <c r="K230" t="s">
        <v>1918</v>
      </c>
      <c r="L230"/>
      <c r="M230"/>
      <c r="N230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</row>
    <row r="231" spans="1:27" ht="15">
      <c r="A231" s="96">
        <v>45244</v>
      </c>
      <c r="B231" t="s">
        <v>4749</v>
      </c>
      <c r="C231" t="s">
        <v>670</v>
      </c>
      <c r="D231"/>
      <c r="E231" t="s">
        <v>7364</v>
      </c>
      <c r="F231"/>
      <c r="G231" t="s">
        <v>4751</v>
      </c>
      <c r="H231" t="s">
        <v>7262</v>
      </c>
      <c r="I231" t="s">
        <v>4752</v>
      </c>
      <c r="J231" t="s">
        <v>1042</v>
      </c>
      <c r="K231" t="s">
        <v>1042</v>
      </c>
      <c r="L231" t="s">
        <v>518</v>
      </c>
      <c r="M231" t="s">
        <v>1040</v>
      </c>
      <c r="N231" t="s">
        <v>535</v>
      </c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</row>
    <row r="232" spans="1:27" ht="15">
      <c r="B232"/>
      <c r="C232"/>
      <c r="D232" t="s">
        <v>4747</v>
      </c>
      <c r="E232" t="s">
        <v>4750</v>
      </c>
      <c r="F232" t="s">
        <v>657</v>
      </c>
      <c r="G232" t="s">
        <v>4751</v>
      </c>
      <c r="H232"/>
      <c r="I232"/>
      <c r="J232" t="s">
        <v>1042</v>
      </c>
      <c r="K232" t="s">
        <v>1042</v>
      </c>
      <c r="L232"/>
      <c r="M232"/>
      <c r="N232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</row>
    <row r="233" spans="1:27" ht="15">
      <c r="A233" s="96">
        <v>45244</v>
      </c>
      <c r="B233" t="s">
        <v>5347</v>
      </c>
      <c r="C233" t="s">
        <v>670</v>
      </c>
      <c r="D233"/>
      <c r="E233" t="s">
        <v>7365</v>
      </c>
      <c r="F233"/>
      <c r="G233" t="s">
        <v>5349</v>
      </c>
      <c r="H233" t="s">
        <v>7262</v>
      </c>
      <c r="I233" t="s">
        <v>5350</v>
      </c>
      <c r="J233" t="s">
        <v>597</v>
      </c>
      <c r="K233" t="s">
        <v>597</v>
      </c>
      <c r="L233" t="s">
        <v>518</v>
      </c>
      <c r="M233" t="s">
        <v>596</v>
      </c>
      <c r="N233" t="s">
        <v>520</v>
      </c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</row>
    <row r="234" spans="1:27" ht="15">
      <c r="B234"/>
      <c r="C234"/>
      <c r="D234" t="s">
        <v>5336</v>
      </c>
      <c r="E234" t="s">
        <v>5348</v>
      </c>
      <c r="F234" t="s">
        <v>657</v>
      </c>
      <c r="G234" t="s">
        <v>5349</v>
      </c>
      <c r="H234"/>
      <c r="I234"/>
      <c r="J234" t="s">
        <v>597</v>
      </c>
      <c r="K234" t="s">
        <v>597</v>
      </c>
      <c r="L234"/>
      <c r="M234"/>
      <c r="N234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</row>
    <row r="235" spans="1:27" ht="15">
      <c r="A235" s="96">
        <v>45244</v>
      </c>
      <c r="B235" t="s">
        <v>5343</v>
      </c>
      <c r="C235" t="s">
        <v>670</v>
      </c>
      <c r="D235"/>
      <c r="E235" t="s">
        <v>7366</v>
      </c>
      <c r="F235"/>
      <c r="G235" t="s">
        <v>5340</v>
      </c>
      <c r="H235" t="s">
        <v>7262</v>
      </c>
      <c r="I235" t="s">
        <v>5345</v>
      </c>
      <c r="J235" t="s">
        <v>597</v>
      </c>
      <c r="K235" t="s">
        <v>597</v>
      </c>
      <c r="L235" t="s">
        <v>518</v>
      </c>
      <c r="M235" t="s">
        <v>596</v>
      </c>
      <c r="N235" t="s">
        <v>520</v>
      </c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</row>
    <row r="236" spans="1:27" ht="15">
      <c r="B236"/>
      <c r="C236"/>
      <c r="D236" t="s">
        <v>5336</v>
      </c>
      <c r="E236" t="s">
        <v>5344</v>
      </c>
      <c r="F236" t="s">
        <v>724</v>
      </c>
      <c r="G236" t="s">
        <v>5340</v>
      </c>
      <c r="H236"/>
      <c r="I236"/>
      <c r="J236" t="s">
        <v>597</v>
      </c>
      <c r="K236" t="s">
        <v>597</v>
      </c>
      <c r="L236"/>
      <c r="M236"/>
      <c r="N236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</row>
    <row r="237" spans="1:27" ht="15">
      <c r="A237" s="96">
        <v>45244</v>
      </c>
      <c r="B237" t="s">
        <v>4576</v>
      </c>
      <c r="C237" t="s">
        <v>670</v>
      </c>
      <c r="D237"/>
      <c r="E237" t="s">
        <v>6312</v>
      </c>
      <c r="F237"/>
      <c r="G237" t="s">
        <v>4568</v>
      </c>
      <c r="H237" t="s">
        <v>7262</v>
      </c>
      <c r="I237" t="s">
        <v>4578</v>
      </c>
      <c r="J237" t="s">
        <v>1918</v>
      </c>
      <c r="K237" t="s">
        <v>1918</v>
      </c>
      <c r="L237" t="s">
        <v>682</v>
      </c>
      <c r="M237" t="s">
        <v>3143</v>
      </c>
      <c r="N237" t="s">
        <v>570</v>
      </c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</row>
    <row r="238" spans="1:27" ht="15">
      <c r="B238"/>
      <c r="C238"/>
      <c r="D238" t="s">
        <v>4551</v>
      </c>
      <c r="E238" t="s">
        <v>4577</v>
      </c>
      <c r="F238" t="s">
        <v>4567</v>
      </c>
      <c r="G238" t="s">
        <v>4568</v>
      </c>
      <c r="H238"/>
      <c r="I238"/>
      <c r="J238" t="s">
        <v>1918</v>
      </c>
      <c r="K238" t="s">
        <v>1918</v>
      </c>
      <c r="L238"/>
      <c r="M238"/>
      <c r="N238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</row>
    <row r="239" spans="1:27" ht="15">
      <c r="A239" s="96">
        <v>45244</v>
      </c>
      <c r="B239" t="s">
        <v>4559</v>
      </c>
      <c r="C239" t="s">
        <v>670</v>
      </c>
      <c r="D239"/>
      <c r="E239" t="s">
        <v>7367</v>
      </c>
      <c r="F239"/>
      <c r="G239" t="s">
        <v>4562</v>
      </c>
      <c r="H239" t="s">
        <v>7262</v>
      </c>
      <c r="I239" t="s">
        <v>4563</v>
      </c>
      <c r="J239" t="s">
        <v>1918</v>
      </c>
      <c r="K239" t="s">
        <v>1918</v>
      </c>
      <c r="L239" t="s">
        <v>682</v>
      </c>
      <c r="M239" t="s">
        <v>3143</v>
      </c>
      <c r="N239" t="s">
        <v>570</v>
      </c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</row>
    <row r="240" spans="1:27" ht="15">
      <c r="B240"/>
      <c r="C240"/>
      <c r="D240" t="s">
        <v>4551</v>
      </c>
      <c r="E240" t="s">
        <v>4560</v>
      </c>
      <c r="F240" t="s">
        <v>4561</v>
      </c>
      <c r="G240" t="s">
        <v>4562</v>
      </c>
      <c r="H240"/>
      <c r="I240"/>
      <c r="J240" t="s">
        <v>1918</v>
      </c>
      <c r="K240" t="s">
        <v>1918</v>
      </c>
      <c r="L240"/>
      <c r="M240"/>
      <c r="N240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</row>
    <row r="241" spans="1:27" ht="15">
      <c r="A241" s="96">
        <v>45244</v>
      </c>
      <c r="B241" t="s">
        <v>4020</v>
      </c>
      <c r="C241" t="s">
        <v>670</v>
      </c>
      <c r="D241"/>
      <c r="E241" t="s">
        <v>7368</v>
      </c>
      <c r="F241"/>
      <c r="G241" t="s">
        <v>3697</v>
      </c>
      <c r="H241" t="s">
        <v>7262</v>
      </c>
      <c r="I241" t="s">
        <v>4022</v>
      </c>
      <c r="J241" t="s">
        <v>1042</v>
      </c>
      <c r="K241" t="s">
        <v>1042</v>
      </c>
      <c r="L241" t="s">
        <v>518</v>
      </c>
      <c r="M241" t="s">
        <v>2925</v>
      </c>
      <c r="N241" t="s">
        <v>520</v>
      </c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</row>
    <row r="242" spans="1:27" ht="15">
      <c r="B242"/>
      <c r="C242"/>
      <c r="D242" t="s">
        <v>4018</v>
      </c>
      <c r="E242" t="s">
        <v>4021</v>
      </c>
      <c r="F242" t="s">
        <v>1163</v>
      </c>
      <c r="G242" t="s">
        <v>3697</v>
      </c>
      <c r="H242"/>
      <c r="I242"/>
      <c r="J242" t="s">
        <v>1042</v>
      </c>
      <c r="K242" t="s">
        <v>1042</v>
      </c>
      <c r="L242"/>
      <c r="M242"/>
      <c r="N242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</row>
    <row r="243" spans="1:27" ht="15">
      <c r="A243" s="96">
        <v>45244</v>
      </c>
      <c r="B243" t="s">
        <v>3210</v>
      </c>
      <c r="C243" t="s">
        <v>1071</v>
      </c>
      <c r="D243"/>
      <c r="E243" t="s">
        <v>7369</v>
      </c>
      <c r="F243"/>
      <c r="G243" t="s">
        <v>7370</v>
      </c>
      <c r="H243" t="s">
        <v>7262</v>
      </c>
      <c r="I243" t="s">
        <v>3212</v>
      </c>
      <c r="J243" t="s">
        <v>1098</v>
      </c>
      <c r="K243" t="s">
        <v>1098</v>
      </c>
      <c r="L243" t="s">
        <v>518</v>
      </c>
      <c r="M243" t="s">
        <v>1097</v>
      </c>
      <c r="N243" t="s">
        <v>605</v>
      </c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</row>
    <row r="244" spans="1:27" ht="15">
      <c r="B244"/>
      <c r="C244"/>
      <c r="D244" t="s">
        <v>3270</v>
      </c>
      <c r="E244" t="s">
        <v>799</v>
      </c>
      <c r="F244" t="s">
        <v>514</v>
      </c>
      <c r="G244" t="s">
        <v>738</v>
      </c>
      <c r="H244"/>
      <c r="I244"/>
      <c r="J244" t="s">
        <v>1098</v>
      </c>
      <c r="K244" t="s">
        <v>1098</v>
      </c>
      <c r="L244"/>
      <c r="M244"/>
      <c r="N244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</row>
    <row r="245" spans="1:27" ht="15">
      <c r="B245"/>
      <c r="C245"/>
      <c r="D245" t="s">
        <v>4481</v>
      </c>
      <c r="E245" t="s">
        <v>4483</v>
      </c>
      <c r="F245" t="s">
        <v>514</v>
      </c>
      <c r="G245" t="s">
        <v>4484</v>
      </c>
      <c r="H245"/>
      <c r="I245"/>
      <c r="J245" t="s">
        <v>1098</v>
      </c>
      <c r="K245" t="s">
        <v>1098</v>
      </c>
      <c r="L245"/>
      <c r="M245"/>
      <c r="N245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</row>
    <row r="246" spans="1:27" ht="15">
      <c r="B246"/>
      <c r="C246"/>
      <c r="D246" t="s">
        <v>3270</v>
      </c>
      <c r="E246" t="s">
        <v>799</v>
      </c>
      <c r="F246" t="s">
        <v>514</v>
      </c>
      <c r="G246" t="s">
        <v>738</v>
      </c>
      <c r="H246"/>
      <c r="I246"/>
      <c r="J246" t="s">
        <v>1098</v>
      </c>
      <c r="K246" t="s">
        <v>1098</v>
      </c>
      <c r="L246"/>
      <c r="M246"/>
      <c r="N246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</row>
    <row r="247" spans="1:27" ht="15">
      <c r="B247"/>
      <c r="C247"/>
      <c r="D247" t="s">
        <v>3208</v>
      </c>
      <c r="E247" t="s">
        <v>3211</v>
      </c>
      <c r="F247" t="s">
        <v>514</v>
      </c>
      <c r="G247" t="s">
        <v>2668</v>
      </c>
      <c r="H247"/>
      <c r="I247"/>
      <c r="J247" t="s">
        <v>1098</v>
      </c>
      <c r="K247" t="s">
        <v>1098</v>
      </c>
      <c r="L247"/>
      <c r="M247"/>
      <c r="N247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</row>
    <row r="248" spans="1:27" ht="15">
      <c r="A248" s="96">
        <v>45244</v>
      </c>
      <c r="B248" t="s">
        <v>5181</v>
      </c>
      <c r="C248" t="s">
        <v>670</v>
      </c>
      <c r="D248"/>
      <c r="E248" t="s">
        <v>7371</v>
      </c>
      <c r="F248"/>
      <c r="G248" t="s">
        <v>2991</v>
      </c>
      <c r="H248" t="s">
        <v>7262</v>
      </c>
      <c r="I248" t="s">
        <v>5183</v>
      </c>
      <c r="J248" t="s">
        <v>753</v>
      </c>
      <c r="K248" t="s">
        <v>753</v>
      </c>
      <c r="L248" t="s">
        <v>518</v>
      </c>
      <c r="M248" t="s">
        <v>751</v>
      </c>
      <c r="N248" t="s">
        <v>520</v>
      </c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</row>
    <row r="249" spans="1:27" ht="15">
      <c r="B249"/>
      <c r="C249"/>
      <c r="D249" t="s">
        <v>5179</v>
      </c>
      <c r="E249" t="s">
        <v>5182</v>
      </c>
      <c r="F249" t="s">
        <v>4911</v>
      </c>
      <c r="G249" t="s">
        <v>2991</v>
      </c>
      <c r="H249"/>
      <c r="I249"/>
      <c r="J249" t="s">
        <v>753</v>
      </c>
      <c r="K249" t="s">
        <v>753</v>
      </c>
      <c r="L249"/>
      <c r="M249"/>
      <c r="N249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</row>
    <row r="250" spans="1:27" ht="15">
      <c r="A250" s="96">
        <v>45244</v>
      </c>
      <c r="B250" t="s">
        <v>4067</v>
      </c>
      <c r="C250" t="s">
        <v>670</v>
      </c>
      <c r="D250"/>
      <c r="E250" t="s">
        <v>7372</v>
      </c>
      <c r="F250"/>
      <c r="G250" t="s">
        <v>4070</v>
      </c>
      <c r="H250" t="s">
        <v>7262</v>
      </c>
      <c r="I250" t="s">
        <v>4071</v>
      </c>
      <c r="J250" t="s">
        <v>1918</v>
      </c>
      <c r="K250" t="s">
        <v>1918</v>
      </c>
      <c r="L250" t="s">
        <v>518</v>
      </c>
      <c r="M250" t="s">
        <v>1917</v>
      </c>
      <c r="N250" t="s">
        <v>535</v>
      </c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</row>
    <row r="251" spans="1:27" ht="15">
      <c r="B251"/>
      <c r="C251"/>
      <c r="D251" t="s">
        <v>4065</v>
      </c>
      <c r="E251" t="s">
        <v>4068</v>
      </c>
      <c r="F251" t="s">
        <v>4069</v>
      </c>
      <c r="G251" t="s">
        <v>4070</v>
      </c>
      <c r="H251"/>
      <c r="I251"/>
      <c r="J251" t="s">
        <v>1918</v>
      </c>
      <c r="K251" t="s">
        <v>1918</v>
      </c>
      <c r="L251"/>
      <c r="M251"/>
      <c r="N251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</row>
    <row r="252" spans="1:27" ht="15">
      <c r="A252" s="96">
        <v>45244</v>
      </c>
      <c r="B252" t="s">
        <v>5492</v>
      </c>
      <c r="C252" t="s">
        <v>670</v>
      </c>
      <c r="D252"/>
      <c r="E252" t="s">
        <v>7255</v>
      </c>
      <c r="F252"/>
      <c r="G252" t="s">
        <v>5494</v>
      </c>
      <c r="H252" t="s">
        <v>7262</v>
      </c>
      <c r="I252" t="s">
        <v>5495</v>
      </c>
      <c r="J252" t="s">
        <v>741</v>
      </c>
      <c r="K252" t="s">
        <v>741</v>
      </c>
      <c r="L252" t="s">
        <v>518</v>
      </c>
      <c r="M252" t="s">
        <v>739</v>
      </c>
      <c r="N252" t="s">
        <v>535</v>
      </c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</row>
    <row r="253" spans="1:27" ht="15">
      <c r="B253"/>
      <c r="C253"/>
      <c r="D253" t="s">
        <v>5490</v>
      </c>
      <c r="E253" t="s">
        <v>2055</v>
      </c>
      <c r="F253" t="s">
        <v>5493</v>
      </c>
      <c r="G253" t="s">
        <v>5494</v>
      </c>
      <c r="H253"/>
      <c r="I253"/>
      <c r="J253" t="s">
        <v>741</v>
      </c>
      <c r="K253" t="s">
        <v>741</v>
      </c>
      <c r="L253"/>
      <c r="M253"/>
      <c r="N25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</row>
    <row r="254" spans="1:27" ht="15">
      <c r="A254" s="96">
        <v>45244</v>
      </c>
      <c r="B254" t="s">
        <v>5317</v>
      </c>
      <c r="C254" t="s">
        <v>2526</v>
      </c>
      <c r="D254"/>
      <c r="E254" t="s">
        <v>7373</v>
      </c>
      <c r="F254"/>
      <c r="G254" t="s">
        <v>1783</v>
      </c>
      <c r="H254" t="s">
        <v>7262</v>
      </c>
      <c r="I254" t="s">
        <v>5319</v>
      </c>
      <c r="J254" t="s">
        <v>668</v>
      </c>
      <c r="K254" t="s">
        <v>668</v>
      </c>
      <c r="L254" t="s">
        <v>518</v>
      </c>
      <c r="M254" t="s">
        <v>1079</v>
      </c>
      <c r="N254" t="s">
        <v>535</v>
      </c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</row>
    <row r="255" spans="1:27" ht="15">
      <c r="B255"/>
      <c r="C255"/>
      <c r="D255" t="s">
        <v>5315</v>
      </c>
      <c r="E255" t="s">
        <v>5318</v>
      </c>
      <c r="F255" t="s">
        <v>958</v>
      </c>
      <c r="G255" t="s">
        <v>1783</v>
      </c>
      <c r="H255"/>
      <c r="I255"/>
      <c r="J255" t="s">
        <v>668</v>
      </c>
      <c r="K255" t="s">
        <v>668</v>
      </c>
      <c r="L255"/>
      <c r="M255"/>
      <c r="N255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</row>
    <row r="256" spans="1:27" ht="15">
      <c r="A256" s="96">
        <v>45244</v>
      </c>
      <c r="B256" t="s">
        <v>5407</v>
      </c>
      <c r="C256" t="s">
        <v>670</v>
      </c>
      <c r="D256"/>
      <c r="E256" t="s">
        <v>7374</v>
      </c>
      <c r="F256"/>
      <c r="G256" t="s">
        <v>5409</v>
      </c>
      <c r="H256" t="s">
        <v>7262</v>
      </c>
      <c r="I256" t="s">
        <v>5410</v>
      </c>
      <c r="J256" t="s">
        <v>803</v>
      </c>
      <c r="K256" t="s">
        <v>803</v>
      </c>
      <c r="L256" t="s">
        <v>518</v>
      </c>
      <c r="M256" t="s">
        <v>801</v>
      </c>
      <c r="N256" t="s">
        <v>1374</v>
      </c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</row>
    <row r="257" spans="1:27" ht="15">
      <c r="B257"/>
      <c r="C257"/>
      <c r="D257" t="s">
        <v>5405</v>
      </c>
      <c r="E257" t="s">
        <v>5408</v>
      </c>
      <c r="F257" t="s">
        <v>1163</v>
      </c>
      <c r="G257" t="s">
        <v>5409</v>
      </c>
      <c r="H257"/>
      <c r="I257"/>
      <c r="J257" t="s">
        <v>803</v>
      </c>
      <c r="K257" t="s">
        <v>803</v>
      </c>
      <c r="L257"/>
      <c r="M257"/>
      <c r="N257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</row>
    <row r="258" spans="1:27" ht="15">
      <c r="A258" s="96">
        <v>45244</v>
      </c>
      <c r="B258" t="s">
        <v>3051</v>
      </c>
      <c r="C258" t="s">
        <v>670</v>
      </c>
      <c r="D258"/>
      <c r="E258" t="s">
        <v>5984</v>
      </c>
      <c r="F258"/>
      <c r="G258" t="s">
        <v>6076</v>
      </c>
      <c r="H258" t="s">
        <v>7262</v>
      </c>
      <c r="I258" t="s">
        <v>3052</v>
      </c>
      <c r="J258" t="s">
        <v>803</v>
      </c>
      <c r="K258" t="s">
        <v>803</v>
      </c>
      <c r="L258" t="s">
        <v>518</v>
      </c>
      <c r="M258" t="s">
        <v>801</v>
      </c>
      <c r="N258" t="s">
        <v>520</v>
      </c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</row>
    <row r="259" spans="1:27" ht="15">
      <c r="B259"/>
      <c r="C259"/>
      <c r="D259" t="s">
        <v>3049</v>
      </c>
      <c r="E259" t="s">
        <v>1050</v>
      </c>
      <c r="F259" t="s">
        <v>958</v>
      </c>
      <c r="G259" t="s">
        <v>1580</v>
      </c>
      <c r="H259"/>
      <c r="I259"/>
      <c r="J259" t="s">
        <v>803</v>
      </c>
      <c r="K259" t="s">
        <v>803</v>
      </c>
      <c r="L259"/>
      <c r="M259"/>
      <c r="N259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</row>
    <row r="260" spans="1:27" ht="15">
      <c r="B260"/>
      <c r="C260"/>
      <c r="D260" t="s">
        <v>3049</v>
      </c>
      <c r="E260" t="s">
        <v>3054</v>
      </c>
      <c r="F260" t="s">
        <v>3055</v>
      </c>
      <c r="G260" t="s">
        <v>3056</v>
      </c>
      <c r="H260"/>
      <c r="I260"/>
      <c r="J260" t="s">
        <v>803</v>
      </c>
      <c r="K260" t="s">
        <v>803</v>
      </c>
      <c r="L260"/>
      <c r="M260"/>
      <c r="N260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</row>
    <row r="261" spans="1:27" ht="15">
      <c r="A261" s="96">
        <v>45244</v>
      </c>
      <c r="B261" t="s">
        <v>5067</v>
      </c>
      <c r="C261" t="s">
        <v>670</v>
      </c>
      <c r="D261"/>
      <c r="E261" t="s">
        <v>7357</v>
      </c>
      <c r="F261"/>
      <c r="G261" t="s">
        <v>5068</v>
      </c>
      <c r="H261" t="s">
        <v>7262</v>
      </c>
      <c r="I261" t="s">
        <v>5069</v>
      </c>
      <c r="J261" t="s">
        <v>1014</v>
      </c>
      <c r="K261" t="s">
        <v>1014</v>
      </c>
      <c r="L261" t="s">
        <v>518</v>
      </c>
      <c r="M261" t="s">
        <v>3813</v>
      </c>
      <c r="N261" t="s">
        <v>520</v>
      </c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</row>
    <row r="262" spans="1:27" ht="15">
      <c r="B262"/>
      <c r="C262"/>
      <c r="D262" t="s">
        <v>5062</v>
      </c>
      <c r="E262" t="s">
        <v>3914</v>
      </c>
      <c r="F262" t="s">
        <v>724</v>
      </c>
      <c r="G262" t="s">
        <v>5068</v>
      </c>
      <c r="H262"/>
      <c r="I262"/>
      <c r="J262" t="s">
        <v>1014</v>
      </c>
      <c r="K262" t="s">
        <v>1014</v>
      </c>
      <c r="L262"/>
      <c r="M262"/>
      <c r="N262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</row>
    <row r="263" spans="1:27" ht="15">
      <c r="A263" s="96">
        <v>45244</v>
      </c>
      <c r="B263" t="s">
        <v>7375</v>
      </c>
      <c r="C263" t="s">
        <v>670</v>
      </c>
      <c r="D263"/>
      <c r="E263" t="s">
        <v>7376</v>
      </c>
      <c r="F263"/>
      <c r="G263" t="s">
        <v>7377</v>
      </c>
      <c r="H263" t="s">
        <v>7262</v>
      </c>
      <c r="I263" t="s">
        <v>7378</v>
      </c>
      <c r="J263" t="s">
        <v>1918</v>
      </c>
      <c r="K263" t="s">
        <v>1918</v>
      </c>
      <c r="L263" t="s">
        <v>518</v>
      </c>
      <c r="M263" t="s">
        <v>2100</v>
      </c>
      <c r="N263" t="s">
        <v>535</v>
      </c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</row>
    <row r="264" spans="1:27" ht="15">
      <c r="B264"/>
      <c r="C264"/>
      <c r="D264" t="s">
        <v>2096</v>
      </c>
      <c r="E264" t="s">
        <v>2098</v>
      </c>
      <c r="F264" t="s">
        <v>514</v>
      </c>
      <c r="G264" t="s">
        <v>2067</v>
      </c>
      <c r="H264"/>
      <c r="I264"/>
      <c r="J264" t="s">
        <v>1918</v>
      </c>
      <c r="K264" t="s">
        <v>1918</v>
      </c>
      <c r="L264"/>
      <c r="M264"/>
      <c r="N264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</row>
    <row r="265" spans="1:27" ht="15">
      <c r="B265"/>
      <c r="C265"/>
      <c r="D265" t="s">
        <v>2096</v>
      </c>
      <c r="E265" t="s">
        <v>2098</v>
      </c>
      <c r="F265" t="s">
        <v>514</v>
      </c>
      <c r="G265" t="s">
        <v>2067</v>
      </c>
      <c r="H265"/>
      <c r="I265"/>
      <c r="J265" t="s">
        <v>1918</v>
      </c>
      <c r="K265" t="s">
        <v>1918</v>
      </c>
      <c r="L265"/>
      <c r="M265"/>
      <c r="N265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</row>
    <row r="266" spans="1:27" ht="15">
      <c r="B266"/>
      <c r="C266"/>
      <c r="D266" t="s">
        <v>2096</v>
      </c>
      <c r="E266" t="s">
        <v>2098</v>
      </c>
      <c r="F266" t="s">
        <v>514</v>
      </c>
      <c r="G266" t="s">
        <v>2107</v>
      </c>
      <c r="H266"/>
      <c r="I266"/>
      <c r="J266" t="s">
        <v>1918</v>
      </c>
      <c r="K266" t="s">
        <v>1918</v>
      </c>
      <c r="L266"/>
      <c r="M266"/>
      <c r="N266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</row>
    <row r="267" spans="1:27" ht="15">
      <c r="B267"/>
      <c r="C267"/>
      <c r="D267" t="s">
        <v>2096</v>
      </c>
      <c r="E267" t="s">
        <v>2098</v>
      </c>
      <c r="F267" t="s">
        <v>514</v>
      </c>
      <c r="G267" t="s">
        <v>2067</v>
      </c>
      <c r="H267"/>
      <c r="I267"/>
      <c r="J267" t="s">
        <v>1918</v>
      </c>
      <c r="K267" t="s">
        <v>1918</v>
      </c>
      <c r="L267"/>
      <c r="M267"/>
      <c r="N267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</row>
    <row r="268" spans="1:27" ht="15">
      <c r="B268"/>
      <c r="C268"/>
      <c r="D268" t="s">
        <v>2096</v>
      </c>
      <c r="E268" t="s">
        <v>2098</v>
      </c>
      <c r="F268" t="s">
        <v>514</v>
      </c>
      <c r="G268" t="s">
        <v>2067</v>
      </c>
      <c r="H268"/>
      <c r="I268"/>
      <c r="J268" t="s">
        <v>1918</v>
      </c>
      <c r="K268" t="s">
        <v>1918</v>
      </c>
      <c r="L268"/>
      <c r="M268"/>
      <c r="N268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</row>
    <row r="269" spans="1:27" ht="15">
      <c r="A269" s="96">
        <v>45244</v>
      </c>
      <c r="B269" t="s">
        <v>4590</v>
      </c>
      <c r="C269" t="s">
        <v>670</v>
      </c>
      <c r="D269"/>
      <c r="E269" t="s">
        <v>7379</v>
      </c>
      <c r="F269"/>
      <c r="G269" t="s">
        <v>4592</v>
      </c>
      <c r="H269" t="s">
        <v>7262</v>
      </c>
      <c r="I269" t="s">
        <v>4593</v>
      </c>
      <c r="J269" t="s">
        <v>1857</v>
      </c>
      <c r="K269" t="s">
        <v>1857</v>
      </c>
      <c r="L269" t="s">
        <v>518</v>
      </c>
      <c r="M269" t="s">
        <v>1856</v>
      </c>
      <c r="N269" t="s">
        <v>520</v>
      </c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</row>
    <row r="270" spans="1:27" ht="15">
      <c r="B270"/>
      <c r="C270"/>
      <c r="D270" t="s">
        <v>4582</v>
      </c>
      <c r="E270" t="s">
        <v>4572</v>
      </c>
      <c r="F270" t="s">
        <v>4591</v>
      </c>
      <c r="G270" t="s">
        <v>4592</v>
      </c>
      <c r="H270"/>
      <c r="I270"/>
      <c r="J270" t="s">
        <v>1857</v>
      </c>
      <c r="K270" t="s">
        <v>1918</v>
      </c>
      <c r="L270"/>
      <c r="M270"/>
      <c r="N270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</row>
    <row r="271" spans="1:27" ht="15">
      <c r="A271" s="96">
        <v>45244</v>
      </c>
      <c r="B271" t="s">
        <v>4659</v>
      </c>
      <c r="C271" t="s">
        <v>670</v>
      </c>
      <c r="D271"/>
      <c r="E271" t="s">
        <v>7380</v>
      </c>
      <c r="F271"/>
      <c r="G271" t="s">
        <v>7381</v>
      </c>
      <c r="H271" t="s">
        <v>7262</v>
      </c>
      <c r="I271" t="s">
        <v>4661</v>
      </c>
      <c r="J271" t="s">
        <v>803</v>
      </c>
      <c r="K271" t="s">
        <v>803</v>
      </c>
      <c r="L271" t="s">
        <v>518</v>
      </c>
      <c r="M271" t="s">
        <v>801</v>
      </c>
      <c r="N271" t="s">
        <v>570</v>
      </c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</row>
    <row r="272" spans="1:27" ht="15">
      <c r="B272"/>
      <c r="C272"/>
      <c r="D272" t="s">
        <v>4657</v>
      </c>
      <c r="E272" t="s">
        <v>4660</v>
      </c>
      <c r="F272" t="s">
        <v>979</v>
      </c>
      <c r="G272" t="s">
        <v>2163</v>
      </c>
      <c r="H272"/>
      <c r="I272"/>
      <c r="J272" t="s">
        <v>803</v>
      </c>
      <c r="K272" t="s">
        <v>803</v>
      </c>
      <c r="L272"/>
      <c r="M272"/>
      <c r="N272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</row>
    <row r="273" spans="1:27" ht="15">
      <c r="B273"/>
      <c r="C273"/>
      <c r="D273" t="s">
        <v>4657</v>
      </c>
      <c r="E273" t="s">
        <v>4664</v>
      </c>
      <c r="F273" t="s">
        <v>4089</v>
      </c>
      <c r="G273" t="s">
        <v>3150</v>
      </c>
      <c r="H273"/>
      <c r="I273"/>
      <c r="J273" t="s">
        <v>803</v>
      </c>
      <c r="K273" t="s">
        <v>803</v>
      </c>
      <c r="L273"/>
      <c r="M273"/>
      <c r="N2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</row>
    <row r="274" spans="1:27" ht="15">
      <c r="A274" s="96">
        <v>45244</v>
      </c>
      <c r="B274" t="s">
        <v>7382</v>
      </c>
      <c r="C274" t="s">
        <v>670</v>
      </c>
      <c r="D274"/>
      <c r="E274" t="s">
        <v>2625</v>
      </c>
      <c r="F274"/>
      <c r="G274" t="s">
        <v>2107</v>
      </c>
      <c r="H274" t="s">
        <v>7262</v>
      </c>
      <c r="I274" t="s">
        <v>7383</v>
      </c>
      <c r="J274" t="s">
        <v>7384</v>
      </c>
      <c r="K274" t="s">
        <v>7384</v>
      </c>
      <c r="L274" t="s">
        <v>518</v>
      </c>
      <c r="M274" t="s">
        <v>7385</v>
      </c>
      <c r="N274" t="s">
        <v>535</v>
      </c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</row>
    <row r="275" spans="1:27" ht="15">
      <c r="A275" s="96">
        <v>45244</v>
      </c>
      <c r="B275" t="s">
        <v>7386</v>
      </c>
      <c r="C275" t="s">
        <v>670</v>
      </c>
      <c r="D275"/>
      <c r="E275" t="s">
        <v>2625</v>
      </c>
      <c r="F275"/>
      <c r="G275" t="s">
        <v>2107</v>
      </c>
      <c r="H275" t="s">
        <v>7262</v>
      </c>
      <c r="I275" t="s">
        <v>7387</v>
      </c>
      <c r="J275" t="s">
        <v>7384</v>
      </c>
      <c r="K275" t="s">
        <v>7384</v>
      </c>
      <c r="L275" t="s">
        <v>518</v>
      </c>
      <c r="M275" t="s">
        <v>7385</v>
      </c>
      <c r="N275" t="s">
        <v>535</v>
      </c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</row>
    <row r="276" spans="1:27" ht="15">
      <c r="A276" s="96">
        <v>45244</v>
      </c>
      <c r="B276" t="s">
        <v>3676</v>
      </c>
      <c r="C276" t="s">
        <v>670</v>
      </c>
      <c r="D276"/>
      <c r="E276" t="s">
        <v>7350</v>
      </c>
      <c r="F276"/>
      <c r="G276" t="s">
        <v>2851</v>
      </c>
      <c r="H276" t="s">
        <v>7262</v>
      </c>
      <c r="I276" t="s">
        <v>3678</v>
      </c>
      <c r="J276" t="s">
        <v>733</v>
      </c>
      <c r="K276" t="s">
        <v>733</v>
      </c>
      <c r="L276" t="s">
        <v>518</v>
      </c>
      <c r="M276" t="s">
        <v>731</v>
      </c>
      <c r="N276" t="s">
        <v>535</v>
      </c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</row>
    <row r="277" spans="1:27" ht="15">
      <c r="B277"/>
      <c r="C277"/>
      <c r="D277" t="s">
        <v>3669</v>
      </c>
      <c r="E277" t="s">
        <v>3677</v>
      </c>
      <c r="F277" t="s">
        <v>657</v>
      </c>
      <c r="G277" t="s">
        <v>2851</v>
      </c>
      <c r="H277"/>
      <c r="I277"/>
      <c r="J277" t="s">
        <v>733</v>
      </c>
      <c r="K277" t="s">
        <v>733</v>
      </c>
      <c r="L277"/>
      <c r="M277"/>
      <c r="N277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</row>
    <row r="278" spans="1:27" ht="15">
      <c r="A278" s="96">
        <v>45244</v>
      </c>
      <c r="B278" t="s">
        <v>7388</v>
      </c>
      <c r="C278" t="s">
        <v>670</v>
      </c>
      <c r="D278"/>
      <c r="E278" t="s">
        <v>7389</v>
      </c>
      <c r="F278"/>
      <c r="G278" t="s">
        <v>7390</v>
      </c>
      <c r="H278" t="s">
        <v>7262</v>
      </c>
      <c r="I278" t="s">
        <v>7391</v>
      </c>
      <c r="J278" t="s">
        <v>597</v>
      </c>
      <c r="K278" t="s">
        <v>597</v>
      </c>
      <c r="L278" t="s">
        <v>518</v>
      </c>
      <c r="M278" t="s">
        <v>667</v>
      </c>
      <c r="N278" t="s">
        <v>520</v>
      </c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</row>
    <row r="279" spans="1:27" ht="15">
      <c r="B279"/>
      <c r="C279"/>
      <c r="D279" t="s">
        <v>816</v>
      </c>
      <c r="E279" t="s">
        <v>818</v>
      </c>
      <c r="F279" t="s">
        <v>514</v>
      </c>
      <c r="G279" t="s">
        <v>819</v>
      </c>
      <c r="H279"/>
      <c r="I279"/>
      <c r="J279" t="s">
        <v>597</v>
      </c>
      <c r="K279" t="s">
        <v>597</v>
      </c>
      <c r="L279"/>
      <c r="M279"/>
      <c r="N279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</row>
    <row r="280" spans="1:27" ht="15">
      <c r="B280"/>
      <c r="C280"/>
      <c r="D280" t="s">
        <v>816</v>
      </c>
      <c r="E280" t="s">
        <v>818</v>
      </c>
      <c r="F280" t="s">
        <v>514</v>
      </c>
      <c r="G280" t="s">
        <v>819</v>
      </c>
      <c r="H280"/>
      <c r="I280"/>
      <c r="J280" t="s">
        <v>597</v>
      </c>
      <c r="K280" t="s">
        <v>597</v>
      </c>
      <c r="L280"/>
      <c r="M280"/>
      <c r="N280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</row>
    <row r="281" spans="1:27" ht="15">
      <c r="B281"/>
      <c r="C281"/>
      <c r="D281" t="s">
        <v>816</v>
      </c>
      <c r="E281" t="s">
        <v>818</v>
      </c>
      <c r="F281" t="s">
        <v>514</v>
      </c>
      <c r="G281" t="s">
        <v>819</v>
      </c>
      <c r="H281"/>
      <c r="I281"/>
      <c r="J281" t="s">
        <v>597</v>
      </c>
      <c r="K281" t="s">
        <v>597</v>
      </c>
      <c r="L281"/>
      <c r="M281"/>
      <c r="N281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</row>
    <row r="282" spans="1:27" ht="15">
      <c r="B282"/>
      <c r="C282"/>
      <c r="D282" t="s">
        <v>816</v>
      </c>
      <c r="E282" t="s">
        <v>818</v>
      </c>
      <c r="F282" t="s">
        <v>514</v>
      </c>
      <c r="G282" t="s">
        <v>819</v>
      </c>
      <c r="H282"/>
      <c r="I282"/>
      <c r="J282" t="s">
        <v>597</v>
      </c>
      <c r="K282" t="s">
        <v>597</v>
      </c>
      <c r="L282"/>
      <c r="M282"/>
      <c r="N282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</row>
    <row r="283" spans="1:27" ht="15">
      <c r="B283"/>
      <c r="C283"/>
      <c r="D283" t="s">
        <v>2265</v>
      </c>
      <c r="E283" t="s">
        <v>2267</v>
      </c>
      <c r="F283" t="s">
        <v>514</v>
      </c>
      <c r="G283" t="s">
        <v>808</v>
      </c>
      <c r="H283"/>
      <c r="I283"/>
      <c r="J283" t="s">
        <v>597</v>
      </c>
      <c r="K283" t="s">
        <v>597</v>
      </c>
      <c r="L283"/>
      <c r="M283"/>
      <c r="N28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</row>
    <row r="284" spans="1:27" ht="15">
      <c r="B284"/>
      <c r="C284"/>
      <c r="D284" t="s">
        <v>2015</v>
      </c>
      <c r="E284" t="s">
        <v>2019</v>
      </c>
      <c r="F284" t="s">
        <v>648</v>
      </c>
      <c r="G284" t="s">
        <v>2020</v>
      </c>
      <c r="H284"/>
      <c r="I284"/>
      <c r="J284" t="s">
        <v>597</v>
      </c>
      <c r="K284" t="s">
        <v>597</v>
      </c>
      <c r="L284"/>
      <c r="M284"/>
      <c r="N284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</row>
    <row r="285" spans="1:27" ht="15">
      <c r="B285"/>
      <c r="C285"/>
      <c r="D285" t="s">
        <v>987</v>
      </c>
      <c r="E285" t="s">
        <v>989</v>
      </c>
      <c r="F285" t="s">
        <v>514</v>
      </c>
      <c r="G285" t="s">
        <v>990</v>
      </c>
      <c r="H285"/>
      <c r="I285"/>
      <c r="J285" t="s">
        <v>597</v>
      </c>
      <c r="K285" t="s">
        <v>597</v>
      </c>
      <c r="L285"/>
      <c r="M285"/>
      <c r="N285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</row>
    <row r="286" spans="1:27" ht="15">
      <c r="A286" s="96">
        <v>45244</v>
      </c>
      <c r="B286" t="s">
        <v>4055</v>
      </c>
      <c r="C286" t="s">
        <v>670</v>
      </c>
      <c r="D286"/>
      <c r="E286" t="s">
        <v>7392</v>
      </c>
      <c r="F286"/>
      <c r="G286" t="s">
        <v>7393</v>
      </c>
      <c r="H286" t="s">
        <v>7262</v>
      </c>
      <c r="I286" t="s">
        <v>4059</v>
      </c>
      <c r="J286" t="s">
        <v>1796</v>
      </c>
      <c r="K286" t="s">
        <v>1796</v>
      </c>
      <c r="L286" t="s">
        <v>518</v>
      </c>
      <c r="M286" t="s">
        <v>1794</v>
      </c>
      <c r="N286" t="s">
        <v>605</v>
      </c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</row>
    <row r="287" spans="1:27" ht="15">
      <c r="B287"/>
      <c r="C287"/>
      <c r="D287" t="s">
        <v>4053</v>
      </c>
      <c r="E287" t="s">
        <v>4056</v>
      </c>
      <c r="F287" t="s">
        <v>4057</v>
      </c>
      <c r="G287" t="s">
        <v>4058</v>
      </c>
      <c r="H287"/>
      <c r="I287"/>
      <c r="J287" t="s">
        <v>1796</v>
      </c>
      <c r="K287" t="s">
        <v>1350</v>
      </c>
      <c r="L287"/>
      <c r="M287"/>
      <c r="N287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</row>
    <row r="288" spans="1:27" ht="15">
      <c r="B288"/>
      <c r="C288"/>
      <c r="D288" t="s">
        <v>4053</v>
      </c>
      <c r="E288" t="s">
        <v>1522</v>
      </c>
      <c r="F288" t="s">
        <v>514</v>
      </c>
      <c r="G288" t="s">
        <v>1822</v>
      </c>
      <c r="H288"/>
      <c r="I288"/>
      <c r="J288" t="s">
        <v>1796</v>
      </c>
      <c r="K288" t="s">
        <v>1350</v>
      </c>
      <c r="L288"/>
      <c r="M288"/>
      <c r="N288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</row>
    <row r="289" spans="1:27" ht="15">
      <c r="A289" s="96">
        <v>45244</v>
      </c>
      <c r="B289" t="s">
        <v>4993</v>
      </c>
      <c r="C289" t="s">
        <v>4997</v>
      </c>
      <c r="D289"/>
      <c r="E289" t="s">
        <v>7394</v>
      </c>
      <c r="F289"/>
      <c r="G289" t="s">
        <v>4995</v>
      </c>
      <c r="H289" t="s">
        <v>7262</v>
      </c>
      <c r="I289" t="s">
        <v>4996</v>
      </c>
      <c r="J289" t="s">
        <v>1494</v>
      </c>
      <c r="K289" t="s">
        <v>1494</v>
      </c>
      <c r="L289" t="s">
        <v>518</v>
      </c>
      <c r="M289" t="s">
        <v>1491</v>
      </c>
      <c r="N289" t="s">
        <v>520</v>
      </c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</row>
    <row r="290" spans="1:27" ht="15">
      <c r="B290"/>
      <c r="C290"/>
      <c r="D290" t="s">
        <v>2576</v>
      </c>
      <c r="E290" t="s">
        <v>4994</v>
      </c>
      <c r="F290" t="s">
        <v>979</v>
      </c>
      <c r="G290" t="s">
        <v>4995</v>
      </c>
      <c r="H290"/>
      <c r="I290"/>
      <c r="J290" t="s">
        <v>1494</v>
      </c>
      <c r="K290" t="s">
        <v>1494</v>
      </c>
      <c r="L290"/>
      <c r="M290"/>
      <c r="N290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</row>
    <row r="291" spans="1:27" ht="15">
      <c r="A291" s="96">
        <v>45244</v>
      </c>
      <c r="B291" t="s">
        <v>5000</v>
      </c>
      <c r="C291" t="s">
        <v>1418</v>
      </c>
      <c r="D291"/>
      <c r="E291" t="s">
        <v>7395</v>
      </c>
      <c r="F291"/>
      <c r="G291" t="s">
        <v>4995</v>
      </c>
      <c r="H291" t="s">
        <v>7262</v>
      </c>
      <c r="I291" t="s">
        <v>5001</v>
      </c>
      <c r="J291" t="s">
        <v>1494</v>
      </c>
      <c r="K291" t="s">
        <v>1494</v>
      </c>
      <c r="L291" t="s">
        <v>518</v>
      </c>
      <c r="M291" t="s">
        <v>1491</v>
      </c>
      <c r="N291" t="s">
        <v>520</v>
      </c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</row>
    <row r="292" spans="1:27" ht="15">
      <c r="B292"/>
      <c r="C292"/>
      <c r="D292" t="s">
        <v>2576</v>
      </c>
      <c r="E292" t="s">
        <v>4994</v>
      </c>
      <c r="F292" t="s">
        <v>979</v>
      </c>
      <c r="G292" t="s">
        <v>4995</v>
      </c>
      <c r="H292"/>
      <c r="I292"/>
      <c r="J292" t="s">
        <v>1494</v>
      </c>
      <c r="K292" t="s">
        <v>1494</v>
      </c>
      <c r="L292"/>
      <c r="M292"/>
      <c r="N292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</row>
    <row r="293" spans="1:27" ht="15">
      <c r="A293" s="96">
        <v>45244</v>
      </c>
      <c r="B293" t="s">
        <v>4296</v>
      </c>
      <c r="C293" t="s">
        <v>670</v>
      </c>
      <c r="D293"/>
      <c r="E293" t="s">
        <v>7396</v>
      </c>
      <c r="F293"/>
      <c r="G293" t="s">
        <v>4298</v>
      </c>
      <c r="H293" t="s">
        <v>7262</v>
      </c>
      <c r="I293" t="s">
        <v>4299</v>
      </c>
      <c r="J293" t="s">
        <v>840</v>
      </c>
      <c r="K293" t="s">
        <v>840</v>
      </c>
      <c r="L293" t="s">
        <v>518</v>
      </c>
      <c r="M293" t="s">
        <v>839</v>
      </c>
      <c r="N293" t="s">
        <v>520</v>
      </c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</row>
    <row r="294" spans="1:27" ht="15">
      <c r="B294"/>
      <c r="C294"/>
      <c r="D294" t="s">
        <v>4294</v>
      </c>
      <c r="E294" t="s">
        <v>4297</v>
      </c>
      <c r="F294" t="s">
        <v>2579</v>
      </c>
      <c r="G294" t="s">
        <v>4298</v>
      </c>
      <c r="H294"/>
      <c r="I294"/>
      <c r="J294" t="s">
        <v>840</v>
      </c>
      <c r="K294" t="s">
        <v>840</v>
      </c>
      <c r="L294"/>
      <c r="M294"/>
      <c r="N294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</row>
    <row r="295" spans="1:27" ht="15">
      <c r="A295" s="96">
        <v>45244</v>
      </c>
      <c r="B295" t="s">
        <v>4987</v>
      </c>
      <c r="C295" t="s">
        <v>1071</v>
      </c>
      <c r="D295"/>
      <c r="E295" t="s">
        <v>7397</v>
      </c>
      <c r="F295"/>
      <c r="G295" t="s">
        <v>4989</v>
      </c>
      <c r="H295" t="s">
        <v>7262</v>
      </c>
      <c r="I295" t="s">
        <v>4990</v>
      </c>
      <c r="J295" t="s">
        <v>803</v>
      </c>
      <c r="K295" t="s">
        <v>803</v>
      </c>
      <c r="L295" t="s">
        <v>518</v>
      </c>
      <c r="M295" t="s">
        <v>801</v>
      </c>
      <c r="N295" t="s">
        <v>535</v>
      </c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</row>
    <row r="296" spans="1:27" ht="15">
      <c r="B296"/>
      <c r="C296"/>
      <c r="D296" t="s">
        <v>4982</v>
      </c>
      <c r="E296" t="s">
        <v>4988</v>
      </c>
      <c r="F296" t="s">
        <v>657</v>
      </c>
      <c r="G296" t="s">
        <v>4989</v>
      </c>
      <c r="H296"/>
      <c r="I296"/>
      <c r="J296" t="s">
        <v>803</v>
      </c>
      <c r="K296" t="s">
        <v>803</v>
      </c>
      <c r="L296"/>
      <c r="M296"/>
      <c r="N296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</row>
    <row r="297" spans="1:27" ht="15">
      <c r="A297" s="96">
        <v>45244</v>
      </c>
      <c r="B297" t="s">
        <v>5458</v>
      </c>
      <c r="C297" t="s">
        <v>670</v>
      </c>
      <c r="D297"/>
      <c r="E297" t="s">
        <v>7398</v>
      </c>
      <c r="F297"/>
      <c r="G297" t="s">
        <v>3412</v>
      </c>
      <c r="H297" t="s">
        <v>7262</v>
      </c>
      <c r="I297" t="s">
        <v>5460</v>
      </c>
      <c r="J297" t="s">
        <v>545</v>
      </c>
      <c r="K297" t="s">
        <v>545</v>
      </c>
      <c r="L297" t="s">
        <v>518</v>
      </c>
      <c r="M297" t="s">
        <v>763</v>
      </c>
      <c r="N297" t="s">
        <v>520</v>
      </c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</row>
    <row r="298" spans="1:27" ht="15">
      <c r="B298"/>
      <c r="C298"/>
      <c r="D298" t="s">
        <v>5456</v>
      </c>
      <c r="E298" t="s">
        <v>5459</v>
      </c>
      <c r="F298" t="s">
        <v>979</v>
      </c>
      <c r="G298" t="s">
        <v>3412</v>
      </c>
      <c r="H298"/>
      <c r="I298"/>
      <c r="J298" t="s">
        <v>545</v>
      </c>
      <c r="K298" t="s">
        <v>545</v>
      </c>
      <c r="L298"/>
      <c r="M298"/>
      <c r="N298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</row>
    <row r="299" spans="1:27" ht="15">
      <c r="A299" s="96">
        <v>45244</v>
      </c>
      <c r="B299" t="s">
        <v>5483</v>
      </c>
      <c r="C299" t="s">
        <v>670</v>
      </c>
      <c r="D299"/>
      <c r="E299" t="s">
        <v>7399</v>
      </c>
      <c r="F299"/>
      <c r="G299" t="s">
        <v>5485</v>
      </c>
      <c r="H299" t="s">
        <v>7262</v>
      </c>
      <c r="I299" t="s">
        <v>5486</v>
      </c>
      <c r="J299" t="s">
        <v>699</v>
      </c>
      <c r="K299" t="s">
        <v>699</v>
      </c>
      <c r="L299" t="s">
        <v>518</v>
      </c>
      <c r="M299" t="s">
        <v>697</v>
      </c>
      <c r="N299" t="s">
        <v>605</v>
      </c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</row>
    <row r="300" spans="1:27" ht="15">
      <c r="B300"/>
      <c r="C300"/>
      <c r="D300" t="s">
        <v>5481</v>
      </c>
      <c r="E300" t="s">
        <v>5484</v>
      </c>
      <c r="F300" t="s">
        <v>4089</v>
      </c>
      <c r="G300" t="s">
        <v>5485</v>
      </c>
      <c r="H300"/>
      <c r="I300"/>
      <c r="J300" t="s">
        <v>699</v>
      </c>
      <c r="K300" t="s">
        <v>699</v>
      </c>
      <c r="L300"/>
      <c r="M300"/>
      <c r="N300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</row>
    <row r="301" spans="1:27" ht="15">
      <c r="A301" s="96">
        <v>45244</v>
      </c>
      <c r="B301" t="s">
        <v>4229</v>
      </c>
      <c r="C301" t="s">
        <v>670</v>
      </c>
      <c r="D301"/>
      <c r="E301" t="s">
        <v>7355</v>
      </c>
      <c r="F301"/>
      <c r="G301" t="s">
        <v>4220</v>
      </c>
      <c r="H301" t="s">
        <v>7262</v>
      </c>
      <c r="I301" t="s">
        <v>4230</v>
      </c>
      <c r="J301" t="s">
        <v>3640</v>
      </c>
      <c r="K301" t="s">
        <v>3640</v>
      </c>
      <c r="L301" t="s">
        <v>518</v>
      </c>
      <c r="M301" t="s">
        <v>3639</v>
      </c>
      <c r="N301" t="s">
        <v>535</v>
      </c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</row>
    <row r="302" spans="1:27" ht="15">
      <c r="B302"/>
      <c r="C302"/>
      <c r="D302" t="s">
        <v>4216</v>
      </c>
      <c r="E302" t="s">
        <v>4219</v>
      </c>
      <c r="F302" t="s">
        <v>657</v>
      </c>
      <c r="G302" t="s">
        <v>4220</v>
      </c>
      <c r="H302"/>
      <c r="I302"/>
      <c r="J302" t="s">
        <v>3640</v>
      </c>
      <c r="K302" t="s">
        <v>3640</v>
      </c>
      <c r="L302"/>
      <c r="M302"/>
      <c r="N302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</row>
    <row r="303" spans="1:27" ht="15">
      <c r="A303" s="96">
        <v>45244</v>
      </c>
      <c r="B303" t="s">
        <v>3777</v>
      </c>
      <c r="C303" t="s">
        <v>670</v>
      </c>
      <c r="D303"/>
      <c r="E303" t="s">
        <v>7400</v>
      </c>
      <c r="F303"/>
      <c r="G303" t="s">
        <v>7401</v>
      </c>
      <c r="H303" t="s">
        <v>7262</v>
      </c>
      <c r="I303" t="s">
        <v>3779</v>
      </c>
      <c r="J303" t="s">
        <v>741</v>
      </c>
      <c r="K303" t="s">
        <v>741</v>
      </c>
      <c r="L303" t="s">
        <v>518</v>
      </c>
      <c r="M303" t="s">
        <v>739</v>
      </c>
      <c r="N303" t="s">
        <v>535</v>
      </c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</row>
    <row r="304" spans="1:27" ht="15">
      <c r="B304"/>
      <c r="C304"/>
      <c r="D304" t="s">
        <v>3775</v>
      </c>
      <c r="E304" t="s">
        <v>3778</v>
      </c>
      <c r="F304" t="s">
        <v>514</v>
      </c>
      <c r="G304" t="s">
        <v>1340</v>
      </c>
      <c r="H304"/>
      <c r="I304"/>
      <c r="J304" t="s">
        <v>741</v>
      </c>
      <c r="K304" t="s">
        <v>741</v>
      </c>
      <c r="L304"/>
      <c r="M304"/>
      <c r="N304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</row>
    <row r="305" spans="1:27" ht="15">
      <c r="B305"/>
      <c r="C305"/>
      <c r="D305" t="s">
        <v>3775</v>
      </c>
      <c r="E305" t="s">
        <v>3781</v>
      </c>
      <c r="F305" t="s">
        <v>514</v>
      </c>
      <c r="G305" t="s">
        <v>1340</v>
      </c>
      <c r="H305"/>
      <c r="I305"/>
      <c r="J305" t="s">
        <v>741</v>
      </c>
      <c r="K305" t="s">
        <v>741</v>
      </c>
      <c r="L305"/>
      <c r="M305"/>
      <c r="N305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</row>
    <row r="306" spans="1:27" ht="15">
      <c r="B306"/>
      <c r="C306"/>
      <c r="D306" t="s">
        <v>3775</v>
      </c>
      <c r="E306" t="s">
        <v>3781</v>
      </c>
      <c r="F306" t="s">
        <v>514</v>
      </c>
      <c r="G306" t="s">
        <v>1340</v>
      </c>
      <c r="H306"/>
      <c r="I306"/>
      <c r="J306" t="s">
        <v>741</v>
      </c>
      <c r="K306" t="s">
        <v>741</v>
      </c>
      <c r="L306"/>
      <c r="M306"/>
      <c r="N306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</row>
    <row r="307" spans="1:27" ht="15">
      <c r="B307"/>
      <c r="C307"/>
      <c r="D307" t="s">
        <v>3775</v>
      </c>
      <c r="E307" t="s">
        <v>3781</v>
      </c>
      <c r="F307" t="s">
        <v>514</v>
      </c>
      <c r="G307" t="s">
        <v>1340</v>
      </c>
      <c r="H307"/>
      <c r="I307"/>
      <c r="J307" t="s">
        <v>741</v>
      </c>
      <c r="K307" t="s">
        <v>741</v>
      </c>
      <c r="L307"/>
      <c r="M307"/>
      <c r="N307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</row>
    <row r="308" spans="1:27" ht="15">
      <c r="B308"/>
      <c r="C308"/>
      <c r="D308" t="s">
        <v>735</v>
      </c>
      <c r="E308" t="s">
        <v>737</v>
      </c>
      <c r="F308" t="s">
        <v>514</v>
      </c>
      <c r="G308" t="s">
        <v>738</v>
      </c>
      <c r="H308"/>
      <c r="I308"/>
      <c r="J308" t="s">
        <v>741</v>
      </c>
      <c r="K308" t="s">
        <v>741</v>
      </c>
      <c r="L308"/>
      <c r="M308"/>
      <c r="N308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</row>
    <row r="309" spans="1:27" ht="15">
      <c r="B309"/>
      <c r="C309"/>
      <c r="D309" t="s">
        <v>2352</v>
      </c>
      <c r="E309" t="s">
        <v>2354</v>
      </c>
      <c r="F309" t="s">
        <v>514</v>
      </c>
      <c r="G309" t="s">
        <v>1123</v>
      </c>
      <c r="H309"/>
      <c r="I309"/>
      <c r="J309" t="s">
        <v>741</v>
      </c>
      <c r="K309" t="s">
        <v>741</v>
      </c>
      <c r="L309"/>
      <c r="M309"/>
      <c r="N309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</row>
    <row r="310" spans="1:27" ht="15">
      <c r="B310"/>
      <c r="C310"/>
      <c r="D310" t="s">
        <v>735</v>
      </c>
      <c r="E310" t="s">
        <v>737</v>
      </c>
      <c r="F310" t="s">
        <v>514</v>
      </c>
      <c r="G310" t="s">
        <v>738</v>
      </c>
      <c r="H310"/>
      <c r="I310"/>
      <c r="J310" t="s">
        <v>741</v>
      </c>
      <c r="K310" t="s">
        <v>741</v>
      </c>
      <c r="L310"/>
      <c r="M310"/>
      <c r="N310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</row>
    <row r="311" spans="1:27" ht="15">
      <c r="A311" s="96">
        <v>45244</v>
      </c>
      <c r="B311" t="s">
        <v>5500</v>
      </c>
      <c r="C311" t="s">
        <v>670</v>
      </c>
      <c r="D311"/>
      <c r="E311" t="s">
        <v>7402</v>
      </c>
      <c r="F311"/>
      <c r="G311" t="s">
        <v>5502</v>
      </c>
      <c r="H311" t="s">
        <v>7262</v>
      </c>
      <c r="I311" t="s">
        <v>5503</v>
      </c>
      <c r="J311" t="s">
        <v>1537</v>
      </c>
      <c r="K311" t="s">
        <v>1537</v>
      </c>
      <c r="L311" t="s">
        <v>518</v>
      </c>
      <c r="M311" t="s">
        <v>1536</v>
      </c>
      <c r="N311" t="s">
        <v>802</v>
      </c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</row>
    <row r="312" spans="1:27" ht="15">
      <c r="B312"/>
      <c r="C312"/>
      <c r="D312" t="s">
        <v>5498</v>
      </c>
      <c r="E312" t="s">
        <v>5501</v>
      </c>
      <c r="F312" t="s">
        <v>724</v>
      </c>
      <c r="G312" t="s">
        <v>5502</v>
      </c>
      <c r="H312"/>
      <c r="I312"/>
      <c r="J312" t="s">
        <v>1537</v>
      </c>
      <c r="K312" t="s">
        <v>1537</v>
      </c>
      <c r="L312"/>
      <c r="M312"/>
      <c r="N312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</row>
    <row r="313" spans="1:27" ht="15">
      <c r="A313" s="96">
        <v>45244</v>
      </c>
      <c r="B313" t="s">
        <v>3917</v>
      </c>
      <c r="C313" t="s">
        <v>670</v>
      </c>
      <c r="D313"/>
      <c r="E313" t="s">
        <v>7403</v>
      </c>
      <c r="F313"/>
      <c r="G313" t="s">
        <v>3919</v>
      </c>
      <c r="H313" t="s">
        <v>7262</v>
      </c>
      <c r="I313" t="s">
        <v>3920</v>
      </c>
      <c r="J313" t="s">
        <v>733</v>
      </c>
      <c r="K313" t="s">
        <v>733</v>
      </c>
      <c r="L313" t="s">
        <v>518</v>
      </c>
      <c r="M313" t="s">
        <v>3910</v>
      </c>
      <c r="N313" t="s">
        <v>1374</v>
      </c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</row>
    <row r="314" spans="1:27" ht="15">
      <c r="B314"/>
      <c r="C314"/>
      <c r="D314" t="s">
        <v>3905</v>
      </c>
      <c r="E314" t="s">
        <v>3918</v>
      </c>
      <c r="F314" t="s">
        <v>1077</v>
      </c>
      <c r="G314" t="s">
        <v>3919</v>
      </c>
      <c r="H314"/>
      <c r="I314"/>
      <c r="J314" t="s">
        <v>733</v>
      </c>
      <c r="K314" t="s">
        <v>733</v>
      </c>
      <c r="L314"/>
      <c r="M314"/>
      <c r="N314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</row>
    <row r="315" spans="1:27" ht="15">
      <c r="A315" s="96">
        <v>45244</v>
      </c>
      <c r="B315" t="s">
        <v>2994</v>
      </c>
      <c r="C315" t="s">
        <v>670</v>
      </c>
      <c r="D315"/>
      <c r="E315" t="s">
        <v>7222</v>
      </c>
      <c r="F315"/>
      <c r="G315" t="s">
        <v>2991</v>
      </c>
      <c r="H315" t="s">
        <v>7262</v>
      </c>
      <c r="I315" t="s">
        <v>2996</v>
      </c>
      <c r="J315" t="s">
        <v>1098</v>
      </c>
      <c r="K315" t="s">
        <v>1098</v>
      </c>
      <c r="L315" t="s">
        <v>518</v>
      </c>
      <c r="M315" t="s">
        <v>1097</v>
      </c>
      <c r="N315" t="s">
        <v>535</v>
      </c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</row>
    <row r="316" spans="1:27" ht="15">
      <c r="B316"/>
      <c r="C316"/>
      <c r="D316" t="s">
        <v>2987</v>
      </c>
      <c r="E316" t="s">
        <v>2995</v>
      </c>
      <c r="F316" t="s">
        <v>657</v>
      </c>
      <c r="G316" t="s">
        <v>2991</v>
      </c>
      <c r="H316"/>
      <c r="I316"/>
      <c r="J316" t="s">
        <v>1098</v>
      </c>
      <c r="K316" t="s">
        <v>1098</v>
      </c>
      <c r="L316"/>
      <c r="M316"/>
      <c r="N316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</row>
    <row r="317" spans="1:27" ht="15">
      <c r="A317" s="96">
        <v>45244</v>
      </c>
      <c r="B317" t="s">
        <v>7404</v>
      </c>
      <c r="C317" t="s">
        <v>1071</v>
      </c>
      <c r="D317"/>
      <c r="E317" t="s">
        <v>7102</v>
      </c>
      <c r="F317"/>
      <c r="G317" t="s">
        <v>2107</v>
      </c>
      <c r="H317" t="s">
        <v>7262</v>
      </c>
      <c r="I317" t="s">
        <v>7405</v>
      </c>
      <c r="J317" t="s">
        <v>1318</v>
      </c>
      <c r="K317" t="s">
        <v>3969</v>
      </c>
      <c r="L317" t="s">
        <v>518</v>
      </c>
      <c r="M317" t="s">
        <v>5545</v>
      </c>
      <c r="N317" t="s">
        <v>535</v>
      </c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</row>
    <row r="318" spans="1:27" ht="15">
      <c r="A318" s="96">
        <v>45244</v>
      </c>
      <c r="B318" t="s">
        <v>4371</v>
      </c>
      <c r="C318" t="s">
        <v>670</v>
      </c>
      <c r="D318"/>
      <c r="E318" t="s">
        <v>7406</v>
      </c>
      <c r="F318"/>
      <c r="G318" t="s">
        <v>555</v>
      </c>
      <c r="H318" t="s">
        <v>7262</v>
      </c>
      <c r="I318" t="s">
        <v>4374</v>
      </c>
      <c r="J318" t="s">
        <v>1918</v>
      </c>
      <c r="K318" t="s">
        <v>1918</v>
      </c>
      <c r="L318" t="s">
        <v>518</v>
      </c>
      <c r="M318" t="s">
        <v>4077</v>
      </c>
      <c r="N318" t="s">
        <v>535</v>
      </c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</row>
    <row r="319" spans="1:27" ht="15">
      <c r="B319"/>
      <c r="C319"/>
      <c r="D319" t="s">
        <v>4369</v>
      </c>
      <c r="E319" t="s">
        <v>4372</v>
      </c>
      <c r="F319" t="s">
        <v>4373</v>
      </c>
      <c r="G319" t="s">
        <v>555</v>
      </c>
      <c r="H319"/>
      <c r="I319"/>
      <c r="J319" t="s">
        <v>1918</v>
      </c>
      <c r="K319" t="s">
        <v>1918</v>
      </c>
      <c r="L319"/>
      <c r="M319"/>
      <c r="N319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</row>
    <row r="320" spans="1:27" ht="15">
      <c r="A320" s="96">
        <v>45244</v>
      </c>
      <c r="B320" t="s">
        <v>5141</v>
      </c>
      <c r="C320" t="s">
        <v>670</v>
      </c>
      <c r="D320"/>
      <c r="E320" t="s">
        <v>7407</v>
      </c>
      <c r="F320"/>
      <c r="G320" t="s">
        <v>555</v>
      </c>
      <c r="H320" t="s">
        <v>7284</v>
      </c>
      <c r="I320" t="s">
        <v>5143</v>
      </c>
      <c r="J320" t="s">
        <v>1918</v>
      </c>
      <c r="K320" t="s">
        <v>1918</v>
      </c>
      <c r="L320" t="s">
        <v>518</v>
      </c>
      <c r="M320" t="s">
        <v>2100</v>
      </c>
      <c r="N320" t="s">
        <v>605</v>
      </c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</row>
    <row r="321" spans="1:27" ht="15">
      <c r="B321"/>
      <c r="C321"/>
      <c r="D321" t="s">
        <v>5139</v>
      </c>
      <c r="E321" t="s">
        <v>5142</v>
      </c>
      <c r="F321" t="s">
        <v>514</v>
      </c>
      <c r="G321" t="s">
        <v>555</v>
      </c>
      <c r="H321"/>
      <c r="I321"/>
      <c r="J321" t="s">
        <v>1918</v>
      </c>
      <c r="K321" t="s">
        <v>1918</v>
      </c>
      <c r="L321"/>
      <c r="M321"/>
      <c r="N321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</row>
    <row r="322" spans="1:27" ht="15">
      <c r="A322" s="96">
        <v>45244</v>
      </c>
      <c r="B322" t="s">
        <v>2946</v>
      </c>
      <c r="C322" t="s">
        <v>670</v>
      </c>
      <c r="D322"/>
      <c r="E322" t="s">
        <v>7408</v>
      </c>
      <c r="F322"/>
      <c r="G322" t="s">
        <v>2940</v>
      </c>
      <c r="H322" t="s">
        <v>7284</v>
      </c>
      <c r="I322" t="s">
        <v>2947</v>
      </c>
      <c r="J322" t="s">
        <v>2943</v>
      </c>
      <c r="K322" t="s">
        <v>2943</v>
      </c>
      <c r="L322" t="s">
        <v>518</v>
      </c>
      <c r="M322" t="s">
        <v>2941</v>
      </c>
      <c r="N322" t="s">
        <v>535</v>
      </c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</row>
    <row r="323" spans="1:27" ht="15">
      <c r="B323"/>
      <c r="C323"/>
      <c r="D323" t="s">
        <v>2936</v>
      </c>
      <c r="E323" t="s">
        <v>2939</v>
      </c>
      <c r="F323" t="s">
        <v>657</v>
      </c>
      <c r="G323" t="s">
        <v>2940</v>
      </c>
      <c r="H323"/>
      <c r="I323"/>
      <c r="J323" t="s">
        <v>2943</v>
      </c>
      <c r="K323" t="s">
        <v>2943</v>
      </c>
      <c r="L323"/>
      <c r="M323"/>
      <c r="N32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</row>
    <row r="324" spans="1:27" ht="15">
      <c r="A324" s="96">
        <v>45244</v>
      </c>
      <c r="B324" t="s">
        <v>5124</v>
      </c>
      <c r="C324" t="s">
        <v>670</v>
      </c>
      <c r="D324"/>
      <c r="E324" t="s">
        <v>7409</v>
      </c>
      <c r="F324"/>
      <c r="G324" t="s">
        <v>555</v>
      </c>
      <c r="H324" t="s">
        <v>7284</v>
      </c>
      <c r="I324" t="s">
        <v>5126</v>
      </c>
      <c r="J324" t="s">
        <v>3083</v>
      </c>
      <c r="K324" t="s">
        <v>3083</v>
      </c>
      <c r="L324" t="s">
        <v>518</v>
      </c>
      <c r="M324" t="s">
        <v>3338</v>
      </c>
      <c r="N324" t="s">
        <v>535</v>
      </c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</row>
    <row r="325" spans="1:27" ht="15">
      <c r="B325"/>
      <c r="C325"/>
      <c r="D325" t="s">
        <v>5122</v>
      </c>
      <c r="E325" t="s">
        <v>5125</v>
      </c>
      <c r="F325" t="s">
        <v>514</v>
      </c>
      <c r="G325" t="s">
        <v>555</v>
      </c>
      <c r="H325"/>
      <c r="I325"/>
      <c r="J325" t="s">
        <v>3083</v>
      </c>
      <c r="K325" t="s">
        <v>3083</v>
      </c>
      <c r="L325"/>
      <c r="M325"/>
      <c r="N325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</row>
    <row r="326" spans="1:27" ht="15">
      <c r="A326" s="96">
        <v>45244</v>
      </c>
      <c r="B326" t="s">
        <v>4553</v>
      </c>
      <c r="C326" t="s">
        <v>670</v>
      </c>
      <c r="D326"/>
      <c r="E326" t="s">
        <v>7410</v>
      </c>
      <c r="F326"/>
      <c r="G326" t="s">
        <v>4556</v>
      </c>
      <c r="H326" t="s">
        <v>7284</v>
      </c>
      <c r="I326" t="s">
        <v>4557</v>
      </c>
      <c r="J326" t="s">
        <v>1918</v>
      </c>
      <c r="K326" t="s">
        <v>1918</v>
      </c>
      <c r="L326" t="s">
        <v>682</v>
      </c>
      <c r="M326" t="s">
        <v>3143</v>
      </c>
      <c r="N326" t="s">
        <v>570</v>
      </c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</row>
    <row r="327" spans="1:27" ht="15">
      <c r="B327"/>
      <c r="C327"/>
      <c r="D327" t="s">
        <v>4551</v>
      </c>
      <c r="E327" t="s">
        <v>4554</v>
      </c>
      <c r="F327" t="s">
        <v>4555</v>
      </c>
      <c r="G327" t="s">
        <v>4556</v>
      </c>
      <c r="H327"/>
      <c r="I327"/>
      <c r="J327" t="s">
        <v>1918</v>
      </c>
      <c r="K327" t="s">
        <v>1918</v>
      </c>
      <c r="L327"/>
      <c r="M327"/>
      <c r="N327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</row>
    <row r="328" spans="1:27" ht="15">
      <c r="A328" s="96">
        <v>45244</v>
      </c>
      <c r="B328" t="s">
        <v>4571</v>
      </c>
      <c r="C328" t="s">
        <v>670</v>
      </c>
      <c r="D328"/>
      <c r="E328" t="s">
        <v>7379</v>
      </c>
      <c r="F328"/>
      <c r="G328" t="s">
        <v>4573</v>
      </c>
      <c r="H328" t="s">
        <v>7284</v>
      </c>
      <c r="I328" t="s">
        <v>4574</v>
      </c>
      <c r="J328" t="s">
        <v>1918</v>
      </c>
      <c r="K328" t="s">
        <v>1918</v>
      </c>
      <c r="L328" t="s">
        <v>682</v>
      </c>
      <c r="M328" t="s">
        <v>3143</v>
      </c>
      <c r="N328" t="s">
        <v>570</v>
      </c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</row>
    <row r="329" spans="1:27" ht="15">
      <c r="B329"/>
      <c r="C329"/>
      <c r="D329" t="s">
        <v>4551</v>
      </c>
      <c r="E329" t="s">
        <v>4572</v>
      </c>
      <c r="F329" t="s">
        <v>1910</v>
      </c>
      <c r="G329" t="s">
        <v>4573</v>
      </c>
      <c r="H329"/>
      <c r="I329"/>
      <c r="J329" t="s">
        <v>1918</v>
      </c>
      <c r="K329" t="s">
        <v>1918</v>
      </c>
      <c r="L329"/>
      <c r="M329"/>
      <c r="N329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</row>
    <row r="330" spans="1:27" ht="15">
      <c r="A330" s="96">
        <v>45244</v>
      </c>
      <c r="B330" t="s">
        <v>4565</v>
      </c>
      <c r="C330" t="s">
        <v>670</v>
      </c>
      <c r="D330"/>
      <c r="E330" t="s">
        <v>7411</v>
      </c>
      <c r="F330"/>
      <c r="G330" t="s">
        <v>4568</v>
      </c>
      <c r="H330" t="s">
        <v>7284</v>
      </c>
      <c r="I330" t="s">
        <v>4569</v>
      </c>
      <c r="J330" t="s">
        <v>1918</v>
      </c>
      <c r="K330" t="s">
        <v>1918</v>
      </c>
      <c r="L330" t="s">
        <v>682</v>
      </c>
      <c r="M330" t="s">
        <v>3143</v>
      </c>
      <c r="N330" t="s">
        <v>570</v>
      </c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</row>
    <row r="331" spans="1:27" ht="15">
      <c r="B331"/>
      <c r="C331"/>
      <c r="D331" t="s">
        <v>4551</v>
      </c>
      <c r="E331" t="s">
        <v>4566</v>
      </c>
      <c r="F331" t="s">
        <v>4567</v>
      </c>
      <c r="G331" t="s">
        <v>4568</v>
      </c>
      <c r="H331"/>
      <c r="I331"/>
      <c r="J331" t="s">
        <v>1918</v>
      </c>
      <c r="K331" t="s">
        <v>1918</v>
      </c>
      <c r="L331"/>
      <c r="M331"/>
      <c r="N331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</row>
    <row r="332" spans="1:27" ht="15">
      <c r="A332" s="96">
        <v>45244</v>
      </c>
      <c r="B332" t="s">
        <v>5155</v>
      </c>
      <c r="C332" t="s">
        <v>670</v>
      </c>
      <c r="D332"/>
      <c r="E332" t="s">
        <v>7412</v>
      </c>
      <c r="F332"/>
      <c r="G332" t="s">
        <v>5157</v>
      </c>
      <c r="H332" t="s">
        <v>7284</v>
      </c>
      <c r="I332" t="s">
        <v>5158</v>
      </c>
      <c r="J332" t="s">
        <v>597</v>
      </c>
      <c r="K332" t="s">
        <v>597</v>
      </c>
      <c r="L332" t="s">
        <v>518</v>
      </c>
      <c r="M332" t="s">
        <v>596</v>
      </c>
      <c r="N332" t="s">
        <v>520</v>
      </c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</row>
    <row r="333" spans="1:27" ht="15">
      <c r="B333"/>
      <c r="C333"/>
      <c r="D333" t="s">
        <v>5153</v>
      </c>
      <c r="E333" t="s">
        <v>5156</v>
      </c>
      <c r="F333" t="s">
        <v>657</v>
      </c>
      <c r="G333" t="s">
        <v>5157</v>
      </c>
      <c r="H333"/>
      <c r="I333"/>
      <c r="J333" t="s">
        <v>597</v>
      </c>
      <c r="K333" t="s">
        <v>597</v>
      </c>
      <c r="L333"/>
      <c r="M333"/>
      <c r="N33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</row>
    <row r="334" spans="1:27" ht="15">
      <c r="A334" s="96">
        <v>45244</v>
      </c>
      <c r="B334" t="s">
        <v>4073</v>
      </c>
      <c r="C334" t="s">
        <v>670</v>
      </c>
      <c r="D334"/>
      <c r="E334" t="s">
        <v>7413</v>
      </c>
      <c r="F334"/>
      <c r="G334" t="s">
        <v>4076</v>
      </c>
      <c r="H334" t="s">
        <v>7284</v>
      </c>
      <c r="I334" t="s">
        <v>4078</v>
      </c>
      <c r="J334" t="s">
        <v>1918</v>
      </c>
      <c r="K334" t="s">
        <v>1918</v>
      </c>
      <c r="L334" t="s">
        <v>518</v>
      </c>
      <c r="M334" t="s">
        <v>4077</v>
      </c>
      <c r="N334" t="s">
        <v>520</v>
      </c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</row>
    <row r="335" spans="1:27" ht="15">
      <c r="B335"/>
      <c r="C335"/>
      <c r="D335" t="s">
        <v>4065</v>
      </c>
      <c r="E335" t="s">
        <v>4074</v>
      </c>
      <c r="F335" t="s">
        <v>4075</v>
      </c>
      <c r="G335" t="s">
        <v>4076</v>
      </c>
      <c r="H335"/>
      <c r="I335"/>
      <c r="J335" t="s">
        <v>1918</v>
      </c>
      <c r="K335" t="s">
        <v>1918</v>
      </c>
      <c r="L335"/>
      <c r="M335"/>
      <c r="N335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</row>
    <row r="336" spans="1:27" ht="15">
      <c r="A336" s="96">
        <v>45244</v>
      </c>
      <c r="B336" t="s">
        <v>4603</v>
      </c>
      <c r="C336" t="s">
        <v>670</v>
      </c>
      <c r="D336"/>
      <c r="E336" t="s">
        <v>7414</v>
      </c>
      <c r="F336"/>
      <c r="G336" t="s">
        <v>4605</v>
      </c>
      <c r="H336" t="s">
        <v>7284</v>
      </c>
      <c r="I336" t="s">
        <v>4606</v>
      </c>
      <c r="J336" t="s">
        <v>1857</v>
      </c>
      <c r="K336" t="s">
        <v>1857</v>
      </c>
      <c r="L336" t="s">
        <v>518</v>
      </c>
      <c r="M336" t="s">
        <v>1856</v>
      </c>
      <c r="N336" t="s">
        <v>520</v>
      </c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</row>
    <row r="337" spans="1:27" ht="15">
      <c r="B337"/>
      <c r="C337"/>
      <c r="D337" t="s">
        <v>4582</v>
      </c>
      <c r="E337" t="s">
        <v>4604</v>
      </c>
      <c r="F337" t="s">
        <v>4567</v>
      </c>
      <c r="G337" t="s">
        <v>4605</v>
      </c>
      <c r="H337"/>
      <c r="I337"/>
      <c r="J337" t="s">
        <v>1857</v>
      </c>
      <c r="K337" t="s">
        <v>1918</v>
      </c>
      <c r="L337"/>
      <c r="M337"/>
      <c r="N337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</row>
    <row r="338" spans="1:27" ht="15">
      <c r="A338" s="96">
        <v>45244</v>
      </c>
      <c r="B338" t="s">
        <v>4608</v>
      </c>
      <c r="C338" t="s">
        <v>670</v>
      </c>
      <c r="D338"/>
      <c r="E338" t="s">
        <v>7414</v>
      </c>
      <c r="F338"/>
      <c r="G338" t="s">
        <v>4605</v>
      </c>
      <c r="H338" t="s">
        <v>7284</v>
      </c>
      <c r="I338" t="s">
        <v>4609</v>
      </c>
      <c r="J338" t="s">
        <v>1857</v>
      </c>
      <c r="K338" t="s">
        <v>1857</v>
      </c>
      <c r="L338" t="s">
        <v>518</v>
      </c>
      <c r="M338" t="s">
        <v>1856</v>
      </c>
      <c r="N338" t="s">
        <v>520</v>
      </c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</row>
    <row r="339" spans="1:27" ht="15">
      <c r="B339"/>
      <c r="C339"/>
      <c r="D339" t="s">
        <v>4582</v>
      </c>
      <c r="E339" t="s">
        <v>4604</v>
      </c>
      <c r="F339" t="s">
        <v>4567</v>
      </c>
      <c r="G339" t="s">
        <v>4605</v>
      </c>
      <c r="H339"/>
      <c r="I339"/>
      <c r="J339" t="s">
        <v>1857</v>
      </c>
      <c r="K339" t="s">
        <v>1918</v>
      </c>
      <c r="L339"/>
      <c r="M339"/>
      <c r="N339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</row>
    <row r="340" spans="1:27" ht="15">
      <c r="A340" s="96">
        <v>45244</v>
      </c>
      <c r="B340" t="s">
        <v>4584</v>
      </c>
      <c r="C340" t="s">
        <v>670</v>
      </c>
      <c r="D340"/>
      <c r="E340" t="s">
        <v>3447</v>
      </c>
      <c r="F340"/>
      <c r="G340" t="s">
        <v>4587</v>
      </c>
      <c r="H340" t="s">
        <v>7284</v>
      </c>
      <c r="I340" t="s">
        <v>4588</v>
      </c>
      <c r="J340" t="s">
        <v>1857</v>
      </c>
      <c r="K340" t="s">
        <v>1857</v>
      </c>
      <c r="L340" t="s">
        <v>518</v>
      </c>
      <c r="M340" t="s">
        <v>1856</v>
      </c>
      <c r="N340" t="s">
        <v>520</v>
      </c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</row>
    <row r="341" spans="1:27" ht="15">
      <c r="B341"/>
      <c r="C341"/>
      <c r="D341" t="s">
        <v>4582</v>
      </c>
      <c r="E341" t="s">
        <v>4585</v>
      </c>
      <c r="F341" t="s">
        <v>4586</v>
      </c>
      <c r="G341" t="s">
        <v>4587</v>
      </c>
      <c r="H341"/>
      <c r="I341"/>
      <c r="J341" t="s">
        <v>1857</v>
      </c>
      <c r="K341" t="s">
        <v>1918</v>
      </c>
      <c r="L341"/>
      <c r="M341"/>
      <c r="N341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</row>
    <row r="342" spans="1:27" ht="15">
      <c r="A342" s="96">
        <v>45244</v>
      </c>
      <c r="B342" t="s">
        <v>4596</v>
      </c>
      <c r="C342" t="s">
        <v>670</v>
      </c>
      <c r="D342"/>
      <c r="E342" t="s">
        <v>7415</v>
      </c>
      <c r="F342"/>
      <c r="G342" t="s">
        <v>4599</v>
      </c>
      <c r="H342" t="s">
        <v>7284</v>
      </c>
      <c r="I342" t="s">
        <v>4600</v>
      </c>
      <c r="J342" t="s">
        <v>1857</v>
      </c>
      <c r="K342" t="s">
        <v>1857</v>
      </c>
      <c r="L342" t="s">
        <v>518</v>
      </c>
      <c r="M342" t="s">
        <v>1856</v>
      </c>
      <c r="N342" t="s">
        <v>520</v>
      </c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</row>
    <row r="343" spans="1:27" ht="15">
      <c r="B343"/>
      <c r="C343"/>
      <c r="D343" t="s">
        <v>4582</v>
      </c>
      <c r="E343" t="s">
        <v>4597</v>
      </c>
      <c r="F343" t="s">
        <v>4598</v>
      </c>
      <c r="G343" t="s">
        <v>4599</v>
      </c>
      <c r="H343"/>
      <c r="I343"/>
      <c r="J343" t="s">
        <v>1857</v>
      </c>
      <c r="K343" t="s">
        <v>1918</v>
      </c>
      <c r="L343"/>
      <c r="M343"/>
      <c r="N34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</row>
    <row r="344" spans="1:27" ht="15">
      <c r="A344" s="96">
        <v>45244</v>
      </c>
      <c r="B344" t="s">
        <v>5243</v>
      </c>
      <c r="C344" t="s">
        <v>670</v>
      </c>
      <c r="D344"/>
      <c r="E344" t="s">
        <v>7222</v>
      </c>
      <c r="F344"/>
      <c r="G344" t="s">
        <v>1261</v>
      </c>
      <c r="H344" t="s">
        <v>7284</v>
      </c>
      <c r="I344" t="s">
        <v>5244</v>
      </c>
      <c r="J344" t="s">
        <v>3837</v>
      </c>
      <c r="K344" t="s">
        <v>3837</v>
      </c>
      <c r="L344" t="s">
        <v>518</v>
      </c>
      <c r="M344" t="s">
        <v>3836</v>
      </c>
      <c r="N344" t="s">
        <v>520</v>
      </c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</row>
    <row r="345" spans="1:27" ht="15">
      <c r="B345"/>
      <c r="C345"/>
      <c r="D345" t="s">
        <v>5241</v>
      </c>
      <c r="E345" t="s">
        <v>2745</v>
      </c>
      <c r="F345" t="s">
        <v>514</v>
      </c>
      <c r="G345" t="s">
        <v>3868</v>
      </c>
      <c r="H345"/>
      <c r="I345"/>
      <c r="J345" t="s">
        <v>3837</v>
      </c>
      <c r="K345" t="s">
        <v>699</v>
      </c>
      <c r="L345"/>
      <c r="M345"/>
      <c r="N345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</row>
    <row r="346" spans="1:27" ht="15">
      <c r="B346"/>
      <c r="C346"/>
      <c r="D346" t="s">
        <v>5241</v>
      </c>
      <c r="E346" t="s">
        <v>2745</v>
      </c>
      <c r="F346" t="s">
        <v>514</v>
      </c>
      <c r="G346" t="s">
        <v>3868</v>
      </c>
      <c r="H346"/>
      <c r="I346"/>
      <c r="J346" t="s">
        <v>3837</v>
      </c>
      <c r="K346" t="s">
        <v>699</v>
      </c>
      <c r="L346"/>
      <c r="M346"/>
      <c r="N346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</row>
    <row r="347" spans="1:27" ht="15">
      <c r="B347"/>
      <c r="C347"/>
      <c r="D347" t="s">
        <v>5241</v>
      </c>
      <c r="E347" t="s">
        <v>2745</v>
      </c>
      <c r="F347" t="s">
        <v>514</v>
      </c>
      <c r="G347" t="s">
        <v>3868</v>
      </c>
      <c r="H347"/>
      <c r="I347"/>
      <c r="J347" t="s">
        <v>3837</v>
      </c>
      <c r="K347" t="s">
        <v>699</v>
      </c>
      <c r="L347"/>
      <c r="M347"/>
      <c r="N347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</row>
    <row r="348" spans="1:27" ht="15">
      <c r="B348"/>
      <c r="C348"/>
      <c r="D348" t="s">
        <v>5241</v>
      </c>
      <c r="E348" t="s">
        <v>2745</v>
      </c>
      <c r="F348" t="s">
        <v>514</v>
      </c>
      <c r="G348" t="s">
        <v>3868</v>
      </c>
      <c r="H348"/>
      <c r="I348"/>
      <c r="J348" t="s">
        <v>3837</v>
      </c>
      <c r="K348" t="s">
        <v>699</v>
      </c>
      <c r="L348"/>
      <c r="M348"/>
      <c r="N348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</row>
    <row r="349" spans="1:27" ht="15">
      <c r="B349"/>
      <c r="C349"/>
      <c r="D349" t="s">
        <v>5241</v>
      </c>
      <c r="E349" t="s">
        <v>2745</v>
      </c>
      <c r="F349" t="s">
        <v>514</v>
      </c>
      <c r="G349" t="s">
        <v>3868</v>
      </c>
      <c r="H349"/>
      <c r="I349"/>
      <c r="J349" t="s">
        <v>3837</v>
      </c>
      <c r="K349" t="s">
        <v>699</v>
      </c>
      <c r="L349"/>
      <c r="M349"/>
      <c r="N349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</row>
    <row r="350" spans="1:27" ht="15">
      <c r="B350"/>
      <c r="C350"/>
      <c r="D350" t="s">
        <v>5241</v>
      </c>
      <c r="E350" t="s">
        <v>2745</v>
      </c>
      <c r="F350" t="s">
        <v>514</v>
      </c>
      <c r="G350" t="s">
        <v>3868</v>
      </c>
      <c r="H350"/>
      <c r="I350"/>
      <c r="J350" t="s">
        <v>3837</v>
      </c>
      <c r="K350" t="s">
        <v>699</v>
      </c>
      <c r="L350"/>
      <c r="M350"/>
      <c r="N350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</row>
    <row r="351" spans="1:27" ht="15">
      <c r="A351" s="96">
        <v>45244</v>
      </c>
      <c r="B351" t="s">
        <v>3490</v>
      </c>
      <c r="C351" t="s">
        <v>670</v>
      </c>
      <c r="D351"/>
      <c r="E351" t="s">
        <v>7416</v>
      </c>
      <c r="F351"/>
      <c r="G351" t="s">
        <v>555</v>
      </c>
      <c r="H351" t="s">
        <v>7284</v>
      </c>
      <c r="I351" t="s">
        <v>3492</v>
      </c>
      <c r="J351" t="s">
        <v>733</v>
      </c>
      <c r="K351" t="s">
        <v>733</v>
      </c>
      <c r="L351" t="s">
        <v>518</v>
      </c>
      <c r="M351" t="s">
        <v>2272</v>
      </c>
      <c r="N351" t="s">
        <v>535</v>
      </c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</row>
    <row r="352" spans="1:27" ht="15">
      <c r="B352"/>
      <c r="C352"/>
      <c r="D352" t="s">
        <v>3488</v>
      </c>
      <c r="E352" t="s">
        <v>3491</v>
      </c>
      <c r="F352" t="s">
        <v>514</v>
      </c>
      <c r="G352" t="s">
        <v>555</v>
      </c>
      <c r="H352"/>
      <c r="I352"/>
      <c r="J352" t="s">
        <v>733</v>
      </c>
      <c r="K352" t="s">
        <v>733</v>
      </c>
      <c r="L352"/>
      <c r="M352"/>
      <c r="N352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</row>
    <row r="353" spans="1:27" ht="15">
      <c r="A353" s="96">
        <v>45244</v>
      </c>
      <c r="B353" t="s">
        <v>5359</v>
      </c>
      <c r="C353" t="s">
        <v>670</v>
      </c>
      <c r="D353"/>
      <c r="E353" t="s">
        <v>7417</v>
      </c>
      <c r="F353"/>
      <c r="G353" t="s">
        <v>5362</v>
      </c>
      <c r="H353" t="s">
        <v>7284</v>
      </c>
      <c r="I353" t="s">
        <v>5363</v>
      </c>
      <c r="J353" t="s">
        <v>741</v>
      </c>
      <c r="K353" t="s">
        <v>741</v>
      </c>
      <c r="L353" t="s">
        <v>518</v>
      </c>
      <c r="M353" t="s">
        <v>739</v>
      </c>
      <c r="N353" t="s">
        <v>605</v>
      </c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</row>
    <row r="354" spans="1:27" ht="15">
      <c r="B354"/>
      <c r="C354"/>
      <c r="D354" t="s">
        <v>5357</v>
      </c>
      <c r="E354" t="s">
        <v>5360</v>
      </c>
      <c r="F354" t="s">
        <v>5361</v>
      </c>
      <c r="G354" t="s">
        <v>5362</v>
      </c>
      <c r="H354"/>
      <c r="I354"/>
      <c r="J354" t="s">
        <v>741</v>
      </c>
      <c r="K354" t="s">
        <v>741</v>
      </c>
      <c r="L354"/>
      <c r="M354"/>
      <c r="N354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</row>
    <row r="355" spans="1:27" ht="15">
      <c r="A355" s="96">
        <v>45244</v>
      </c>
      <c r="B355" t="s">
        <v>3705</v>
      </c>
      <c r="C355" t="s">
        <v>670</v>
      </c>
      <c r="D355"/>
      <c r="E355" t="s">
        <v>7418</v>
      </c>
      <c r="F355"/>
      <c r="G355" t="s">
        <v>1457</v>
      </c>
      <c r="H355" t="s">
        <v>7284</v>
      </c>
      <c r="I355" t="s">
        <v>562</v>
      </c>
      <c r="J355" t="s">
        <v>1958</v>
      </c>
      <c r="K355" t="s">
        <v>1958</v>
      </c>
      <c r="L355" t="s">
        <v>518</v>
      </c>
      <c r="M355" t="s">
        <v>2502</v>
      </c>
      <c r="N355" t="s">
        <v>535</v>
      </c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</row>
    <row r="356" spans="1:27" ht="15">
      <c r="B356"/>
      <c r="C356"/>
      <c r="D356" t="s">
        <v>3703</v>
      </c>
      <c r="E356" t="s">
        <v>3706</v>
      </c>
      <c r="F356" t="s">
        <v>514</v>
      </c>
      <c r="G356" t="s">
        <v>1457</v>
      </c>
      <c r="H356"/>
      <c r="I356"/>
      <c r="J356" t="s">
        <v>1958</v>
      </c>
      <c r="K356" t="s">
        <v>795</v>
      </c>
      <c r="L356"/>
      <c r="M356"/>
      <c r="N356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</row>
    <row r="357" spans="1:27" ht="15">
      <c r="A357" s="96">
        <v>45244</v>
      </c>
      <c r="B357" t="s">
        <v>5231</v>
      </c>
      <c r="C357" t="s">
        <v>670</v>
      </c>
      <c r="D357"/>
      <c r="E357" t="s">
        <v>7419</v>
      </c>
      <c r="F357"/>
      <c r="G357" t="s">
        <v>5234</v>
      </c>
      <c r="H357" t="s">
        <v>7420</v>
      </c>
      <c r="I357" t="s">
        <v>5236</v>
      </c>
      <c r="J357" t="s">
        <v>917</v>
      </c>
      <c r="K357" t="s">
        <v>917</v>
      </c>
      <c r="L357" t="s">
        <v>518</v>
      </c>
      <c r="M357" t="s">
        <v>916</v>
      </c>
      <c r="N357" t="s">
        <v>535</v>
      </c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</row>
    <row r="358" spans="1:27" ht="15">
      <c r="B358"/>
      <c r="C358"/>
      <c r="D358" t="s">
        <v>5229</v>
      </c>
      <c r="E358" t="s">
        <v>5232</v>
      </c>
      <c r="F358" t="s">
        <v>5233</v>
      </c>
      <c r="G358" t="s">
        <v>5234</v>
      </c>
      <c r="H358"/>
      <c r="I358"/>
      <c r="J358" t="s">
        <v>917</v>
      </c>
      <c r="K358" t="s">
        <v>917</v>
      </c>
      <c r="L358"/>
      <c r="M358"/>
      <c r="N358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</row>
    <row r="359" spans="1:27" ht="15">
      <c r="A359" s="96">
        <v>45244</v>
      </c>
      <c r="B359" t="s">
        <v>3725</v>
      </c>
      <c r="C359" t="s">
        <v>1071</v>
      </c>
      <c r="D359"/>
      <c r="E359" t="s">
        <v>7421</v>
      </c>
      <c r="F359"/>
      <c r="G359" t="s">
        <v>3727</v>
      </c>
      <c r="H359" t="s">
        <v>7262</v>
      </c>
      <c r="I359" t="s">
        <v>3728</v>
      </c>
      <c r="J359" t="s">
        <v>651</v>
      </c>
      <c r="K359" t="s">
        <v>651</v>
      </c>
      <c r="L359" t="s">
        <v>518</v>
      </c>
      <c r="M359" t="s">
        <v>1199</v>
      </c>
      <c r="N359" t="s">
        <v>520</v>
      </c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</row>
    <row r="360" spans="1:27" ht="15">
      <c r="B360"/>
      <c r="C360"/>
      <c r="D360" t="s">
        <v>1632</v>
      </c>
      <c r="E360" t="s">
        <v>3726</v>
      </c>
      <c r="F360" t="s">
        <v>657</v>
      </c>
      <c r="G360" t="s">
        <v>3727</v>
      </c>
      <c r="H360"/>
      <c r="I360"/>
      <c r="J360" t="s">
        <v>651</v>
      </c>
      <c r="K360" t="s">
        <v>651</v>
      </c>
      <c r="L360"/>
      <c r="M360"/>
      <c r="N360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</row>
    <row r="361" spans="1:27" ht="15">
      <c r="A361" s="96">
        <v>45244</v>
      </c>
      <c r="B361" t="s">
        <v>5465</v>
      </c>
      <c r="C361" t="s">
        <v>1913</v>
      </c>
      <c r="D361"/>
      <c r="E361" t="s">
        <v>7422</v>
      </c>
      <c r="F361"/>
      <c r="G361" t="s">
        <v>1387</v>
      </c>
      <c r="H361" t="s">
        <v>7423</v>
      </c>
      <c r="I361" t="s">
        <v>3471</v>
      </c>
      <c r="J361" t="s">
        <v>982</v>
      </c>
      <c r="K361" t="s">
        <v>982</v>
      </c>
      <c r="L361" t="s">
        <v>518</v>
      </c>
      <c r="M361" t="s">
        <v>981</v>
      </c>
      <c r="N361" t="s">
        <v>535</v>
      </c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</row>
    <row r="362" spans="1:27" ht="15">
      <c r="B362"/>
      <c r="C362"/>
      <c r="D362" t="s">
        <v>5463</v>
      </c>
      <c r="E362" t="s">
        <v>5466</v>
      </c>
      <c r="F362" t="s">
        <v>2675</v>
      </c>
      <c r="G362" t="s">
        <v>1387</v>
      </c>
      <c r="H362"/>
      <c r="I362"/>
      <c r="J362" t="s">
        <v>982</v>
      </c>
      <c r="K362" t="s">
        <v>982</v>
      </c>
      <c r="L362"/>
      <c r="M362"/>
      <c r="N362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</row>
    <row r="363" spans="1:27" ht="15">
      <c r="A363" s="96">
        <v>45244</v>
      </c>
      <c r="B363" t="s">
        <v>3824</v>
      </c>
      <c r="C363" t="s">
        <v>1913</v>
      </c>
      <c r="D363"/>
      <c r="E363" t="s">
        <v>2984</v>
      </c>
      <c r="F363"/>
      <c r="G363" t="s">
        <v>966</v>
      </c>
      <c r="H363" t="s">
        <v>7423</v>
      </c>
      <c r="I363" t="s">
        <v>3471</v>
      </c>
      <c r="J363" t="s">
        <v>2834</v>
      </c>
      <c r="K363" t="s">
        <v>2834</v>
      </c>
      <c r="L363" t="s">
        <v>518</v>
      </c>
      <c r="M363" t="s">
        <v>2833</v>
      </c>
      <c r="N363" t="s">
        <v>535</v>
      </c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</row>
    <row r="364" spans="1:27" ht="15">
      <c r="B364"/>
      <c r="C364"/>
      <c r="D364" t="s">
        <v>3822</v>
      </c>
      <c r="E364" t="s">
        <v>1267</v>
      </c>
      <c r="F364" t="s">
        <v>514</v>
      </c>
      <c r="G364" t="s">
        <v>966</v>
      </c>
      <c r="H364"/>
      <c r="I364"/>
      <c r="J364" t="s">
        <v>2834</v>
      </c>
      <c r="K364" t="s">
        <v>2834</v>
      </c>
      <c r="L364"/>
      <c r="M364"/>
      <c r="N364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</row>
    <row r="365" spans="1:27" ht="15">
      <c r="A365" s="96">
        <v>45244</v>
      </c>
      <c r="B365" t="s">
        <v>4302</v>
      </c>
      <c r="C365" t="s">
        <v>670</v>
      </c>
      <c r="D365"/>
      <c r="E365" t="s">
        <v>7424</v>
      </c>
      <c r="F365"/>
      <c r="G365" t="s">
        <v>1413</v>
      </c>
      <c r="H365" t="s">
        <v>7292</v>
      </c>
      <c r="I365" t="s">
        <v>4304</v>
      </c>
      <c r="J365" t="s">
        <v>545</v>
      </c>
      <c r="K365" t="s">
        <v>545</v>
      </c>
      <c r="L365" t="s">
        <v>518</v>
      </c>
      <c r="M365" t="s">
        <v>1032</v>
      </c>
      <c r="N365" t="s">
        <v>605</v>
      </c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</row>
    <row r="366" spans="1:27" ht="15">
      <c r="B366"/>
      <c r="C366"/>
      <c r="D366" t="s">
        <v>4300</v>
      </c>
      <c r="E366" t="s">
        <v>4303</v>
      </c>
      <c r="F366" t="s">
        <v>657</v>
      </c>
      <c r="G366" t="s">
        <v>1413</v>
      </c>
      <c r="H366"/>
      <c r="I366"/>
      <c r="J366" t="s">
        <v>545</v>
      </c>
      <c r="K366" t="s">
        <v>545</v>
      </c>
      <c r="L366"/>
      <c r="M366"/>
      <c r="N366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</row>
    <row r="367" spans="1:27" ht="15">
      <c r="A367" s="96">
        <v>45244</v>
      </c>
      <c r="B367" t="s">
        <v>4580</v>
      </c>
      <c r="C367" t="s">
        <v>670</v>
      </c>
      <c r="D367"/>
      <c r="E367" t="s">
        <v>7411</v>
      </c>
      <c r="F367"/>
      <c r="G367" t="s">
        <v>4568</v>
      </c>
      <c r="H367" t="s">
        <v>7292</v>
      </c>
      <c r="I367" t="s">
        <v>4581</v>
      </c>
      <c r="J367" t="s">
        <v>1918</v>
      </c>
      <c r="K367" t="s">
        <v>1918</v>
      </c>
      <c r="L367" t="s">
        <v>682</v>
      </c>
      <c r="M367" t="s">
        <v>3143</v>
      </c>
      <c r="N367" t="s">
        <v>570</v>
      </c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</row>
    <row r="368" spans="1:27" ht="15">
      <c r="B368"/>
      <c r="C368"/>
      <c r="D368" t="s">
        <v>4551</v>
      </c>
      <c r="E368" t="s">
        <v>4566</v>
      </c>
      <c r="F368" t="s">
        <v>4567</v>
      </c>
      <c r="G368" t="s">
        <v>4568</v>
      </c>
      <c r="H368"/>
      <c r="I368"/>
      <c r="J368" t="s">
        <v>1918</v>
      </c>
      <c r="K368" t="s">
        <v>1918</v>
      </c>
      <c r="L368"/>
      <c r="M368"/>
      <c r="N368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</row>
    <row r="369" spans="1:27" ht="15">
      <c r="A369" s="96">
        <v>45244</v>
      </c>
      <c r="B369" t="s">
        <v>5160</v>
      </c>
      <c r="C369" t="s">
        <v>670</v>
      </c>
      <c r="D369"/>
      <c r="E369" t="s">
        <v>7425</v>
      </c>
      <c r="F369"/>
      <c r="G369" t="s">
        <v>5162</v>
      </c>
      <c r="H369" t="s">
        <v>7292</v>
      </c>
      <c r="I369" t="s">
        <v>5163</v>
      </c>
      <c r="J369" t="s">
        <v>597</v>
      </c>
      <c r="K369" t="s">
        <v>597</v>
      </c>
      <c r="L369" t="s">
        <v>518</v>
      </c>
      <c r="M369" t="s">
        <v>596</v>
      </c>
      <c r="N369" t="s">
        <v>520</v>
      </c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</row>
    <row r="370" spans="1:27" ht="15">
      <c r="B370"/>
      <c r="C370"/>
      <c r="D370" t="s">
        <v>5153</v>
      </c>
      <c r="E370" t="s">
        <v>5161</v>
      </c>
      <c r="F370" t="s">
        <v>1077</v>
      </c>
      <c r="G370" t="s">
        <v>5162</v>
      </c>
      <c r="H370"/>
      <c r="I370"/>
      <c r="J370" t="s">
        <v>597</v>
      </c>
      <c r="K370" t="s">
        <v>597</v>
      </c>
      <c r="L370"/>
      <c r="M370"/>
      <c r="N370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</row>
    <row r="371" spans="1:27" ht="15">
      <c r="A371" s="96">
        <v>45244</v>
      </c>
      <c r="B371" t="s">
        <v>3214</v>
      </c>
      <c r="C371" t="s">
        <v>670</v>
      </c>
      <c r="D371"/>
      <c r="E371" t="s">
        <v>7426</v>
      </c>
      <c r="F371"/>
      <c r="G371" t="s">
        <v>6774</v>
      </c>
      <c r="H371" t="s">
        <v>7292</v>
      </c>
      <c r="I371" t="s">
        <v>3215</v>
      </c>
      <c r="J371" t="s">
        <v>1098</v>
      </c>
      <c r="K371" t="s">
        <v>1098</v>
      </c>
      <c r="L371" t="s">
        <v>518</v>
      </c>
      <c r="M371" t="s">
        <v>1097</v>
      </c>
      <c r="N371" t="s">
        <v>605</v>
      </c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</row>
    <row r="372" spans="1:27" ht="15">
      <c r="B372"/>
      <c r="C372"/>
      <c r="D372" t="s">
        <v>4481</v>
      </c>
      <c r="E372" t="s">
        <v>4483</v>
      </c>
      <c r="F372" t="s">
        <v>514</v>
      </c>
      <c r="G372" t="s">
        <v>4484</v>
      </c>
      <c r="H372"/>
      <c r="I372"/>
      <c r="J372" t="s">
        <v>1098</v>
      </c>
      <c r="K372" t="s">
        <v>1098</v>
      </c>
      <c r="L372"/>
      <c r="M372"/>
      <c r="N372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</row>
    <row r="373" spans="1:27" ht="15">
      <c r="B373"/>
      <c r="C373"/>
      <c r="D373" t="s">
        <v>3208</v>
      </c>
      <c r="E373" t="s">
        <v>3211</v>
      </c>
      <c r="F373" t="s">
        <v>514</v>
      </c>
      <c r="G373" t="s">
        <v>2668</v>
      </c>
      <c r="H373"/>
      <c r="I373"/>
      <c r="J373" t="s">
        <v>1098</v>
      </c>
      <c r="K373" t="s">
        <v>1098</v>
      </c>
      <c r="L373"/>
      <c r="M373"/>
      <c r="N3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</row>
    <row r="374" spans="1:27" ht="15">
      <c r="B374"/>
      <c r="C374"/>
      <c r="D374" t="s">
        <v>3208</v>
      </c>
      <c r="E374" t="s">
        <v>3211</v>
      </c>
      <c r="F374" t="s">
        <v>514</v>
      </c>
      <c r="G374" t="s">
        <v>2668</v>
      </c>
      <c r="H374"/>
      <c r="I374"/>
      <c r="J374" t="s">
        <v>1098</v>
      </c>
      <c r="K374" t="s">
        <v>1098</v>
      </c>
      <c r="L374"/>
      <c r="M374"/>
      <c r="N374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</row>
    <row r="375" spans="1:27" ht="15">
      <c r="B375"/>
      <c r="C375"/>
      <c r="D375" t="s">
        <v>3208</v>
      </c>
      <c r="E375" t="s">
        <v>3211</v>
      </c>
      <c r="F375" t="s">
        <v>514</v>
      </c>
      <c r="G375" t="s">
        <v>2668</v>
      </c>
      <c r="H375"/>
      <c r="I375"/>
      <c r="J375" t="s">
        <v>1098</v>
      </c>
      <c r="K375" t="s">
        <v>1098</v>
      </c>
      <c r="L375"/>
      <c r="M375"/>
      <c r="N375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</row>
    <row r="376" spans="1:27" ht="15">
      <c r="A376" s="96">
        <v>45244</v>
      </c>
      <c r="B376" t="s">
        <v>5115</v>
      </c>
      <c r="C376" t="s">
        <v>670</v>
      </c>
      <c r="D376"/>
      <c r="E376" t="s">
        <v>7427</v>
      </c>
      <c r="F376"/>
      <c r="G376" t="s">
        <v>555</v>
      </c>
      <c r="H376" t="s">
        <v>7292</v>
      </c>
      <c r="I376" t="s">
        <v>5117</v>
      </c>
      <c r="J376" t="s">
        <v>1918</v>
      </c>
      <c r="K376" t="s">
        <v>1918</v>
      </c>
      <c r="L376" t="s">
        <v>682</v>
      </c>
      <c r="M376" t="s">
        <v>3143</v>
      </c>
      <c r="N376" t="s">
        <v>520</v>
      </c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</row>
    <row r="377" spans="1:27" ht="15">
      <c r="B377"/>
      <c r="C377"/>
      <c r="D377" t="s">
        <v>5105</v>
      </c>
      <c r="E377" t="s">
        <v>5116</v>
      </c>
      <c r="F377" t="s">
        <v>514</v>
      </c>
      <c r="G377" t="s">
        <v>555</v>
      </c>
      <c r="H377"/>
      <c r="I377"/>
      <c r="J377" t="s">
        <v>1918</v>
      </c>
      <c r="K377" t="s">
        <v>1918</v>
      </c>
      <c r="L377"/>
      <c r="M377"/>
      <c r="N377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</row>
    <row r="378" spans="1:27" ht="15">
      <c r="A378" s="96">
        <v>45244</v>
      </c>
      <c r="B378" t="s">
        <v>5111</v>
      </c>
      <c r="C378" t="s">
        <v>670</v>
      </c>
      <c r="D378"/>
      <c r="E378" t="s">
        <v>7428</v>
      </c>
      <c r="F378"/>
      <c r="G378" t="s">
        <v>555</v>
      </c>
      <c r="H378" t="s">
        <v>7292</v>
      </c>
      <c r="I378" t="s">
        <v>5113</v>
      </c>
      <c r="J378" t="s">
        <v>1918</v>
      </c>
      <c r="K378" t="s">
        <v>1918</v>
      </c>
      <c r="L378" t="s">
        <v>682</v>
      </c>
      <c r="M378" t="s">
        <v>3143</v>
      </c>
      <c r="N378" t="s">
        <v>535</v>
      </c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</row>
    <row r="379" spans="1:27" ht="15">
      <c r="B379"/>
      <c r="C379"/>
      <c r="D379" t="s">
        <v>5105</v>
      </c>
      <c r="E379" t="s">
        <v>5112</v>
      </c>
      <c r="F379" t="s">
        <v>514</v>
      </c>
      <c r="G379" t="s">
        <v>555</v>
      </c>
      <c r="H379"/>
      <c r="I379"/>
      <c r="J379" t="s">
        <v>1918</v>
      </c>
      <c r="K379" t="s">
        <v>1918</v>
      </c>
      <c r="L379"/>
      <c r="M379"/>
      <c r="N379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</row>
    <row r="380" spans="1:27" ht="15">
      <c r="A380" s="96">
        <v>45244</v>
      </c>
      <c r="B380" t="s">
        <v>3508</v>
      </c>
      <c r="C380" t="s">
        <v>670</v>
      </c>
      <c r="D380"/>
      <c r="E380" t="s">
        <v>3746</v>
      </c>
      <c r="F380"/>
      <c r="G380" t="s">
        <v>555</v>
      </c>
      <c r="H380" t="s">
        <v>7292</v>
      </c>
      <c r="I380" t="s">
        <v>3510</v>
      </c>
      <c r="J380" t="s">
        <v>1918</v>
      </c>
      <c r="K380" t="s">
        <v>1918</v>
      </c>
      <c r="L380" t="s">
        <v>518</v>
      </c>
      <c r="M380" t="s">
        <v>1917</v>
      </c>
      <c r="N380" t="s">
        <v>520</v>
      </c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</row>
    <row r="381" spans="1:27" ht="15">
      <c r="B381"/>
      <c r="C381"/>
      <c r="D381" t="s">
        <v>3502</v>
      </c>
      <c r="E381" t="s">
        <v>3509</v>
      </c>
      <c r="F381" t="s">
        <v>514</v>
      </c>
      <c r="G381" t="s">
        <v>555</v>
      </c>
      <c r="H381"/>
      <c r="I381"/>
      <c r="J381" t="s">
        <v>1918</v>
      </c>
      <c r="K381" t="s">
        <v>1918</v>
      </c>
      <c r="L381"/>
      <c r="M381"/>
      <c r="N381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</row>
    <row r="382" spans="1:27" ht="15">
      <c r="A382" s="96">
        <v>45244</v>
      </c>
      <c r="B382" t="s">
        <v>3504</v>
      </c>
      <c r="C382" t="s">
        <v>670</v>
      </c>
      <c r="D382"/>
      <c r="E382" t="s">
        <v>7429</v>
      </c>
      <c r="F382"/>
      <c r="G382" t="s">
        <v>555</v>
      </c>
      <c r="H382" t="s">
        <v>7292</v>
      </c>
      <c r="I382" t="s">
        <v>3506</v>
      </c>
      <c r="J382" t="s">
        <v>1918</v>
      </c>
      <c r="K382" t="s">
        <v>1918</v>
      </c>
      <c r="L382" t="s">
        <v>518</v>
      </c>
      <c r="M382" t="s">
        <v>1917</v>
      </c>
      <c r="N382" t="s">
        <v>520</v>
      </c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</row>
    <row r="383" spans="1:27" ht="15">
      <c r="B383"/>
      <c r="C383"/>
      <c r="D383" t="s">
        <v>3502</v>
      </c>
      <c r="E383" t="s">
        <v>3505</v>
      </c>
      <c r="F383" t="s">
        <v>514</v>
      </c>
      <c r="G383" t="s">
        <v>555</v>
      </c>
      <c r="H383"/>
      <c r="I383"/>
      <c r="J383" t="s">
        <v>1918</v>
      </c>
      <c r="K383" t="s">
        <v>1918</v>
      </c>
      <c r="L383"/>
      <c r="M383"/>
      <c r="N38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</row>
    <row r="384" spans="1:27" ht="15">
      <c r="A384" s="96">
        <v>45244</v>
      </c>
      <c r="B384" t="s">
        <v>5082</v>
      </c>
      <c r="C384" t="s">
        <v>670</v>
      </c>
      <c r="D384"/>
      <c r="E384" t="s">
        <v>7430</v>
      </c>
      <c r="F384"/>
      <c r="G384" t="s">
        <v>555</v>
      </c>
      <c r="H384" t="s">
        <v>7292</v>
      </c>
      <c r="I384" t="s">
        <v>5084</v>
      </c>
      <c r="J384" t="s">
        <v>1918</v>
      </c>
      <c r="K384" t="s">
        <v>1918</v>
      </c>
      <c r="L384" t="s">
        <v>682</v>
      </c>
      <c r="M384" t="s">
        <v>3143</v>
      </c>
      <c r="N384" t="s">
        <v>535</v>
      </c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</row>
    <row r="385" spans="1:27" ht="15">
      <c r="B385"/>
      <c r="C385"/>
      <c r="D385" t="s">
        <v>5080</v>
      </c>
      <c r="E385" t="s">
        <v>5083</v>
      </c>
      <c r="F385" t="s">
        <v>514</v>
      </c>
      <c r="G385" t="s">
        <v>555</v>
      </c>
      <c r="H385"/>
      <c r="I385"/>
      <c r="J385" t="s">
        <v>1918</v>
      </c>
      <c r="K385" t="s">
        <v>1918</v>
      </c>
      <c r="L385"/>
      <c r="M385"/>
      <c r="N385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</row>
    <row r="386" spans="1:27" ht="15">
      <c r="A386" s="96">
        <v>45244</v>
      </c>
      <c r="B386" t="s">
        <v>4214</v>
      </c>
      <c r="C386" t="s">
        <v>670</v>
      </c>
      <c r="D386"/>
      <c r="E386" t="s">
        <v>7354</v>
      </c>
      <c r="F386"/>
      <c r="G386" t="s">
        <v>3805</v>
      </c>
      <c r="H386" t="s">
        <v>7292</v>
      </c>
      <c r="I386" t="s">
        <v>4215</v>
      </c>
      <c r="J386" t="s">
        <v>753</v>
      </c>
      <c r="K386" t="s">
        <v>753</v>
      </c>
      <c r="L386" t="s">
        <v>518</v>
      </c>
      <c r="M386" t="s">
        <v>751</v>
      </c>
      <c r="N386" t="s">
        <v>520</v>
      </c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</row>
    <row r="387" spans="1:27" ht="15">
      <c r="B387"/>
      <c r="C387"/>
      <c r="D387" t="s">
        <v>4202</v>
      </c>
      <c r="E387" t="s">
        <v>4208</v>
      </c>
      <c r="F387" t="s">
        <v>1077</v>
      </c>
      <c r="G387" t="s">
        <v>3805</v>
      </c>
      <c r="H387"/>
      <c r="I387"/>
      <c r="J387" t="s">
        <v>753</v>
      </c>
      <c r="K387" t="s">
        <v>753</v>
      </c>
      <c r="L387"/>
      <c r="M387"/>
      <c r="N387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</row>
    <row r="388" spans="1:27" ht="15">
      <c r="A388" s="96">
        <v>45244</v>
      </c>
      <c r="B388" t="s">
        <v>4808</v>
      </c>
      <c r="C388" t="s">
        <v>670</v>
      </c>
      <c r="D388"/>
      <c r="E388" t="s">
        <v>7431</v>
      </c>
      <c r="F388"/>
      <c r="G388" t="s">
        <v>4810</v>
      </c>
      <c r="H388" t="s">
        <v>7432</v>
      </c>
      <c r="I388" t="s">
        <v>4811</v>
      </c>
      <c r="J388" t="s">
        <v>607</v>
      </c>
      <c r="K388" t="s">
        <v>607</v>
      </c>
      <c r="L388" t="s">
        <v>518</v>
      </c>
      <c r="M388" t="s">
        <v>604</v>
      </c>
      <c r="N388" t="s">
        <v>535</v>
      </c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</row>
    <row r="389" spans="1:27" ht="15">
      <c r="B389"/>
      <c r="C389"/>
      <c r="D389" t="s">
        <v>4806</v>
      </c>
      <c r="E389" t="s">
        <v>4809</v>
      </c>
      <c r="F389" t="s">
        <v>1077</v>
      </c>
      <c r="G389" t="s">
        <v>4810</v>
      </c>
      <c r="H389"/>
      <c r="I389"/>
      <c r="J389" t="s">
        <v>607</v>
      </c>
      <c r="K389" t="s">
        <v>607</v>
      </c>
      <c r="L389"/>
      <c r="M389"/>
      <c r="N389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</row>
    <row r="390" spans="1:27" ht="15">
      <c r="A390" s="96">
        <v>45244</v>
      </c>
      <c r="B390" t="s">
        <v>4082</v>
      </c>
      <c r="C390" t="s">
        <v>1418</v>
      </c>
      <c r="D390"/>
      <c r="E390" t="s">
        <v>7433</v>
      </c>
      <c r="F390"/>
      <c r="G390" t="s">
        <v>7434</v>
      </c>
      <c r="H390" t="s">
        <v>7292</v>
      </c>
      <c r="I390" t="s">
        <v>4085</v>
      </c>
      <c r="J390" t="s">
        <v>1494</v>
      </c>
      <c r="K390" t="s">
        <v>1494</v>
      </c>
      <c r="L390" t="s">
        <v>518</v>
      </c>
      <c r="M390" t="s">
        <v>1491</v>
      </c>
      <c r="N390" t="s">
        <v>520</v>
      </c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</row>
    <row r="391" spans="1:27" ht="15">
      <c r="B391"/>
      <c r="C391"/>
      <c r="D391" t="s">
        <v>4080</v>
      </c>
      <c r="E391" t="s">
        <v>4083</v>
      </c>
      <c r="F391" t="s">
        <v>1077</v>
      </c>
      <c r="G391" t="s">
        <v>4084</v>
      </c>
      <c r="H391"/>
      <c r="I391"/>
      <c r="J391" t="s">
        <v>1494</v>
      </c>
      <c r="K391" t="s">
        <v>1494</v>
      </c>
      <c r="L391"/>
      <c r="M391"/>
      <c r="N391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</row>
    <row r="392" spans="1:27" ht="15">
      <c r="B392"/>
      <c r="C392"/>
      <c r="D392" t="s">
        <v>4630</v>
      </c>
      <c r="E392" t="s">
        <v>4635</v>
      </c>
      <c r="F392" t="s">
        <v>958</v>
      </c>
      <c r="G392" t="s">
        <v>2524</v>
      </c>
      <c r="H392"/>
      <c r="I392"/>
      <c r="J392" t="s">
        <v>1494</v>
      </c>
      <c r="K392" t="s">
        <v>1494</v>
      </c>
      <c r="L392"/>
      <c r="M392"/>
      <c r="N392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</row>
    <row r="393" spans="1:27" ht="15">
      <c r="A393" s="96">
        <v>45244</v>
      </c>
      <c r="B393" t="s">
        <v>3847</v>
      </c>
      <c r="C393" t="s">
        <v>670</v>
      </c>
      <c r="D393"/>
      <c r="E393" t="s">
        <v>7435</v>
      </c>
      <c r="F393"/>
      <c r="G393" t="s">
        <v>7283</v>
      </c>
      <c r="H393" t="s">
        <v>7436</v>
      </c>
      <c r="I393" t="s">
        <v>3848</v>
      </c>
      <c r="J393" t="s">
        <v>1042</v>
      </c>
      <c r="K393" t="s">
        <v>1042</v>
      </c>
      <c r="L393" t="s">
        <v>518</v>
      </c>
      <c r="M393" t="s">
        <v>1040</v>
      </c>
      <c r="N393" t="s">
        <v>535</v>
      </c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</row>
    <row r="394" spans="1:27" ht="15">
      <c r="B394"/>
      <c r="C394"/>
      <c r="D394" t="s">
        <v>3855</v>
      </c>
      <c r="E394" t="s">
        <v>3857</v>
      </c>
      <c r="F394" t="s">
        <v>657</v>
      </c>
      <c r="G394" t="s">
        <v>3771</v>
      </c>
      <c r="H394"/>
      <c r="I394"/>
      <c r="J394" t="s">
        <v>1042</v>
      </c>
      <c r="K394" t="s">
        <v>1042</v>
      </c>
      <c r="L394"/>
      <c r="M394"/>
      <c r="N394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</row>
    <row r="395" spans="1:27" ht="15">
      <c r="B395"/>
      <c r="C395"/>
      <c r="D395" t="s">
        <v>3861</v>
      </c>
      <c r="E395" t="s">
        <v>3863</v>
      </c>
      <c r="F395" t="s">
        <v>3864</v>
      </c>
      <c r="G395" t="s">
        <v>3865</v>
      </c>
      <c r="H395"/>
      <c r="I395"/>
      <c r="J395" t="s">
        <v>1042</v>
      </c>
      <c r="K395" t="s">
        <v>1042</v>
      </c>
      <c r="L395"/>
      <c r="M395"/>
      <c r="N395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</row>
    <row r="396" spans="1:27" ht="15">
      <c r="B396"/>
      <c r="C396"/>
      <c r="D396" t="s">
        <v>3845</v>
      </c>
      <c r="E396" t="s">
        <v>594</v>
      </c>
      <c r="F396" t="s">
        <v>2579</v>
      </c>
      <c r="G396" t="s">
        <v>2699</v>
      </c>
      <c r="H396"/>
      <c r="I396"/>
      <c r="J396" t="s">
        <v>1042</v>
      </c>
      <c r="K396" t="s">
        <v>1042</v>
      </c>
      <c r="L396"/>
      <c r="M396"/>
      <c r="N396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</row>
    <row r="397" spans="1:27" ht="15">
      <c r="B397"/>
      <c r="C397"/>
      <c r="D397" t="s">
        <v>3858</v>
      </c>
      <c r="E397" t="s">
        <v>3860</v>
      </c>
      <c r="F397" t="s">
        <v>1886</v>
      </c>
      <c r="G397" t="s">
        <v>1501</v>
      </c>
      <c r="H397"/>
      <c r="I397"/>
      <c r="J397" t="s">
        <v>1042</v>
      </c>
      <c r="K397" t="s">
        <v>1042</v>
      </c>
      <c r="L397"/>
      <c r="M397"/>
      <c r="N397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</row>
    <row r="398" spans="1:27" ht="15">
      <c r="B398"/>
      <c r="C398"/>
      <c r="D398" t="s">
        <v>3853</v>
      </c>
      <c r="E398" t="s">
        <v>887</v>
      </c>
      <c r="F398" t="s">
        <v>1886</v>
      </c>
      <c r="G398" t="s">
        <v>1813</v>
      </c>
      <c r="H398"/>
      <c r="I398"/>
      <c r="J398" t="s">
        <v>1042</v>
      </c>
      <c r="K398" t="s">
        <v>1042</v>
      </c>
      <c r="L398"/>
      <c r="M398"/>
      <c r="N398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</row>
    <row r="399" spans="1:27" ht="15">
      <c r="A399" s="96">
        <v>45244</v>
      </c>
      <c r="B399" t="s">
        <v>3192</v>
      </c>
      <c r="C399" t="s">
        <v>1913</v>
      </c>
      <c r="D399"/>
      <c r="E399" t="s">
        <v>7437</v>
      </c>
      <c r="F399"/>
      <c r="G399" t="s">
        <v>2163</v>
      </c>
      <c r="H399" t="s">
        <v>7301</v>
      </c>
      <c r="I399" t="s">
        <v>1912</v>
      </c>
      <c r="J399" t="s">
        <v>651</v>
      </c>
      <c r="K399" t="s">
        <v>651</v>
      </c>
      <c r="L399" t="s">
        <v>518</v>
      </c>
      <c r="M399" t="s">
        <v>649</v>
      </c>
      <c r="N399" t="s">
        <v>520</v>
      </c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</row>
    <row r="400" spans="1:27" ht="15">
      <c r="B400"/>
      <c r="C400"/>
      <c r="D400" t="s">
        <v>3188</v>
      </c>
      <c r="E400" t="s">
        <v>1031</v>
      </c>
      <c r="F400" t="s">
        <v>514</v>
      </c>
      <c r="G400" t="s">
        <v>2163</v>
      </c>
      <c r="H400"/>
      <c r="I400"/>
      <c r="J400" t="s">
        <v>651</v>
      </c>
      <c r="K400" t="s">
        <v>651</v>
      </c>
      <c r="L400"/>
      <c r="M400"/>
      <c r="N400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</row>
    <row r="401" spans="1:27" ht="15">
      <c r="A401" s="96">
        <v>45244</v>
      </c>
      <c r="B401" t="s">
        <v>3190</v>
      </c>
      <c r="C401" t="s">
        <v>1913</v>
      </c>
      <c r="D401"/>
      <c r="E401" t="s">
        <v>7437</v>
      </c>
      <c r="F401"/>
      <c r="G401" t="s">
        <v>2163</v>
      </c>
      <c r="H401" t="s">
        <v>7301</v>
      </c>
      <c r="I401" t="s">
        <v>1912</v>
      </c>
      <c r="J401" t="s">
        <v>651</v>
      </c>
      <c r="K401" t="s">
        <v>651</v>
      </c>
      <c r="L401" t="s">
        <v>518</v>
      </c>
      <c r="M401" t="s">
        <v>649</v>
      </c>
      <c r="N401" t="s">
        <v>520</v>
      </c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</row>
    <row r="402" spans="1:27" ht="15">
      <c r="B402"/>
      <c r="C402"/>
      <c r="D402" t="s">
        <v>3188</v>
      </c>
      <c r="E402" t="s">
        <v>1031</v>
      </c>
      <c r="F402" t="s">
        <v>514</v>
      </c>
      <c r="G402" t="s">
        <v>2163</v>
      </c>
      <c r="H402"/>
      <c r="I402"/>
      <c r="J402" t="s">
        <v>651</v>
      </c>
      <c r="K402" t="s">
        <v>651</v>
      </c>
      <c r="L402"/>
      <c r="M402"/>
      <c r="N402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</row>
    <row r="403" spans="1:27" ht="15">
      <c r="A403" s="96">
        <v>45244</v>
      </c>
      <c r="B403" t="s">
        <v>4925</v>
      </c>
      <c r="C403" t="s">
        <v>670</v>
      </c>
      <c r="D403"/>
      <c r="E403" t="s">
        <v>7438</v>
      </c>
      <c r="F403"/>
      <c r="G403" t="s">
        <v>555</v>
      </c>
      <c r="H403" t="s">
        <v>7304</v>
      </c>
      <c r="I403" t="s">
        <v>4927</v>
      </c>
      <c r="J403" t="s">
        <v>733</v>
      </c>
      <c r="K403" t="s">
        <v>733</v>
      </c>
      <c r="L403" t="s">
        <v>518</v>
      </c>
      <c r="M403" t="s">
        <v>2147</v>
      </c>
      <c r="N403" t="s">
        <v>520</v>
      </c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</row>
    <row r="404" spans="1:27" ht="15">
      <c r="B404"/>
      <c r="C404"/>
      <c r="D404" t="s">
        <v>4923</v>
      </c>
      <c r="E404" t="s">
        <v>4926</v>
      </c>
      <c r="F404" t="s">
        <v>514</v>
      </c>
      <c r="G404" t="s">
        <v>555</v>
      </c>
      <c r="H404"/>
      <c r="I404"/>
      <c r="J404" t="s">
        <v>733</v>
      </c>
      <c r="K404" t="s">
        <v>733</v>
      </c>
      <c r="L404"/>
      <c r="M404"/>
      <c r="N404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</row>
    <row r="405" spans="1:27" ht="15">
      <c r="A405" s="96">
        <v>45244</v>
      </c>
      <c r="B405" t="s">
        <v>3926</v>
      </c>
      <c r="C405" t="s">
        <v>1418</v>
      </c>
      <c r="D405"/>
      <c r="E405" t="s">
        <v>7439</v>
      </c>
      <c r="F405"/>
      <c r="G405" t="s">
        <v>3928</v>
      </c>
      <c r="H405" t="s">
        <v>7304</v>
      </c>
      <c r="I405" t="s">
        <v>3929</v>
      </c>
      <c r="J405" t="s">
        <v>733</v>
      </c>
      <c r="K405" t="s">
        <v>733</v>
      </c>
      <c r="L405" t="s">
        <v>518</v>
      </c>
      <c r="M405" t="s">
        <v>2147</v>
      </c>
      <c r="N405" t="s">
        <v>520</v>
      </c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</row>
    <row r="406" spans="1:27" ht="15">
      <c r="B406"/>
      <c r="C406"/>
      <c r="D406" t="s">
        <v>3924</v>
      </c>
      <c r="E406" t="s">
        <v>3927</v>
      </c>
      <c r="F406" t="s">
        <v>514</v>
      </c>
      <c r="G406" t="s">
        <v>3928</v>
      </c>
      <c r="H406"/>
      <c r="I406"/>
      <c r="J406" t="s">
        <v>733</v>
      </c>
      <c r="K406" t="s">
        <v>733</v>
      </c>
      <c r="L406"/>
      <c r="M406"/>
      <c r="N406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</row>
    <row r="407" spans="1:27" ht="15">
      <c r="A407" s="96">
        <v>45244</v>
      </c>
      <c r="B407" t="s">
        <v>4364</v>
      </c>
      <c r="C407" t="s">
        <v>670</v>
      </c>
      <c r="D407"/>
      <c r="E407" t="s">
        <v>7440</v>
      </c>
      <c r="F407"/>
      <c r="G407" t="s">
        <v>555</v>
      </c>
      <c r="H407" t="s">
        <v>7306</v>
      </c>
      <c r="I407" t="s">
        <v>4368</v>
      </c>
      <c r="J407" t="s">
        <v>1918</v>
      </c>
      <c r="K407" t="s">
        <v>1918</v>
      </c>
      <c r="L407" t="s">
        <v>518</v>
      </c>
      <c r="M407" t="s">
        <v>4077</v>
      </c>
      <c r="N407" t="s">
        <v>535</v>
      </c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</row>
    <row r="408" spans="1:27" ht="15">
      <c r="B408"/>
      <c r="C408"/>
      <c r="D408" t="s">
        <v>4362</v>
      </c>
      <c r="E408" t="s">
        <v>4365</v>
      </c>
      <c r="F408" t="s">
        <v>4366</v>
      </c>
      <c r="G408" t="s">
        <v>555</v>
      </c>
      <c r="H408"/>
      <c r="I408"/>
      <c r="J408" t="s">
        <v>1918</v>
      </c>
      <c r="K408" t="s">
        <v>1918</v>
      </c>
      <c r="L408"/>
      <c r="M408"/>
      <c r="N408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</row>
    <row r="409" spans="1:27" ht="15">
      <c r="A409" s="96">
        <v>45244</v>
      </c>
      <c r="B409" t="s">
        <v>3907</v>
      </c>
      <c r="C409" t="s">
        <v>670</v>
      </c>
      <c r="D409"/>
      <c r="E409" t="s">
        <v>7441</v>
      </c>
      <c r="F409"/>
      <c r="G409" t="s">
        <v>3909</v>
      </c>
      <c r="H409" t="s">
        <v>7262</v>
      </c>
      <c r="I409" t="s">
        <v>3911</v>
      </c>
      <c r="J409" t="s">
        <v>733</v>
      </c>
      <c r="K409" t="s">
        <v>733</v>
      </c>
      <c r="L409" t="s">
        <v>518</v>
      </c>
      <c r="M409" t="s">
        <v>3910</v>
      </c>
      <c r="N409" t="s">
        <v>1374</v>
      </c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</row>
    <row r="410" spans="1:27" ht="15">
      <c r="B410"/>
      <c r="C410"/>
      <c r="D410" t="s">
        <v>3905</v>
      </c>
      <c r="E410" t="s">
        <v>3908</v>
      </c>
      <c r="F410" t="s">
        <v>1077</v>
      </c>
      <c r="G410" t="s">
        <v>3909</v>
      </c>
      <c r="H410"/>
      <c r="I410"/>
      <c r="J410" t="s">
        <v>733</v>
      </c>
      <c r="K410" t="s">
        <v>733</v>
      </c>
      <c r="L410"/>
      <c r="M410"/>
      <c r="N410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</row>
    <row r="411" spans="1:27" ht="15">
      <c r="A411" s="96">
        <v>45244</v>
      </c>
      <c r="B411" t="s">
        <v>2989</v>
      </c>
      <c r="C411" t="s">
        <v>670</v>
      </c>
      <c r="D411"/>
      <c r="E411" t="s">
        <v>7442</v>
      </c>
      <c r="F411"/>
      <c r="G411" t="s">
        <v>2991</v>
      </c>
      <c r="H411" t="s">
        <v>7306</v>
      </c>
      <c r="I411" t="s">
        <v>2992</v>
      </c>
      <c r="J411" t="s">
        <v>1098</v>
      </c>
      <c r="K411" t="s">
        <v>1098</v>
      </c>
      <c r="L411" t="s">
        <v>518</v>
      </c>
      <c r="M411" t="s">
        <v>1097</v>
      </c>
      <c r="N411" t="s">
        <v>535</v>
      </c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</row>
    <row r="412" spans="1:27" ht="15">
      <c r="B412"/>
      <c r="C412"/>
      <c r="D412" t="s">
        <v>2987</v>
      </c>
      <c r="E412" t="s">
        <v>2990</v>
      </c>
      <c r="F412" t="s">
        <v>657</v>
      </c>
      <c r="G412" t="s">
        <v>2991</v>
      </c>
      <c r="H412"/>
      <c r="I412"/>
      <c r="J412" t="s">
        <v>1098</v>
      </c>
      <c r="K412" t="s">
        <v>1098</v>
      </c>
      <c r="L412"/>
      <c r="M412"/>
      <c r="N412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</row>
    <row r="413" spans="1:27" ht="15">
      <c r="A413" s="96">
        <v>45244</v>
      </c>
      <c r="B413" t="s">
        <v>4888</v>
      </c>
      <c r="C413" t="s">
        <v>670</v>
      </c>
      <c r="D413"/>
      <c r="E413" t="s">
        <v>7443</v>
      </c>
      <c r="F413"/>
      <c r="G413" t="s">
        <v>4890</v>
      </c>
      <c r="H413" t="s">
        <v>7444</v>
      </c>
      <c r="I413" t="s">
        <v>4891</v>
      </c>
      <c r="J413" t="s">
        <v>1918</v>
      </c>
      <c r="K413" t="s">
        <v>1918</v>
      </c>
      <c r="L413" t="s">
        <v>518</v>
      </c>
      <c r="M413" t="s">
        <v>4077</v>
      </c>
      <c r="N413" t="s">
        <v>605</v>
      </c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</row>
    <row r="414" spans="1:27" ht="15">
      <c r="B414"/>
      <c r="C414"/>
      <c r="D414" t="s">
        <v>4881</v>
      </c>
      <c r="E414" t="s">
        <v>4889</v>
      </c>
      <c r="F414" t="s">
        <v>648</v>
      </c>
      <c r="G414" t="s">
        <v>4890</v>
      </c>
      <c r="H414"/>
      <c r="I414"/>
      <c r="J414" t="s">
        <v>1918</v>
      </c>
      <c r="K414" t="s">
        <v>1918</v>
      </c>
      <c r="L414"/>
      <c r="M414"/>
      <c r="N414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</row>
    <row r="415" spans="1:27" ht="15">
      <c r="A415" s="96">
        <v>45244</v>
      </c>
      <c r="B415" t="s">
        <v>4763</v>
      </c>
      <c r="C415" t="s">
        <v>670</v>
      </c>
      <c r="D415"/>
      <c r="E415" t="s">
        <v>7445</v>
      </c>
      <c r="F415"/>
      <c r="G415" t="s">
        <v>4765</v>
      </c>
      <c r="H415" t="s">
        <v>7444</v>
      </c>
      <c r="I415" t="s">
        <v>4766</v>
      </c>
      <c r="J415" t="s">
        <v>733</v>
      </c>
      <c r="K415" t="s">
        <v>733</v>
      </c>
      <c r="L415" t="s">
        <v>518</v>
      </c>
      <c r="M415" t="s">
        <v>2147</v>
      </c>
      <c r="N415" t="s">
        <v>520</v>
      </c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</row>
    <row r="416" spans="1:27" ht="15">
      <c r="B416"/>
      <c r="C416"/>
      <c r="D416" t="s">
        <v>4761</v>
      </c>
      <c r="E416" t="s">
        <v>4764</v>
      </c>
      <c r="F416" t="s">
        <v>657</v>
      </c>
      <c r="G416" t="s">
        <v>4765</v>
      </c>
      <c r="H416"/>
      <c r="I416"/>
      <c r="J416" t="s">
        <v>733</v>
      </c>
      <c r="K416" t="s">
        <v>733</v>
      </c>
      <c r="L416"/>
      <c r="M416"/>
      <c r="N416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</row>
    <row r="417" spans="1:27" ht="15">
      <c r="A417" s="96">
        <v>45244</v>
      </c>
      <c r="B417" t="s">
        <v>5328</v>
      </c>
      <c r="C417" t="s">
        <v>670</v>
      </c>
      <c r="D417"/>
      <c r="E417" t="s">
        <v>7446</v>
      </c>
      <c r="F417"/>
      <c r="G417" t="s">
        <v>3748</v>
      </c>
      <c r="H417" t="s">
        <v>7306</v>
      </c>
      <c r="I417" t="s">
        <v>5330</v>
      </c>
      <c r="J417" t="s">
        <v>597</v>
      </c>
      <c r="K417" t="s">
        <v>597</v>
      </c>
      <c r="L417" t="s">
        <v>518</v>
      </c>
      <c r="M417" t="s">
        <v>596</v>
      </c>
      <c r="N417" t="s">
        <v>535</v>
      </c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</row>
    <row r="418" spans="1:27" ht="15">
      <c r="B418"/>
      <c r="C418"/>
      <c r="D418" t="s">
        <v>5326</v>
      </c>
      <c r="E418" t="s">
        <v>5329</v>
      </c>
      <c r="F418" t="s">
        <v>3055</v>
      </c>
      <c r="G418" t="s">
        <v>3748</v>
      </c>
      <c r="H418"/>
      <c r="I418"/>
      <c r="J418" t="s">
        <v>597</v>
      </c>
      <c r="K418" t="s">
        <v>597</v>
      </c>
      <c r="L418"/>
      <c r="M418"/>
      <c r="N418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</row>
    <row r="419" spans="1:27" ht="15">
      <c r="A419" s="96">
        <v>45244</v>
      </c>
      <c r="B419" t="s">
        <v>4233</v>
      </c>
      <c r="C419" t="s">
        <v>670</v>
      </c>
      <c r="D419"/>
      <c r="E419" t="s">
        <v>7447</v>
      </c>
      <c r="F419"/>
      <c r="G419" t="s">
        <v>2050</v>
      </c>
      <c r="H419" t="s">
        <v>7306</v>
      </c>
      <c r="I419" t="s">
        <v>4235</v>
      </c>
      <c r="J419" t="s">
        <v>1098</v>
      </c>
      <c r="K419" t="s">
        <v>1098</v>
      </c>
      <c r="L419" t="s">
        <v>518</v>
      </c>
      <c r="M419" t="s">
        <v>1097</v>
      </c>
      <c r="N419" t="s">
        <v>605</v>
      </c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</row>
    <row r="420" spans="1:27" ht="15">
      <c r="B420"/>
      <c r="C420"/>
      <c r="D420" t="s">
        <v>4231</v>
      </c>
      <c r="E420" t="s">
        <v>4234</v>
      </c>
      <c r="F420" t="s">
        <v>657</v>
      </c>
      <c r="G420" t="s">
        <v>2050</v>
      </c>
      <c r="H420"/>
      <c r="I420"/>
      <c r="J420" t="s">
        <v>1098</v>
      </c>
      <c r="K420" t="s">
        <v>1098</v>
      </c>
      <c r="L420"/>
      <c r="M420"/>
      <c r="N420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</row>
    <row r="421" spans="1:27" ht="15">
      <c r="A421" s="96">
        <v>45244</v>
      </c>
      <c r="B421" t="s">
        <v>3831</v>
      </c>
      <c r="C421" t="s">
        <v>670</v>
      </c>
      <c r="D421"/>
      <c r="E421" t="s">
        <v>7336</v>
      </c>
      <c r="F421"/>
      <c r="G421" t="s">
        <v>555</v>
      </c>
      <c r="H421" t="s">
        <v>7306</v>
      </c>
      <c r="I421" t="s">
        <v>3832</v>
      </c>
      <c r="J421" t="s">
        <v>1098</v>
      </c>
      <c r="K421" t="s">
        <v>1098</v>
      </c>
      <c r="L421" t="s">
        <v>518</v>
      </c>
      <c r="M421" t="s">
        <v>1097</v>
      </c>
      <c r="N421" t="s">
        <v>535</v>
      </c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</row>
    <row r="422" spans="1:27" ht="15">
      <c r="B422"/>
      <c r="C422"/>
      <c r="D422" t="s">
        <v>3825</v>
      </c>
      <c r="E422" t="s">
        <v>3828</v>
      </c>
      <c r="F422" t="s">
        <v>1077</v>
      </c>
      <c r="G422" t="s">
        <v>555</v>
      </c>
      <c r="H422"/>
      <c r="I422"/>
      <c r="J422" t="s">
        <v>1098</v>
      </c>
      <c r="K422" t="s">
        <v>607</v>
      </c>
      <c r="L422"/>
      <c r="M422"/>
      <c r="N422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</row>
    <row r="423" spans="1:27" ht="15">
      <c r="A423" s="96">
        <v>45244</v>
      </c>
      <c r="B423" t="s">
        <v>7448</v>
      </c>
      <c r="C423" t="s">
        <v>670</v>
      </c>
      <c r="D423"/>
      <c r="E423" t="s">
        <v>7376</v>
      </c>
      <c r="F423"/>
      <c r="G423" t="s">
        <v>4587</v>
      </c>
      <c r="H423" t="s">
        <v>7306</v>
      </c>
      <c r="I423" t="s">
        <v>7449</v>
      </c>
      <c r="J423" t="s">
        <v>1918</v>
      </c>
      <c r="K423" t="s">
        <v>1918</v>
      </c>
      <c r="L423" t="s">
        <v>518</v>
      </c>
      <c r="M423" t="s">
        <v>2100</v>
      </c>
      <c r="N423" t="s">
        <v>535</v>
      </c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</row>
    <row r="424" spans="1:27" ht="15">
      <c r="B424"/>
      <c r="C424"/>
      <c r="D424" t="s">
        <v>2096</v>
      </c>
      <c r="E424" t="s">
        <v>2098</v>
      </c>
      <c r="F424" t="s">
        <v>514</v>
      </c>
      <c r="G424" t="s">
        <v>2099</v>
      </c>
      <c r="H424"/>
      <c r="I424"/>
      <c r="J424" t="s">
        <v>1918</v>
      </c>
      <c r="K424" t="s">
        <v>1918</v>
      </c>
      <c r="L424"/>
      <c r="M424"/>
      <c r="N424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</row>
    <row r="425" spans="1:27" ht="15">
      <c r="B425"/>
      <c r="C425"/>
      <c r="D425" t="s">
        <v>2096</v>
      </c>
      <c r="E425" t="s">
        <v>2098</v>
      </c>
      <c r="F425" t="s">
        <v>514</v>
      </c>
      <c r="G425" t="s">
        <v>2099</v>
      </c>
      <c r="H425"/>
      <c r="I425"/>
      <c r="J425" t="s">
        <v>1918</v>
      </c>
      <c r="K425" t="s">
        <v>1918</v>
      </c>
      <c r="L425"/>
      <c r="M425"/>
      <c r="N425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</row>
    <row r="426" spans="1:27" ht="15">
      <c r="B426"/>
      <c r="C426"/>
      <c r="D426" t="s">
        <v>2096</v>
      </c>
      <c r="E426" t="s">
        <v>2098</v>
      </c>
      <c r="F426" t="s">
        <v>514</v>
      </c>
      <c r="G426" t="s">
        <v>2099</v>
      </c>
      <c r="H426"/>
      <c r="I426"/>
      <c r="J426" t="s">
        <v>1918</v>
      </c>
      <c r="K426" t="s">
        <v>1918</v>
      </c>
      <c r="L426"/>
      <c r="M426"/>
      <c r="N426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</row>
    <row r="427" spans="1:27" ht="15">
      <c r="B427"/>
      <c r="C427"/>
      <c r="D427" t="s">
        <v>2096</v>
      </c>
      <c r="E427" t="s">
        <v>2098</v>
      </c>
      <c r="F427" t="s">
        <v>514</v>
      </c>
      <c r="G427" t="s">
        <v>2099</v>
      </c>
      <c r="H427"/>
      <c r="I427"/>
      <c r="J427" t="s">
        <v>1918</v>
      </c>
      <c r="K427" t="s">
        <v>1918</v>
      </c>
      <c r="L427"/>
      <c r="M427"/>
      <c r="N427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</row>
    <row r="428" spans="1:27" ht="15">
      <c r="B428"/>
      <c r="C428"/>
      <c r="D428" t="s">
        <v>2096</v>
      </c>
      <c r="E428" t="s">
        <v>2098</v>
      </c>
      <c r="F428" t="s">
        <v>514</v>
      </c>
      <c r="G428" t="s">
        <v>2067</v>
      </c>
      <c r="H428"/>
      <c r="I428"/>
      <c r="J428" t="s">
        <v>1918</v>
      </c>
      <c r="K428" t="s">
        <v>1918</v>
      </c>
      <c r="L428"/>
      <c r="M428"/>
      <c r="N428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</row>
    <row r="429" spans="1:27" ht="15">
      <c r="A429" s="96">
        <v>45244</v>
      </c>
      <c r="B429" t="s">
        <v>3176</v>
      </c>
      <c r="C429" t="s">
        <v>1418</v>
      </c>
      <c r="D429"/>
      <c r="E429" t="s">
        <v>7349</v>
      </c>
      <c r="F429"/>
      <c r="G429" t="s">
        <v>3169</v>
      </c>
      <c r="H429" t="s">
        <v>7306</v>
      </c>
      <c r="I429" t="s">
        <v>3177</v>
      </c>
      <c r="J429" t="s">
        <v>733</v>
      </c>
      <c r="K429" t="s">
        <v>733</v>
      </c>
      <c r="L429" t="s">
        <v>518</v>
      </c>
      <c r="M429" t="s">
        <v>1769</v>
      </c>
      <c r="N429" t="s">
        <v>605</v>
      </c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</row>
    <row r="430" spans="1:27" ht="15">
      <c r="B430"/>
      <c r="C430"/>
      <c r="D430" t="s">
        <v>3165</v>
      </c>
      <c r="E430" t="s">
        <v>3168</v>
      </c>
      <c r="F430" t="s">
        <v>958</v>
      </c>
      <c r="G430" t="s">
        <v>3169</v>
      </c>
      <c r="H430"/>
      <c r="I430"/>
      <c r="J430" t="s">
        <v>733</v>
      </c>
      <c r="K430" t="s">
        <v>733</v>
      </c>
      <c r="L430"/>
      <c r="M430"/>
      <c r="N430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</row>
    <row r="431" spans="1:27" ht="15">
      <c r="A431" s="96">
        <v>45244</v>
      </c>
      <c r="B431" t="s">
        <v>3167</v>
      </c>
      <c r="C431" t="s">
        <v>1418</v>
      </c>
      <c r="D431"/>
      <c r="E431" t="s">
        <v>7349</v>
      </c>
      <c r="F431"/>
      <c r="G431" t="s">
        <v>3169</v>
      </c>
      <c r="H431" t="s">
        <v>7306</v>
      </c>
      <c r="I431" t="s">
        <v>3170</v>
      </c>
      <c r="J431" t="s">
        <v>733</v>
      </c>
      <c r="K431" t="s">
        <v>733</v>
      </c>
      <c r="L431" t="s">
        <v>518</v>
      </c>
      <c r="M431" t="s">
        <v>1769</v>
      </c>
      <c r="N431" t="s">
        <v>605</v>
      </c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</row>
    <row r="432" spans="1:27" ht="15">
      <c r="B432"/>
      <c r="C432"/>
      <c r="D432" t="s">
        <v>3165</v>
      </c>
      <c r="E432" t="s">
        <v>3168</v>
      </c>
      <c r="F432" t="s">
        <v>958</v>
      </c>
      <c r="G432" t="s">
        <v>3169</v>
      </c>
      <c r="H432"/>
      <c r="I432"/>
      <c r="J432" t="s">
        <v>733</v>
      </c>
      <c r="K432" t="s">
        <v>733</v>
      </c>
      <c r="L432"/>
      <c r="M432"/>
      <c r="N432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</row>
    <row r="433" spans="1:27" ht="15">
      <c r="A433" s="96">
        <v>45244</v>
      </c>
      <c r="B433" t="s">
        <v>3695</v>
      </c>
      <c r="C433" t="s">
        <v>670</v>
      </c>
      <c r="D433"/>
      <c r="E433" t="s">
        <v>7450</v>
      </c>
      <c r="F433"/>
      <c r="G433" t="s">
        <v>3697</v>
      </c>
      <c r="H433" t="s">
        <v>7306</v>
      </c>
      <c r="I433" t="s">
        <v>3698</v>
      </c>
      <c r="J433" t="s">
        <v>590</v>
      </c>
      <c r="K433" t="s">
        <v>590</v>
      </c>
      <c r="L433" t="s">
        <v>518</v>
      </c>
      <c r="M433" t="s">
        <v>588</v>
      </c>
      <c r="N433" t="s">
        <v>520</v>
      </c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</row>
    <row r="434" spans="1:27" ht="15">
      <c r="B434"/>
      <c r="C434"/>
      <c r="D434" t="s">
        <v>3687</v>
      </c>
      <c r="E434" t="s">
        <v>3696</v>
      </c>
      <c r="F434" t="s">
        <v>724</v>
      </c>
      <c r="G434" t="s">
        <v>3697</v>
      </c>
      <c r="H434"/>
      <c r="I434"/>
      <c r="J434" t="s">
        <v>590</v>
      </c>
      <c r="K434" t="s">
        <v>590</v>
      </c>
      <c r="L434"/>
      <c r="M434"/>
      <c r="N434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</row>
    <row r="435" spans="1:27" ht="15">
      <c r="A435" s="96">
        <v>45244</v>
      </c>
      <c r="B435" t="s">
        <v>3810</v>
      </c>
      <c r="C435" t="s">
        <v>670</v>
      </c>
      <c r="D435"/>
      <c r="E435" t="s">
        <v>7451</v>
      </c>
      <c r="F435"/>
      <c r="G435" t="s">
        <v>3954</v>
      </c>
      <c r="H435" t="s">
        <v>7306</v>
      </c>
      <c r="I435" t="s">
        <v>3814</v>
      </c>
      <c r="J435" t="s">
        <v>1014</v>
      </c>
      <c r="K435" t="s">
        <v>1014</v>
      </c>
      <c r="L435" t="s">
        <v>518</v>
      </c>
      <c r="M435" t="s">
        <v>3813</v>
      </c>
      <c r="N435" t="s">
        <v>520</v>
      </c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</row>
    <row r="436" spans="1:27" ht="15">
      <c r="B436"/>
      <c r="C436"/>
      <c r="D436" t="s">
        <v>3808</v>
      </c>
      <c r="E436" t="s">
        <v>3811</v>
      </c>
      <c r="F436" t="s">
        <v>3812</v>
      </c>
      <c r="G436" t="s">
        <v>3158</v>
      </c>
      <c r="H436"/>
      <c r="I436"/>
      <c r="J436" t="s">
        <v>1014</v>
      </c>
      <c r="K436" t="s">
        <v>1014</v>
      </c>
      <c r="L436"/>
      <c r="M436"/>
      <c r="N436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</row>
    <row r="437" spans="1:27" ht="15">
      <c r="B437"/>
      <c r="C437"/>
      <c r="D437" t="s">
        <v>3808</v>
      </c>
      <c r="E437" t="s">
        <v>3817</v>
      </c>
      <c r="F437" t="s">
        <v>3818</v>
      </c>
      <c r="G437" t="s">
        <v>3819</v>
      </c>
      <c r="H437"/>
      <c r="I437"/>
      <c r="J437" t="s">
        <v>1014</v>
      </c>
      <c r="K437" t="s">
        <v>1014</v>
      </c>
      <c r="L437"/>
      <c r="M437"/>
      <c r="N437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</row>
    <row r="438" spans="1:27" ht="15">
      <c r="B438"/>
      <c r="C438"/>
      <c r="D438" t="s">
        <v>3808</v>
      </c>
      <c r="E438" t="s">
        <v>3821</v>
      </c>
      <c r="F438" t="s">
        <v>958</v>
      </c>
      <c r="G438" t="s">
        <v>2614</v>
      </c>
      <c r="H438"/>
      <c r="I438"/>
      <c r="J438" t="s">
        <v>1014</v>
      </c>
      <c r="K438" t="s">
        <v>1014</v>
      </c>
      <c r="L438"/>
      <c r="M438"/>
      <c r="N438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</row>
    <row r="439" spans="1:27" ht="15">
      <c r="A439" s="96">
        <v>45244</v>
      </c>
      <c r="B439" t="s">
        <v>4211</v>
      </c>
      <c r="C439" t="s">
        <v>670</v>
      </c>
      <c r="D439"/>
      <c r="E439" t="s">
        <v>7354</v>
      </c>
      <c r="F439"/>
      <c r="G439" t="s">
        <v>3805</v>
      </c>
      <c r="H439" t="s">
        <v>7306</v>
      </c>
      <c r="I439" t="s">
        <v>4212</v>
      </c>
      <c r="J439" t="s">
        <v>753</v>
      </c>
      <c r="K439" t="s">
        <v>753</v>
      </c>
      <c r="L439" t="s">
        <v>518</v>
      </c>
      <c r="M439" t="s">
        <v>751</v>
      </c>
      <c r="N439" t="s">
        <v>520</v>
      </c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</row>
    <row r="440" spans="1:27" ht="15">
      <c r="B440"/>
      <c r="C440"/>
      <c r="D440" t="s">
        <v>4202</v>
      </c>
      <c r="E440" t="s">
        <v>4208</v>
      </c>
      <c r="F440" t="s">
        <v>1077</v>
      </c>
      <c r="G440" t="s">
        <v>3805</v>
      </c>
      <c r="H440"/>
      <c r="I440"/>
      <c r="J440" t="s">
        <v>753</v>
      </c>
      <c r="K440" t="s">
        <v>753</v>
      </c>
      <c r="L440"/>
      <c r="M440"/>
      <c r="N440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</row>
    <row r="441" spans="1:27" ht="15">
      <c r="A441" s="96">
        <v>45244</v>
      </c>
      <c r="B441" t="s">
        <v>4260</v>
      </c>
      <c r="C441" t="s">
        <v>670</v>
      </c>
      <c r="D441"/>
      <c r="E441" t="s">
        <v>7452</v>
      </c>
      <c r="F441"/>
      <c r="G441" t="s">
        <v>4262</v>
      </c>
      <c r="H441" t="s">
        <v>7306</v>
      </c>
      <c r="I441" t="s">
        <v>4263</v>
      </c>
      <c r="J441" t="s">
        <v>1015</v>
      </c>
      <c r="K441" t="s">
        <v>1015</v>
      </c>
      <c r="L441" t="s">
        <v>518</v>
      </c>
      <c r="M441" t="s">
        <v>1013</v>
      </c>
      <c r="N441" t="s">
        <v>535</v>
      </c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</row>
    <row r="442" spans="1:27" ht="15">
      <c r="B442"/>
      <c r="C442"/>
      <c r="D442" t="s">
        <v>4253</v>
      </c>
      <c r="E442" t="s">
        <v>4261</v>
      </c>
      <c r="F442" t="s">
        <v>1077</v>
      </c>
      <c r="G442" t="s">
        <v>4262</v>
      </c>
      <c r="H442"/>
      <c r="I442"/>
      <c r="J442" t="s">
        <v>1015</v>
      </c>
      <c r="K442" t="s">
        <v>1015</v>
      </c>
      <c r="L442"/>
      <c r="M442"/>
      <c r="N442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</row>
    <row r="443" spans="1:27" ht="15">
      <c r="A443" s="96">
        <v>45244</v>
      </c>
      <c r="B443" t="s">
        <v>4716</v>
      </c>
      <c r="C443" t="s">
        <v>670</v>
      </c>
      <c r="D443"/>
      <c r="E443" t="s">
        <v>7441</v>
      </c>
      <c r="F443"/>
      <c r="G443" t="s">
        <v>4587</v>
      </c>
      <c r="H443" t="s">
        <v>7306</v>
      </c>
      <c r="I443" t="s">
        <v>4717</v>
      </c>
      <c r="J443" t="s">
        <v>917</v>
      </c>
      <c r="K443" t="s">
        <v>917</v>
      </c>
      <c r="L443" t="s">
        <v>518</v>
      </c>
      <c r="M443" t="s">
        <v>916</v>
      </c>
      <c r="N443" t="s">
        <v>535</v>
      </c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</row>
    <row r="444" spans="1:27" ht="15">
      <c r="B444"/>
      <c r="C444"/>
      <c r="D444" t="s">
        <v>4714</v>
      </c>
      <c r="E444" t="s">
        <v>3908</v>
      </c>
      <c r="F444" t="s">
        <v>1077</v>
      </c>
      <c r="G444" t="s">
        <v>4587</v>
      </c>
      <c r="H444"/>
      <c r="I444"/>
      <c r="J444" t="s">
        <v>917</v>
      </c>
      <c r="K444" t="s">
        <v>917</v>
      </c>
      <c r="L444"/>
      <c r="M444"/>
      <c r="N444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</row>
    <row r="445" spans="1:27" ht="15">
      <c r="A445" s="96">
        <v>45244</v>
      </c>
      <c r="B445" t="s">
        <v>5289</v>
      </c>
      <c r="C445" t="s">
        <v>670</v>
      </c>
      <c r="D445"/>
      <c r="E445" t="s">
        <v>7305</v>
      </c>
      <c r="F445"/>
      <c r="G445" t="s">
        <v>5286</v>
      </c>
      <c r="H445" t="s">
        <v>7306</v>
      </c>
      <c r="I445" t="s">
        <v>5290</v>
      </c>
      <c r="J445" t="s">
        <v>3083</v>
      </c>
      <c r="K445" t="s">
        <v>3083</v>
      </c>
      <c r="L445" t="s">
        <v>518</v>
      </c>
      <c r="M445" t="s">
        <v>3338</v>
      </c>
      <c r="N445" t="s">
        <v>520</v>
      </c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</row>
    <row r="446" spans="1:27" ht="15">
      <c r="B446"/>
      <c r="C446"/>
      <c r="D446" t="s">
        <v>5282</v>
      </c>
      <c r="E446" t="s">
        <v>2253</v>
      </c>
      <c r="F446" t="s">
        <v>724</v>
      </c>
      <c r="G446" t="s">
        <v>5286</v>
      </c>
      <c r="H446"/>
      <c r="I446"/>
      <c r="J446" t="s">
        <v>3083</v>
      </c>
      <c r="K446" t="s">
        <v>3083</v>
      </c>
      <c r="L446"/>
      <c r="M446"/>
      <c r="N446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</row>
    <row r="447" spans="1:27" ht="15">
      <c r="A447" s="96">
        <v>45244</v>
      </c>
      <c r="B447" t="s">
        <v>5322</v>
      </c>
      <c r="C447" t="s">
        <v>670</v>
      </c>
      <c r="D447"/>
      <c r="E447" t="s">
        <v>7453</v>
      </c>
      <c r="F447"/>
      <c r="G447" t="s">
        <v>5324</v>
      </c>
      <c r="H447" t="s">
        <v>7306</v>
      </c>
      <c r="I447" t="s">
        <v>5325</v>
      </c>
      <c r="J447" t="s">
        <v>1042</v>
      </c>
      <c r="K447" t="s">
        <v>1042</v>
      </c>
      <c r="L447" t="s">
        <v>518</v>
      </c>
      <c r="M447" t="s">
        <v>2925</v>
      </c>
      <c r="N447" t="s">
        <v>535</v>
      </c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</row>
    <row r="448" spans="1:27" ht="15">
      <c r="B448"/>
      <c r="C448"/>
      <c r="D448" t="s">
        <v>5320</v>
      </c>
      <c r="E448" t="s">
        <v>5323</v>
      </c>
      <c r="F448" t="s">
        <v>2579</v>
      </c>
      <c r="G448" t="s">
        <v>5324</v>
      </c>
      <c r="H448"/>
      <c r="I448"/>
      <c r="J448" t="s">
        <v>1042</v>
      </c>
      <c r="K448" t="s">
        <v>1042</v>
      </c>
      <c r="L448"/>
      <c r="M448"/>
      <c r="N448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</row>
    <row r="449" spans="1:27" ht="15">
      <c r="A449" s="96">
        <v>45244</v>
      </c>
      <c r="B449" t="s">
        <v>3937</v>
      </c>
      <c r="C449" t="s">
        <v>670</v>
      </c>
      <c r="D449"/>
      <c r="E449" t="s">
        <v>7341</v>
      </c>
      <c r="F449"/>
      <c r="G449" t="s">
        <v>3934</v>
      </c>
      <c r="H449" t="s">
        <v>7306</v>
      </c>
      <c r="I449" t="s">
        <v>3938</v>
      </c>
      <c r="J449" t="s">
        <v>597</v>
      </c>
      <c r="K449" t="s">
        <v>597</v>
      </c>
      <c r="L449" t="s">
        <v>518</v>
      </c>
      <c r="M449" t="s">
        <v>596</v>
      </c>
      <c r="N449" t="s">
        <v>605</v>
      </c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</row>
    <row r="450" spans="1:27" ht="15">
      <c r="B450"/>
      <c r="C450"/>
      <c r="D450" t="s">
        <v>3930</v>
      </c>
      <c r="E450" t="s">
        <v>3933</v>
      </c>
      <c r="F450" t="s">
        <v>657</v>
      </c>
      <c r="G450" t="s">
        <v>3934</v>
      </c>
      <c r="H450"/>
      <c r="I450"/>
      <c r="J450" t="s">
        <v>597</v>
      </c>
      <c r="K450" t="s">
        <v>597</v>
      </c>
      <c r="L450"/>
      <c r="M450"/>
      <c r="N450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</row>
    <row r="451" spans="1:27" ht="15">
      <c r="A451" s="96">
        <v>45244</v>
      </c>
      <c r="B451" t="s">
        <v>3575</v>
      </c>
      <c r="C451" t="s">
        <v>670</v>
      </c>
      <c r="D451"/>
      <c r="E451" t="s">
        <v>7454</v>
      </c>
      <c r="F451"/>
      <c r="G451" t="s">
        <v>3577</v>
      </c>
      <c r="H451" t="s">
        <v>7306</v>
      </c>
      <c r="I451" t="s">
        <v>3578</v>
      </c>
      <c r="J451" t="s">
        <v>897</v>
      </c>
      <c r="K451" t="s">
        <v>897</v>
      </c>
      <c r="L451" t="s">
        <v>518</v>
      </c>
      <c r="M451" t="s">
        <v>895</v>
      </c>
      <c r="N451" t="s">
        <v>605</v>
      </c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</row>
    <row r="452" spans="1:27" ht="15">
      <c r="B452"/>
      <c r="C452"/>
      <c r="D452" t="s">
        <v>3573</v>
      </c>
      <c r="E452" t="s">
        <v>3576</v>
      </c>
      <c r="F452" t="s">
        <v>514</v>
      </c>
      <c r="G452" t="s">
        <v>3577</v>
      </c>
      <c r="H452"/>
      <c r="I452"/>
      <c r="J452" t="s">
        <v>897</v>
      </c>
      <c r="K452" t="s">
        <v>897</v>
      </c>
      <c r="L452"/>
      <c r="M452"/>
      <c r="N452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</row>
    <row r="453" spans="1:27" ht="15">
      <c r="A453" s="96">
        <v>45244</v>
      </c>
      <c r="B453" t="s">
        <v>4223</v>
      </c>
      <c r="C453" t="s">
        <v>670</v>
      </c>
      <c r="D453"/>
      <c r="E453" t="s">
        <v>7355</v>
      </c>
      <c r="F453"/>
      <c r="G453" t="s">
        <v>4220</v>
      </c>
      <c r="H453" t="s">
        <v>7306</v>
      </c>
      <c r="I453" t="s">
        <v>4224</v>
      </c>
      <c r="J453" t="s">
        <v>3640</v>
      </c>
      <c r="K453" t="s">
        <v>3640</v>
      </c>
      <c r="L453" t="s">
        <v>518</v>
      </c>
      <c r="M453" t="s">
        <v>3639</v>
      </c>
      <c r="N453" t="s">
        <v>535</v>
      </c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</row>
    <row r="454" spans="1:27" ht="15">
      <c r="B454"/>
      <c r="C454"/>
      <c r="D454" t="s">
        <v>4216</v>
      </c>
      <c r="E454" t="s">
        <v>4219</v>
      </c>
      <c r="F454" t="s">
        <v>657</v>
      </c>
      <c r="G454" t="s">
        <v>4220</v>
      </c>
      <c r="H454"/>
      <c r="I454"/>
      <c r="J454" t="s">
        <v>3640</v>
      </c>
      <c r="K454" t="s">
        <v>3640</v>
      </c>
      <c r="L454"/>
      <c r="M454"/>
      <c r="N454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</row>
    <row r="455" spans="1:27" ht="15">
      <c r="A455" s="96">
        <v>45244</v>
      </c>
      <c r="B455" t="s">
        <v>4218</v>
      </c>
      <c r="C455" t="s">
        <v>670</v>
      </c>
      <c r="D455"/>
      <c r="E455" t="s">
        <v>7355</v>
      </c>
      <c r="F455"/>
      <c r="G455" t="s">
        <v>4220</v>
      </c>
      <c r="H455" t="s">
        <v>7306</v>
      </c>
      <c r="I455" t="s">
        <v>4221</v>
      </c>
      <c r="J455" t="s">
        <v>3640</v>
      </c>
      <c r="K455" t="s">
        <v>3640</v>
      </c>
      <c r="L455" t="s">
        <v>518</v>
      </c>
      <c r="M455" t="s">
        <v>3639</v>
      </c>
      <c r="N455" t="s">
        <v>535</v>
      </c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</row>
    <row r="456" spans="1:27" ht="15">
      <c r="B456"/>
      <c r="C456"/>
      <c r="D456" t="s">
        <v>4216</v>
      </c>
      <c r="E456" t="s">
        <v>4219</v>
      </c>
      <c r="F456" t="s">
        <v>657</v>
      </c>
      <c r="G456" t="s">
        <v>4220</v>
      </c>
      <c r="H456"/>
      <c r="I456"/>
      <c r="J456" t="s">
        <v>3640</v>
      </c>
      <c r="K456" t="s">
        <v>3640</v>
      </c>
      <c r="L456"/>
      <c r="M456"/>
      <c r="N456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</row>
    <row r="457" spans="1:27" ht="15">
      <c r="A457" s="96">
        <v>45244</v>
      </c>
      <c r="B457" t="s">
        <v>4873</v>
      </c>
      <c r="C457" t="s">
        <v>670</v>
      </c>
      <c r="D457"/>
      <c r="E457" t="s">
        <v>7455</v>
      </c>
      <c r="F457"/>
      <c r="G457" t="s">
        <v>4875</v>
      </c>
      <c r="H457" t="s">
        <v>7306</v>
      </c>
      <c r="I457" t="s">
        <v>4876</v>
      </c>
      <c r="J457" t="s">
        <v>676</v>
      </c>
      <c r="K457" t="s">
        <v>676</v>
      </c>
      <c r="L457" t="s">
        <v>518</v>
      </c>
      <c r="M457" t="s">
        <v>675</v>
      </c>
      <c r="N457" t="s">
        <v>605</v>
      </c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</row>
    <row r="458" spans="1:27" ht="15">
      <c r="B458"/>
      <c r="C458"/>
      <c r="D458" t="s">
        <v>4871</v>
      </c>
      <c r="E458" t="s">
        <v>4874</v>
      </c>
      <c r="F458" t="s">
        <v>665</v>
      </c>
      <c r="G458" t="s">
        <v>4875</v>
      </c>
      <c r="H458"/>
      <c r="I458"/>
      <c r="J458" t="s">
        <v>676</v>
      </c>
      <c r="K458" t="s">
        <v>676</v>
      </c>
      <c r="L458"/>
      <c r="M458"/>
      <c r="N458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</row>
    <row r="459" spans="1:27" ht="15">
      <c r="A459" s="96">
        <v>45244</v>
      </c>
      <c r="B459" t="s">
        <v>3708</v>
      </c>
      <c r="C459" t="s">
        <v>670</v>
      </c>
      <c r="D459"/>
      <c r="E459" t="s">
        <v>7456</v>
      </c>
      <c r="F459"/>
      <c r="G459" t="s">
        <v>555</v>
      </c>
      <c r="H459" t="s">
        <v>7306</v>
      </c>
      <c r="I459" t="s">
        <v>3710</v>
      </c>
      <c r="J459" t="s">
        <v>561</v>
      </c>
      <c r="K459" t="s">
        <v>561</v>
      </c>
      <c r="L459" t="s">
        <v>518</v>
      </c>
      <c r="M459" t="s">
        <v>556</v>
      </c>
      <c r="N459" t="s">
        <v>535</v>
      </c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</row>
    <row r="460" spans="1:27" ht="15">
      <c r="B460"/>
      <c r="C460"/>
      <c r="D460" t="s">
        <v>551</v>
      </c>
      <c r="E460" t="s">
        <v>3709</v>
      </c>
      <c r="F460" t="s">
        <v>514</v>
      </c>
      <c r="G460" t="s">
        <v>555</v>
      </c>
      <c r="H460"/>
      <c r="I460"/>
      <c r="J460" t="s">
        <v>561</v>
      </c>
      <c r="K460" t="s">
        <v>561</v>
      </c>
      <c r="L460"/>
      <c r="M460"/>
      <c r="N460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</row>
    <row r="461" spans="1:27" ht="15">
      <c r="A461" s="96">
        <v>45244</v>
      </c>
      <c r="B461" t="s">
        <v>4423</v>
      </c>
      <c r="C461" t="s">
        <v>670</v>
      </c>
      <c r="D461"/>
      <c r="E461" t="s">
        <v>7457</v>
      </c>
      <c r="F461"/>
      <c r="G461" t="s">
        <v>4425</v>
      </c>
      <c r="H461" t="s">
        <v>7306</v>
      </c>
      <c r="I461" t="s">
        <v>4426</v>
      </c>
      <c r="J461" t="s">
        <v>811</v>
      </c>
      <c r="K461" t="s">
        <v>811</v>
      </c>
      <c r="L461" t="s">
        <v>518</v>
      </c>
      <c r="M461" t="s">
        <v>809</v>
      </c>
      <c r="N461" t="s">
        <v>520</v>
      </c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</row>
    <row r="462" spans="1:27" ht="15">
      <c r="B462"/>
      <c r="C462"/>
      <c r="D462" t="s">
        <v>4421</v>
      </c>
      <c r="E462" t="s">
        <v>4424</v>
      </c>
      <c r="F462" t="s">
        <v>724</v>
      </c>
      <c r="G462" t="s">
        <v>4425</v>
      </c>
      <c r="H462"/>
      <c r="I462"/>
      <c r="J462" t="s">
        <v>811</v>
      </c>
      <c r="K462" t="s">
        <v>811</v>
      </c>
      <c r="L462"/>
      <c r="M462"/>
      <c r="N462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</row>
    <row r="463" spans="1:27" ht="15">
      <c r="A463" s="96">
        <v>45244</v>
      </c>
      <c r="B463" t="s">
        <v>3468</v>
      </c>
      <c r="C463" t="s">
        <v>1913</v>
      </c>
      <c r="D463"/>
      <c r="E463" t="s">
        <v>3914</v>
      </c>
      <c r="F463"/>
      <c r="G463" t="s">
        <v>3470</v>
      </c>
      <c r="H463" t="s">
        <v>7423</v>
      </c>
      <c r="I463" t="s">
        <v>3471</v>
      </c>
      <c r="J463" t="s">
        <v>3461</v>
      </c>
      <c r="K463" t="s">
        <v>3461</v>
      </c>
      <c r="L463" t="s">
        <v>518</v>
      </c>
      <c r="M463" t="s">
        <v>3460</v>
      </c>
      <c r="N463" t="s">
        <v>535</v>
      </c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</row>
    <row r="464" spans="1:27" ht="15">
      <c r="B464"/>
      <c r="C464"/>
      <c r="D464" t="s">
        <v>3457</v>
      </c>
      <c r="E464" t="s">
        <v>3469</v>
      </c>
      <c r="F464" t="s">
        <v>2895</v>
      </c>
      <c r="G464" t="s">
        <v>3470</v>
      </c>
      <c r="H464"/>
      <c r="I464"/>
      <c r="J464" t="s">
        <v>3461</v>
      </c>
      <c r="K464" t="s">
        <v>811</v>
      </c>
      <c r="L464"/>
      <c r="M464"/>
      <c r="N464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</row>
    <row r="465" spans="1:27" ht="15">
      <c r="A465" s="96">
        <v>45244</v>
      </c>
      <c r="B465" t="s">
        <v>4720</v>
      </c>
      <c r="C465" t="s">
        <v>1071</v>
      </c>
      <c r="D465"/>
      <c r="E465" t="s">
        <v>7458</v>
      </c>
      <c r="F465"/>
      <c r="G465" t="s">
        <v>4722</v>
      </c>
      <c r="H465" t="s">
        <v>4723</v>
      </c>
      <c r="I465" t="s">
        <v>4724</v>
      </c>
      <c r="J465" t="s">
        <v>699</v>
      </c>
      <c r="K465" t="s">
        <v>699</v>
      </c>
      <c r="L465" t="s">
        <v>518</v>
      </c>
      <c r="M465" t="s">
        <v>697</v>
      </c>
      <c r="N465" t="s">
        <v>535</v>
      </c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</row>
    <row r="466" spans="1:27" ht="15">
      <c r="B466"/>
      <c r="C466"/>
      <c r="D466" t="s">
        <v>4718</v>
      </c>
      <c r="E466" t="s">
        <v>4721</v>
      </c>
      <c r="F466" t="s">
        <v>514</v>
      </c>
      <c r="G466" t="s">
        <v>4722</v>
      </c>
      <c r="H466"/>
      <c r="I466"/>
      <c r="J466" t="s">
        <v>699</v>
      </c>
      <c r="K466" t="s">
        <v>699</v>
      </c>
      <c r="L466"/>
      <c r="M466"/>
      <c r="N466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</row>
    <row r="467" spans="1:27" ht="15">
      <c r="A467" s="96">
        <v>45244</v>
      </c>
      <c r="B467" t="s">
        <v>4883</v>
      </c>
      <c r="C467" t="s">
        <v>670</v>
      </c>
      <c r="D467"/>
      <c r="E467" t="s">
        <v>7459</v>
      </c>
      <c r="F467"/>
      <c r="G467" t="s">
        <v>4885</v>
      </c>
      <c r="H467" t="s">
        <v>7319</v>
      </c>
      <c r="I467" t="s">
        <v>4886</v>
      </c>
      <c r="J467" t="s">
        <v>1918</v>
      </c>
      <c r="K467" t="s">
        <v>1918</v>
      </c>
      <c r="L467" t="s">
        <v>518</v>
      </c>
      <c r="M467" t="s">
        <v>4077</v>
      </c>
      <c r="N467" t="s">
        <v>605</v>
      </c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</row>
    <row r="468" spans="1:27" ht="15">
      <c r="B468"/>
      <c r="C468"/>
      <c r="D468" t="s">
        <v>4881</v>
      </c>
      <c r="E468" t="s">
        <v>4884</v>
      </c>
      <c r="F468" t="s">
        <v>979</v>
      </c>
      <c r="G468" t="s">
        <v>4885</v>
      </c>
      <c r="H468"/>
      <c r="I468"/>
      <c r="J468" t="s">
        <v>1918</v>
      </c>
      <c r="K468" t="s">
        <v>1918</v>
      </c>
      <c r="L468"/>
      <c r="M468"/>
      <c r="N468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</row>
    <row r="469" spans="1:27" ht="15">
      <c r="A469" s="96">
        <v>45244</v>
      </c>
      <c r="B469" t="s">
        <v>2938</v>
      </c>
      <c r="C469" t="s">
        <v>670</v>
      </c>
      <c r="D469"/>
      <c r="E469" t="s">
        <v>7408</v>
      </c>
      <c r="F469"/>
      <c r="G469" t="s">
        <v>2940</v>
      </c>
      <c r="H469" t="s">
        <v>7319</v>
      </c>
      <c r="I469" t="s">
        <v>2944</v>
      </c>
      <c r="J469" t="s">
        <v>2943</v>
      </c>
      <c r="K469" t="s">
        <v>2943</v>
      </c>
      <c r="L469" t="s">
        <v>518</v>
      </c>
      <c r="M469" t="s">
        <v>2941</v>
      </c>
      <c r="N469" t="s">
        <v>535</v>
      </c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</row>
    <row r="470" spans="1:27" ht="15">
      <c r="B470"/>
      <c r="C470"/>
      <c r="D470" t="s">
        <v>2936</v>
      </c>
      <c r="E470" t="s">
        <v>2939</v>
      </c>
      <c r="F470" t="s">
        <v>657</v>
      </c>
      <c r="G470" t="s">
        <v>2940</v>
      </c>
      <c r="H470"/>
      <c r="I470"/>
      <c r="J470" t="s">
        <v>2943</v>
      </c>
      <c r="K470" t="s">
        <v>2943</v>
      </c>
      <c r="L470"/>
      <c r="M470"/>
      <c r="N470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</row>
    <row r="471" spans="1:27" ht="15">
      <c r="A471" s="96">
        <v>45244</v>
      </c>
      <c r="B471" t="s">
        <v>5128</v>
      </c>
      <c r="C471" t="s">
        <v>670</v>
      </c>
      <c r="D471"/>
      <c r="E471" t="s">
        <v>7460</v>
      </c>
      <c r="F471"/>
      <c r="G471" t="s">
        <v>555</v>
      </c>
      <c r="H471" t="s">
        <v>7319</v>
      </c>
      <c r="I471" t="s">
        <v>5130</v>
      </c>
      <c r="J471" t="s">
        <v>3083</v>
      </c>
      <c r="K471" t="s">
        <v>3083</v>
      </c>
      <c r="L471" t="s">
        <v>518</v>
      </c>
      <c r="M471" t="s">
        <v>3338</v>
      </c>
      <c r="N471" t="s">
        <v>535</v>
      </c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</row>
    <row r="472" spans="1:27" ht="15">
      <c r="B472"/>
      <c r="C472"/>
      <c r="D472" t="s">
        <v>5122</v>
      </c>
      <c r="E472" t="s">
        <v>5129</v>
      </c>
      <c r="F472" t="s">
        <v>514</v>
      </c>
      <c r="G472" t="s">
        <v>555</v>
      </c>
      <c r="H472"/>
      <c r="I472"/>
      <c r="J472" t="s">
        <v>3083</v>
      </c>
      <c r="K472" t="s">
        <v>3083</v>
      </c>
      <c r="L472"/>
      <c r="M472"/>
      <c r="N472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</row>
    <row r="473" spans="1:27" ht="15">
      <c r="A473" s="96">
        <v>45244</v>
      </c>
      <c r="B473" t="s">
        <v>3259</v>
      </c>
      <c r="C473" t="s">
        <v>1071</v>
      </c>
      <c r="D473"/>
      <c r="E473" t="s">
        <v>7461</v>
      </c>
      <c r="F473"/>
      <c r="G473" t="s">
        <v>624</v>
      </c>
      <c r="H473" t="s">
        <v>7328</v>
      </c>
      <c r="I473" t="s">
        <v>3262</v>
      </c>
      <c r="J473" t="s">
        <v>1918</v>
      </c>
      <c r="K473" t="s">
        <v>1918</v>
      </c>
      <c r="L473" t="s">
        <v>682</v>
      </c>
      <c r="M473" t="s">
        <v>3261</v>
      </c>
      <c r="N473" t="s">
        <v>535</v>
      </c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</row>
    <row r="474" spans="1:27" ht="15">
      <c r="B474"/>
      <c r="C474"/>
      <c r="D474" t="s">
        <v>3257</v>
      </c>
      <c r="E474" t="s">
        <v>3260</v>
      </c>
      <c r="F474" t="s">
        <v>514</v>
      </c>
      <c r="G474" t="s">
        <v>624</v>
      </c>
      <c r="H474"/>
      <c r="I474"/>
      <c r="J474" t="s">
        <v>1918</v>
      </c>
      <c r="K474" t="s">
        <v>1918</v>
      </c>
      <c r="L474"/>
      <c r="M474"/>
      <c r="N474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</row>
    <row r="475" spans="1:27" ht="15">
      <c r="A475" s="96">
        <v>45244</v>
      </c>
      <c r="B475" t="s">
        <v>3303</v>
      </c>
      <c r="C475" t="s">
        <v>670</v>
      </c>
      <c r="D475"/>
      <c r="E475" t="s">
        <v>7462</v>
      </c>
      <c r="F475"/>
      <c r="G475" t="s">
        <v>3296</v>
      </c>
      <c r="H475" t="s">
        <v>7328</v>
      </c>
      <c r="I475" t="s">
        <v>3304</v>
      </c>
      <c r="J475" t="s">
        <v>1918</v>
      </c>
      <c r="K475" t="s">
        <v>1918</v>
      </c>
      <c r="L475" t="s">
        <v>518</v>
      </c>
      <c r="M475" t="s">
        <v>2100</v>
      </c>
      <c r="N475" t="s">
        <v>535</v>
      </c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</row>
    <row r="476" spans="1:27" ht="15">
      <c r="B476"/>
      <c r="C476"/>
      <c r="D476" t="s">
        <v>3292</v>
      </c>
      <c r="E476" t="s">
        <v>3295</v>
      </c>
      <c r="F476" t="s">
        <v>1077</v>
      </c>
      <c r="G476" t="s">
        <v>3296</v>
      </c>
      <c r="H476"/>
      <c r="I476"/>
      <c r="J476" t="s">
        <v>1918</v>
      </c>
      <c r="K476" t="s">
        <v>1918</v>
      </c>
      <c r="L476"/>
      <c r="M476"/>
      <c r="N476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</row>
    <row r="477" spans="1:27" ht="15">
      <c r="A477" s="96">
        <v>45244</v>
      </c>
      <c r="B477" t="s">
        <v>3294</v>
      </c>
      <c r="C477" t="s">
        <v>670</v>
      </c>
      <c r="D477"/>
      <c r="E477" t="s">
        <v>7462</v>
      </c>
      <c r="F477"/>
      <c r="G477" t="s">
        <v>3296</v>
      </c>
      <c r="H477" t="s">
        <v>7328</v>
      </c>
      <c r="I477" t="s">
        <v>3298</v>
      </c>
      <c r="J477" t="s">
        <v>1918</v>
      </c>
      <c r="K477" t="s">
        <v>1918</v>
      </c>
      <c r="L477" t="s">
        <v>518</v>
      </c>
      <c r="M477" t="s">
        <v>3297</v>
      </c>
      <c r="N477" t="s">
        <v>535</v>
      </c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</row>
    <row r="478" spans="1:27" ht="15">
      <c r="B478"/>
      <c r="C478"/>
      <c r="D478" t="s">
        <v>3292</v>
      </c>
      <c r="E478" t="s">
        <v>3295</v>
      </c>
      <c r="F478" t="s">
        <v>1077</v>
      </c>
      <c r="G478" t="s">
        <v>3296</v>
      </c>
      <c r="H478"/>
      <c r="I478"/>
      <c r="J478" t="s">
        <v>1918</v>
      </c>
      <c r="K478" t="s">
        <v>1918</v>
      </c>
      <c r="L478"/>
      <c r="M478"/>
      <c r="N478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</row>
    <row r="479" spans="1:27" ht="15">
      <c r="A479" s="96">
        <v>45244</v>
      </c>
      <c r="B479" t="s">
        <v>4255</v>
      </c>
      <c r="C479" t="s">
        <v>670</v>
      </c>
      <c r="D479"/>
      <c r="E479" t="s">
        <v>7463</v>
      </c>
      <c r="F479"/>
      <c r="G479" t="s">
        <v>4257</v>
      </c>
      <c r="H479" t="s">
        <v>7328</v>
      </c>
      <c r="I479" t="s">
        <v>4258</v>
      </c>
      <c r="J479" t="s">
        <v>1015</v>
      </c>
      <c r="K479" t="s">
        <v>1015</v>
      </c>
      <c r="L479" t="s">
        <v>518</v>
      </c>
      <c r="M479" t="s">
        <v>1013</v>
      </c>
      <c r="N479" t="s">
        <v>535</v>
      </c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</row>
    <row r="480" spans="1:27" ht="15">
      <c r="B480"/>
      <c r="C480"/>
      <c r="D480" t="s">
        <v>4253</v>
      </c>
      <c r="E480" t="s">
        <v>4256</v>
      </c>
      <c r="F480" t="s">
        <v>1163</v>
      </c>
      <c r="G480" t="s">
        <v>4257</v>
      </c>
      <c r="H480"/>
      <c r="I480"/>
      <c r="J480" t="s">
        <v>1015</v>
      </c>
      <c r="K480" t="s">
        <v>1015</v>
      </c>
      <c r="L480"/>
      <c r="M480"/>
      <c r="N480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</row>
    <row r="481" spans="1:27" ht="15">
      <c r="A481" s="96">
        <v>45244</v>
      </c>
      <c r="B481" t="s">
        <v>4148</v>
      </c>
      <c r="C481" t="s">
        <v>670</v>
      </c>
      <c r="D481"/>
      <c r="E481" t="s">
        <v>4560</v>
      </c>
      <c r="F481"/>
      <c r="G481" t="s">
        <v>4150</v>
      </c>
      <c r="H481" t="s">
        <v>7464</v>
      </c>
      <c r="I481" t="s">
        <v>4151</v>
      </c>
      <c r="J481" t="s">
        <v>811</v>
      </c>
      <c r="K481" t="s">
        <v>811</v>
      </c>
      <c r="L481" t="s">
        <v>518</v>
      </c>
      <c r="M481" t="s">
        <v>809</v>
      </c>
      <c r="N481" t="s">
        <v>535</v>
      </c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</row>
    <row r="482" spans="1:27" ht="15">
      <c r="B482"/>
      <c r="C482"/>
      <c r="D482" t="s">
        <v>4146</v>
      </c>
      <c r="E482" t="s">
        <v>4149</v>
      </c>
      <c r="F482" t="s">
        <v>657</v>
      </c>
      <c r="G482" t="s">
        <v>4150</v>
      </c>
      <c r="H482"/>
      <c r="I482"/>
      <c r="J482" t="s">
        <v>811</v>
      </c>
      <c r="K482" t="s">
        <v>811</v>
      </c>
      <c r="L482"/>
      <c r="M482"/>
      <c r="N482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</row>
    <row r="483" spans="1:27" ht="15">
      <c r="A483" s="96">
        <v>45244</v>
      </c>
      <c r="B483" t="s">
        <v>4838</v>
      </c>
      <c r="C483" t="s">
        <v>1071</v>
      </c>
      <c r="D483"/>
      <c r="E483" t="s">
        <v>7331</v>
      </c>
      <c r="F483"/>
      <c r="G483" t="s">
        <v>4841</v>
      </c>
      <c r="H483" t="s">
        <v>7237</v>
      </c>
      <c r="I483" t="s">
        <v>4842</v>
      </c>
      <c r="J483" t="s">
        <v>1918</v>
      </c>
      <c r="K483" t="s">
        <v>1918</v>
      </c>
      <c r="L483" t="s">
        <v>518</v>
      </c>
      <c r="M483" t="s">
        <v>2100</v>
      </c>
      <c r="N483" t="s">
        <v>605</v>
      </c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</row>
    <row r="484" spans="1:27" ht="15">
      <c r="B484"/>
      <c r="C484"/>
      <c r="D484" t="s">
        <v>4836</v>
      </c>
      <c r="E484" t="s">
        <v>4839</v>
      </c>
      <c r="F484" t="s">
        <v>4840</v>
      </c>
      <c r="G484" t="s">
        <v>4841</v>
      </c>
      <c r="H484"/>
      <c r="I484"/>
      <c r="J484" t="s">
        <v>1918</v>
      </c>
      <c r="K484" t="s">
        <v>1918</v>
      </c>
      <c r="L484"/>
      <c r="M484"/>
      <c r="N484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</row>
    <row r="485" spans="1:27" ht="15">
      <c r="A485" s="96">
        <v>45244</v>
      </c>
      <c r="B485" t="s">
        <v>4281</v>
      </c>
      <c r="C485" t="s">
        <v>670</v>
      </c>
      <c r="D485"/>
      <c r="E485" t="s">
        <v>7332</v>
      </c>
      <c r="F485"/>
      <c r="G485" t="s">
        <v>7333</v>
      </c>
      <c r="H485" t="s">
        <v>7237</v>
      </c>
      <c r="I485" t="s">
        <v>4285</v>
      </c>
      <c r="J485" t="s">
        <v>524</v>
      </c>
      <c r="K485" t="s">
        <v>524</v>
      </c>
      <c r="L485" t="s">
        <v>518</v>
      </c>
      <c r="M485" t="s">
        <v>519</v>
      </c>
      <c r="N485" t="s">
        <v>535</v>
      </c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</row>
    <row r="486" spans="1:27" ht="15">
      <c r="B486"/>
      <c r="C486"/>
      <c r="D486" t="s">
        <v>4279</v>
      </c>
      <c r="E486" t="s">
        <v>4288</v>
      </c>
      <c r="F486" t="s">
        <v>514</v>
      </c>
      <c r="G486" t="s">
        <v>1580</v>
      </c>
      <c r="H486"/>
      <c r="I486"/>
      <c r="J486" t="s">
        <v>524</v>
      </c>
      <c r="K486" t="s">
        <v>524</v>
      </c>
      <c r="L486"/>
      <c r="M486"/>
      <c r="N486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</row>
    <row r="487" spans="1:27" ht="15">
      <c r="B487"/>
      <c r="C487"/>
      <c r="D487" t="s">
        <v>4279</v>
      </c>
      <c r="E487" t="s">
        <v>4282</v>
      </c>
      <c r="F487" t="s">
        <v>3812</v>
      </c>
      <c r="G487" t="s">
        <v>4283</v>
      </c>
      <c r="H487"/>
      <c r="I487"/>
      <c r="J487" t="s">
        <v>524</v>
      </c>
      <c r="K487" t="s">
        <v>524</v>
      </c>
      <c r="L487"/>
      <c r="M487"/>
      <c r="N487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</row>
    <row r="488" spans="1:27" ht="15">
      <c r="A488" s="96">
        <v>45244</v>
      </c>
      <c r="B488" t="s">
        <v>3655</v>
      </c>
      <c r="C488" t="s">
        <v>670</v>
      </c>
      <c r="D488"/>
      <c r="E488" t="s">
        <v>7334</v>
      </c>
      <c r="F488"/>
      <c r="G488" t="s">
        <v>7335</v>
      </c>
      <c r="H488" t="s">
        <v>7237</v>
      </c>
      <c r="I488" t="s">
        <v>3657</v>
      </c>
      <c r="J488" t="s">
        <v>1918</v>
      </c>
      <c r="K488" t="s">
        <v>1918</v>
      </c>
      <c r="L488" t="s">
        <v>682</v>
      </c>
      <c r="M488" t="s">
        <v>3261</v>
      </c>
      <c r="N488" t="s">
        <v>535</v>
      </c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</row>
    <row r="489" spans="1:27" ht="15">
      <c r="B489"/>
      <c r="C489"/>
      <c r="D489" t="s">
        <v>5306</v>
      </c>
      <c r="E489" t="s">
        <v>5308</v>
      </c>
      <c r="F489" t="s">
        <v>514</v>
      </c>
      <c r="G489" t="s">
        <v>5310</v>
      </c>
      <c r="H489"/>
      <c r="I489"/>
      <c r="J489" t="s">
        <v>1918</v>
      </c>
      <c r="K489" t="s">
        <v>1918</v>
      </c>
      <c r="L489"/>
      <c r="M489"/>
      <c r="N489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</row>
    <row r="490" spans="1:27" ht="15">
      <c r="B490"/>
      <c r="C490"/>
      <c r="D490" t="s">
        <v>5306</v>
      </c>
      <c r="E490" t="s">
        <v>5308</v>
      </c>
      <c r="F490" t="s">
        <v>514</v>
      </c>
      <c r="G490" t="s">
        <v>5092</v>
      </c>
      <c r="H490"/>
      <c r="I490"/>
      <c r="J490" t="s">
        <v>1918</v>
      </c>
      <c r="K490" t="s">
        <v>1918</v>
      </c>
      <c r="L490"/>
      <c r="M490"/>
      <c r="N490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</row>
    <row r="491" spans="1:27" ht="15">
      <c r="B491"/>
      <c r="C491"/>
      <c r="D491" t="s">
        <v>3653</v>
      </c>
      <c r="E491" t="s">
        <v>3659</v>
      </c>
      <c r="F491" t="s">
        <v>514</v>
      </c>
      <c r="G491" t="s">
        <v>3158</v>
      </c>
      <c r="H491"/>
      <c r="I491"/>
      <c r="J491" t="s">
        <v>1918</v>
      </c>
      <c r="K491" t="s">
        <v>1918</v>
      </c>
      <c r="L491"/>
      <c r="M491"/>
      <c r="N491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</row>
    <row r="492" spans="1:27" ht="15">
      <c r="B492"/>
      <c r="C492"/>
      <c r="D492" t="s">
        <v>3653</v>
      </c>
      <c r="E492" t="s">
        <v>3656</v>
      </c>
      <c r="F492" t="s">
        <v>514</v>
      </c>
      <c r="G492" t="s">
        <v>3158</v>
      </c>
      <c r="H492"/>
      <c r="I492"/>
      <c r="J492" t="s">
        <v>1918</v>
      </c>
      <c r="K492" t="s">
        <v>1918</v>
      </c>
      <c r="L492"/>
      <c r="M492"/>
      <c r="N492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</row>
    <row r="493" spans="1:27" ht="15">
      <c r="B493"/>
      <c r="C493"/>
      <c r="D493" t="s">
        <v>3653</v>
      </c>
      <c r="E493" t="s">
        <v>3659</v>
      </c>
      <c r="F493" t="s">
        <v>514</v>
      </c>
      <c r="G493" t="s">
        <v>3158</v>
      </c>
      <c r="H493"/>
      <c r="I493"/>
      <c r="J493" t="s">
        <v>1918</v>
      </c>
      <c r="K493" t="s">
        <v>1918</v>
      </c>
      <c r="L493"/>
      <c r="M493"/>
      <c r="N49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</row>
    <row r="494" spans="1:27" ht="15">
      <c r="B494"/>
      <c r="C494"/>
      <c r="D494" t="s">
        <v>3653</v>
      </c>
      <c r="E494" t="s">
        <v>3659</v>
      </c>
      <c r="F494" t="s">
        <v>514</v>
      </c>
      <c r="G494" t="s">
        <v>3158</v>
      </c>
      <c r="H494"/>
      <c r="I494"/>
      <c r="J494" t="s">
        <v>1918</v>
      </c>
      <c r="K494" t="s">
        <v>1918</v>
      </c>
      <c r="L494"/>
      <c r="M494"/>
      <c r="N494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</row>
    <row r="495" spans="1:27" ht="15">
      <c r="A495" s="96">
        <v>45244</v>
      </c>
      <c r="B495" t="s">
        <v>3827</v>
      </c>
      <c r="C495" t="s">
        <v>670</v>
      </c>
      <c r="D495"/>
      <c r="E495" t="s">
        <v>7336</v>
      </c>
      <c r="F495"/>
      <c r="G495" t="s">
        <v>555</v>
      </c>
      <c r="H495" t="s">
        <v>7237</v>
      </c>
      <c r="I495" t="s">
        <v>3829</v>
      </c>
      <c r="J495" t="s">
        <v>1098</v>
      </c>
      <c r="K495" t="s">
        <v>1098</v>
      </c>
      <c r="L495" t="s">
        <v>518</v>
      </c>
      <c r="M495" t="s">
        <v>1097</v>
      </c>
      <c r="N495" t="s">
        <v>535</v>
      </c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</row>
    <row r="496" spans="1:27" ht="15">
      <c r="B496"/>
      <c r="C496"/>
      <c r="D496" t="s">
        <v>3825</v>
      </c>
      <c r="E496" t="s">
        <v>3828</v>
      </c>
      <c r="F496" t="s">
        <v>1077</v>
      </c>
      <c r="G496" t="s">
        <v>555</v>
      </c>
      <c r="H496"/>
      <c r="I496"/>
      <c r="J496" t="s">
        <v>1098</v>
      </c>
      <c r="K496" t="s">
        <v>607</v>
      </c>
      <c r="L496"/>
      <c r="M496"/>
      <c r="N496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</row>
    <row r="497" spans="1:27" ht="15">
      <c r="A497" s="96">
        <v>45244</v>
      </c>
      <c r="B497" t="s">
        <v>3671</v>
      </c>
      <c r="C497" t="s">
        <v>670</v>
      </c>
      <c r="D497"/>
      <c r="E497" t="s">
        <v>7337</v>
      </c>
      <c r="F497"/>
      <c r="G497" t="s">
        <v>2468</v>
      </c>
      <c r="H497" t="s">
        <v>7237</v>
      </c>
      <c r="I497" t="s">
        <v>3674</v>
      </c>
      <c r="J497" t="s">
        <v>733</v>
      </c>
      <c r="K497" t="s">
        <v>733</v>
      </c>
      <c r="L497" t="s">
        <v>518</v>
      </c>
      <c r="M497" t="s">
        <v>731</v>
      </c>
      <c r="N497" t="s">
        <v>535</v>
      </c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</row>
    <row r="498" spans="1:27" ht="15">
      <c r="B498"/>
      <c r="C498"/>
      <c r="D498" t="s">
        <v>728</v>
      </c>
      <c r="E498" t="s">
        <v>730</v>
      </c>
      <c r="F498" t="s">
        <v>514</v>
      </c>
      <c r="G498" t="s">
        <v>618</v>
      </c>
      <c r="H498"/>
      <c r="I498"/>
      <c r="J498" t="s">
        <v>733</v>
      </c>
      <c r="K498" t="s">
        <v>733</v>
      </c>
      <c r="L498"/>
      <c r="M498"/>
      <c r="N498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</row>
    <row r="499" spans="1:27" ht="15">
      <c r="B499"/>
      <c r="C499"/>
      <c r="D499" t="s">
        <v>3669</v>
      </c>
      <c r="E499" t="s">
        <v>3672</v>
      </c>
      <c r="F499" t="s">
        <v>724</v>
      </c>
      <c r="G499" t="s">
        <v>3673</v>
      </c>
      <c r="H499"/>
      <c r="I499"/>
      <c r="J499" t="s">
        <v>733</v>
      </c>
      <c r="K499" t="s">
        <v>733</v>
      </c>
      <c r="L499"/>
      <c r="M499"/>
      <c r="N499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</row>
    <row r="500" spans="1:27" ht="15">
      <c r="A500" s="96">
        <v>45244</v>
      </c>
      <c r="B500" t="s">
        <v>3802</v>
      </c>
      <c r="C500" t="s">
        <v>1071</v>
      </c>
      <c r="D500"/>
      <c r="E500" t="s">
        <v>7338</v>
      </c>
      <c r="F500"/>
      <c r="G500" t="s">
        <v>3805</v>
      </c>
      <c r="H500" t="s">
        <v>7237</v>
      </c>
      <c r="I500" t="s">
        <v>3807</v>
      </c>
      <c r="J500" t="s">
        <v>597</v>
      </c>
      <c r="K500" t="s">
        <v>597</v>
      </c>
      <c r="L500" t="s">
        <v>518</v>
      </c>
      <c r="M500" t="s">
        <v>596</v>
      </c>
      <c r="N500" t="s">
        <v>520</v>
      </c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</row>
    <row r="501" spans="1:27" ht="15">
      <c r="B501"/>
      <c r="C501"/>
      <c r="D501" t="s">
        <v>3800</v>
      </c>
      <c r="E501" t="s">
        <v>3803</v>
      </c>
      <c r="F501" t="s">
        <v>3804</v>
      </c>
      <c r="G501" t="s">
        <v>3805</v>
      </c>
      <c r="H501"/>
      <c r="I501"/>
      <c r="J501" t="s">
        <v>597</v>
      </c>
      <c r="K501" t="s">
        <v>597</v>
      </c>
      <c r="L501"/>
      <c r="M501"/>
      <c r="N501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</row>
    <row r="502" spans="1:27" ht="15">
      <c r="A502" s="96">
        <v>45244</v>
      </c>
      <c r="B502" t="s">
        <v>3689</v>
      </c>
      <c r="C502" t="s">
        <v>670</v>
      </c>
      <c r="D502"/>
      <c r="E502" t="s">
        <v>7339</v>
      </c>
      <c r="F502"/>
      <c r="G502" t="s">
        <v>3691</v>
      </c>
      <c r="H502" t="s">
        <v>7237</v>
      </c>
      <c r="I502" t="s">
        <v>3692</v>
      </c>
      <c r="J502" t="s">
        <v>590</v>
      </c>
      <c r="K502" t="s">
        <v>590</v>
      </c>
      <c r="L502" t="s">
        <v>518</v>
      </c>
      <c r="M502" t="s">
        <v>588</v>
      </c>
      <c r="N502" t="s">
        <v>520</v>
      </c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</row>
    <row r="503" spans="1:27" ht="15">
      <c r="B503"/>
      <c r="C503"/>
      <c r="D503" t="s">
        <v>3687</v>
      </c>
      <c r="E503" t="s">
        <v>3690</v>
      </c>
      <c r="F503" t="s">
        <v>657</v>
      </c>
      <c r="G503" t="s">
        <v>3691</v>
      </c>
      <c r="H503"/>
      <c r="I503"/>
      <c r="J503" t="s">
        <v>590</v>
      </c>
      <c r="K503" t="s">
        <v>590</v>
      </c>
      <c r="L503"/>
      <c r="M503"/>
      <c r="N50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</row>
    <row r="504" spans="1:27" ht="15">
      <c r="A504" s="96">
        <v>45244</v>
      </c>
      <c r="B504" t="s">
        <v>5284</v>
      </c>
      <c r="C504" t="s">
        <v>670</v>
      </c>
      <c r="D504"/>
      <c r="E504" t="s">
        <v>7340</v>
      </c>
      <c r="F504"/>
      <c r="G504" t="s">
        <v>5286</v>
      </c>
      <c r="H504" t="s">
        <v>7237</v>
      </c>
      <c r="I504" t="s">
        <v>5287</v>
      </c>
      <c r="J504" t="s">
        <v>3083</v>
      </c>
      <c r="K504" t="s">
        <v>3083</v>
      </c>
      <c r="L504" t="s">
        <v>518</v>
      </c>
      <c r="M504" t="s">
        <v>3338</v>
      </c>
      <c r="N504" t="s">
        <v>520</v>
      </c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</row>
    <row r="505" spans="1:27" ht="15">
      <c r="B505"/>
      <c r="C505"/>
      <c r="D505" t="s">
        <v>5282</v>
      </c>
      <c r="E505" t="s">
        <v>5285</v>
      </c>
      <c r="F505" t="s">
        <v>657</v>
      </c>
      <c r="G505" t="s">
        <v>5286</v>
      </c>
      <c r="H505"/>
      <c r="I505"/>
      <c r="J505" t="s">
        <v>3083</v>
      </c>
      <c r="K505" t="s">
        <v>3083</v>
      </c>
      <c r="L505"/>
      <c r="M505"/>
      <c r="N505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</row>
    <row r="506" spans="1:27" ht="15">
      <c r="A506" s="96">
        <v>45244</v>
      </c>
      <c r="B506" t="s">
        <v>3932</v>
      </c>
      <c r="C506" t="s">
        <v>670</v>
      </c>
      <c r="D506"/>
      <c r="E506" t="s">
        <v>7341</v>
      </c>
      <c r="F506"/>
      <c r="G506" t="s">
        <v>3934</v>
      </c>
      <c r="H506" t="s">
        <v>7237</v>
      </c>
      <c r="I506" t="s">
        <v>3935</v>
      </c>
      <c r="J506" t="s">
        <v>597</v>
      </c>
      <c r="K506" t="s">
        <v>597</v>
      </c>
      <c r="L506" t="s">
        <v>518</v>
      </c>
      <c r="M506" t="s">
        <v>596</v>
      </c>
      <c r="N506" t="s">
        <v>605</v>
      </c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</row>
    <row r="507" spans="1:27" ht="15">
      <c r="B507"/>
      <c r="C507"/>
      <c r="D507" t="s">
        <v>3930</v>
      </c>
      <c r="E507" t="s">
        <v>3933</v>
      </c>
      <c r="F507" t="s">
        <v>657</v>
      </c>
      <c r="G507" t="s">
        <v>3934</v>
      </c>
      <c r="H507"/>
      <c r="I507"/>
      <c r="J507" t="s">
        <v>597</v>
      </c>
      <c r="K507" t="s">
        <v>597</v>
      </c>
      <c r="L507"/>
      <c r="M507"/>
      <c r="N507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</row>
    <row r="508" spans="1:27" ht="15">
      <c r="A508" s="96">
        <v>45244</v>
      </c>
      <c r="B508" t="s">
        <v>7342</v>
      </c>
      <c r="C508" t="s">
        <v>670</v>
      </c>
      <c r="D508"/>
      <c r="E508" t="s">
        <v>1002</v>
      </c>
      <c r="F508"/>
      <c r="G508" t="s">
        <v>2107</v>
      </c>
      <c r="H508" t="s">
        <v>7237</v>
      </c>
      <c r="I508" t="s">
        <v>7343</v>
      </c>
      <c r="J508" t="s">
        <v>1549</v>
      </c>
      <c r="K508" t="s">
        <v>1549</v>
      </c>
      <c r="L508" t="s">
        <v>518</v>
      </c>
      <c r="M508" t="s">
        <v>1548</v>
      </c>
      <c r="N508" t="s">
        <v>535</v>
      </c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</row>
    <row r="509" spans="1:27" ht="15">
      <c r="A509" s="96">
        <v>45244</v>
      </c>
      <c r="B509" t="s">
        <v>4341</v>
      </c>
      <c r="C509" t="s">
        <v>1071</v>
      </c>
      <c r="D509"/>
      <c r="E509" t="s">
        <v>3863</v>
      </c>
      <c r="F509"/>
      <c r="G509" t="s">
        <v>4343</v>
      </c>
      <c r="H509" t="s">
        <v>7256</v>
      </c>
      <c r="I509" t="s">
        <v>4344</v>
      </c>
      <c r="J509" t="s">
        <v>2364</v>
      </c>
      <c r="K509" t="s">
        <v>2364</v>
      </c>
      <c r="L509" t="s">
        <v>518</v>
      </c>
      <c r="M509" t="s">
        <v>2363</v>
      </c>
      <c r="N509" t="s">
        <v>535</v>
      </c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</row>
    <row r="510" spans="1:27" ht="15">
      <c r="B510"/>
      <c r="C510"/>
      <c r="D510" t="s">
        <v>4339</v>
      </c>
      <c r="E510" t="s">
        <v>4342</v>
      </c>
      <c r="F510" t="s">
        <v>3864</v>
      </c>
      <c r="G510" t="s">
        <v>4343</v>
      </c>
      <c r="H510"/>
      <c r="I510"/>
      <c r="J510" t="s">
        <v>2364</v>
      </c>
      <c r="K510" t="s">
        <v>2364</v>
      </c>
      <c r="L510"/>
      <c r="M510"/>
      <c r="N510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</row>
    <row r="511" spans="1:27" ht="15">
      <c r="A511" s="96">
        <v>45244</v>
      </c>
      <c r="B511" t="s">
        <v>3610</v>
      </c>
      <c r="C511" t="s">
        <v>670</v>
      </c>
      <c r="D511"/>
      <c r="E511" t="s">
        <v>7344</v>
      </c>
      <c r="F511"/>
      <c r="G511" t="s">
        <v>3337</v>
      </c>
      <c r="H511" t="s">
        <v>7256</v>
      </c>
      <c r="I511" t="s">
        <v>3612</v>
      </c>
      <c r="J511" t="s">
        <v>1042</v>
      </c>
      <c r="K511" t="s">
        <v>1042</v>
      </c>
      <c r="L511" t="s">
        <v>518</v>
      </c>
      <c r="M511" t="s">
        <v>2925</v>
      </c>
      <c r="N511" t="s">
        <v>535</v>
      </c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</row>
    <row r="512" spans="1:27" ht="15">
      <c r="B512"/>
      <c r="C512"/>
      <c r="D512" t="s">
        <v>3608</v>
      </c>
      <c r="E512" t="s">
        <v>3614</v>
      </c>
      <c r="F512" t="s">
        <v>1077</v>
      </c>
      <c r="G512" t="s">
        <v>2642</v>
      </c>
      <c r="H512"/>
      <c r="I512"/>
      <c r="J512" t="s">
        <v>1042</v>
      </c>
      <c r="K512" t="s">
        <v>1042</v>
      </c>
      <c r="L512"/>
      <c r="M512"/>
      <c r="N512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</row>
    <row r="513" spans="1:27" ht="15">
      <c r="B513"/>
      <c r="C513"/>
      <c r="D513" t="s">
        <v>3608</v>
      </c>
      <c r="E513" t="s">
        <v>3616</v>
      </c>
      <c r="F513" t="s">
        <v>958</v>
      </c>
      <c r="G513" t="s">
        <v>756</v>
      </c>
      <c r="H513"/>
      <c r="I513"/>
      <c r="J513" t="s">
        <v>1042</v>
      </c>
      <c r="K513" t="s">
        <v>1042</v>
      </c>
      <c r="L513"/>
      <c r="M513"/>
      <c r="N51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</row>
    <row r="514" spans="1:27" ht="15">
      <c r="B514"/>
      <c r="C514"/>
      <c r="D514" t="s">
        <v>3625</v>
      </c>
      <c r="E514" t="s">
        <v>3627</v>
      </c>
      <c r="F514" t="s">
        <v>514</v>
      </c>
      <c r="G514" t="s">
        <v>921</v>
      </c>
      <c r="H514"/>
      <c r="I514"/>
      <c r="J514" t="s">
        <v>1042</v>
      </c>
      <c r="K514" t="s">
        <v>1042</v>
      </c>
      <c r="L514"/>
      <c r="M514"/>
      <c r="N514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</row>
    <row r="515" spans="1:27" ht="15">
      <c r="B515"/>
      <c r="C515"/>
      <c r="D515" t="s">
        <v>3608</v>
      </c>
      <c r="E515" t="s">
        <v>3611</v>
      </c>
      <c r="F515" t="s">
        <v>514</v>
      </c>
      <c r="G515" t="s">
        <v>1457</v>
      </c>
      <c r="H515"/>
      <c r="I515"/>
      <c r="J515" t="s">
        <v>1042</v>
      </c>
      <c r="K515" t="s">
        <v>1042</v>
      </c>
      <c r="L515"/>
      <c r="M515"/>
      <c r="N515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</row>
    <row r="516" spans="1:27" ht="15">
      <c r="B516"/>
      <c r="C516"/>
      <c r="D516" t="s">
        <v>3625</v>
      </c>
      <c r="E516" t="s">
        <v>3627</v>
      </c>
      <c r="F516" t="s">
        <v>514</v>
      </c>
      <c r="G516" t="s">
        <v>3628</v>
      </c>
      <c r="H516"/>
      <c r="I516"/>
      <c r="J516" t="s">
        <v>1042</v>
      </c>
      <c r="K516" t="s">
        <v>1042</v>
      </c>
      <c r="L516"/>
      <c r="M516"/>
      <c r="N516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</row>
    <row r="517" spans="1:27" ht="15">
      <c r="B517"/>
      <c r="C517"/>
      <c r="D517" t="s">
        <v>3608</v>
      </c>
      <c r="E517" t="s">
        <v>3611</v>
      </c>
      <c r="F517" t="s">
        <v>514</v>
      </c>
      <c r="G517" t="s">
        <v>1457</v>
      </c>
      <c r="H517"/>
      <c r="I517"/>
      <c r="J517" t="s">
        <v>1042</v>
      </c>
      <c r="K517" t="s">
        <v>1042</v>
      </c>
      <c r="L517"/>
      <c r="M517"/>
      <c r="N517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</row>
    <row r="518" spans="1:27" ht="15">
      <c r="B518"/>
      <c r="C518"/>
      <c r="D518" t="s">
        <v>3608</v>
      </c>
      <c r="E518" t="s">
        <v>3611</v>
      </c>
      <c r="F518" t="s">
        <v>514</v>
      </c>
      <c r="G518" t="s">
        <v>1457</v>
      </c>
      <c r="H518"/>
      <c r="I518"/>
      <c r="J518" t="s">
        <v>1042</v>
      </c>
      <c r="K518" t="s">
        <v>1042</v>
      </c>
      <c r="L518"/>
      <c r="M518"/>
      <c r="N518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</row>
    <row r="519" spans="1:27" ht="15">
      <c r="A519" s="96">
        <v>45244</v>
      </c>
      <c r="B519" t="s">
        <v>5338</v>
      </c>
      <c r="C519" t="s">
        <v>670</v>
      </c>
      <c r="D519"/>
      <c r="E519" t="s">
        <v>7345</v>
      </c>
      <c r="F519"/>
      <c r="G519" t="s">
        <v>5340</v>
      </c>
      <c r="H519" t="s">
        <v>7256</v>
      </c>
      <c r="I519" t="s">
        <v>5341</v>
      </c>
      <c r="J519" t="s">
        <v>597</v>
      </c>
      <c r="K519" t="s">
        <v>597</v>
      </c>
      <c r="L519" t="s">
        <v>518</v>
      </c>
      <c r="M519" t="s">
        <v>596</v>
      </c>
      <c r="N519" t="s">
        <v>520</v>
      </c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</row>
    <row r="520" spans="1:27" ht="15">
      <c r="B520"/>
      <c r="C520"/>
      <c r="D520" t="s">
        <v>5336</v>
      </c>
      <c r="E520" t="s">
        <v>5339</v>
      </c>
      <c r="F520" t="s">
        <v>724</v>
      </c>
      <c r="G520" t="s">
        <v>5340</v>
      </c>
      <c r="H520"/>
      <c r="I520"/>
      <c r="J520" t="s">
        <v>597</v>
      </c>
      <c r="K520" t="s">
        <v>597</v>
      </c>
      <c r="L520"/>
      <c r="M520"/>
      <c r="N520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</row>
    <row r="521" spans="1:27" ht="15">
      <c r="A521" s="96">
        <v>45244</v>
      </c>
      <c r="B521" t="s">
        <v>4290</v>
      </c>
      <c r="C521" t="s">
        <v>670</v>
      </c>
      <c r="D521"/>
      <c r="E521" t="s">
        <v>7346</v>
      </c>
      <c r="F521"/>
      <c r="G521" t="s">
        <v>4292</v>
      </c>
      <c r="H521" t="s">
        <v>7256</v>
      </c>
      <c r="I521" t="s">
        <v>4293</v>
      </c>
      <c r="J521" t="s">
        <v>524</v>
      </c>
      <c r="K521" t="s">
        <v>524</v>
      </c>
      <c r="L521" t="s">
        <v>518</v>
      </c>
      <c r="M521" t="s">
        <v>519</v>
      </c>
      <c r="N521" t="s">
        <v>535</v>
      </c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</row>
    <row r="522" spans="1:27" ht="15">
      <c r="B522"/>
      <c r="C522"/>
      <c r="D522" t="s">
        <v>4279</v>
      </c>
      <c r="E522" t="s">
        <v>4291</v>
      </c>
      <c r="F522" t="s">
        <v>3864</v>
      </c>
      <c r="G522" t="s">
        <v>4292</v>
      </c>
      <c r="H522"/>
      <c r="I522"/>
      <c r="J522" t="s">
        <v>524</v>
      </c>
      <c r="K522" t="s">
        <v>524</v>
      </c>
      <c r="L522"/>
      <c r="M522"/>
      <c r="N522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</row>
    <row r="523" spans="1:27" ht="15">
      <c r="A523" s="96">
        <v>45244</v>
      </c>
      <c r="B523" t="s">
        <v>3389</v>
      </c>
      <c r="C523" t="s">
        <v>670</v>
      </c>
      <c r="D523"/>
      <c r="E523" t="s">
        <v>7347</v>
      </c>
      <c r="F523"/>
      <c r="G523" t="s">
        <v>3121</v>
      </c>
      <c r="H523" t="s">
        <v>7256</v>
      </c>
      <c r="I523" t="s">
        <v>3391</v>
      </c>
      <c r="J523" t="s">
        <v>2834</v>
      </c>
      <c r="K523" t="s">
        <v>2834</v>
      </c>
      <c r="L523" t="s">
        <v>518</v>
      </c>
      <c r="M523" t="s">
        <v>2833</v>
      </c>
      <c r="N523" t="s">
        <v>535</v>
      </c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</row>
    <row r="524" spans="1:27" ht="15">
      <c r="B524"/>
      <c r="C524"/>
      <c r="D524" t="s">
        <v>3387</v>
      </c>
      <c r="E524" t="s">
        <v>3390</v>
      </c>
      <c r="F524" t="s">
        <v>724</v>
      </c>
      <c r="G524" t="s">
        <v>3121</v>
      </c>
      <c r="H524"/>
      <c r="I524"/>
      <c r="J524" t="s">
        <v>2834</v>
      </c>
      <c r="K524" t="s">
        <v>2834</v>
      </c>
      <c r="L524"/>
      <c r="M524"/>
      <c r="N524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</row>
    <row r="525" spans="1:27" ht="15">
      <c r="A525" s="96">
        <v>45244</v>
      </c>
      <c r="B525" t="s">
        <v>3439</v>
      </c>
      <c r="C525" t="s">
        <v>1071</v>
      </c>
      <c r="D525"/>
      <c r="E525" t="s">
        <v>7348</v>
      </c>
      <c r="F525"/>
      <c r="G525" t="s">
        <v>3442</v>
      </c>
      <c r="H525" t="s">
        <v>7256</v>
      </c>
      <c r="I525" t="s">
        <v>3443</v>
      </c>
      <c r="J525" t="s">
        <v>1549</v>
      </c>
      <c r="K525" t="s">
        <v>1549</v>
      </c>
      <c r="L525" t="s">
        <v>518</v>
      </c>
      <c r="M525" t="s">
        <v>1548</v>
      </c>
      <c r="N525" t="s">
        <v>605</v>
      </c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</row>
    <row r="526" spans="1:27" ht="15">
      <c r="B526"/>
      <c r="C526"/>
      <c r="D526" t="s">
        <v>3437</v>
      </c>
      <c r="E526" t="s">
        <v>3440</v>
      </c>
      <c r="F526" t="s">
        <v>3441</v>
      </c>
      <c r="G526" t="s">
        <v>3442</v>
      </c>
      <c r="H526"/>
      <c r="I526"/>
      <c r="J526" t="s">
        <v>1549</v>
      </c>
      <c r="K526" t="s">
        <v>1549</v>
      </c>
      <c r="L526"/>
      <c r="M526"/>
      <c r="N526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</row>
    <row r="527" spans="1:27" ht="15">
      <c r="A527" s="96">
        <v>45244</v>
      </c>
      <c r="B527" t="s">
        <v>3172</v>
      </c>
      <c r="C527" t="s">
        <v>1418</v>
      </c>
      <c r="D527"/>
      <c r="E527" t="s">
        <v>7349</v>
      </c>
      <c r="F527"/>
      <c r="G527" t="s">
        <v>3169</v>
      </c>
      <c r="H527" t="s">
        <v>7256</v>
      </c>
      <c r="I527" t="s">
        <v>3173</v>
      </c>
      <c r="J527" t="s">
        <v>733</v>
      </c>
      <c r="K527" t="s">
        <v>733</v>
      </c>
      <c r="L527" t="s">
        <v>518</v>
      </c>
      <c r="M527" t="s">
        <v>1769</v>
      </c>
      <c r="N527" t="s">
        <v>605</v>
      </c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</row>
    <row r="528" spans="1:27" ht="15">
      <c r="B528"/>
      <c r="C528"/>
      <c r="D528" t="s">
        <v>3165</v>
      </c>
      <c r="E528" t="s">
        <v>3168</v>
      </c>
      <c r="F528" t="s">
        <v>958</v>
      </c>
      <c r="G528" t="s">
        <v>3169</v>
      </c>
      <c r="H528"/>
      <c r="I528"/>
      <c r="J528" t="s">
        <v>733</v>
      </c>
      <c r="K528" t="s">
        <v>733</v>
      </c>
      <c r="L528"/>
      <c r="M528"/>
      <c r="N528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</row>
    <row r="529" spans="1:27" ht="15">
      <c r="A529" s="96">
        <v>45244</v>
      </c>
      <c r="B529" t="s">
        <v>3681</v>
      </c>
      <c r="C529" t="s">
        <v>670</v>
      </c>
      <c r="D529"/>
      <c r="E529" t="s">
        <v>7350</v>
      </c>
      <c r="F529"/>
      <c r="G529" t="s">
        <v>2851</v>
      </c>
      <c r="H529" t="s">
        <v>7256</v>
      </c>
      <c r="I529" t="s">
        <v>3682</v>
      </c>
      <c r="J529" t="s">
        <v>733</v>
      </c>
      <c r="K529" t="s">
        <v>733</v>
      </c>
      <c r="L529" t="s">
        <v>518</v>
      </c>
      <c r="M529" t="s">
        <v>731</v>
      </c>
      <c r="N529" t="s">
        <v>535</v>
      </c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</row>
    <row r="530" spans="1:27" ht="15">
      <c r="B530"/>
      <c r="C530"/>
      <c r="D530" t="s">
        <v>3669</v>
      </c>
      <c r="E530" t="s">
        <v>3677</v>
      </c>
      <c r="F530" t="s">
        <v>657</v>
      </c>
      <c r="G530" t="s">
        <v>2851</v>
      </c>
      <c r="H530"/>
      <c r="I530"/>
      <c r="J530" t="s">
        <v>733</v>
      </c>
      <c r="K530" t="s">
        <v>733</v>
      </c>
      <c r="L530"/>
      <c r="M530"/>
      <c r="N530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</row>
    <row r="531" spans="1:27" ht="15">
      <c r="A531" s="96">
        <v>45244</v>
      </c>
      <c r="B531" t="s">
        <v>5086</v>
      </c>
      <c r="C531" t="s">
        <v>670</v>
      </c>
      <c r="D531"/>
      <c r="E531" t="s">
        <v>7351</v>
      </c>
      <c r="F531"/>
      <c r="G531" t="s">
        <v>555</v>
      </c>
      <c r="H531" t="s">
        <v>7256</v>
      </c>
      <c r="I531" t="s">
        <v>5088</v>
      </c>
      <c r="J531" t="s">
        <v>1918</v>
      </c>
      <c r="K531" t="s">
        <v>1918</v>
      </c>
      <c r="L531" t="s">
        <v>682</v>
      </c>
      <c r="M531" t="s">
        <v>3143</v>
      </c>
      <c r="N531" t="s">
        <v>535</v>
      </c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</row>
    <row r="532" spans="1:27" ht="15">
      <c r="B532"/>
      <c r="C532"/>
      <c r="D532" t="s">
        <v>5080</v>
      </c>
      <c r="E532" t="s">
        <v>5087</v>
      </c>
      <c r="F532" t="s">
        <v>514</v>
      </c>
      <c r="G532" t="s">
        <v>555</v>
      </c>
      <c r="H532"/>
      <c r="I532"/>
      <c r="J532" t="s">
        <v>1918</v>
      </c>
      <c r="K532" t="s">
        <v>1918</v>
      </c>
      <c r="L532"/>
      <c r="M532"/>
      <c r="N532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</row>
    <row r="533" spans="1:27" ht="15">
      <c r="A533" s="96">
        <v>45244</v>
      </c>
      <c r="B533" t="s">
        <v>3512</v>
      </c>
      <c r="C533" t="s">
        <v>670</v>
      </c>
      <c r="D533"/>
      <c r="E533" t="s">
        <v>3746</v>
      </c>
      <c r="F533"/>
      <c r="G533" t="s">
        <v>555</v>
      </c>
      <c r="H533" t="s">
        <v>7256</v>
      </c>
      <c r="I533" t="s">
        <v>3513</v>
      </c>
      <c r="J533" t="s">
        <v>1918</v>
      </c>
      <c r="K533" t="s">
        <v>1918</v>
      </c>
      <c r="L533" t="s">
        <v>518</v>
      </c>
      <c r="M533" t="s">
        <v>1917</v>
      </c>
      <c r="N533" t="s">
        <v>520</v>
      </c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</row>
    <row r="534" spans="1:27" ht="15">
      <c r="B534"/>
      <c r="C534"/>
      <c r="D534" t="s">
        <v>3502</v>
      </c>
      <c r="E534" t="s">
        <v>3509</v>
      </c>
      <c r="F534" t="s">
        <v>514</v>
      </c>
      <c r="G534" t="s">
        <v>555</v>
      </c>
      <c r="H534"/>
      <c r="I534"/>
      <c r="J534" t="s">
        <v>1918</v>
      </c>
      <c r="K534" t="s">
        <v>1918</v>
      </c>
      <c r="L534"/>
      <c r="M534"/>
      <c r="N534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</row>
    <row r="535" spans="1:27" ht="15">
      <c r="A535" s="96">
        <v>45244</v>
      </c>
      <c r="B535" t="s">
        <v>5107</v>
      </c>
      <c r="C535" t="s">
        <v>670</v>
      </c>
      <c r="D535"/>
      <c r="E535" t="s">
        <v>7352</v>
      </c>
      <c r="F535"/>
      <c r="G535" t="s">
        <v>555</v>
      </c>
      <c r="H535" t="s">
        <v>7256</v>
      </c>
      <c r="I535" t="s">
        <v>5109</v>
      </c>
      <c r="J535" t="s">
        <v>1918</v>
      </c>
      <c r="K535" t="s">
        <v>1918</v>
      </c>
      <c r="L535" t="s">
        <v>682</v>
      </c>
      <c r="M535" t="s">
        <v>3143</v>
      </c>
      <c r="N535" t="s">
        <v>535</v>
      </c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</row>
    <row r="536" spans="1:27" ht="15">
      <c r="B536"/>
      <c r="C536"/>
      <c r="D536" t="s">
        <v>5105</v>
      </c>
      <c r="E536" t="s">
        <v>5108</v>
      </c>
      <c r="F536" t="s">
        <v>514</v>
      </c>
      <c r="G536" t="s">
        <v>555</v>
      </c>
      <c r="H536"/>
      <c r="I536"/>
      <c r="J536" t="s">
        <v>1918</v>
      </c>
      <c r="K536" t="s">
        <v>1918</v>
      </c>
      <c r="L536"/>
      <c r="M536"/>
      <c r="N536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</row>
    <row r="537" spans="1:27" ht="15">
      <c r="A537" s="96">
        <v>45244</v>
      </c>
      <c r="B537" t="s">
        <v>5119</v>
      </c>
      <c r="C537" t="s">
        <v>670</v>
      </c>
      <c r="D537"/>
      <c r="E537" t="s">
        <v>7353</v>
      </c>
      <c r="F537"/>
      <c r="G537" t="s">
        <v>555</v>
      </c>
      <c r="H537" t="s">
        <v>7256</v>
      </c>
      <c r="I537" t="s">
        <v>5121</v>
      </c>
      <c r="J537" t="s">
        <v>1918</v>
      </c>
      <c r="K537" t="s">
        <v>1918</v>
      </c>
      <c r="L537" t="s">
        <v>682</v>
      </c>
      <c r="M537" t="s">
        <v>3143</v>
      </c>
      <c r="N537" t="s">
        <v>520</v>
      </c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</row>
    <row r="538" spans="1:27" ht="15">
      <c r="B538"/>
      <c r="C538"/>
      <c r="D538" t="s">
        <v>5105</v>
      </c>
      <c r="E538" t="s">
        <v>5120</v>
      </c>
      <c r="F538" t="s">
        <v>514</v>
      </c>
      <c r="G538" t="s">
        <v>555</v>
      </c>
      <c r="H538"/>
      <c r="I538"/>
      <c r="J538" t="s">
        <v>1918</v>
      </c>
      <c r="K538" t="s">
        <v>1918</v>
      </c>
      <c r="L538"/>
      <c r="M538"/>
      <c r="N538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</row>
    <row r="539" spans="1:27" ht="15">
      <c r="A539" s="96">
        <v>45244</v>
      </c>
      <c r="B539" t="s">
        <v>4207</v>
      </c>
      <c r="C539" t="s">
        <v>670</v>
      </c>
      <c r="D539"/>
      <c r="E539" t="s">
        <v>7354</v>
      </c>
      <c r="F539"/>
      <c r="G539" t="s">
        <v>3805</v>
      </c>
      <c r="H539" t="s">
        <v>7256</v>
      </c>
      <c r="I539" t="s">
        <v>4209</v>
      </c>
      <c r="J539" t="s">
        <v>753</v>
      </c>
      <c r="K539" t="s">
        <v>753</v>
      </c>
      <c r="L539" t="s">
        <v>518</v>
      </c>
      <c r="M539" t="s">
        <v>751</v>
      </c>
      <c r="N539" t="s">
        <v>520</v>
      </c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</row>
    <row r="540" spans="1:27" ht="15">
      <c r="B540"/>
      <c r="C540"/>
      <c r="D540" t="s">
        <v>4202</v>
      </c>
      <c r="E540" t="s">
        <v>4208</v>
      </c>
      <c r="F540" t="s">
        <v>1077</v>
      </c>
      <c r="G540" t="s">
        <v>3805</v>
      </c>
      <c r="H540"/>
      <c r="I540"/>
      <c r="J540" t="s">
        <v>753</v>
      </c>
      <c r="K540" t="s">
        <v>753</v>
      </c>
      <c r="L540"/>
      <c r="M540"/>
      <c r="N540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</row>
    <row r="541" spans="1:27" ht="15">
      <c r="A541" s="96">
        <v>45244</v>
      </c>
      <c r="B541" t="s">
        <v>4226</v>
      </c>
      <c r="C541" t="s">
        <v>670</v>
      </c>
      <c r="D541"/>
      <c r="E541" t="s">
        <v>7355</v>
      </c>
      <c r="F541"/>
      <c r="G541" t="s">
        <v>4220</v>
      </c>
      <c r="H541" t="s">
        <v>7256</v>
      </c>
      <c r="I541" t="s">
        <v>4227</v>
      </c>
      <c r="J541" t="s">
        <v>3640</v>
      </c>
      <c r="K541" t="s">
        <v>3640</v>
      </c>
      <c r="L541" t="s">
        <v>518</v>
      </c>
      <c r="M541" t="s">
        <v>3639</v>
      </c>
      <c r="N541" t="s">
        <v>535</v>
      </c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</row>
    <row r="542" spans="1:27" ht="15">
      <c r="B542"/>
      <c r="C542"/>
      <c r="D542" t="s">
        <v>4216</v>
      </c>
      <c r="E542" t="s">
        <v>4219</v>
      </c>
      <c r="F542" t="s">
        <v>657</v>
      </c>
      <c r="G542" t="s">
        <v>4220</v>
      </c>
      <c r="H542"/>
      <c r="I542"/>
      <c r="J542" t="s">
        <v>3640</v>
      </c>
      <c r="K542" t="s">
        <v>3640</v>
      </c>
      <c r="L542"/>
      <c r="M542"/>
      <c r="N542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</row>
    <row r="543" spans="1:27" ht="15">
      <c r="A543" s="96">
        <v>45244</v>
      </c>
      <c r="B543" t="s">
        <v>3712</v>
      </c>
      <c r="C543" t="s">
        <v>670</v>
      </c>
      <c r="D543"/>
      <c r="E543" t="s">
        <v>7356</v>
      </c>
      <c r="F543"/>
      <c r="G543" t="s">
        <v>555</v>
      </c>
      <c r="H543" t="s">
        <v>7256</v>
      </c>
      <c r="I543" t="s">
        <v>3715</v>
      </c>
      <c r="J543" t="s">
        <v>561</v>
      </c>
      <c r="K543" t="s">
        <v>561</v>
      </c>
      <c r="L543" t="s">
        <v>518</v>
      </c>
      <c r="M543" t="s">
        <v>3714</v>
      </c>
      <c r="N543" t="s">
        <v>535</v>
      </c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</row>
    <row r="544" spans="1:27" ht="15">
      <c r="B544"/>
      <c r="C544"/>
      <c r="D544" t="s">
        <v>551</v>
      </c>
      <c r="E544" t="s">
        <v>3713</v>
      </c>
      <c r="F544" t="s">
        <v>514</v>
      </c>
      <c r="G544" t="s">
        <v>555</v>
      </c>
      <c r="H544"/>
      <c r="I544"/>
      <c r="J544" t="s">
        <v>561</v>
      </c>
      <c r="K544" t="s">
        <v>561</v>
      </c>
      <c r="L544"/>
      <c r="M544"/>
      <c r="N544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</row>
    <row r="545" spans="1:27" ht="15">
      <c r="A545" s="96">
        <v>45244</v>
      </c>
      <c r="B545" t="s">
        <v>3913</v>
      </c>
      <c r="C545" t="s">
        <v>670</v>
      </c>
      <c r="D545"/>
      <c r="E545" t="s">
        <v>7357</v>
      </c>
      <c r="F545"/>
      <c r="G545" t="s">
        <v>2856</v>
      </c>
      <c r="H545" t="s">
        <v>7256</v>
      </c>
      <c r="I545" t="s">
        <v>3915</v>
      </c>
      <c r="J545" t="s">
        <v>733</v>
      </c>
      <c r="K545" t="s">
        <v>733</v>
      </c>
      <c r="L545" t="s">
        <v>518</v>
      </c>
      <c r="M545" t="s">
        <v>3910</v>
      </c>
      <c r="N545" t="s">
        <v>1374</v>
      </c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</row>
    <row r="546" spans="1:27" ht="15">
      <c r="B546"/>
      <c r="C546"/>
      <c r="D546" t="s">
        <v>3905</v>
      </c>
      <c r="E546" t="s">
        <v>3914</v>
      </c>
      <c r="F546" t="s">
        <v>1077</v>
      </c>
      <c r="G546" t="s">
        <v>2856</v>
      </c>
      <c r="H546"/>
      <c r="I546"/>
      <c r="J546" t="s">
        <v>733</v>
      </c>
      <c r="K546" t="s">
        <v>733</v>
      </c>
      <c r="L546"/>
      <c r="M546"/>
      <c r="N546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</row>
    <row r="547" spans="1:27" ht="15">
      <c r="A547" s="96">
        <v>45244</v>
      </c>
      <c r="B547" t="s">
        <v>7358</v>
      </c>
      <c r="C547" t="s">
        <v>1071</v>
      </c>
      <c r="D547"/>
      <c r="E547" t="s">
        <v>7102</v>
      </c>
      <c r="F547"/>
      <c r="G547" t="s">
        <v>2107</v>
      </c>
      <c r="H547" t="s">
        <v>7262</v>
      </c>
      <c r="I547" t="s">
        <v>7359</v>
      </c>
      <c r="J547" t="s">
        <v>1934</v>
      </c>
      <c r="K547" t="s">
        <v>1934</v>
      </c>
      <c r="L547" t="s">
        <v>518</v>
      </c>
      <c r="M547" t="s">
        <v>4505</v>
      </c>
      <c r="N547" t="s">
        <v>535</v>
      </c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</row>
    <row r="548" spans="1:27" ht="15">
      <c r="A548" s="96">
        <v>45244</v>
      </c>
      <c r="B548" t="s">
        <v>5366</v>
      </c>
      <c r="C548" t="s">
        <v>670</v>
      </c>
      <c r="D548"/>
      <c r="E548" t="s">
        <v>7360</v>
      </c>
      <c r="F548"/>
      <c r="G548" t="s">
        <v>5368</v>
      </c>
      <c r="H548" t="s">
        <v>7262</v>
      </c>
      <c r="I548" t="s">
        <v>5369</v>
      </c>
      <c r="J548" t="s">
        <v>1150</v>
      </c>
      <c r="K548" t="s">
        <v>1150</v>
      </c>
      <c r="L548" t="s">
        <v>682</v>
      </c>
      <c r="M548" t="s">
        <v>4796</v>
      </c>
      <c r="N548" t="s">
        <v>535</v>
      </c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</row>
    <row r="549" spans="1:27" ht="15">
      <c r="B549"/>
      <c r="C549"/>
      <c r="D549" t="s">
        <v>5364</v>
      </c>
      <c r="E549" t="s">
        <v>5367</v>
      </c>
      <c r="F549" t="s">
        <v>1077</v>
      </c>
      <c r="G549" t="s">
        <v>5368</v>
      </c>
      <c r="H549"/>
      <c r="I549"/>
      <c r="J549" t="s">
        <v>1150</v>
      </c>
      <c r="K549" t="s">
        <v>1150</v>
      </c>
      <c r="L549"/>
      <c r="M549"/>
      <c r="N549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</row>
    <row r="550" spans="1:27" ht="15">
      <c r="A550" s="96">
        <v>45244</v>
      </c>
      <c r="B550" t="s">
        <v>3220</v>
      </c>
      <c r="C550" t="s">
        <v>1071</v>
      </c>
      <c r="D550"/>
      <c r="E550" t="s">
        <v>7361</v>
      </c>
      <c r="F550"/>
      <c r="G550" t="s">
        <v>7362</v>
      </c>
      <c r="H550" t="s">
        <v>7262</v>
      </c>
      <c r="I550" t="s">
        <v>3223</v>
      </c>
      <c r="J550" t="s">
        <v>1042</v>
      </c>
      <c r="K550" t="s">
        <v>1042</v>
      </c>
      <c r="L550" t="s">
        <v>518</v>
      </c>
      <c r="M550" t="s">
        <v>2925</v>
      </c>
      <c r="N550" t="s">
        <v>535</v>
      </c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</row>
    <row r="551" spans="1:27" ht="15">
      <c r="B551"/>
      <c r="C551"/>
      <c r="D551" t="s">
        <v>3218</v>
      </c>
      <c r="E551" t="s">
        <v>3225</v>
      </c>
      <c r="F551" t="s">
        <v>958</v>
      </c>
      <c r="G551" t="s">
        <v>3222</v>
      </c>
      <c r="H551"/>
      <c r="I551"/>
      <c r="J551" t="s">
        <v>1042</v>
      </c>
      <c r="K551" t="s">
        <v>1042</v>
      </c>
      <c r="L551"/>
      <c r="M551"/>
      <c r="N551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</row>
    <row r="552" spans="1:27" ht="15">
      <c r="B552"/>
      <c r="C552"/>
      <c r="D552" t="s">
        <v>3218</v>
      </c>
      <c r="E552" t="s">
        <v>3221</v>
      </c>
      <c r="F552" t="s">
        <v>958</v>
      </c>
      <c r="G552" t="s">
        <v>3222</v>
      </c>
      <c r="H552"/>
      <c r="I552"/>
      <c r="J552" t="s">
        <v>1042</v>
      </c>
      <c r="K552" t="s">
        <v>1042</v>
      </c>
      <c r="L552"/>
      <c r="M552"/>
      <c r="N552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</row>
    <row r="553" spans="1:27" ht="15">
      <c r="B553"/>
      <c r="C553"/>
      <c r="D553" t="s">
        <v>3218</v>
      </c>
      <c r="E553" t="s">
        <v>3225</v>
      </c>
      <c r="F553" t="s">
        <v>958</v>
      </c>
      <c r="G553" t="s">
        <v>3222</v>
      </c>
      <c r="H553"/>
      <c r="I553"/>
      <c r="J553" t="s">
        <v>1042</v>
      </c>
      <c r="K553" t="s">
        <v>1042</v>
      </c>
      <c r="L553"/>
      <c r="M553"/>
      <c r="N55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</row>
    <row r="554" spans="1:27" ht="15">
      <c r="B554"/>
      <c r="C554"/>
      <c r="D554" t="s">
        <v>3218</v>
      </c>
      <c r="E554" t="s">
        <v>3225</v>
      </c>
      <c r="F554" t="s">
        <v>958</v>
      </c>
      <c r="G554" t="s">
        <v>3222</v>
      </c>
      <c r="H554"/>
      <c r="I554"/>
      <c r="J554" t="s">
        <v>1042</v>
      </c>
      <c r="K554" t="s">
        <v>1042</v>
      </c>
      <c r="L554"/>
      <c r="M554"/>
      <c r="N554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</row>
    <row r="555" spans="1:27" ht="15">
      <c r="B555"/>
      <c r="C555"/>
      <c r="D555" t="s">
        <v>4186</v>
      </c>
      <c r="E555" t="s">
        <v>1050</v>
      </c>
      <c r="F555" t="s">
        <v>514</v>
      </c>
      <c r="G555" t="s">
        <v>904</v>
      </c>
      <c r="H555"/>
      <c r="I555"/>
      <c r="J555" t="s">
        <v>1042</v>
      </c>
      <c r="K555" t="s">
        <v>1042</v>
      </c>
      <c r="L555"/>
      <c r="M555"/>
      <c r="N555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</row>
    <row r="556" spans="1:27" ht="15">
      <c r="A556" s="96">
        <v>45244</v>
      </c>
      <c r="B556" t="s">
        <v>2999</v>
      </c>
      <c r="C556" t="s">
        <v>670</v>
      </c>
      <c r="D556"/>
      <c r="E556" t="s">
        <v>7363</v>
      </c>
      <c r="F556"/>
      <c r="G556" t="s">
        <v>5324</v>
      </c>
      <c r="H556" t="s">
        <v>7262</v>
      </c>
      <c r="I556" t="s">
        <v>3002</v>
      </c>
      <c r="J556" t="s">
        <v>1918</v>
      </c>
      <c r="K556" t="s">
        <v>1918</v>
      </c>
      <c r="L556" t="s">
        <v>518</v>
      </c>
      <c r="M556" t="s">
        <v>2100</v>
      </c>
      <c r="N556" t="s">
        <v>605</v>
      </c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</row>
    <row r="557" spans="1:27" ht="15">
      <c r="B557"/>
      <c r="C557"/>
      <c r="D557" t="s">
        <v>2997</v>
      </c>
      <c r="E557" t="s">
        <v>1290</v>
      </c>
      <c r="F557" t="s">
        <v>514</v>
      </c>
      <c r="G557" t="s">
        <v>3000</v>
      </c>
      <c r="H557"/>
      <c r="I557"/>
      <c r="J557" t="s">
        <v>1918</v>
      </c>
      <c r="K557" t="s">
        <v>1918</v>
      </c>
      <c r="L557"/>
      <c r="M557"/>
      <c r="N557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</row>
    <row r="558" spans="1:27" ht="15">
      <c r="B558"/>
      <c r="C558"/>
      <c r="D558" t="s">
        <v>2997</v>
      </c>
      <c r="E558" t="s">
        <v>1290</v>
      </c>
      <c r="F558" t="s">
        <v>514</v>
      </c>
      <c r="G558" t="s">
        <v>3000</v>
      </c>
      <c r="H558"/>
      <c r="I558"/>
      <c r="J558" t="s">
        <v>1918</v>
      </c>
      <c r="K558" t="s">
        <v>1918</v>
      </c>
      <c r="L558"/>
      <c r="M558"/>
      <c r="N558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</row>
    <row r="559" spans="1:27" ht="15">
      <c r="B559"/>
      <c r="C559"/>
      <c r="D559" t="s">
        <v>2997</v>
      </c>
      <c r="E559" t="s">
        <v>1290</v>
      </c>
      <c r="F559" t="s">
        <v>514</v>
      </c>
      <c r="G559" t="s">
        <v>3000</v>
      </c>
      <c r="H559"/>
      <c r="I559"/>
      <c r="J559" t="s">
        <v>1918</v>
      </c>
      <c r="K559" t="s">
        <v>1918</v>
      </c>
      <c r="L559"/>
      <c r="M559"/>
      <c r="N559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</row>
    <row r="560" spans="1:27" ht="15">
      <c r="B560"/>
      <c r="C560"/>
      <c r="D560" t="s">
        <v>2997</v>
      </c>
      <c r="E560" t="s">
        <v>1290</v>
      </c>
      <c r="F560" t="s">
        <v>514</v>
      </c>
      <c r="G560" t="s">
        <v>3000</v>
      </c>
      <c r="H560"/>
      <c r="I560"/>
      <c r="J560" t="s">
        <v>1918</v>
      </c>
      <c r="K560" t="s">
        <v>1918</v>
      </c>
      <c r="L560"/>
      <c r="M560"/>
      <c r="N560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</row>
    <row r="561" spans="1:27" ht="15">
      <c r="B561"/>
      <c r="C561"/>
      <c r="D561" t="s">
        <v>2997</v>
      </c>
      <c r="E561" t="s">
        <v>1290</v>
      </c>
      <c r="F561" t="s">
        <v>514</v>
      </c>
      <c r="G561" t="s">
        <v>3000</v>
      </c>
      <c r="H561"/>
      <c r="I561"/>
      <c r="J561" t="s">
        <v>1918</v>
      </c>
      <c r="K561" t="s">
        <v>1918</v>
      </c>
      <c r="L561"/>
      <c r="M561"/>
      <c r="N561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</row>
    <row r="562" spans="1:27" ht="15">
      <c r="B562"/>
      <c r="C562"/>
      <c r="D562" t="s">
        <v>2997</v>
      </c>
      <c r="E562" t="s">
        <v>1290</v>
      </c>
      <c r="F562" t="s">
        <v>514</v>
      </c>
      <c r="G562" t="s">
        <v>3000</v>
      </c>
      <c r="H562"/>
      <c r="I562"/>
      <c r="J562" t="s">
        <v>1918</v>
      </c>
      <c r="K562" t="s">
        <v>1918</v>
      </c>
      <c r="L562"/>
      <c r="M562"/>
      <c r="N562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</row>
    <row r="563" spans="1:27" ht="15">
      <c r="A563" s="96">
        <v>45244</v>
      </c>
      <c r="B563" t="s">
        <v>4749</v>
      </c>
      <c r="C563" t="s">
        <v>670</v>
      </c>
      <c r="D563"/>
      <c r="E563" t="s">
        <v>7364</v>
      </c>
      <c r="F563"/>
      <c r="G563" t="s">
        <v>4751</v>
      </c>
      <c r="H563" t="s">
        <v>7262</v>
      </c>
      <c r="I563" t="s">
        <v>4752</v>
      </c>
      <c r="J563" t="s">
        <v>1042</v>
      </c>
      <c r="K563" t="s">
        <v>1042</v>
      </c>
      <c r="L563" t="s">
        <v>518</v>
      </c>
      <c r="M563" t="s">
        <v>1040</v>
      </c>
      <c r="N563" t="s">
        <v>535</v>
      </c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</row>
    <row r="564" spans="1:27" ht="15">
      <c r="B564"/>
      <c r="C564"/>
      <c r="D564" t="s">
        <v>4747</v>
      </c>
      <c r="E564" t="s">
        <v>4750</v>
      </c>
      <c r="F564" t="s">
        <v>657</v>
      </c>
      <c r="G564" t="s">
        <v>4751</v>
      </c>
      <c r="H564"/>
      <c r="I564"/>
      <c r="J564" t="s">
        <v>1042</v>
      </c>
      <c r="K564" t="s">
        <v>1042</v>
      </c>
      <c r="L564"/>
      <c r="M564"/>
      <c r="N564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</row>
    <row r="565" spans="1:27" ht="15">
      <c r="A565" s="96">
        <v>45244</v>
      </c>
      <c r="B565" t="s">
        <v>5347</v>
      </c>
      <c r="C565" t="s">
        <v>670</v>
      </c>
      <c r="D565"/>
      <c r="E565" t="s">
        <v>7365</v>
      </c>
      <c r="F565"/>
      <c r="G565" t="s">
        <v>5349</v>
      </c>
      <c r="H565" t="s">
        <v>7262</v>
      </c>
      <c r="I565" t="s">
        <v>5350</v>
      </c>
      <c r="J565" t="s">
        <v>597</v>
      </c>
      <c r="K565" t="s">
        <v>597</v>
      </c>
      <c r="L565" t="s">
        <v>518</v>
      </c>
      <c r="M565" t="s">
        <v>596</v>
      </c>
      <c r="N565" t="s">
        <v>520</v>
      </c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</row>
    <row r="566" spans="1:27" ht="15">
      <c r="B566"/>
      <c r="C566"/>
      <c r="D566" t="s">
        <v>5336</v>
      </c>
      <c r="E566" t="s">
        <v>5348</v>
      </c>
      <c r="F566" t="s">
        <v>657</v>
      </c>
      <c r="G566" t="s">
        <v>5349</v>
      </c>
      <c r="H566"/>
      <c r="I566"/>
      <c r="J566" t="s">
        <v>597</v>
      </c>
      <c r="K566" t="s">
        <v>597</v>
      </c>
      <c r="L566"/>
      <c r="M566"/>
      <c r="N566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</row>
    <row r="567" spans="1:27" ht="15">
      <c r="A567" s="96">
        <v>45244</v>
      </c>
      <c r="B567" t="s">
        <v>5343</v>
      </c>
      <c r="C567" t="s">
        <v>670</v>
      </c>
      <c r="D567"/>
      <c r="E567" t="s">
        <v>7366</v>
      </c>
      <c r="F567"/>
      <c r="G567" t="s">
        <v>5340</v>
      </c>
      <c r="H567" t="s">
        <v>7262</v>
      </c>
      <c r="I567" t="s">
        <v>5345</v>
      </c>
      <c r="J567" t="s">
        <v>597</v>
      </c>
      <c r="K567" t="s">
        <v>597</v>
      </c>
      <c r="L567" t="s">
        <v>518</v>
      </c>
      <c r="M567" t="s">
        <v>596</v>
      </c>
      <c r="N567" t="s">
        <v>520</v>
      </c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</row>
    <row r="568" spans="1:27" ht="15">
      <c r="B568"/>
      <c r="C568"/>
      <c r="D568" t="s">
        <v>5336</v>
      </c>
      <c r="E568" t="s">
        <v>5344</v>
      </c>
      <c r="F568" t="s">
        <v>724</v>
      </c>
      <c r="G568" t="s">
        <v>5340</v>
      </c>
      <c r="H568"/>
      <c r="I568"/>
      <c r="J568" t="s">
        <v>597</v>
      </c>
      <c r="K568" t="s">
        <v>597</v>
      </c>
      <c r="L568"/>
      <c r="M568"/>
      <c r="N568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</row>
    <row r="569" spans="1:27" ht="15">
      <c r="A569" s="96">
        <v>45244</v>
      </c>
      <c r="B569" t="s">
        <v>4576</v>
      </c>
      <c r="C569" t="s">
        <v>670</v>
      </c>
      <c r="D569"/>
      <c r="E569" t="s">
        <v>6312</v>
      </c>
      <c r="F569"/>
      <c r="G569" t="s">
        <v>4568</v>
      </c>
      <c r="H569" t="s">
        <v>7262</v>
      </c>
      <c r="I569" t="s">
        <v>4578</v>
      </c>
      <c r="J569" t="s">
        <v>1918</v>
      </c>
      <c r="K569" t="s">
        <v>1918</v>
      </c>
      <c r="L569" t="s">
        <v>682</v>
      </c>
      <c r="M569" t="s">
        <v>3143</v>
      </c>
      <c r="N569" t="s">
        <v>570</v>
      </c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</row>
    <row r="570" spans="1:27" ht="15">
      <c r="B570"/>
      <c r="C570"/>
      <c r="D570" t="s">
        <v>4551</v>
      </c>
      <c r="E570" t="s">
        <v>4577</v>
      </c>
      <c r="F570" t="s">
        <v>4567</v>
      </c>
      <c r="G570" t="s">
        <v>4568</v>
      </c>
      <c r="H570"/>
      <c r="I570"/>
      <c r="J570" t="s">
        <v>1918</v>
      </c>
      <c r="K570" t="s">
        <v>1918</v>
      </c>
      <c r="L570"/>
      <c r="M570"/>
      <c r="N570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</row>
    <row r="571" spans="1:27" ht="15">
      <c r="A571" s="96">
        <v>45244</v>
      </c>
      <c r="B571" t="s">
        <v>4559</v>
      </c>
      <c r="C571" t="s">
        <v>670</v>
      </c>
      <c r="D571"/>
      <c r="E571" t="s">
        <v>7367</v>
      </c>
      <c r="F571"/>
      <c r="G571" t="s">
        <v>4562</v>
      </c>
      <c r="H571" t="s">
        <v>7262</v>
      </c>
      <c r="I571" t="s">
        <v>4563</v>
      </c>
      <c r="J571" t="s">
        <v>1918</v>
      </c>
      <c r="K571" t="s">
        <v>1918</v>
      </c>
      <c r="L571" t="s">
        <v>682</v>
      </c>
      <c r="M571" t="s">
        <v>3143</v>
      </c>
      <c r="N571" t="s">
        <v>570</v>
      </c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</row>
    <row r="572" spans="1:27" ht="15">
      <c r="B572"/>
      <c r="C572"/>
      <c r="D572" t="s">
        <v>4551</v>
      </c>
      <c r="E572" t="s">
        <v>4560</v>
      </c>
      <c r="F572" t="s">
        <v>4561</v>
      </c>
      <c r="G572" t="s">
        <v>4562</v>
      </c>
      <c r="H572"/>
      <c r="I572"/>
      <c r="J572" t="s">
        <v>1918</v>
      </c>
      <c r="K572" t="s">
        <v>1918</v>
      </c>
      <c r="L572"/>
      <c r="M572"/>
      <c r="N572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</row>
    <row r="573" spans="1:27" ht="15">
      <c r="A573" s="96">
        <v>45244</v>
      </c>
      <c r="B573" t="s">
        <v>4020</v>
      </c>
      <c r="C573" t="s">
        <v>670</v>
      </c>
      <c r="D573"/>
      <c r="E573" t="s">
        <v>7368</v>
      </c>
      <c r="F573"/>
      <c r="G573" t="s">
        <v>3697</v>
      </c>
      <c r="H573" t="s">
        <v>7262</v>
      </c>
      <c r="I573" t="s">
        <v>4022</v>
      </c>
      <c r="J573" t="s">
        <v>1042</v>
      </c>
      <c r="K573" t="s">
        <v>1042</v>
      </c>
      <c r="L573" t="s">
        <v>518</v>
      </c>
      <c r="M573" t="s">
        <v>2925</v>
      </c>
      <c r="N573" t="s">
        <v>520</v>
      </c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</row>
    <row r="574" spans="1:27" ht="15">
      <c r="B574"/>
      <c r="C574"/>
      <c r="D574" t="s">
        <v>4018</v>
      </c>
      <c r="E574" t="s">
        <v>4021</v>
      </c>
      <c r="F574" t="s">
        <v>1163</v>
      </c>
      <c r="G574" t="s">
        <v>3697</v>
      </c>
      <c r="H574"/>
      <c r="I574"/>
      <c r="J574" t="s">
        <v>1042</v>
      </c>
      <c r="K574" t="s">
        <v>1042</v>
      </c>
      <c r="L574"/>
      <c r="M574"/>
      <c r="N574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</row>
    <row r="575" spans="1:27" ht="15">
      <c r="A575" s="96">
        <v>45244</v>
      </c>
      <c r="B575" t="s">
        <v>3210</v>
      </c>
      <c r="C575" t="s">
        <v>1071</v>
      </c>
      <c r="D575"/>
      <c r="E575" t="s">
        <v>7369</v>
      </c>
      <c r="F575"/>
      <c r="G575" t="s">
        <v>7370</v>
      </c>
      <c r="H575" t="s">
        <v>7262</v>
      </c>
      <c r="I575" t="s">
        <v>3212</v>
      </c>
      <c r="J575" t="s">
        <v>1098</v>
      </c>
      <c r="K575" t="s">
        <v>1098</v>
      </c>
      <c r="L575" t="s">
        <v>518</v>
      </c>
      <c r="M575" t="s">
        <v>1097</v>
      </c>
      <c r="N575" t="s">
        <v>605</v>
      </c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</row>
    <row r="576" spans="1:27" ht="15">
      <c r="B576"/>
      <c r="C576"/>
      <c r="D576" t="s">
        <v>3270</v>
      </c>
      <c r="E576" t="s">
        <v>799</v>
      </c>
      <c r="F576" t="s">
        <v>514</v>
      </c>
      <c r="G576" t="s">
        <v>738</v>
      </c>
      <c r="H576"/>
      <c r="I576"/>
      <c r="J576" t="s">
        <v>1098</v>
      </c>
      <c r="K576" t="s">
        <v>1098</v>
      </c>
      <c r="L576"/>
      <c r="M576"/>
      <c r="N576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</row>
    <row r="577" spans="1:27" ht="15">
      <c r="B577"/>
      <c r="C577"/>
      <c r="D577" t="s">
        <v>4481</v>
      </c>
      <c r="E577" t="s">
        <v>4483</v>
      </c>
      <c r="F577" t="s">
        <v>514</v>
      </c>
      <c r="G577" t="s">
        <v>4484</v>
      </c>
      <c r="H577"/>
      <c r="I577"/>
      <c r="J577" t="s">
        <v>1098</v>
      </c>
      <c r="K577" t="s">
        <v>1098</v>
      </c>
      <c r="L577"/>
      <c r="M577"/>
      <c r="N577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</row>
    <row r="578" spans="1:27" ht="15">
      <c r="B578"/>
      <c r="C578"/>
      <c r="D578" t="s">
        <v>3270</v>
      </c>
      <c r="E578" t="s">
        <v>799</v>
      </c>
      <c r="F578" t="s">
        <v>514</v>
      </c>
      <c r="G578" t="s">
        <v>738</v>
      </c>
      <c r="H578"/>
      <c r="I578"/>
      <c r="J578" t="s">
        <v>1098</v>
      </c>
      <c r="K578" t="s">
        <v>1098</v>
      </c>
      <c r="L578"/>
      <c r="M578"/>
      <c r="N578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</row>
    <row r="579" spans="1:27" ht="15">
      <c r="B579"/>
      <c r="C579"/>
      <c r="D579" t="s">
        <v>3208</v>
      </c>
      <c r="E579" t="s">
        <v>3211</v>
      </c>
      <c r="F579" t="s">
        <v>514</v>
      </c>
      <c r="G579" t="s">
        <v>2668</v>
      </c>
      <c r="H579"/>
      <c r="I579"/>
      <c r="J579" t="s">
        <v>1098</v>
      </c>
      <c r="K579" t="s">
        <v>1098</v>
      </c>
      <c r="L579"/>
      <c r="M579"/>
      <c r="N579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</row>
    <row r="580" spans="1:27" ht="15">
      <c r="A580" s="96">
        <v>45244</v>
      </c>
      <c r="B580" t="s">
        <v>5181</v>
      </c>
      <c r="C580" t="s">
        <v>670</v>
      </c>
      <c r="D580"/>
      <c r="E580" t="s">
        <v>7371</v>
      </c>
      <c r="F580"/>
      <c r="G580" t="s">
        <v>2991</v>
      </c>
      <c r="H580" t="s">
        <v>7262</v>
      </c>
      <c r="I580" t="s">
        <v>5183</v>
      </c>
      <c r="J580" t="s">
        <v>753</v>
      </c>
      <c r="K580" t="s">
        <v>753</v>
      </c>
      <c r="L580" t="s">
        <v>518</v>
      </c>
      <c r="M580" t="s">
        <v>751</v>
      </c>
      <c r="N580" t="s">
        <v>520</v>
      </c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</row>
    <row r="581" spans="1:27" ht="15">
      <c r="B581"/>
      <c r="C581"/>
      <c r="D581" t="s">
        <v>5179</v>
      </c>
      <c r="E581" t="s">
        <v>5182</v>
      </c>
      <c r="F581" t="s">
        <v>4911</v>
      </c>
      <c r="G581" t="s">
        <v>2991</v>
      </c>
      <c r="H581"/>
      <c r="I581"/>
      <c r="J581" t="s">
        <v>753</v>
      </c>
      <c r="K581" t="s">
        <v>753</v>
      </c>
      <c r="L581"/>
      <c r="M581"/>
      <c r="N581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</row>
    <row r="582" spans="1:27" ht="15">
      <c r="A582" s="96">
        <v>45244</v>
      </c>
      <c r="B582" t="s">
        <v>4067</v>
      </c>
      <c r="C582" t="s">
        <v>670</v>
      </c>
      <c r="D582"/>
      <c r="E582" t="s">
        <v>7372</v>
      </c>
      <c r="F582"/>
      <c r="G582" t="s">
        <v>4070</v>
      </c>
      <c r="H582" t="s">
        <v>7262</v>
      </c>
      <c r="I582" t="s">
        <v>4071</v>
      </c>
      <c r="J582" t="s">
        <v>1918</v>
      </c>
      <c r="K582" t="s">
        <v>1918</v>
      </c>
      <c r="L582" t="s">
        <v>518</v>
      </c>
      <c r="M582" t="s">
        <v>1917</v>
      </c>
      <c r="N582" t="s">
        <v>535</v>
      </c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</row>
    <row r="583" spans="1:27" ht="15">
      <c r="B583"/>
      <c r="C583"/>
      <c r="D583" t="s">
        <v>4065</v>
      </c>
      <c r="E583" t="s">
        <v>4068</v>
      </c>
      <c r="F583" t="s">
        <v>4069</v>
      </c>
      <c r="G583" t="s">
        <v>4070</v>
      </c>
      <c r="H583"/>
      <c r="I583"/>
      <c r="J583" t="s">
        <v>1918</v>
      </c>
      <c r="K583" t="s">
        <v>1918</v>
      </c>
      <c r="L583"/>
      <c r="M583"/>
      <c r="N58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</row>
    <row r="584" spans="1:27" ht="15">
      <c r="A584" s="96">
        <v>45244</v>
      </c>
      <c r="B584" t="s">
        <v>5492</v>
      </c>
      <c r="C584" t="s">
        <v>670</v>
      </c>
      <c r="D584"/>
      <c r="E584" t="s">
        <v>7255</v>
      </c>
      <c r="F584"/>
      <c r="G584" t="s">
        <v>5494</v>
      </c>
      <c r="H584" t="s">
        <v>7262</v>
      </c>
      <c r="I584" t="s">
        <v>5495</v>
      </c>
      <c r="J584" t="s">
        <v>741</v>
      </c>
      <c r="K584" t="s">
        <v>741</v>
      </c>
      <c r="L584" t="s">
        <v>518</v>
      </c>
      <c r="M584" t="s">
        <v>739</v>
      </c>
      <c r="N584" t="s">
        <v>535</v>
      </c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</row>
    <row r="585" spans="1:27" ht="15">
      <c r="B585"/>
      <c r="C585"/>
      <c r="D585" t="s">
        <v>5490</v>
      </c>
      <c r="E585" t="s">
        <v>2055</v>
      </c>
      <c r="F585" t="s">
        <v>5493</v>
      </c>
      <c r="G585" t="s">
        <v>5494</v>
      </c>
      <c r="H585"/>
      <c r="I585"/>
      <c r="J585" t="s">
        <v>741</v>
      </c>
      <c r="K585" t="s">
        <v>741</v>
      </c>
      <c r="L585"/>
      <c r="M585"/>
      <c r="N585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</row>
    <row r="586" spans="1:27" ht="15">
      <c r="A586" s="96">
        <v>45244</v>
      </c>
      <c r="B586" t="s">
        <v>5317</v>
      </c>
      <c r="C586" t="s">
        <v>2526</v>
      </c>
      <c r="D586"/>
      <c r="E586" t="s">
        <v>7373</v>
      </c>
      <c r="F586"/>
      <c r="G586" t="s">
        <v>1783</v>
      </c>
      <c r="H586" t="s">
        <v>7262</v>
      </c>
      <c r="I586" t="s">
        <v>5319</v>
      </c>
      <c r="J586" t="s">
        <v>668</v>
      </c>
      <c r="K586" t="s">
        <v>668</v>
      </c>
      <c r="L586" t="s">
        <v>518</v>
      </c>
      <c r="M586" t="s">
        <v>1079</v>
      </c>
      <c r="N586" t="s">
        <v>535</v>
      </c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</row>
    <row r="587" spans="1:27" ht="15">
      <c r="B587"/>
      <c r="C587"/>
      <c r="D587" t="s">
        <v>5315</v>
      </c>
      <c r="E587" t="s">
        <v>5318</v>
      </c>
      <c r="F587" t="s">
        <v>958</v>
      </c>
      <c r="G587" t="s">
        <v>1783</v>
      </c>
      <c r="H587"/>
      <c r="I587"/>
      <c r="J587" t="s">
        <v>668</v>
      </c>
      <c r="K587" t="s">
        <v>668</v>
      </c>
      <c r="L587"/>
      <c r="M587"/>
      <c r="N587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</row>
    <row r="588" spans="1:27" ht="15">
      <c r="A588" s="96">
        <v>45244</v>
      </c>
      <c r="B588" t="s">
        <v>5407</v>
      </c>
      <c r="C588" t="s">
        <v>670</v>
      </c>
      <c r="D588"/>
      <c r="E588" t="s">
        <v>7374</v>
      </c>
      <c r="F588"/>
      <c r="G588" t="s">
        <v>5409</v>
      </c>
      <c r="H588" t="s">
        <v>7262</v>
      </c>
      <c r="I588" t="s">
        <v>5410</v>
      </c>
      <c r="J588" t="s">
        <v>803</v>
      </c>
      <c r="K588" t="s">
        <v>803</v>
      </c>
      <c r="L588" t="s">
        <v>518</v>
      </c>
      <c r="M588" t="s">
        <v>801</v>
      </c>
      <c r="N588" t="s">
        <v>1374</v>
      </c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</row>
    <row r="589" spans="1:27" ht="15">
      <c r="B589"/>
      <c r="C589"/>
      <c r="D589" t="s">
        <v>5405</v>
      </c>
      <c r="E589" t="s">
        <v>5408</v>
      </c>
      <c r="F589" t="s">
        <v>1163</v>
      </c>
      <c r="G589" t="s">
        <v>5409</v>
      </c>
      <c r="H589"/>
      <c r="I589"/>
      <c r="J589" t="s">
        <v>803</v>
      </c>
      <c r="K589" t="s">
        <v>803</v>
      </c>
      <c r="L589"/>
      <c r="M589"/>
      <c r="N589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</row>
    <row r="590" spans="1:27" ht="15">
      <c r="A590" s="96">
        <v>45244</v>
      </c>
      <c r="B590" t="s">
        <v>3051</v>
      </c>
      <c r="C590" t="s">
        <v>670</v>
      </c>
      <c r="D590"/>
      <c r="E590" t="s">
        <v>5984</v>
      </c>
      <c r="F590"/>
      <c r="G590" t="s">
        <v>6076</v>
      </c>
      <c r="H590" t="s">
        <v>7262</v>
      </c>
      <c r="I590" t="s">
        <v>3052</v>
      </c>
      <c r="J590" t="s">
        <v>803</v>
      </c>
      <c r="K590" t="s">
        <v>803</v>
      </c>
      <c r="L590" t="s">
        <v>518</v>
      </c>
      <c r="M590" t="s">
        <v>801</v>
      </c>
      <c r="N590" t="s">
        <v>520</v>
      </c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</row>
    <row r="591" spans="1:27" ht="15">
      <c r="B591"/>
      <c r="C591"/>
      <c r="D591" t="s">
        <v>3049</v>
      </c>
      <c r="E591" t="s">
        <v>1050</v>
      </c>
      <c r="F591" t="s">
        <v>958</v>
      </c>
      <c r="G591" t="s">
        <v>1580</v>
      </c>
      <c r="H591"/>
      <c r="I591"/>
      <c r="J591" t="s">
        <v>803</v>
      </c>
      <c r="K591" t="s">
        <v>803</v>
      </c>
      <c r="L591"/>
      <c r="M591"/>
      <c r="N591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</row>
    <row r="592" spans="1:27" ht="15">
      <c r="B592"/>
      <c r="C592"/>
      <c r="D592" t="s">
        <v>3049</v>
      </c>
      <c r="E592" t="s">
        <v>3054</v>
      </c>
      <c r="F592" t="s">
        <v>3055</v>
      </c>
      <c r="G592" t="s">
        <v>3056</v>
      </c>
      <c r="H592"/>
      <c r="I592"/>
      <c r="J592" t="s">
        <v>803</v>
      </c>
      <c r="K592" t="s">
        <v>803</v>
      </c>
      <c r="L592"/>
      <c r="M592"/>
      <c r="N592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</row>
    <row r="593" spans="1:27" ht="15">
      <c r="A593" s="96">
        <v>45244</v>
      </c>
      <c r="B593" t="s">
        <v>5067</v>
      </c>
      <c r="C593" t="s">
        <v>670</v>
      </c>
      <c r="D593"/>
      <c r="E593" t="s">
        <v>7357</v>
      </c>
      <c r="F593"/>
      <c r="G593" t="s">
        <v>5068</v>
      </c>
      <c r="H593" t="s">
        <v>7262</v>
      </c>
      <c r="I593" t="s">
        <v>5069</v>
      </c>
      <c r="J593" t="s">
        <v>1014</v>
      </c>
      <c r="K593" t="s">
        <v>1014</v>
      </c>
      <c r="L593" t="s">
        <v>518</v>
      </c>
      <c r="M593" t="s">
        <v>3813</v>
      </c>
      <c r="N593" t="s">
        <v>520</v>
      </c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</row>
    <row r="594" spans="1:27" ht="15">
      <c r="B594"/>
      <c r="C594"/>
      <c r="D594" t="s">
        <v>5062</v>
      </c>
      <c r="E594" t="s">
        <v>3914</v>
      </c>
      <c r="F594" t="s">
        <v>724</v>
      </c>
      <c r="G594" t="s">
        <v>5068</v>
      </c>
      <c r="H594"/>
      <c r="I594"/>
      <c r="J594" t="s">
        <v>1014</v>
      </c>
      <c r="K594" t="s">
        <v>1014</v>
      </c>
      <c r="L594"/>
      <c r="M594"/>
      <c r="N594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</row>
    <row r="595" spans="1:27" ht="15">
      <c r="A595" s="96">
        <v>45244</v>
      </c>
      <c r="B595" t="s">
        <v>7375</v>
      </c>
      <c r="C595" t="s">
        <v>670</v>
      </c>
      <c r="D595"/>
      <c r="E595" t="s">
        <v>7376</v>
      </c>
      <c r="F595"/>
      <c r="G595" t="s">
        <v>7377</v>
      </c>
      <c r="H595" t="s">
        <v>7262</v>
      </c>
      <c r="I595" t="s">
        <v>7378</v>
      </c>
      <c r="J595" t="s">
        <v>1918</v>
      </c>
      <c r="K595" t="s">
        <v>1918</v>
      </c>
      <c r="L595" t="s">
        <v>518</v>
      </c>
      <c r="M595" t="s">
        <v>2100</v>
      </c>
      <c r="N595" t="s">
        <v>535</v>
      </c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</row>
    <row r="596" spans="1:27" ht="15">
      <c r="B596"/>
      <c r="C596"/>
      <c r="D596" t="s">
        <v>2096</v>
      </c>
      <c r="E596" t="s">
        <v>2098</v>
      </c>
      <c r="F596" t="s">
        <v>514</v>
      </c>
      <c r="G596" t="s">
        <v>2067</v>
      </c>
      <c r="H596"/>
      <c r="I596"/>
      <c r="J596" t="s">
        <v>1918</v>
      </c>
      <c r="K596" t="s">
        <v>1918</v>
      </c>
      <c r="L596"/>
      <c r="M596"/>
      <c r="N596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</row>
    <row r="597" spans="1:27" ht="15">
      <c r="B597"/>
      <c r="C597"/>
      <c r="D597" t="s">
        <v>2096</v>
      </c>
      <c r="E597" t="s">
        <v>2098</v>
      </c>
      <c r="F597" t="s">
        <v>514</v>
      </c>
      <c r="G597" t="s">
        <v>2067</v>
      </c>
      <c r="H597"/>
      <c r="I597"/>
      <c r="J597" t="s">
        <v>1918</v>
      </c>
      <c r="K597" t="s">
        <v>1918</v>
      </c>
      <c r="L597"/>
      <c r="M597"/>
      <c r="N597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</row>
    <row r="598" spans="1:27" ht="15">
      <c r="B598"/>
      <c r="C598"/>
      <c r="D598" t="s">
        <v>2096</v>
      </c>
      <c r="E598" t="s">
        <v>2098</v>
      </c>
      <c r="F598" t="s">
        <v>514</v>
      </c>
      <c r="G598" t="s">
        <v>2107</v>
      </c>
      <c r="H598"/>
      <c r="I598"/>
      <c r="J598" t="s">
        <v>1918</v>
      </c>
      <c r="K598" t="s">
        <v>1918</v>
      </c>
      <c r="L598"/>
      <c r="M598"/>
      <c r="N598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</row>
    <row r="599" spans="1:27" ht="15">
      <c r="B599"/>
      <c r="C599"/>
      <c r="D599" t="s">
        <v>2096</v>
      </c>
      <c r="E599" t="s">
        <v>2098</v>
      </c>
      <c r="F599" t="s">
        <v>514</v>
      </c>
      <c r="G599" t="s">
        <v>2067</v>
      </c>
      <c r="H599"/>
      <c r="I599"/>
      <c r="J599" t="s">
        <v>1918</v>
      </c>
      <c r="K599" t="s">
        <v>1918</v>
      </c>
      <c r="L599"/>
      <c r="M599"/>
      <c r="N599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</row>
    <row r="600" spans="1:27" ht="15">
      <c r="B600"/>
      <c r="C600"/>
      <c r="D600" t="s">
        <v>2096</v>
      </c>
      <c r="E600" t="s">
        <v>2098</v>
      </c>
      <c r="F600" t="s">
        <v>514</v>
      </c>
      <c r="G600" t="s">
        <v>2067</v>
      </c>
      <c r="H600"/>
      <c r="I600"/>
      <c r="J600" t="s">
        <v>1918</v>
      </c>
      <c r="K600" t="s">
        <v>1918</v>
      </c>
      <c r="L600"/>
      <c r="M600"/>
      <c r="N600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</row>
    <row r="601" spans="1:27" ht="15">
      <c r="A601" s="96">
        <v>45244</v>
      </c>
      <c r="B601" t="s">
        <v>4590</v>
      </c>
      <c r="C601" t="s">
        <v>670</v>
      </c>
      <c r="D601"/>
      <c r="E601" t="s">
        <v>7379</v>
      </c>
      <c r="F601"/>
      <c r="G601" t="s">
        <v>4592</v>
      </c>
      <c r="H601" t="s">
        <v>7262</v>
      </c>
      <c r="I601" t="s">
        <v>4593</v>
      </c>
      <c r="J601" t="s">
        <v>1857</v>
      </c>
      <c r="K601" t="s">
        <v>1857</v>
      </c>
      <c r="L601" t="s">
        <v>518</v>
      </c>
      <c r="M601" t="s">
        <v>1856</v>
      </c>
      <c r="N601" t="s">
        <v>520</v>
      </c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</row>
    <row r="602" spans="1:27" ht="15">
      <c r="B602"/>
      <c r="C602"/>
      <c r="D602" t="s">
        <v>4582</v>
      </c>
      <c r="E602" t="s">
        <v>4572</v>
      </c>
      <c r="F602" t="s">
        <v>4591</v>
      </c>
      <c r="G602" t="s">
        <v>4592</v>
      </c>
      <c r="H602"/>
      <c r="I602"/>
      <c r="J602" t="s">
        <v>1857</v>
      </c>
      <c r="K602" t="s">
        <v>1918</v>
      </c>
      <c r="L602"/>
      <c r="M602"/>
      <c r="N602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</row>
    <row r="603" spans="1:27" ht="15">
      <c r="A603" s="96">
        <v>45244</v>
      </c>
      <c r="B603" t="s">
        <v>4659</v>
      </c>
      <c r="C603" t="s">
        <v>670</v>
      </c>
      <c r="D603"/>
      <c r="E603" t="s">
        <v>7380</v>
      </c>
      <c r="F603"/>
      <c r="G603" t="s">
        <v>7381</v>
      </c>
      <c r="H603" t="s">
        <v>7262</v>
      </c>
      <c r="I603" t="s">
        <v>4661</v>
      </c>
      <c r="J603" t="s">
        <v>803</v>
      </c>
      <c r="K603" t="s">
        <v>803</v>
      </c>
      <c r="L603" t="s">
        <v>518</v>
      </c>
      <c r="M603" t="s">
        <v>801</v>
      </c>
      <c r="N603" t="s">
        <v>570</v>
      </c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</row>
    <row r="604" spans="1:27" ht="15">
      <c r="B604"/>
      <c r="C604"/>
      <c r="D604" t="s">
        <v>4657</v>
      </c>
      <c r="E604" t="s">
        <v>4660</v>
      </c>
      <c r="F604" t="s">
        <v>979</v>
      </c>
      <c r="G604" t="s">
        <v>2163</v>
      </c>
      <c r="H604"/>
      <c r="I604"/>
      <c r="J604" t="s">
        <v>803</v>
      </c>
      <c r="K604" t="s">
        <v>803</v>
      </c>
      <c r="L604"/>
      <c r="M604"/>
      <c r="N604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</row>
    <row r="605" spans="1:27" ht="15">
      <c r="B605"/>
      <c r="C605"/>
      <c r="D605" t="s">
        <v>4657</v>
      </c>
      <c r="E605" t="s">
        <v>4664</v>
      </c>
      <c r="F605" t="s">
        <v>4089</v>
      </c>
      <c r="G605" t="s">
        <v>3150</v>
      </c>
      <c r="H605"/>
      <c r="I605"/>
      <c r="J605" t="s">
        <v>803</v>
      </c>
      <c r="K605" t="s">
        <v>803</v>
      </c>
      <c r="L605"/>
      <c r="M605"/>
      <c r="N605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</row>
    <row r="606" spans="1:27" ht="15">
      <c r="A606" s="96">
        <v>45244</v>
      </c>
      <c r="B606" t="s">
        <v>7382</v>
      </c>
      <c r="C606" t="s">
        <v>670</v>
      </c>
      <c r="D606"/>
      <c r="E606" t="s">
        <v>2625</v>
      </c>
      <c r="F606"/>
      <c r="G606" t="s">
        <v>2107</v>
      </c>
      <c r="H606" t="s">
        <v>7262</v>
      </c>
      <c r="I606" t="s">
        <v>7383</v>
      </c>
      <c r="J606" t="s">
        <v>7384</v>
      </c>
      <c r="K606" t="s">
        <v>7384</v>
      </c>
      <c r="L606" t="s">
        <v>518</v>
      </c>
      <c r="M606" t="s">
        <v>7385</v>
      </c>
      <c r="N606" t="s">
        <v>535</v>
      </c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</row>
    <row r="607" spans="1:27" ht="15">
      <c r="A607" s="96">
        <v>45244</v>
      </c>
      <c r="B607" t="s">
        <v>7386</v>
      </c>
      <c r="C607" t="s">
        <v>670</v>
      </c>
      <c r="D607"/>
      <c r="E607" t="s">
        <v>2625</v>
      </c>
      <c r="F607"/>
      <c r="G607" t="s">
        <v>2107</v>
      </c>
      <c r="H607" t="s">
        <v>7262</v>
      </c>
      <c r="I607" t="s">
        <v>7387</v>
      </c>
      <c r="J607" t="s">
        <v>7384</v>
      </c>
      <c r="K607" t="s">
        <v>7384</v>
      </c>
      <c r="L607" t="s">
        <v>518</v>
      </c>
      <c r="M607" t="s">
        <v>7385</v>
      </c>
      <c r="N607" t="s">
        <v>535</v>
      </c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</row>
    <row r="608" spans="1:27" ht="15">
      <c r="A608" s="96">
        <v>45244</v>
      </c>
      <c r="B608" t="s">
        <v>3676</v>
      </c>
      <c r="C608" t="s">
        <v>670</v>
      </c>
      <c r="D608"/>
      <c r="E608" t="s">
        <v>7350</v>
      </c>
      <c r="F608"/>
      <c r="G608" t="s">
        <v>2851</v>
      </c>
      <c r="H608" t="s">
        <v>7262</v>
      </c>
      <c r="I608" t="s">
        <v>3678</v>
      </c>
      <c r="J608" t="s">
        <v>733</v>
      </c>
      <c r="K608" t="s">
        <v>733</v>
      </c>
      <c r="L608" t="s">
        <v>518</v>
      </c>
      <c r="M608" t="s">
        <v>731</v>
      </c>
      <c r="N608" t="s">
        <v>535</v>
      </c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</row>
    <row r="609" spans="1:27" ht="15">
      <c r="B609"/>
      <c r="C609"/>
      <c r="D609" t="s">
        <v>3669</v>
      </c>
      <c r="E609" t="s">
        <v>3677</v>
      </c>
      <c r="F609" t="s">
        <v>657</v>
      </c>
      <c r="G609" t="s">
        <v>2851</v>
      </c>
      <c r="H609"/>
      <c r="I609"/>
      <c r="J609" t="s">
        <v>733</v>
      </c>
      <c r="K609" t="s">
        <v>733</v>
      </c>
      <c r="L609"/>
      <c r="M609"/>
      <c r="N609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</row>
    <row r="610" spans="1:27" ht="15">
      <c r="A610" s="96">
        <v>45244</v>
      </c>
      <c r="B610" t="s">
        <v>7388</v>
      </c>
      <c r="C610" t="s">
        <v>670</v>
      </c>
      <c r="D610"/>
      <c r="E610" t="s">
        <v>7389</v>
      </c>
      <c r="F610"/>
      <c r="G610" t="s">
        <v>7390</v>
      </c>
      <c r="H610" t="s">
        <v>7262</v>
      </c>
      <c r="I610" t="s">
        <v>7391</v>
      </c>
      <c r="J610" t="s">
        <v>597</v>
      </c>
      <c r="K610" t="s">
        <v>597</v>
      </c>
      <c r="L610" t="s">
        <v>518</v>
      </c>
      <c r="M610" t="s">
        <v>667</v>
      </c>
      <c r="N610" t="s">
        <v>520</v>
      </c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</row>
    <row r="611" spans="1:27" ht="15">
      <c r="B611"/>
      <c r="C611"/>
      <c r="D611" t="s">
        <v>816</v>
      </c>
      <c r="E611" t="s">
        <v>818</v>
      </c>
      <c r="F611" t="s">
        <v>514</v>
      </c>
      <c r="G611" t="s">
        <v>819</v>
      </c>
      <c r="H611"/>
      <c r="I611"/>
      <c r="J611" t="s">
        <v>597</v>
      </c>
      <c r="K611" t="s">
        <v>597</v>
      </c>
      <c r="L611"/>
      <c r="M611"/>
      <c r="N611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</row>
    <row r="612" spans="1:27" ht="15">
      <c r="B612"/>
      <c r="C612"/>
      <c r="D612" t="s">
        <v>816</v>
      </c>
      <c r="E612" t="s">
        <v>818</v>
      </c>
      <c r="F612" t="s">
        <v>514</v>
      </c>
      <c r="G612" t="s">
        <v>819</v>
      </c>
      <c r="H612"/>
      <c r="I612"/>
      <c r="J612" t="s">
        <v>597</v>
      </c>
      <c r="K612" t="s">
        <v>597</v>
      </c>
      <c r="L612"/>
      <c r="M612"/>
      <c r="N612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</row>
    <row r="613" spans="1:27" ht="15">
      <c r="B613"/>
      <c r="C613"/>
      <c r="D613" t="s">
        <v>816</v>
      </c>
      <c r="E613" t="s">
        <v>818</v>
      </c>
      <c r="F613" t="s">
        <v>514</v>
      </c>
      <c r="G613" t="s">
        <v>819</v>
      </c>
      <c r="H613"/>
      <c r="I613"/>
      <c r="J613" t="s">
        <v>597</v>
      </c>
      <c r="K613" t="s">
        <v>597</v>
      </c>
      <c r="L613"/>
      <c r="M613"/>
      <c r="N61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</row>
    <row r="614" spans="1:27" ht="15">
      <c r="B614"/>
      <c r="C614"/>
      <c r="D614" t="s">
        <v>816</v>
      </c>
      <c r="E614" t="s">
        <v>818</v>
      </c>
      <c r="F614" t="s">
        <v>514</v>
      </c>
      <c r="G614" t="s">
        <v>819</v>
      </c>
      <c r="H614"/>
      <c r="I614"/>
      <c r="J614" t="s">
        <v>597</v>
      </c>
      <c r="K614" t="s">
        <v>597</v>
      </c>
      <c r="L614"/>
      <c r="M614"/>
      <c r="N614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</row>
    <row r="615" spans="1:27" ht="15">
      <c r="B615"/>
      <c r="C615"/>
      <c r="D615" t="s">
        <v>2265</v>
      </c>
      <c r="E615" t="s">
        <v>2267</v>
      </c>
      <c r="F615" t="s">
        <v>514</v>
      </c>
      <c r="G615" t="s">
        <v>808</v>
      </c>
      <c r="H615"/>
      <c r="I615"/>
      <c r="J615" t="s">
        <v>597</v>
      </c>
      <c r="K615" t="s">
        <v>597</v>
      </c>
      <c r="L615"/>
      <c r="M615"/>
      <c r="N615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</row>
    <row r="616" spans="1:27" ht="15">
      <c r="B616"/>
      <c r="C616"/>
      <c r="D616" t="s">
        <v>2015</v>
      </c>
      <c r="E616" t="s">
        <v>2019</v>
      </c>
      <c r="F616" t="s">
        <v>648</v>
      </c>
      <c r="G616" t="s">
        <v>2020</v>
      </c>
      <c r="H616"/>
      <c r="I616"/>
      <c r="J616" t="s">
        <v>597</v>
      </c>
      <c r="K616" t="s">
        <v>597</v>
      </c>
      <c r="L616"/>
      <c r="M616"/>
      <c r="N616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</row>
    <row r="617" spans="1:27" ht="15">
      <c r="B617"/>
      <c r="C617"/>
      <c r="D617" t="s">
        <v>987</v>
      </c>
      <c r="E617" t="s">
        <v>989</v>
      </c>
      <c r="F617" t="s">
        <v>514</v>
      </c>
      <c r="G617" t="s">
        <v>990</v>
      </c>
      <c r="H617"/>
      <c r="I617"/>
      <c r="J617" t="s">
        <v>597</v>
      </c>
      <c r="K617" t="s">
        <v>597</v>
      </c>
      <c r="L617"/>
      <c r="M617"/>
      <c r="N617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</row>
    <row r="618" spans="1:27" ht="15">
      <c r="A618" s="96">
        <v>45244</v>
      </c>
      <c r="B618" t="s">
        <v>4055</v>
      </c>
      <c r="C618" t="s">
        <v>670</v>
      </c>
      <c r="D618"/>
      <c r="E618" t="s">
        <v>7392</v>
      </c>
      <c r="F618"/>
      <c r="G618" t="s">
        <v>7393</v>
      </c>
      <c r="H618" t="s">
        <v>7262</v>
      </c>
      <c r="I618" t="s">
        <v>4059</v>
      </c>
      <c r="J618" t="s">
        <v>1796</v>
      </c>
      <c r="K618" t="s">
        <v>1796</v>
      </c>
      <c r="L618" t="s">
        <v>518</v>
      </c>
      <c r="M618" t="s">
        <v>1794</v>
      </c>
      <c r="N618" t="s">
        <v>605</v>
      </c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</row>
    <row r="619" spans="1:27" ht="15">
      <c r="B619"/>
      <c r="C619"/>
      <c r="D619" t="s">
        <v>4053</v>
      </c>
      <c r="E619" t="s">
        <v>4056</v>
      </c>
      <c r="F619" t="s">
        <v>4057</v>
      </c>
      <c r="G619" t="s">
        <v>4058</v>
      </c>
      <c r="H619"/>
      <c r="I619"/>
      <c r="J619" t="s">
        <v>1796</v>
      </c>
      <c r="K619" t="s">
        <v>1350</v>
      </c>
      <c r="L619"/>
      <c r="M619"/>
      <c r="N619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</row>
    <row r="620" spans="1:27" ht="15">
      <c r="B620"/>
      <c r="C620"/>
      <c r="D620" t="s">
        <v>4053</v>
      </c>
      <c r="E620" t="s">
        <v>1522</v>
      </c>
      <c r="F620" t="s">
        <v>514</v>
      </c>
      <c r="G620" t="s">
        <v>1822</v>
      </c>
      <c r="H620"/>
      <c r="I620"/>
      <c r="J620" t="s">
        <v>1796</v>
      </c>
      <c r="K620" t="s">
        <v>1350</v>
      </c>
      <c r="L620"/>
      <c r="M620"/>
      <c r="N620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</row>
    <row r="621" spans="1:27" ht="15">
      <c r="A621" s="96">
        <v>45244</v>
      </c>
      <c r="B621" t="s">
        <v>4993</v>
      </c>
      <c r="C621" t="s">
        <v>4997</v>
      </c>
      <c r="D621"/>
      <c r="E621" t="s">
        <v>7394</v>
      </c>
      <c r="F621"/>
      <c r="G621" t="s">
        <v>4995</v>
      </c>
      <c r="H621" t="s">
        <v>7262</v>
      </c>
      <c r="I621" t="s">
        <v>4996</v>
      </c>
      <c r="J621" t="s">
        <v>1494</v>
      </c>
      <c r="K621" t="s">
        <v>1494</v>
      </c>
      <c r="L621" t="s">
        <v>518</v>
      </c>
      <c r="M621" t="s">
        <v>1491</v>
      </c>
      <c r="N621" t="s">
        <v>520</v>
      </c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</row>
    <row r="622" spans="1:27" ht="15">
      <c r="B622"/>
      <c r="C622"/>
      <c r="D622" t="s">
        <v>2576</v>
      </c>
      <c r="E622" t="s">
        <v>4994</v>
      </c>
      <c r="F622" t="s">
        <v>979</v>
      </c>
      <c r="G622" t="s">
        <v>4995</v>
      </c>
      <c r="H622"/>
      <c r="I622"/>
      <c r="J622" t="s">
        <v>1494</v>
      </c>
      <c r="K622" t="s">
        <v>1494</v>
      </c>
      <c r="L622"/>
      <c r="M622"/>
      <c r="N622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</row>
    <row r="623" spans="1:27" ht="15">
      <c r="A623" s="96">
        <v>45244</v>
      </c>
      <c r="B623" t="s">
        <v>5000</v>
      </c>
      <c r="C623" t="s">
        <v>1418</v>
      </c>
      <c r="D623"/>
      <c r="E623" t="s">
        <v>7395</v>
      </c>
      <c r="F623"/>
      <c r="G623" t="s">
        <v>4995</v>
      </c>
      <c r="H623" t="s">
        <v>7262</v>
      </c>
      <c r="I623" t="s">
        <v>5001</v>
      </c>
      <c r="J623" t="s">
        <v>1494</v>
      </c>
      <c r="K623" t="s">
        <v>1494</v>
      </c>
      <c r="L623" t="s">
        <v>518</v>
      </c>
      <c r="M623" t="s">
        <v>1491</v>
      </c>
      <c r="N623" t="s">
        <v>520</v>
      </c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</row>
    <row r="624" spans="1:27" ht="15">
      <c r="B624"/>
      <c r="C624"/>
      <c r="D624" t="s">
        <v>2576</v>
      </c>
      <c r="E624" t="s">
        <v>4994</v>
      </c>
      <c r="F624" t="s">
        <v>979</v>
      </c>
      <c r="G624" t="s">
        <v>4995</v>
      </c>
      <c r="H624"/>
      <c r="I624"/>
      <c r="J624" t="s">
        <v>1494</v>
      </c>
      <c r="K624" t="s">
        <v>1494</v>
      </c>
      <c r="L624"/>
      <c r="M624"/>
      <c r="N624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</row>
    <row r="625" spans="1:27" ht="15">
      <c r="A625" s="96">
        <v>45244</v>
      </c>
      <c r="B625" t="s">
        <v>4296</v>
      </c>
      <c r="C625" t="s">
        <v>670</v>
      </c>
      <c r="D625"/>
      <c r="E625" t="s">
        <v>7396</v>
      </c>
      <c r="F625"/>
      <c r="G625" t="s">
        <v>4298</v>
      </c>
      <c r="H625" t="s">
        <v>7262</v>
      </c>
      <c r="I625" t="s">
        <v>4299</v>
      </c>
      <c r="J625" t="s">
        <v>840</v>
      </c>
      <c r="K625" t="s">
        <v>840</v>
      </c>
      <c r="L625" t="s">
        <v>518</v>
      </c>
      <c r="M625" t="s">
        <v>839</v>
      </c>
      <c r="N625" t="s">
        <v>520</v>
      </c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</row>
    <row r="626" spans="1:27" ht="15">
      <c r="B626"/>
      <c r="C626"/>
      <c r="D626" t="s">
        <v>4294</v>
      </c>
      <c r="E626" t="s">
        <v>4297</v>
      </c>
      <c r="F626" t="s">
        <v>2579</v>
      </c>
      <c r="G626" t="s">
        <v>4298</v>
      </c>
      <c r="H626"/>
      <c r="I626"/>
      <c r="J626" t="s">
        <v>840</v>
      </c>
      <c r="K626" t="s">
        <v>840</v>
      </c>
      <c r="L626"/>
      <c r="M626"/>
      <c r="N626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</row>
    <row r="627" spans="1:27" ht="15">
      <c r="A627" s="96">
        <v>45244</v>
      </c>
      <c r="B627" t="s">
        <v>4987</v>
      </c>
      <c r="C627" t="s">
        <v>1071</v>
      </c>
      <c r="D627"/>
      <c r="E627" t="s">
        <v>7397</v>
      </c>
      <c r="F627"/>
      <c r="G627" t="s">
        <v>4989</v>
      </c>
      <c r="H627" t="s">
        <v>7262</v>
      </c>
      <c r="I627" t="s">
        <v>4990</v>
      </c>
      <c r="J627" t="s">
        <v>803</v>
      </c>
      <c r="K627" t="s">
        <v>803</v>
      </c>
      <c r="L627" t="s">
        <v>518</v>
      </c>
      <c r="M627" t="s">
        <v>801</v>
      </c>
      <c r="N627" t="s">
        <v>535</v>
      </c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</row>
    <row r="628" spans="1:27" ht="15">
      <c r="B628"/>
      <c r="C628"/>
      <c r="D628" t="s">
        <v>4982</v>
      </c>
      <c r="E628" t="s">
        <v>4988</v>
      </c>
      <c r="F628" t="s">
        <v>657</v>
      </c>
      <c r="G628" t="s">
        <v>4989</v>
      </c>
      <c r="H628"/>
      <c r="I628"/>
      <c r="J628" t="s">
        <v>803</v>
      </c>
      <c r="K628" t="s">
        <v>803</v>
      </c>
      <c r="L628"/>
      <c r="M628"/>
      <c r="N628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</row>
    <row r="629" spans="1:27" ht="15">
      <c r="A629" s="96">
        <v>45244</v>
      </c>
      <c r="B629" t="s">
        <v>5458</v>
      </c>
      <c r="C629" t="s">
        <v>670</v>
      </c>
      <c r="D629"/>
      <c r="E629" t="s">
        <v>7398</v>
      </c>
      <c r="F629"/>
      <c r="G629" t="s">
        <v>3412</v>
      </c>
      <c r="H629" t="s">
        <v>7262</v>
      </c>
      <c r="I629" t="s">
        <v>5460</v>
      </c>
      <c r="J629" t="s">
        <v>545</v>
      </c>
      <c r="K629" t="s">
        <v>545</v>
      </c>
      <c r="L629" t="s">
        <v>518</v>
      </c>
      <c r="M629" t="s">
        <v>763</v>
      </c>
      <c r="N629" t="s">
        <v>520</v>
      </c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</row>
    <row r="630" spans="1:27" ht="15">
      <c r="B630"/>
      <c r="C630"/>
      <c r="D630" t="s">
        <v>5456</v>
      </c>
      <c r="E630" t="s">
        <v>5459</v>
      </c>
      <c r="F630" t="s">
        <v>979</v>
      </c>
      <c r="G630" t="s">
        <v>3412</v>
      </c>
      <c r="H630"/>
      <c r="I630"/>
      <c r="J630" t="s">
        <v>545</v>
      </c>
      <c r="K630" t="s">
        <v>545</v>
      </c>
      <c r="L630"/>
      <c r="M630"/>
      <c r="N630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</row>
    <row r="631" spans="1:27" ht="15">
      <c r="A631" s="96">
        <v>45244</v>
      </c>
      <c r="B631" t="s">
        <v>5483</v>
      </c>
      <c r="C631" t="s">
        <v>670</v>
      </c>
      <c r="D631"/>
      <c r="E631" t="s">
        <v>7399</v>
      </c>
      <c r="F631"/>
      <c r="G631" t="s">
        <v>5485</v>
      </c>
      <c r="H631" t="s">
        <v>7262</v>
      </c>
      <c r="I631" t="s">
        <v>5486</v>
      </c>
      <c r="J631" t="s">
        <v>699</v>
      </c>
      <c r="K631" t="s">
        <v>699</v>
      </c>
      <c r="L631" t="s">
        <v>518</v>
      </c>
      <c r="M631" t="s">
        <v>697</v>
      </c>
      <c r="N631" t="s">
        <v>605</v>
      </c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</row>
    <row r="632" spans="1:27" ht="15">
      <c r="B632"/>
      <c r="C632"/>
      <c r="D632" t="s">
        <v>5481</v>
      </c>
      <c r="E632" t="s">
        <v>5484</v>
      </c>
      <c r="F632" t="s">
        <v>4089</v>
      </c>
      <c r="G632" t="s">
        <v>5485</v>
      </c>
      <c r="H632"/>
      <c r="I632"/>
      <c r="J632" t="s">
        <v>699</v>
      </c>
      <c r="K632" t="s">
        <v>699</v>
      </c>
      <c r="L632"/>
      <c r="M632"/>
      <c r="N632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</row>
    <row r="633" spans="1:27" ht="15">
      <c r="A633" s="96">
        <v>45244</v>
      </c>
      <c r="B633" t="s">
        <v>4229</v>
      </c>
      <c r="C633" t="s">
        <v>670</v>
      </c>
      <c r="D633"/>
      <c r="E633" t="s">
        <v>7355</v>
      </c>
      <c r="F633"/>
      <c r="G633" t="s">
        <v>4220</v>
      </c>
      <c r="H633" t="s">
        <v>7262</v>
      </c>
      <c r="I633" t="s">
        <v>4230</v>
      </c>
      <c r="J633" t="s">
        <v>3640</v>
      </c>
      <c r="K633" t="s">
        <v>3640</v>
      </c>
      <c r="L633" t="s">
        <v>518</v>
      </c>
      <c r="M633" t="s">
        <v>3639</v>
      </c>
      <c r="N633" t="s">
        <v>535</v>
      </c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</row>
    <row r="634" spans="1:27" ht="15">
      <c r="B634"/>
      <c r="C634"/>
      <c r="D634" t="s">
        <v>4216</v>
      </c>
      <c r="E634" t="s">
        <v>4219</v>
      </c>
      <c r="F634" t="s">
        <v>657</v>
      </c>
      <c r="G634" t="s">
        <v>4220</v>
      </c>
      <c r="H634"/>
      <c r="I634"/>
      <c r="J634" t="s">
        <v>3640</v>
      </c>
      <c r="K634" t="s">
        <v>3640</v>
      </c>
      <c r="L634"/>
      <c r="M634"/>
      <c r="N634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</row>
    <row r="635" spans="1:27" ht="15">
      <c r="A635" s="96">
        <v>45244</v>
      </c>
      <c r="B635" t="s">
        <v>3777</v>
      </c>
      <c r="C635" t="s">
        <v>670</v>
      </c>
      <c r="D635"/>
      <c r="E635" t="s">
        <v>7400</v>
      </c>
      <c r="F635"/>
      <c r="G635" t="s">
        <v>7401</v>
      </c>
      <c r="H635" t="s">
        <v>7262</v>
      </c>
      <c r="I635" t="s">
        <v>3779</v>
      </c>
      <c r="J635" t="s">
        <v>741</v>
      </c>
      <c r="K635" t="s">
        <v>741</v>
      </c>
      <c r="L635" t="s">
        <v>518</v>
      </c>
      <c r="M635" t="s">
        <v>739</v>
      </c>
      <c r="N635" t="s">
        <v>535</v>
      </c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</row>
    <row r="636" spans="1:27" ht="15">
      <c r="B636"/>
      <c r="C636"/>
      <c r="D636" t="s">
        <v>3775</v>
      </c>
      <c r="E636" t="s">
        <v>3778</v>
      </c>
      <c r="F636" t="s">
        <v>514</v>
      </c>
      <c r="G636" t="s">
        <v>1340</v>
      </c>
      <c r="H636"/>
      <c r="I636"/>
      <c r="J636" t="s">
        <v>741</v>
      </c>
      <c r="K636" t="s">
        <v>741</v>
      </c>
      <c r="L636"/>
      <c r="M636"/>
      <c r="N636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</row>
    <row r="637" spans="1:27" ht="15">
      <c r="B637"/>
      <c r="C637"/>
      <c r="D637" t="s">
        <v>3775</v>
      </c>
      <c r="E637" t="s">
        <v>3781</v>
      </c>
      <c r="F637" t="s">
        <v>514</v>
      </c>
      <c r="G637" t="s">
        <v>1340</v>
      </c>
      <c r="H637"/>
      <c r="I637"/>
      <c r="J637" t="s">
        <v>741</v>
      </c>
      <c r="K637" t="s">
        <v>741</v>
      </c>
      <c r="L637"/>
      <c r="M637"/>
      <c r="N637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</row>
    <row r="638" spans="1:27" ht="15">
      <c r="B638"/>
      <c r="C638"/>
      <c r="D638" t="s">
        <v>3775</v>
      </c>
      <c r="E638" t="s">
        <v>3781</v>
      </c>
      <c r="F638" t="s">
        <v>514</v>
      </c>
      <c r="G638" t="s">
        <v>1340</v>
      </c>
      <c r="H638"/>
      <c r="I638"/>
      <c r="J638" t="s">
        <v>741</v>
      </c>
      <c r="K638" t="s">
        <v>741</v>
      </c>
      <c r="L638"/>
      <c r="M638"/>
      <c r="N638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</row>
    <row r="639" spans="1:27" ht="15">
      <c r="B639"/>
      <c r="C639"/>
      <c r="D639" t="s">
        <v>3775</v>
      </c>
      <c r="E639" t="s">
        <v>3781</v>
      </c>
      <c r="F639" t="s">
        <v>514</v>
      </c>
      <c r="G639" t="s">
        <v>1340</v>
      </c>
      <c r="H639"/>
      <c r="I639"/>
      <c r="J639" t="s">
        <v>741</v>
      </c>
      <c r="K639" t="s">
        <v>741</v>
      </c>
      <c r="L639"/>
      <c r="M639"/>
      <c r="N639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</row>
    <row r="640" spans="1:27" ht="15">
      <c r="B640"/>
      <c r="C640"/>
      <c r="D640" t="s">
        <v>735</v>
      </c>
      <c r="E640" t="s">
        <v>737</v>
      </c>
      <c r="F640" t="s">
        <v>514</v>
      </c>
      <c r="G640" t="s">
        <v>738</v>
      </c>
      <c r="H640"/>
      <c r="I640"/>
      <c r="J640" t="s">
        <v>741</v>
      </c>
      <c r="K640" t="s">
        <v>741</v>
      </c>
      <c r="L640"/>
      <c r="M640"/>
      <c r="N640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</row>
    <row r="641" spans="1:27" ht="15">
      <c r="B641"/>
      <c r="C641"/>
      <c r="D641" t="s">
        <v>2352</v>
      </c>
      <c r="E641" t="s">
        <v>2354</v>
      </c>
      <c r="F641" t="s">
        <v>514</v>
      </c>
      <c r="G641" t="s">
        <v>1123</v>
      </c>
      <c r="H641"/>
      <c r="I641"/>
      <c r="J641" t="s">
        <v>741</v>
      </c>
      <c r="K641" t="s">
        <v>741</v>
      </c>
      <c r="L641"/>
      <c r="M641"/>
      <c r="N641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</row>
    <row r="642" spans="1:27" ht="15">
      <c r="B642"/>
      <c r="C642"/>
      <c r="D642" t="s">
        <v>735</v>
      </c>
      <c r="E642" t="s">
        <v>737</v>
      </c>
      <c r="F642" t="s">
        <v>514</v>
      </c>
      <c r="G642" t="s">
        <v>738</v>
      </c>
      <c r="H642"/>
      <c r="I642"/>
      <c r="J642" t="s">
        <v>741</v>
      </c>
      <c r="K642" t="s">
        <v>741</v>
      </c>
      <c r="L642"/>
      <c r="M642"/>
      <c r="N642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</row>
    <row r="643" spans="1:27" ht="15">
      <c r="A643" s="96">
        <v>45244</v>
      </c>
      <c r="B643" t="s">
        <v>5500</v>
      </c>
      <c r="C643" t="s">
        <v>670</v>
      </c>
      <c r="D643"/>
      <c r="E643" t="s">
        <v>7402</v>
      </c>
      <c r="F643"/>
      <c r="G643" t="s">
        <v>5502</v>
      </c>
      <c r="H643" t="s">
        <v>7262</v>
      </c>
      <c r="I643" t="s">
        <v>5503</v>
      </c>
      <c r="J643" t="s">
        <v>1537</v>
      </c>
      <c r="K643" t="s">
        <v>1537</v>
      </c>
      <c r="L643" t="s">
        <v>518</v>
      </c>
      <c r="M643" t="s">
        <v>1536</v>
      </c>
      <c r="N643" t="s">
        <v>802</v>
      </c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</row>
    <row r="644" spans="1:27" ht="15">
      <c r="B644"/>
      <c r="C644"/>
      <c r="D644" t="s">
        <v>5498</v>
      </c>
      <c r="E644" t="s">
        <v>5501</v>
      </c>
      <c r="F644" t="s">
        <v>724</v>
      </c>
      <c r="G644" t="s">
        <v>5502</v>
      </c>
      <c r="H644"/>
      <c r="I644"/>
      <c r="J644" t="s">
        <v>1537</v>
      </c>
      <c r="K644" t="s">
        <v>1537</v>
      </c>
      <c r="L644"/>
      <c r="M644"/>
      <c r="N644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</row>
    <row r="645" spans="1:27" ht="15">
      <c r="A645" s="96">
        <v>45244</v>
      </c>
      <c r="B645" t="s">
        <v>3917</v>
      </c>
      <c r="C645" t="s">
        <v>670</v>
      </c>
      <c r="D645"/>
      <c r="E645" t="s">
        <v>7403</v>
      </c>
      <c r="F645"/>
      <c r="G645" t="s">
        <v>3919</v>
      </c>
      <c r="H645" t="s">
        <v>7262</v>
      </c>
      <c r="I645" t="s">
        <v>3920</v>
      </c>
      <c r="J645" t="s">
        <v>733</v>
      </c>
      <c r="K645" t="s">
        <v>733</v>
      </c>
      <c r="L645" t="s">
        <v>518</v>
      </c>
      <c r="M645" t="s">
        <v>3910</v>
      </c>
      <c r="N645" t="s">
        <v>1374</v>
      </c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/>
    </row>
    <row r="646" spans="1:27" ht="15">
      <c r="B646"/>
      <c r="C646"/>
      <c r="D646" t="s">
        <v>3905</v>
      </c>
      <c r="E646" t="s">
        <v>3918</v>
      </c>
      <c r="F646" t="s">
        <v>1077</v>
      </c>
      <c r="G646" t="s">
        <v>3919</v>
      </c>
      <c r="H646"/>
      <c r="I646"/>
      <c r="J646" t="s">
        <v>733</v>
      </c>
      <c r="K646" t="s">
        <v>733</v>
      </c>
      <c r="L646"/>
      <c r="M646"/>
      <c r="N646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/>
    </row>
    <row r="647" spans="1:27" ht="15">
      <c r="A647" s="96">
        <v>45244</v>
      </c>
      <c r="B647" t="s">
        <v>2994</v>
      </c>
      <c r="C647" t="s">
        <v>670</v>
      </c>
      <c r="D647"/>
      <c r="E647" t="s">
        <v>7222</v>
      </c>
      <c r="F647"/>
      <c r="G647" t="s">
        <v>2991</v>
      </c>
      <c r="H647" t="s">
        <v>7262</v>
      </c>
      <c r="I647" t="s">
        <v>2996</v>
      </c>
      <c r="J647" t="s">
        <v>1098</v>
      </c>
      <c r="K647" t="s">
        <v>1098</v>
      </c>
      <c r="L647" t="s">
        <v>518</v>
      </c>
      <c r="M647" t="s">
        <v>1097</v>
      </c>
      <c r="N647" t="s">
        <v>535</v>
      </c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</row>
    <row r="648" spans="1:27" ht="15">
      <c r="B648"/>
      <c r="C648"/>
      <c r="D648" t="s">
        <v>2987</v>
      </c>
      <c r="E648" t="s">
        <v>2995</v>
      </c>
      <c r="F648" t="s">
        <v>657</v>
      </c>
      <c r="G648" t="s">
        <v>2991</v>
      </c>
      <c r="H648"/>
      <c r="I648"/>
      <c r="J648" t="s">
        <v>1098</v>
      </c>
      <c r="K648" t="s">
        <v>1098</v>
      </c>
      <c r="L648"/>
      <c r="M648"/>
      <c r="N648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</row>
    <row r="649" spans="1:27" ht="15">
      <c r="A649" s="96">
        <v>45244</v>
      </c>
      <c r="B649" t="s">
        <v>7404</v>
      </c>
      <c r="C649" t="s">
        <v>1071</v>
      </c>
      <c r="D649"/>
      <c r="E649" t="s">
        <v>7102</v>
      </c>
      <c r="F649"/>
      <c r="G649" t="s">
        <v>2107</v>
      </c>
      <c r="H649" t="s">
        <v>7262</v>
      </c>
      <c r="I649" t="s">
        <v>7405</v>
      </c>
      <c r="J649" t="s">
        <v>1318</v>
      </c>
      <c r="K649" t="s">
        <v>3969</v>
      </c>
      <c r="L649" t="s">
        <v>518</v>
      </c>
      <c r="M649" t="s">
        <v>5545</v>
      </c>
      <c r="N649" t="s">
        <v>535</v>
      </c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</row>
    <row r="650" spans="1:27" ht="15">
      <c r="A650" s="96">
        <v>45244</v>
      </c>
      <c r="B650" t="s">
        <v>4371</v>
      </c>
      <c r="C650" t="s">
        <v>670</v>
      </c>
      <c r="D650"/>
      <c r="E650" t="s">
        <v>7406</v>
      </c>
      <c r="F650"/>
      <c r="G650" t="s">
        <v>555</v>
      </c>
      <c r="H650" t="s">
        <v>7262</v>
      </c>
      <c r="I650" t="s">
        <v>4374</v>
      </c>
      <c r="J650" t="s">
        <v>1918</v>
      </c>
      <c r="K650" t="s">
        <v>1918</v>
      </c>
      <c r="L650" t="s">
        <v>518</v>
      </c>
      <c r="M650" t="s">
        <v>4077</v>
      </c>
      <c r="N650" t="s">
        <v>535</v>
      </c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</row>
    <row r="651" spans="1:27" ht="15">
      <c r="B651"/>
      <c r="C651"/>
      <c r="D651" t="s">
        <v>4369</v>
      </c>
      <c r="E651" t="s">
        <v>4372</v>
      </c>
      <c r="F651" t="s">
        <v>4373</v>
      </c>
      <c r="G651" t="s">
        <v>555</v>
      </c>
      <c r="H651"/>
      <c r="I651"/>
      <c r="J651" t="s">
        <v>1918</v>
      </c>
      <c r="K651" t="s">
        <v>1918</v>
      </c>
      <c r="L651"/>
      <c r="M651"/>
      <c r="N651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</row>
    <row r="652" spans="1:27" ht="15">
      <c r="A652" s="96">
        <v>45244</v>
      </c>
      <c r="B652" t="s">
        <v>5141</v>
      </c>
      <c r="C652" t="s">
        <v>670</v>
      </c>
      <c r="D652"/>
      <c r="E652" t="s">
        <v>7407</v>
      </c>
      <c r="F652"/>
      <c r="G652" t="s">
        <v>555</v>
      </c>
      <c r="H652" t="s">
        <v>7284</v>
      </c>
      <c r="I652" t="s">
        <v>5143</v>
      </c>
      <c r="J652" t="s">
        <v>1918</v>
      </c>
      <c r="K652" t="s">
        <v>1918</v>
      </c>
      <c r="L652" t="s">
        <v>518</v>
      </c>
      <c r="M652" t="s">
        <v>2100</v>
      </c>
      <c r="N652" t="s">
        <v>605</v>
      </c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</row>
    <row r="653" spans="1:27" ht="15">
      <c r="B653"/>
      <c r="C653"/>
      <c r="D653" t="s">
        <v>5139</v>
      </c>
      <c r="E653" t="s">
        <v>5142</v>
      </c>
      <c r="F653" t="s">
        <v>514</v>
      </c>
      <c r="G653" t="s">
        <v>555</v>
      </c>
      <c r="H653"/>
      <c r="I653"/>
      <c r="J653" t="s">
        <v>1918</v>
      </c>
      <c r="K653" t="s">
        <v>1918</v>
      </c>
      <c r="L653"/>
      <c r="M653"/>
      <c r="N65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</row>
    <row r="654" spans="1:27" ht="15">
      <c r="A654" s="96">
        <v>45244</v>
      </c>
      <c r="B654" t="s">
        <v>2946</v>
      </c>
      <c r="C654" t="s">
        <v>670</v>
      </c>
      <c r="D654"/>
      <c r="E654" t="s">
        <v>7408</v>
      </c>
      <c r="F654"/>
      <c r="G654" t="s">
        <v>2940</v>
      </c>
      <c r="H654" t="s">
        <v>7284</v>
      </c>
      <c r="I654" t="s">
        <v>2947</v>
      </c>
      <c r="J654" t="s">
        <v>2943</v>
      </c>
      <c r="K654" t="s">
        <v>2943</v>
      </c>
      <c r="L654" t="s">
        <v>518</v>
      </c>
      <c r="M654" t="s">
        <v>2941</v>
      </c>
      <c r="N654" t="s">
        <v>535</v>
      </c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</row>
    <row r="655" spans="1:27" ht="15">
      <c r="B655"/>
      <c r="C655"/>
      <c r="D655" t="s">
        <v>2936</v>
      </c>
      <c r="E655" t="s">
        <v>2939</v>
      </c>
      <c r="F655" t="s">
        <v>657</v>
      </c>
      <c r="G655" t="s">
        <v>2940</v>
      </c>
      <c r="H655"/>
      <c r="I655"/>
      <c r="J655" t="s">
        <v>2943</v>
      </c>
      <c r="K655" t="s">
        <v>2943</v>
      </c>
      <c r="L655"/>
      <c r="M655"/>
      <c r="N655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</row>
    <row r="656" spans="1:27" ht="15">
      <c r="A656" s="96">
        <v>45244</v>
      </c>
      <c r="B656" t="s">
        <v>5124</v>
      </c>
      <c r="C656" t="s">
        <v>670</v>
      </c>
      <c r="D656"/>
      <c r="E656" t="s">
        <v>7409</v>
      </c>
      <c r="F656"/>
      <c r="G656" t="s">
        <v>555</v>
      </c>
      <c r="H656" t="s">
        <v>7284</v>
      </c>
      <c r="I656" t="s">
        <v>5126</v>
      </c>
      <c r="J656" t="s">
        <v>3083</v>
      </c>
      <c r="K656" t="s">
        <v>3083</v>
      </c>
      <c r="L656" t="s">
        <v>518</v>
      </c>
      <c r="M656" t="s">
        <v>3338</v>
      </c>
      <c r="N656" t="s">
        <v>535</v>
      </c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</row>
    <row r="657" spans="1:27" ht="15">
      <c r="B657"/>
      <c r="C657"/>
      <c r="D657" t="s">
        <v>5122</v>
      </c>
      <c r="E657" t="s">
        <v>5125</v>
      </c>
      <c r="F657" t="s">
        <v>514</v>
      </c>
      <c r="G657" t="s">
        <v>555</v>
      </c>
      <c r="H657"/>
      <c r="I657"/>
      <c r="J657" t="s">
        <v>3083</v>
      </c>
      <c r="K657" t="s">
        <v>3083</v>
      </c>
      <c r="L657"/>
      <c r="M657"/>
      <c r="N657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</row>
    <row r="658" spans="1:27" ht="15">
      <c r="A658" s="96">
        <v>45244</v>
      </c>
      <c r="B658" t="s">
        <v>4553</v>
      </c>
      <c r="C658" t="s">
        <v>670</v>
      </c>
      <c r="D658"/>
      <c r="E658" t="s">
        <v>7410</v>
      </c>
      <c r="F658"/>
      <c r="G658" t="s">
        <v>4556</v>
      </c>
      <c r="H658" t="s">
        <v>7284</v>
      </c>
      <c r="I658" t="s">
        <v>4557</v>
      </c>
      <c r="J658" t="s">
        <v>1918</v>
      </c>
      <c r="K658" t="s">
        <v>1918</v>
      </c>
      <c r="L658" t="s">
        <v>682</v>
      </c>
      <c r="M658" t="s">
        <v>3143</v>
      </c>
      <c r="N658" t="s">
        <v>570</v>
      </c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</row>
    <row r="659" spans="1:27" ht="15">
      <c r="B659"/>
      <c r="C659"/>
      <c r="D659" t="s">
        <v>4551</v>
      </c>
      <c r="E659" t="s">
        <v>4554</v>
      </c>
      <c r="F659" t="s">
        <v>4555</v>
      </c>
      <c r="G659" t="s">
        <v>4556</v>
      </c>
      <c r="H659"/>
      <c r="I659"/>
      <c r="J659" t="s">
        <v>1918</v>
      </c>
      <c r="K659" t="s">
        <v>1918</v>
      </c>
      <c r="L659"/>
      <c r="M659"/>
      <c r="N659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</row>
    <row r="660" spans="1:27" ht="15">
      <c r="A660" s="96">
        <v>45244</v>
      </c>
      <c r="B660" t="s">
        <v>4571</v>
      </c>
      <c r="C660" t="s">
        <v>670</v>
      </c>
      <c r="D660"/>
      <c r="E660" t="s">
        <v>7379</v>
      </c>
      <c r="F660"/>
      <c r="G660" t="s">
        <v>4573</v>
      </c>
      <c r="H660" t="s">
        <v>7284</v>
      </c>
      <c r="I660" t="s">
        <v>4574</v>
      </c>
      <c r="J660" t="s">
        <v>1918</v>
      </c>
      <c r="K660" t="s">
        <v>1918</v>
      </c>
      <c r="L660" t="s">
        <v>682</v>
      </c>
      <c r="M660" t="s">
        <v>3143</v>
      </c>
      <c r="N660" t="s">
        <v>570</v>
      </c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</row>
    <row r="661" spans="1:27" ht="15">
      <c r="B661"/>
      <c r="C661"/>
      <c r="D661" t="s">
        <v>4551</v>
      </c>
      <c r="E661" t="s">
        <v>4572</v>
      </c>
      <c r="F661" t="s">
        <v>1910</v>
      </c>
      <c r="G661" t="s">
        <v>4573</v>
      </c>
      <c r="H661"/>
      <c r="I661"/>
      <c r="J661" t="s">
        <v>1918</v>
      </c>
      <c r="K661" t="s">
        <v>1918</v>
      </c>
      <c r="L661"/>
      <c r="M661"/>
      <c r="N661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</row>
    <row r="662" spans="1:27" ht="15">
      <c r="A662" s="96">
        <v>45244</v>
      </c>
      <c r="B662" t="s">
        <v>4565</v>
      </c>
      <c r="C662" t="s">
        <v>670</v>
      </c>
      <c r="D662"/>
      <c r="E662" t="s">
        <v>7411</v>
      </c>
      <c r="F662"/>
      <c r="G662" t="s">
        <v>4568</v>
      </c>
      <c r="H662" t="s">
        <v>7284</v>
      </c>
      <c r="I662" t="s">
        <v>4569</v>
      </c>
      <c r="J662" t="s">
        <v>1918</v>
      </c>
      <c r="K662" t="s">
        <v>1918</v>
      </c>
      <c r="L662" t="s">
        <v>682</v>
      </c>
      <c r="M662" t="s">
        <v>3143</v>
      </c>
      <c r="N662" t="s">
        <v>570</v>
      </c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</row>
    <row r="663" spans="1:27" ht="15">
      <c r="B663"/>
      <c r="C663"/>
      <c r="D663" t="s">
        <v>4551</v>
      </c>
      <c r="E663" t="s">
        <v>4566</v>
      </c>
      <c r="F663" t="s">
        <v>4567</v>
      </c>
      <c r="G663" t="s">
        <v>4568</v>
      </c>
      <c r="H663"/>
      <c r="I663"/>
      <c r="J663" t="s">
        <v>1918</v>
      </c>
      <c r="K663" t="s">
        <v>1918</v>
      </c>
      <c r="L663"/>
      <c r="M663"/>
      <c r="N66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3"/>
      <c r="AA663" s="73"/>
    </row>
    <row r="664" spans="1:27" ht="15">
      <c r="A664" s="96">
        <v>45244</v>
      </c>
      <c r="B664" t="s">
        <v>5155</v>
      </c>
      <c r="C664" t="s">
        <v>670</v>
      </c>
      <c r="D664"/>
      <c r="E664" t="s">
        <v>7412</v>
      </c>
      <c r="F664"/>
      <c r="G664" t="s">
        <v>5157</v>
      </c>
      <c r="H664" t="s">
        <v>7284</v>
      </c>
      <c r="I664" t="s">
        <v>5158</v>
      </c>
      <c r="J664" t="s">
        <v>597</v>
      </c>
      <c r="K664" t="s">
        <v>597</v>
      </c>
      <c r="L664" t="s">
        <v>518</v>
      </c>
      <c r="M664" t="s">
        <v>596</v>
      </c>
      <c r="N664" t="s">
        <v>520</v>
      </c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</row>
    <row r="665" spans="1:27" ht="15">
      <c r="B665"/>
      <c r="C665"/>
      <c r="D665" t="s">
        <v>5153</v>
      </c>
      <c r="E665" t="s">
        <v>5156</v>
      </c>
      <c r="F665" t="s">
        <v>657</v>
      </c>
      <c r="G665" t="s">
        <v>5157</v>
      </c>
      <c r="H665"/>
      <c r="I665"/>
      <c r="J665" t="s">
        <v>597</v>
      </c>
      <c r="K665" t="s">
        <v>597</v>
      </c>
      <c r="L665"/>
      <c r="M665"/>
      <c r="N665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</row>
    <row r="666" spans="1:27" ht="15">
      <c r="A666" s="96">
        <v>45244</v>
      </c>
      <c r="B666" t="s">
        <v>4073</v>
      </c>
      <c r="C666" t="s">
        <v>670</v>
      </c>
      <c r="D666"/>
      <c r="E666" t="s">
        <v>7413</v>
      </c>
      <c r="F666"/>
      <c r="G666" t="s">
        <v>4076</v>
      </c>
      <c r="H666" t="s">
        <v>7284</v>
      </c>
      <c r="I666" t="s">
        <v>4078</v>
      </c>
      <c r="J666" t="s">
        <v>1918</v>
      </c>
      <c r="K666" t="s">
        <v>1918</v>
      </c>
      <c r="L666" t="s">
        <v>518</v>
      </c>
      <c r="M666" t="s">
        <v>4077</v>
      </c>
      <c r="N666" t="s">
        <v>520</v>
      </c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</row>
    <row r="667" spans="1:27" ht="15">
      <c r="B667"/>
      <c r="C667"/>
      <c r="D667" t="s">
        <v>4065</v>
      </c>
      <c r="E667" t="s">
        <v>4074</v>
      </c>
      <c r="F667" t="s">
        <v>4075</v>
      </c>
      <c r="G667" t="s">
        <v>4076</v>
      </c>
      <c r="H667"/>
      <c r="I667"/>
      <c r="J667" t="s">
        <v>1918</v>
      </c>
      <c r="K667" t="s">
        <v>1918</v>
      </c>
      <c r="L667"/>
      <c r="M667"/>
      <c r="N667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</row>
    <row r="668" spans="1:27" ht="15">
      <c r="A668" s="96">
        <v>45244</v>
      </c>
      <c r="B668" t="s">
        <v>4603</v>
      </c>
      <c r="C668" t="s">
        <v>670</v>
      </c>
      <c r="D668"/>
      <c r="E668" t="s">
        <v>7414</v>
      </c>
      <c r="F668"/>
      <c r="G668" t="s">
        <v>4605</v>
      </c>
      <c r="H668" t="s">
        <v>7284</v>
      </c>
      <c r="I668" t="s">
        <v>4606</v>
      </c>
      <c r="J668" t="s">
        <v>1857</v>
      </c>
      <c r="K668" t="s">
        <v>1857</v>
      </c>
      <c r="L668" t="s">
        <v>518</v>
      </c>
      <c r="M668" t="s">
        <v>1856</v>
      </c>
      <c r="N668" t="s">
        <v>520</v>
      </c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</row>
    <row r="669" spans="1:27" ht="15">
      <c r="B669"/>
      <c r="C669"/>
      <c r="D669" t="s">
        <v>4582</v>
      </c>
      <c r="E669" t="s">
        <v>4604</v>
      </c>
      <c r="F669" t="s">
        <v>4567</v>
      </c>
      <c r="G669" t="s">
        <v>4605</v>
      </c>
      <c r="H669"/>
      <c r="I669"/>
      <c r="J669" t="s">
        <v>1857</v>
      </c>
      <c r="K669" t="s">
        <v>1918</v>
      </c>
      <c r="L669"/>
      <c r="M669"/>
      <c r="N669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</row>
    <row r="670" spans="1:27" ht="15">
      <c r="A670" s="96">
        <v>45244</v>
      </c>
      <c r="B670" t="s">
        <v>4608</v>
      </c>
      <c r="C670" t="s">
        <v>670</v>
      </c>
      <c r="D670"/>
      <c r="E670" t="s">
        <v>7414</v>
      </c>
      <c r="F670"/>
      <c r="G670" t="s">
        <v>4605</v>
      </c>
      <c r="H670" t="s">
        <v>7284</v>
      </c>
      <c r="I670" t="s">
        <v>4609</v>
      </c>
      <c r="J670" t="s">
        <v>1857</v>
      </c>
      <c r="K670" t="s">
        <v>1857</v>
      </c>
      <c r="L670" t="s">
        <v>518</v>
      </c>
      <c r="M670" t="s">
        <v>1856</v>
      </c>
      <c r="N670" t="s">
        <v>520</v>
      </c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</row>
    <row r="671" spans="1:27" ht="15">
      <c r="B671"/>
      <c r="C671"/>
      <c r="D671" t="s">
        <v>4582</v>
      </c>
      <c r="E671" t="s">
        <v>4604</v>
      </c>
      <c r="F671" t="s">
        <v>4567</v>
      </c>
      <c r="G671" t="s">
        <v>4605</v>
      </c>
      <c r="H671"/>
      <c r="I671"/>
      <c r="J671" t="s">
        <v>1857</v>
      </c>
      <c r="K671" t="s">
        <v>1918</v>
      </c>
      <c r="L671"/>
      <c r="M671"/>
      <c r="N671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</row>
    <row r="672" spans="1:27" ht="15">
      <c r="A672" s="96">
        <v>45244</v>
      </c>
      <c r="B672" t="s">
        <v>4584</v>
      </c>
      <c r="C672" t="s">
        <v>670</v>
      </c>
      <c r="D672"/>
      <c r="E672" t="s">
        <v>3447</v>
      </c>
      <c r="F672"/>
      <c r="G672" t="s">
        <v>4587</v>
      </c>
      <c r="H672" t="s">
        <v>7284</v>
      </c>
      <c r="I672" t="s">
        <v>4588</v>
      </c>
      <c r="J672" t="s">
        <v>1857</v>
      </c>
      <c r="K672" t="s">
        <v>1857</v>
      </c>
      <c r="L672" t="s">
        <v>518</v>
      </c>
      <c r="M672" t="s">
        <v>1856</v>
      </c>
      <c r="N672" t="s">
        <v>520</v>
      </c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</row>
    <row r="673" spans="1:27" ht="15">
      <c r="B673"/>
      <c r="C673"/>
      <c r="D673" t="s">
        <v>4582</v>
      </c>
      <c r="E673" t="s">
        <v>4585</v>
      </c>
      <c r="F673" t="s">
        <v>4586</v>
      </c>
      <c r="G673" t="s">
        <v>4587</v>
      </c>
      <c r="H673"/>
      <c r="I673"/>
      <c r="J673" t="s">
        <v>1857</v>
      </c>
      <c r="K673" t="s">
        <v>1918</v>
      </c>
      <c r="L673"/>
      <c r="M673"/>
      <c r="N6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</row>
    <row r="674" spans="1:27" ht="15">
      <c r="A674" s="96">
        <v>45244</v>
      </c>
      <c r="B674" t="s">
        <v>4596</v>
      </c>
      <c r="C674" t="s">
        <v>670</v>
      </c>
      <c r="D674"/>
      <c r="E674" t="s">
        <v>7415</v>
      </c>
      <c r="F674"/>
      <c r="G674" t="s">
        <v>4599</v>
      </c>
      <c r="H674" t="s">
        <v>7284</v>
      </c>
      <c r="I674" t="s">
        <v>4600</v>
      </c>
      <c r="J674" t="s">
        <v>1857</v>
      </c>
      <c r="K674" t="s">
        <v>1857</v>
      </c>
      <c r="L674" t="s">
        <v>518</v>
      </c>
      <c r="M674" t="s">
        <v>1856</v>
      </c>
      <c r="N674" t="s">
        <v>520</v>
      </c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</row>
    <row r="675" spans="1:27" ht="15">
      <c r="B675"/>
      <c r="C675"/>
      <c r="D675" t="s">
        <v>4582</v>
      </c>
      <c r="E675" t="s">
        <v>4597</v>
      </c>
      <c r="F675" t="s">
        <v>4598</v>
      </c>
      <c r="G675" t="s">
        <v>4599</v>
      </c>
      <c r="H675"/>
      <c r="I675"/>
      <c r="J675" t="s">
        <v>1857</v>
      </c>
      <c r="K675" t="s">
        <v>1918</v>
      </c>
      <c r="L675"/>
      <c r="M675"/>
      <c r="N675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</row>
    <row r="676" spans="1:27" ht="15">
      <c r="A676" s="96">
        <v>45244</v>
      </c>
      <c r="B676" t="s">
        <v>5243</v>
      </c>
      <c r="C676" t="s">
        <v>670</v>
      </c>
      <c r="D676"/>
      <c r="E676" t="s">
        <v>7222</v>
      </c>
      <c r="F676"/>
      <c r="G676" t="s">
        <v>1261</v>
      </c>
      <c r="H676" t="s">
        <v>7284</v>
      </c>
      <c r="I676" t="s">
        <v>5244</v>
      </c>
      <c r="J676" t="s">
        <v>3837</v>
      </c>
      <c r="K676" t="s">
        <v>3837</v>
      </c>
      <c r="L676" t="s">
        <v>518</v>
      </c>
      <c r="M676" t="s">
        <v>3836</v>
      </c>
      <c r="N676" t="s">
        <v>520</v>
      </c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</row>
    <row r="677" spans="1:27" ht="15">
      <c r="B677"/>
      <c r="C677"/>
      <c r="D677" t="s">
        <v>5241</v>
      </c>
      <c r="E677" t="s">
        <v>2745</v>
      </c>
      <c r="F677" t="s">
        <v>514</v>
      </c>
      <c r="G677" t="s">
        <v>3868</v>
      </c>
      <c r="H677"/>
      <c r="I677"/>
      <c r="J677" t="s">
        <v>3837</v>
      </c>
      <c r="K677" t="s">
        <v>699</v>
      </c>
      <c r="L677"/>
      <c r="M677"/>
      <c r="N677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</row>
    <row r="678" spans="1:27" ht="15">
      <c r="B678"/>
      <c r="C678"/>
      <c r="D678" t="s">
        <v>5241</v>
      </c>
      <c r="E678" t="s">
        <v>2745</v>
      </c>
      <c r="F678" t="s">
        <v>514</v>
      </c>
      <c r="G678" t="s">
        <v>3868</v>
      </c>
      <c r="H678"/>
      <c r="I678"/>
      <c r="J678" t="s">
        <v>3837</v>
      </c>
      <c r="K678" t="s">
        <v>699</v>
      </c>
      <c r="L678"/>
      <c r="M678"/>
      <c r="N678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</row>
    <row r="679" spans="1:27" ht="15">
      <c r="B679"/>
      <c r="C679"/>
      <c r="D679" t="s">
        <v>5241</v>
      </c>
      <c r="E679" t="s">
        <v>2745</v>
      </c>
      <c r="F679" t="s">
        <v>514</v>
      </c>
      <c r="G679" t="s">
        <v>3868</v>
      </c>
      <c r="H679"/>
      <c r="I679"/>
      <c r="J679" t="s">
        <v>3837</v>
      </c>
      <c r="K679" t="s">
        <v>699</v>
      </c>
      <c r="L679"/>
      <c r="M679"/>
      <c r="N679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</row>
    <row r="680" spans="1:27" ht="15">
      <c r="B680"/>
      <c r="C680"/>
      <c r="D680" t="s">
        <v>5241</v>
      </c>
      <c r="E680" t="s">
        <v>2745</v>
      </c>
      <c r="F680" t="s">
        <v>514</v>
      </c>
      <c r="G680" t="s">
        <v>3868</v>
      </c>
      <c r="H680"/>
      <c r="I680"/>
      <c r="J680" t="s">
        <v>3837</v>
      </c>
      <c r="K680" t="s">
        <v>699</v>
      </c>
      <c r="L680"/>
      <c r="M680"/>
      <c r="N680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</row>
    <row r="681" spans="1:27" ht="15">
      <c r="B681"/>
      <c r="C681"/>
      <c r="D681" t="s">
        <v>5241</v>
      </c>
      <c r="E681" t="s">
        <v>2745</v>
      </c>
      <c r="F681" t="s">
        <v>514</v>
      </c>
      <c r="G681" t="s">
        <v>3868</v>
      </c>
      <c r="H681"/>
      <c r="I681"/>
      <c r="J681" t="s">
        <v>3837</v>
      </c>
      <c r="K681" t="s">
        <v>699</v>
      </c>
      <c r="L681"/>
      <c r="M681"/>
      <c r="N681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</row>
    <row r="682" spans="1:27" ht="15">
      <c r="B682"/>
      <c r="C682"/>
      <c r="D682" t="s">
        <v>5241</v>
      </c>
      <c r="E682" t="s">
        <v>2745</v>
      </c>
      <c r="F682" t="s">
        <v>514</v>
      </c>
      <c r="G682" t="s">
        <v>3868</v>
      </c>
      <c r="H682"/>
      <c r="I682"/>
      <c r="J682" t="s">
        <v>3837</v>
      </c>
      <c r="K682" t="s">
        <v>699</v>
      </c>
      <c r="L682"/>
      <c r="M682"/>
      <c r="N682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</row>
    <row r="683" spans="1:27" ht="15">
      <c r="A683" s="96">
        <v>45244</v>
      </c>
      <c r="B683" t="s">
        <v>3490</v>
      </c>
      <c r="C683" t="s">
        <v>670</v>
      </c>
      <c r="D683"/>
      <c r="E683" t="s">
        <v>7416</v>
      </c>
      <c r="F683"/>
      <c r="G683" t="s">
        <v>555</v>
      </c>
      <c r="H683" t="s">
        <v>7284</v>
      </c>
      <c r="I683" t="s">
        <v>3492</v>
      </c>
      <c r="J683" t="s">
        <v>733</v>
      </c>
      <c r="K683" t="s">
        <v>733</v>
      </c>
      <c r="L683" t="s">
        <v>518</v>
      </c>
      <c r="M683" t="s">
        <v>2272</v>
      </c>
      <c r="N683" t="s">
        <v>535</v>
      </c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</row>
    <row r="684" spans="1:27" ht="15">
      <c r="B684"/>
      <c r="C684"/>
      <c r="D684" t="s">
        <v>3488</v>
      </c>
      <c r="E684" t="s">
        <v>3491</v>
      </c>
      <c r="F684" t="s">
        <v>514</v>
      </c>
      <c r="G684" t="s">
        <v>555</v>
      </c>
      <c r="H684"/>
      <c r="I684"/>
      <c r="J684" t="s">
        <v>733</v>
      </c>
      <c r="K684" t="s">
        <v>733</v>
      </c>
      <c r="L684"/>
      <c r="M684"/>
      <c r="N684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</row>
    <row r="685" spans="1:27" ht="15">
      <c r="A685" s="96">
        <v>45244</v>
      </c>
      <c r="B685" t="s">
        <v>5359</v>
      </c>
      <c r="C685" t="s">
        <v>670</v>
      </c>
      <c r="D685"/>
      <c r="E685" t="s">
        <v>7417</v>
      </c>
      <c r="F685"/>
      <c r="G685" t="s">
        <v>5362</v>
      </c>
      <c r="H685" t="s">
        <v>7284</v>
      </c>
      <c r="I685" t="s">
        <v>5363</v>
      </c>
      <c r="J685" t="s">
        <v>741</v>
      </c>
      <c r="K685" t="s">
        <v>741</v>
      </c>
      <c r="L685" t="s">
        <v>518</v>
      </c>
      <c r="M685" t="s">
        <v>739</v>
      </c>
      <c r="N685" t="s">
        <v>605</v>
      </c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</row>
    <row r="686" spans="1:27" ht="15">
      <c r="B686"/>
      <c r="C686"/>
      <c r="D686" t="s">
        <v>5357</v>
      </c>
      <c r="E686" t="s">
        <v>5360</v>
      </c>
      <c r="F686" t="s">
        <v>5361</v>
      </c>
      <c r="G686" t="s">
        <v>5362</v>
      </c>
      <c r="H686"/>
      <c r="I686"/>
      <c r="J686" t="s">
        <v>741</v>
      </c>
      <c r="K686" t="s">
        <v>741</v>
      </c>
      <c r="L686"/>
      <c r="M686"/>
      <c r="N686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</row>
    <row r="687" spans="1:27" ht="15">
      <c r="A687" s="96">
        <v>45244</v>
      </c>
      <c r="B687" t="s">
        <v>3705</v>
      </c>
      <c r="C687" t="s">
        <v>670</v>
      </c>
      <c r="D687"/>
      <c r="E687" t="s">
        <v>7418</v>
      </c>
      <c r="F687"/>
      <c r="G687" t="s">
        <v>1457</v>
      </c>
      <c r="H687" t="s">
        <v>7284</v>
      </c>
      <c r="I687" t="s">
        <v>562</v>
      </c>
      <c r="J687" t="s">
        <v>1958</v>
      </c>
      <c r="K687" t="s">
        <v>1958</v>
      </c>
      <c r="L687" t="s">
        <v>518</v>
      </c>
      <c r="M687" t="s">
        <v>2502</v>
      </c>
      <c r="N687" t="s">
        <v>535</v>
      </c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</row>
    <row r="688" spans="1:27" ht="15">
      <c r="B688"/>
      <c r="C688"/>
      <c r="D688" t="s">
        <v>3703</v>
      </c>
      <c r="E688" t="s">
        <v>3706</v>
      </c>
      <c r="F688" t="s">
        <v>514</v>
      </c>
      <c r="G688" t="s">
        <v>1457</v>
      </c>
      <c r="H688"/>
      <c r="I688"/>
      <c r="J688" t="s">
        <v>1958</v>
      </c>
      <c r="K688" t="s">
        <v>795</v>
      </c>
      <c r="L688"/>
      <c r="M688"/>
      <c r="N688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</row>
    <row r="689" spans="1:27" ht="15">
      <c r="A689" s="96">
        <v>45244</v>
      </c>
      <c r="B689" t="s">
        <v>5231</v>
      </c>
      <c r="C689" t="s">
        <v>670</v>
      </c>
      <c r="D689"/>
      <c r="E689" t="s">
        <v>7419</v>
      </c>
      <c r="F689"/>
      <c r="G689" t="s">
        <v>5234</v>
      </c>
      <c r="H689" t="s">
        <v>7420</v>
      </c>
      <c r="I689" t="s">
        <v>5236</v>
      </c>
      <c r="J689" t="s">
        <v>917</v>
      </c>
      <c r="K689" t="s">
        <v>917</v>
      </c>
      <c r="L689" t="s">
        <v>518</v>
      </c>
      <c r="M689" t="s">
        <v>916</v>
      </c>
      <c r="N689" t="s">
        <v>535</v>
      </c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</row>
    <row r="690" spans="1:27" ht="15">
      <c r="B690"/>
      <c r="C690"/>
      <c r="D690" t="s">
        <v>5229</v>
      </c>
      <c r="E690" t="s">
        <v>5232</v>
      </c>
      <c r="F690" t="s">
        <v>5233</v>
      </c>
      <c r="G690" t="s">
        <v>5234</v>
      </c>
      <c r="H690"/>
      <c r="I690"/>
      <c r="J690" t="s">
        <v>917</v>
      </c>
      <c r="K690" t="s">
        <v>917</v>
      </c>
      <c r="L690"/>
      <c r="M690"/>
      <c r="N690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</row>
    <row r="691" spans="1:27" ht="15">
      <c r="A691" s="96">
        <v>45244</v>
      </c>
      <c r="B691" t="s">
        <v>3725</v>
      </c>
      <c r="C691" t="s">
        <v>1071</v>
      </c>
      <c r="D691"/>
      <c r="E691" t="s">
        <v>7421</v>
      </c>
      <c r="F691"/>
      <c r="G691" t="s">
        <v>3727</v>
      </c>
      <c r="H691" t="s">
        <v>7262</v>
      </c>
      <c r="I691" t="s">
        <v>3728</v>
      </c>
      <c r="J691" t="s">
        <v>651</v>
      </c>
      <c r="K691" t="s">
        <v>651</v>
      </c>
      <c r="L691" t="s">
        <v>518</v>
      </c>
      <c r="M691" t="s">
        <v>1199</v>
      </c>
      <c r="N691" t="s">
        <v>520</v>
      </c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</row>
    <row r="692" spans="1:27" ht="15">
      <c r="B692"/>
      <c r="C692"/>
      <c r="D692" t="s">
        <v>1632</v>
      </c>
      <c r="E692" t="s">
        <v>3726</v>
      </c>
      <c r="F692" t="s">
        <v>657</v>
      </c>
      <c r="G692" t="s">
        <v>3727</v>
      </c>
      <c r="H692"/>
      <c r="I692"/>
      <c r="J692" t="s">
        <v>651</v>
      </c>
      <c r="K692" t="s">
        <v>651</v>
      </c>
      <c r="L692"/>
      <c r="M692"/>
      <c r="N692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</row>
    <row r="693" spans="1:27" ht="15">
      <c r="A693" s="96">
        <v>45244</v>
      </c>
      <c r="B693" t="s">
        <v>5465</v>
      </c>
      <c r="C693" t="s">
        <v>1913</v>
      </c>
      <c r="D693"/>
      <c r="E693" t="s">
        <v>7422</v>
      </c>
      <c r="F693"/>
      <c r="G693" t="s">
        <v>1387</v>
      </c>
      <c r="H693" t="s">
        <v>7423</v>
      </c>
      <c r="I693" t="s">
        <v>3471</v>
      </c>
      <c r="J693" t="s">
        <v>982</v>
      </c>
      <c r="K693" t="s">
        <v>982</v>
      </c>
      <c r="L693" t="s">
        <v>518</v>
      </c>
      <c r="M693" t="s">
        <v>981</v>
      </c>
      <c r="N693" t="s">
        <v>535</v>
      </c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</row>
    <row r="694" spans="1:27" ht="15">
      <c r="B694"/>
      <c r="C694"/>
      <c r="D694" t="s">
        <v>5463</v>
      </c>
      <c r="E694" t="s">
        <v>5466</v>
      </c>
      <c r="F694" t="s">
        <v>2675</v>
      </c>
      <c r="G694" t="s">
        <v>1387</v>
      </c>
      <c r="H694"/>
      <c r="I694"/>
      <c r="J694" t="s">
        <v>982</v>
      </c>
      <c r="K694" t="s">
        <v>982</v>
      </c>
      <c r="L694"/>
      <c r="M694"/>
      <c r="N694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</row>
    <row r="695" spans="1:27" ht="15">
      <c r="A695" s="96">
        <v>45244</v>
      </c>
      <c r="B695" t="s">
        <v>3824</v>
      </c>
      <c r="C695" t="s">
        <v>1913</v>
      </c>
      <c r="D695"/>
      <c r="E695" t="s">
        <v>2984</v>
      </c>
      <c r="F695"/>
      <c r="G695" t="s">
        <v>966</v>
      </c>
      <c r="H695" t="s">
        <v>7423</v>
      </c>
      <c r="I695" t="s">
        <v>3471</v>
      </c>
      <c r="J695" t="s">
        <v>2834</v>
      </c>
      <c r="K695" t="s">
        <v>2834</v>
      </c>
      <c r="L695" t="s">
        <v>518</v>
      </c>
      <c r="M695" t="s">
        <v>2833</v>
      </c>
      <c r="N695" t="s">
        <v>535</v>
      </c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</row>
    <row r="696" spans="1:27" ht="15">
      <c r="B696"/>
      <c r="C696"/>
      <c r="D696" t="s">
        <v>3822</v>
      </c>
      <c r="E696" t="s">
        <v>1267</v>
      </c>
      <c r="F696" t="s">
        <v>514</v>
      </c>
      <c r="G696" t="s">
        <v>966</v>
      </c>
      <c r="H696"/>
      <c r="I696"/>
      <c r="J696" t="s">
        <v>2834</v>
      </c>
      <c r="K696" t="s">
        <v>2834</v>
      </c>
      <c r="L696"/>
      <c r="M696"/>
      <c r="N696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</row>
    <row r="697" spans="1:27" ht="15">
      <c r="A697" s="96">
        <v>45244</v>
      </c>
      <c r="B697" t="s">
        <v>4302</v>
      </c>
      <c r="C697" t="s">
        <v>670</v>
      </c>
      <c r="D697"/>
      <c r="E697" t="s">
        <v>7424</v>
      </c>
      <c r="F697"/>
      <c r="G697" t="s">
        <v>1413</v>
      </c>
      <c r="H697" t="s">
        <v>7292</v>
      </c>
      <c r="I697" t="s">
        <v>4304</v>
      </c>
      <c r="J697" t="s">
        <v>545</v>
      </c>
      <c r="K697" t="s">
        <v>545</v>
      </c>
      <c r="L697" t="s">
        <v>518</v>
      </c>
      <c r="M697" t="s">
        <v>1032</v>
      </c>
      <c r="N697" t="s">
        <v>605</v>
      </c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</row>
    <row r="698" spans="1:27" ht="15">
      <c r="B698"/>
      <c r="C698"/>
      <c r="D698" t="s">
        <v>4300</v>
      </c>
      <c r="E698" t="s">
        <v>4303</v>
      </c>
      <c r="F698" t="s">
        <v>657</v>
      </c>
      <c r="G698" t="s">
        <v>1413</v>
      </c>
      <c r="H698"/>
      <c r="I698"/>
      <c r="J698" t="s">
        <v>545</v>
      </c>
      <c r="K698" t="s">
        <v>545</v>
      </c>
      <c r="L698"/>
      <c r="M698"/>
      <c r="N698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</row>
    <row r="699" spans="1:27" ht="15">
      <c r="A699" s="96">
        <v>45244</v>
      </c>
      <c r="B699" t="s">
        <v>4580</v>
      </c>
      <c r="C699" t="s">
        <v>670</v>
      </c>
      <c r="D699"/>
      <c r="E699" t="s">
        <v>7411</v>
      </c>
      <c r="F699"/>
      <c r="G699" t="s">
        <v>4568</v>
      </c>
      <c r="H699" t="s">
        <v>7292</v>
      </c>
      <c r="I699" t="s">
        <v>4581</v>
      </c>
      <c r="J699" t="s">
        <v>1918</v>
      </c>
      <c r="K699" t="s">
        <v>1918</v>
      </c>
      <c r="L699" t="s">
        <v>682</v>
      </c>
      <c r="M699" t="s">
        <v>3143</v>
      </c>
      <c r="N699" t="s">
        <v>570</v>
      </c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</row>
    <row r="700" spans="1:27" ht="15">
      <c r="B700"/>
      <c r="C700"/>
      <c r="D700" t="s">
        <v>4551</v>
      </c>
      <c r="E700" t="s">
        <v>4566</v>
      </c>
      <c r="F700" t="s">
        <v>4567</v>
      </c>
      <c r="G700" t="s">
        <v>4568</v>
      </c>
      <c r="H700"/>
      <c r="I700"/>
      <c r="J700" t="s">
        <v>1918</v>
      </c>
      <c r="K700" t="s">
        <v>1918</v>
      </c>
      <c r="L700"/>
      <c r="M700"/>
      <c r="N700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</row>
    <row r="701" spans="1:27" ht="15">
      <c r="A701" s="96">
        <v>45244</v>
      </c>
      <c r="B701" t="s">
        <v>5160</v>
      </c>
      <c r="C701" t="s">
        <v>670</v>
      </c>
      <c r="D701"/>
      <c r="E701" t="s">
        <v>7425</v>
      </c>
      <c r="F701"/>
      <c r="G701" t="s">
        <v>5162</v>
      </c>
      <c r="H701" t="s">
        <v>7292</v>
      </c>
      <c r="I701" t="s">
        <v>5163</v>
      </c>
      <c r="J701" t="s">
        <v>597</v>
      </c>
      <c r="K701" t="s">
        <v>597</v>
      </c>
      <c r="L701" t="s">
        <v>518</v>
      </c>
      <c r="M701" t="s">
        <v>596</v>
      </c>
      <c r="N701" t="s">
        <v>520</v>
      </c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</row>
    <row r="702" spans="1:27" ht="15">
      <c r="B702"/>
      <c r="C702"/>
      <c r="D702" t="s">
        <v>5153</v>
      </c>
      <c r="E702" t="s">
        <v>5161</v>
      </c>
      <c r="F702" t="s">
        <v>1077</v>
      </c>
      <c r="G702" t="s">
        <v>5162</v>
      </c>
      <c r="H702"/>
      <c r="I702"/>
      <c r="J702" t="s">
        <v>597</v>
      </c>
      <c r="K702" t="s">
        <v>597</v>
      </c>
      <c r="L702"/>
      <c r="M702"/>
      <c r="N702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</row>
    <row r="703" spans="1:27" ht="15">
      <c r="A703" s="96">
        <v>45244</v>
      </c>
      <c r="B703" t="s">
        <v>3214</v>
      </c>
      <c r="C703" t="s">
        <v>670</v>
      </c>
      <c r="D703"/>
      <c r="E703" t="s">
        <v>7426</v>
      </c>
      <c r="F703"/>
      <c r="G703" t="s">
        <v>6774</v>
      </c>
      <c r="H703" t="s">
        <v>7292</v>
      </c>
      <c r="I703" t="s">
        <v>3215</v>
      </c>
      <c r="J703" t="s">
        <v>1098</v>
      </c>
      <c r="K703" t="s">
        <v>1098</v>
      </c>
      <c r="L703" t="s">
        <v>518</v>
      </c>
      <c r="M703" t="s">
        <v>1097</v>
      </c>
      <c r="N703" t="s">
        <v>605</v>
      </c>
      <c r="O703" s="73"/>
      <c r="P703" s="73"/>
      <c r="Q703" s="73"/>
      <c r="R703" s="73"/>
      <c r="S703" s="73"/>
      <c r="T703" s="73"/>
      <c r="U703" s="73"/>
      <c r="V703" s="73"/>
      <c r="W703" s="73"/>
      <c r="X703" s="73"/>
      <c r="Y703" s="73"/>
      <c r="Z703" s="73"/>
      <c r="AA703" s="73"/>
    </row>
    <row r="704" spans="1:27" ht="15">
      <c r="B704"/>
      <c r="C704"/>
      <c r="D704" t="s">
        <v>4481</v>
      </c>
      <c r="E704" t="s">
        <v>4483</v>
      </c>
      <c r="F704" t="s">
        <v>514</v>
      </c>
      <c r="G704" t="s">
        <v>4484</v>
      </c>
      <c r="H704"/>
      <c r="I704"/>
      <c r="J704" t="s">
        <v>1098</v>
      </c>
      <c r="K704" t="s">
        <v>1098</v>
      </c>
      <c r="L704"/>
      <c r="M704"/>
      <c r="N704"/>
      <c r="O704" s="73"/>
      <c r="P704" s="73"/>
      <c r="Q704" s="73"/>
      <c r="R704" s="73"/>
      <c r="S704" s="73"/>
      <c r="T704" s="73"/>
      <c r="U704" s="73"/>
      <c r="V704" s="73"/>
      <c r="W704" s="73"/>
      <c r="X704" s="73"/>
      <c r="Y704" s="73"/>
      <c r="Z704" s="73"/>
      <c r="AA704" s="73"/>
    </row>
    <row r="705" spans="1:27" ht="15">
      <c r="B705"/>
      <c r="C705"/>
      <c r="D705" t="s">
        <v>3208</v>
      </c>
      <c r="E705" t="s">
        <v>3211</v>
      </c>
      <c r="F705" t="s">
        <v>514</v>
      </c>
      <c r="G705" t="s">
        <v>2668</v>
      </c>
      <c r="H705"/>
      <c r="I705"/>
      <c r="J705" t="s">
        <v>1098</v>
      </c>
      <c r="K705" t="s">
        <v>1098</v>
      </c>
      <c r="L705"/>
      <c r="M705"/>
      <c r="N705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</row>
    <row r="706" spans="1:27" ht="15">
      <c r="B706"/>
      <c r="C706"/>
      <c r="D706" t="s">
        <v>3208</v>
      </c>
      <c r="E706" t="s">
        <v>3211</v>
      </c>
      <c r="F706" t="s">
        <v>514</v>
      </c>
      <c r="G706" t="s">
        <v>2668</v>
      </c>
      <c r="H706"/>
      <c r="I706"/>
      <c r="J706" t="s">
        <v>1098</v>
      </c>
      <c r="K706" t="s">
        <v>1098</v>
      </c>
      <c r="L706"/>
      <c r="M706"/>
      <c r="N706"/>
      <c r="O706" s="73"/>
      <c r="P706" s="73"/>
      <c r="Q706" s="73"/>
      <c r="R706" s="73"/>
      <c r="S706" s="73"/>
      <c r="T706" s="73"/>
      <c r="U706" s="73"/>
      <c r="V706" s="73"/>
      <c r="W706" s="73"/>
      <c r="X706" s="73"/>
      <c r="Y706" s="73"/>
      <c r="Z706" s="73"/>
      <c r="AA706" s="73"/>
    </row>
    <row r="707" spans="1:27" ht="15">
      <c r="B707"/>
      <c r="C707"/>
      <c r="D707" t="s">
        <v>3208</v>
      </c>
      <c r="E707" t="s">
        <v>3211</v>
      </c>
      <c r="F707" t="s">
        <v>514</v>
      </c>
      <c r="G707" t="s">
        <v>2668</v>
      </c>
      <c r="H707"/>
      <c r="I707"/>
      <c r="J707" t="s">
        <v>1098</v>
      </c>
      <c r="K707" t="s">
        <v>1098</v>
      </c>
      <c r="L707"/>
      <c r="M707"/>
      <c r="N707"/>
      <c r="O707" s="73"/>
      <c r="P707" s="73"/>
      <c r="Q707" s="73"/>
      <c r="R707" s="73"/>
      <c r="S707" s="73"/>
      <c r="T707" s="73"/>
      <c r="U707" s="73"/>
      <c r="V707" s="73"/>
      <c r="W707" s="73"/>
      <c r="X707" s="73"/>
      <c r="Y707" s="73"/>
      <c r="Z707" s="73"/>
      <c r="AA707" s="73"/>
    </row>
    <row r="708" spans="1:27" ht="15">
      <c r="A708" s="96">
        <v>45244</v>
      </c>
      <c r="B708" t="s">
        <v>5115</v>
      </c>
      <c r="C708" t="s">
        <v>670</v>
      </c>
      <c r="D708"/>
      <c r="E708" t="s">
        <v>7427</v>
      </c>
      <c r="F708"/>
      <c r="G708" t="s">
        <v>555</v>
      </c>
      <c r="H708" t="s">
        <v>7292</v>
      </c>
      <c r="I708" t="s">
        <v>5117</v>
      </c>
      <c r="J708" t="s">
        <v>1918</v>
      </c>
      <c r="K708" t="s">
        <v>1918</v>
      </c>
      <c r="L708" t="s">
        <v>682</v>
      </c>
      <c r="M708" t="s">
        <v>3143</v>
      </c>
      <c r="N708" t="s">
        <v>520</v>
      </c>
      <c r="O708" s="73"/>
      <c r="P708" s="73"/>
      <c r="Q708" s="73"/>
      <c r="R708" s="73"/>
      <c r="S708" s="73"/>
      <c r="T708" s="73"/>
      <c r="U708" s="73"/>
      <c r="V708" s="73"/>
      <c r="W708" s="73"/>
      <c r="X708" s="73"/>
      <c r="Y708" s="73"/>
      <c r="Z708" s="73"/>
      <c r="AA708" s="73"/>
    </row>
    <row r="709" spans="1:27" ht="15">
      <c r="B709"/>
      <c r="C709"/>
      <c r="D709" t="s">
        <v>5105</v>
      </c>
      <c r="E709" t="s">
        <v>5116</v>
      </c>
      <c r="F709" t="s">
        <v>514</v>
      </c>
      <c r="G709" t="s">
        <v>555</v>
      </c>
      <c r="H709"/>
      <c r="I709"/>
      <c r="J709" t="s">
        <v>1918</v>
      </c>
      <c r="K709" t="s">
        <v>1918</v>
      </c>
      <c r="L709"/>
      <c r="M709"/>
      <c r="N709"/>
      <c r="O709" s="73"/>
      <c r="P709" s="73"/>
      <c r="Q709" s="73"/>
      <c r="R709" s="73"/>
      <c r="S709" s="73"/>
      <c r="T709" s="73"/>
      <c r="U709" s="73"/>
      <c r="V709" s="73"/>
      <c r="W709" s="73"/>
      <c r="X709" s="73"/>
      <c r="Y709" s="73"/>
      <c r="Z709" s="73"/>
      <c r="AA709" s="73"/>
    </row>
    <row r="710" spans="1:27" ht="15">
      <c r="A710" s="96">
        <v>45244</v>
      </c>
      <c r="B710" t="s">
        <v>5111</v>
      </c>
      <c r="C710" t="s">
        <v>670</v>
      </c>
      <c r="D710"/>
      <c r="E710" t="s">
        <v>7428</v>
      </c>
      <c r="F710"/>
      <c r="G710" t="s">
        <v>555</v>
      </c>
      <c r="H710" t="s">
        <v>7292</v>
      </c>
      <c r="I710" t="s">
        <v>5113</v>
      </c>
      <c r="J710" t="s">
        <v>1918</v>
      </c>
      <c r="K710" t="s">
        <v>1918</v>
      </c>
      <c r="L710" t="s">
        <v>682</v>
      </c>
      <c r="M710" t="s">
        <v>3143</v>
      </c>
      <c r="N710" t="s">
        <v>535</v>
      </c>
      <c r="O710" s="73"/>
      <c r="P710" s="73"/>
      <c r="Q710" s="73"/>
      <c r="R710" s="73"/>
      <c r="S710" s="73"/>
      <c r="T710" s="73"/>
      <c r="U710" s="73"/>
      <c r="V710" s="73"/>
      <c r="W710" s="73"/>
      <c r="X710" s="73"/>
      <c r="Y710" s="73"/>
      <c r="Z710" s="73"/>
      <c r="AA710" s="73"/>
    </row>
    <row r="711" spans="1:27" ht="15">
      <c r="B711"/>
      <c r="C711"/>
      <c r="D711" t="s">
        <v>5105</v>
      </c>
      <c r="E711" t="s">
        <v>5112</v>
      </c>
      <c r="F711" t="s">
        <v>514</v>
      </c>
      <c r="G711" t="s">
        <v>555</v>
      </c>
      <c r="H711"/>
      <c r="I711"/>
      <c r="J711" t="s">
        <v>1918</v>
      </c>
      <c r="K711" t="s">
        <v>1918</v>
      </c>
      <c r="L711"/>
      <c r="M711"/>
      <c r="N711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</row>
    <row r="712" spans="1:27" ht="15">
      <c r="A712" s="96">
        <v>45244</v>
      </c>
      <c r="B712" t="s">
        <v>3508</v>
      </c>
      <c r="C712" t="s">
        <v>670</v>
      </c>
      <c r="D712"/>
      <c r="E712" t="s">
        <v>3746</v>
      </c>
      <c r="F712"/>
      <c r="G712" t="s">
        <v>555</v>
      </c>
      <c r="H712" t="s">
        <v>7292</v>
      </c>
      <c r="I712" t="s">
        <v>3510</v>
      </c>
      <c r="J712" t="s">
        <v>1918</v>
      </c>
      <c r="K712" t="s">
        <v>1918</v>
      </c>
      <c r="L712" t="s">
        <v>518</v>
      </c>
      <c r="M712" t="s">
        <v>1917</v>
      </c>
      <c r="N712" t="s">
        <v>520</v>
      </c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</row>
    <row r="713" spans="1:27" ht="15">
      <c r="B713"/>
      <c r="C713"/>
      <c r="D713" t="s">
        <v>3502</v>
      </c>
      <c r="E713" t="s">
        <v>3509</v>
      </c>
      <c r="F713" t="s">
        <v>514</v>
      </c>
      <c r="G713" t="s">
        <v>555</v>
      </c>
      <c r="H713"/>
      <c r="I713"/>
      <c r="J713" t="s">
        <v>1918</v>
      </c>
      <c r="K713" t="s">
        <v>1918</v>
      </c>
      <c r="L713"/>
      <c r="M713"/>
      <c r="N71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</row>
    <row r="714" spans="1:27" ht="15">
      <c r="A714" s="96">
        <v>45244</v>
      </c>
      <c r="B714" t="s">
        <v>3504</v>
      </c>
      <c r="C714" t="s">
        <v>670</v>
      </c>
      <c r="D714"/>
      <c r="E714" t="s">
        <v>7429</v>
      </c>
      <c r="F714"/>
      <c r="G714" t="s">
        <v>555</v>
      </c>
      <c r="H714" t="s">
        <v>7292</v>
      </c>
      <c r="I714" t="s">
        <v>3506</v>
      </c>
      <c r="J714" t="s">
        <v>1918</v>
      </c>
      <c r="K714" t="s">
        <v>1918</v>
      </c>
      <c r="L714" t="s">
        <v>518</v>
      </c>
      <c r="M714" t="s">
        <v>1917</v>
      </c>
      <c r="N714" t="s">
        <v>520</v>
      </c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</row>
    <row r="715" spans="1:27" ht="15">
      <c r="B715"/>
      <c r="C715"/>
      <c r="D715" t="s">
        <v>3502</v>
      </c>
      <c r="E715" t="s">
        <v>3505</v>
      </c>
      <c r="F715" t="s">
        <v>514</v>
      </c>
      <c r="G715" t="s">
        <v>555</v>
      </c>
      <c r="H715"/>
      <c r="I715"/>
      <c r="J715" t="s">
        <v>1918</v>
      </c>
      <c r="K715" t="s">
        <v>1918</v>
      </c>
      <c r="L715"/>
      <c r="M715"/>
      <c r="N715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</row>
    <row r="716" spans="1:27" ht="15">
      <c r="A716" s="96">
        <v>45244</v>
      </c>
      <c r="B716" t="s">
        <v>5082</v>
      </c>
      <c r="C716" t="s">
        <v>670</v>
      </c>
      <c r="D716"/>
      <c r="E716" t="s">
        <v>7430</v>
      </c>
      <c r="F716"/>
      <c r="G716" t="s">
        <v>555</v>
      </c>
      <c r="H716" t="s">
        <v>7292</v>
      </c>
      <c r="I716" t="s">
        <v>5084</v>
      </c>
      <c r="J716" t="s">
        <v>1918</v>
      </c>
      <c r="K716" t="s">
        <v>1918</v>
      </c>
      <c r="L716" t="s">
        <v>682</v>
      </c>
      <c r="M716" t="s">
        <v>3143</v>
      </c>
      <c r="N716" t="s">
        <v>535</v>
      </c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</row>
    <row r="717" spans="1:27" ht="15">
      <c r="B717"/>
      <c r="C717"/>
      <c r="D717" t="s">
        <v>5080</v>
      </c>
      <c r="E717" t="s">
        <v>5083</v>
      </c>
      <c r="F717" t="s">
        <v>514</v>
      </c>
      <c r="G717" t="s">
        <v>555</v>
      </c>
      <c r="H717"/>
      <c r="I717"/>
      <c r="J717" t="s">
        <v>1918</v>
      </c>
      <c r="K717" t="s">
        <v>1918</v>
      </c>
      <c r="L717"/>
      <c r="M717"/>
      <c r="N717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</row>
    <row r="718" spans="1:27" ht="15">
      <c r="A718" s="96">
        <v>45244</v>
      </c>
      <c r="B718" t="s">
        <v>4214</v>
      </c>
      <c r="C718" t="s">
        <v>670</v>
      </c>
      <c r="D718"/>
      <c r="E718" t="s">
        <v>7354</v>
      </c>
      <c r="F718"/>
      <c r="G718" t="s">
        <v>3805</v>
      </c>
      <c r="H718" t="s">
        <v>7292</v>
      </c>
      <c r="I718" t="s">
        <v>4215</v>
      </c>
      <c r="J718" t="s">
        <v>753</v>
      </c>
      <c r="K718" t="s">
        <v>753</v>
      </c>
      <c r="L718" t="s">
        <v>518</v>
      </c>
      <c r="M718" t="s">
        <v>751</v>
      </c>
      <c r="N718" t="s">
        <v>520</v>
      </c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</row>
    <row r="719" spans="1:27" ht="15">
      <c r="B719"/>
      <c r="C719"/>
      <c r="D719" t="s">
        <v>4202</v>
      </c>
      <c r="E719" t="s">
        <v>4208</v>
      </c>
      <c r="F719" t="s">
        <v>1077</v>
      </c>
      <c r="G719" t="s">
        <v>3805</v>
      </c>
      <c r="H719"/>
      <c r="I719"/>
      <c r="J719" t="s">
        <v>753</v>
      </c>
      <c r="K719" t="s">
        <v>753</v>
      </c>
      <c r="L719"/>
      <c r="M719"/>
      <c r="N719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</row>
    <row r="720" spans="1:27" ht="15">
      <c r="A720" s="96">
        <v>45244</v>
      </c>
      <c r="B720" t="s">
        <v>4808</v>
      </c>
      <c r="C720" t="s">
        <v>670</v>
      </c>
      <c r="D720"/>
      <c r="E720" t="s">
        <v>7431</v>
      </c>
      <c r="F720"/>
      <c r="G720" t="s">
        <v>4810</v>
      </c>
      <c r="H720" t="s">
        <v>7432</v>
      </c>
      <c r="I720" t="s">
        <v>4811</v>
      </c>
      <c r="J720" t="s">
        <v>607</v>
      </c>
      <c r="K720" t="s">
        <v>607</v>
      </c>
      <c r="L720" t="s">
        <v>518</v>
      </c>
      <c r="M720" t="s">
        <v>604</v>
      </c>
      <c r="N720" t="s">
        <v>535</v>
      </c>
      <c r="O720" s="73"/>
      <c r="P720" s="73"/>
      <c r="Q720" s="73"/>
      <c r="R720" s="73"/>
      <c r="S720" s="73"/>
      <c r="T720" s="73"/>
      <c r="U720" s="73"/>
      <c r="V720" s="73"/>
      <c r="W720" s="73"/>
      <c r="X720" s="73"/>
      <c r="Y720" s="73"/>
      <c r="Z720" s="73"/>
      <c r="AA720" s="73"/>
    </row>
    <row r="721" spans="1:27" ht="15">
      <c r="B721"/>
      <c r="C721"/>
      <c r="D721" t="s">
        <v>4806</v>
      </c>
      <c r="E721" t="s">
        <v>4809</v>
      </c>
      <c r="F721" t="s">
        <v>1077</v>
      </c>
      <c r="G721" t="s">
        <v>4810</v>
      </c>
      <c r="H721"/>
      <c r="I721"/>
      <c r="J721" t="s">
        <v>607</v>
      </c>
      <c r="K721" t="s">
        <v>607</v>
      </c>
      <c r="L721"/>
      <c r="M721"/>
      <c r="N721"/>
      <c r="O721" s="73"/>
      <c r="P721" s="73"/>
      <c r="Q721" s="73"/>
      <c r="R721" s="73"/>
      <c r="S721" s="73"/>
      <c r="T721" s="73"/>
      <c r="U721" s="73"/>
      <c r="V721" s="73"/>
      <c r="W721" s="73"/>
      <c r="X721" s="73"/>
      <c r="Y721" s="73"/>
      <c r="Z721" s="73"/>
      <c r="AA721" s="73"/>
    </row>
    <row r="722" spans="1:27" ht="15">
      <c r="A722" s="96">
        <v>45244</v>
      </c>
      <c r="B722" t="s">
        <v>4082</v>
      </c>
      <c r="C722" t="s">
        <v>1418</v>
      </c>
      <c r="D722"/>
      <c r="E722" t="s">
        <v>7433</v>
      </c>
      <c r="F722"/>
      <c r="G722" t="s">
        <v>7434</v>
      </c>
      <c r="H722" t="s">
        <v>7292</v>
      </c>
      <c r="I722" t="s">
        <v>4085</v>
      </c>
      <c r="J722" t="s">
        <v>1494</v>
      </c>
      <c r="K722" t="s">
        <v>1494</v>
      </c>
      <c r="L722" t="s">
        <v>518</v>
      </c>
      <c r="M722" t="s">
        <v>1491</v>
      </c>
      <c r="N722" t="s">
        <v>520</v>
      </c>
      <c r="O722" s="73"/>
      <c r="P722" s="73"/>
      <c r="Q722" s="73"/>
      <c r="R722" s="73"/>
      <c r="S722" s="73"/>
      <c r="T722" s="73"/>
      <c r="U722" s="73"/>
      <c r="V722" s="73"/>
      <c r="W722" s="73"/>
      <c r="X722" s="73"/>
      <c r="Y722" s="73"/>
      <c r="Z722" s="73"/>
      <c r="AA722" s="73"/>
    </row>
    <row r="723" spans="1:27" ht="15">
      <c r="B723"/>
      <c r="C723"/>
      <c r="D723" t="s">
        <v>4080</v>
      </c>
      <c r="E723" t="s">
        <v>4083</v>
      </c>
      <c r="F723" t="s">
        <v>1077</v>
      </c>
      <c r="G723" t="s">
        <v>4084</v>
      </c>
      <c r="H723"/>
      <c r="I723"/>
      <c r="J723" t="s">
        <v>1494</v>
      </c>
      <c r="K723" t="s">
        <v>1494</v>
      </c>
      <c r="L723"/>
      <c r="M723"/>
      <c r="N723"/>
      <c r="O723" s="73"/>
      <c r="P723" s="73"/>
      <c r="Q723" s="73"/>
      <c r="R723" s="73"/>
      <c r="S723" s="73"/>
      <c r="T723" s="73"/>
      <c r="U723" s="73"/>
      <c r="V723" s="73"/>
      <c r="W723" s="73"/>
      <c r="X723" s="73"/>
      <c r="Y723" s="73"/>
      <c r="Z723" s="73"/>
      <c r="AA723" s="73"/>
    </row>
    <row r="724" spans="1:27" ht="15">
      <c r="B724"/>
      <c r="C724"/>
      <c r="D724" t="s">
        <v>4630</v>
      </c>
      <c r="E724" t="s">
        <v>4635</v>
      </c>
      <c r="F724" t="s">
        <v>958</v>
      </c>
      <c r="G724" t="s">
        <v>2524</v>
      </c>
      <c r="H724"/>
      <c r="I724"/>
      <c r="J724" t="s">
        <v>1494</v>
      </c>
      <c r="K724" t="s">
        <v>1494</v>
      </c>
      <c r="L724"/>
      <c r="M724"/>
      <c r="N724"/>
      <c r="O724" s="73"/>
      <c r="P724" s="73"/>
      <c r="Q724" s="73"/>
      <c r="R724" s="73"/>
      <c r="S724" s="73"/>
      <c r="T724" s="73"/>
      <c r="U724" s="73"/>
      <c r="V724" s="73"/>
      <c r="W724" s="73"/>
      <c r="X724" s="73"/>
      <c r="Y724" s="73"/>
      <c r="Z724" s="73"/>
      <c r="AA724" s="73"/>
    </row>
    <row r="725" spans="1:27" ht="15">
      <c r="A725" s="96">
        <v>45244</v>
      </c>
      <c r="B725" t="s">
        <v>3847</v>
      </c>
      <c r="C725" t="s">
        <v>670</v>
      </c>
      <c r="D725"/>
      <c r="E725" t="s">
        <v>7435</v>
      </c>
      <c r="F725"/>
      <c r="G725" t="s">
        <v>7283</v>
      </c>
      <c r="H725" t="s">
        <v>7436</v>
      </c>
      <c r="I725" t="s">
        <v>3848</v>
      </c>
      <c r="J725" t="s">
        <v>1042</v>
      </c>
      <c r="K725" t="s">
        <v>1042</v>
      </c>
      <c r="L725" t="s">
        <v>518</v>
      </c>
      <c r="M725" t="s">
        <v>1040</v>
      </c>
      <c r="N725" t="s">
        <v>535</v>
      </c>
      <c r="O725" s="73"/>
      <c r="P725" s="73"/>
      <c r="Q725" s="73"/>
      <c r="R725" s="73"/>
      <c r="S725" s="73"/>
      <c r="T725" s="73"/>
      <c r="U725" s="73"/>
      <c r="V725" s="73"/>
      <c r="W725" s="73"/>
      <c r="X725" s="73"/>
      <c r="Y725" s="73"/>
      <c r="Z725" s="73"/>
      <c r="AA725" s="73"/>
    </row>
    <row r="726" spans="1:27" ht="15">
      <c r="B726"/>
      <c r="C726"/>
      <c r="D726" t="s">
        <v>3855</v>
      </c>
      <c r="E726" t="s">
        <v>3857</v>
      </c>
      <c r="F726" t="s">
        <v>657</v>
      </c>
      <c r="G726" t="s">
        <v>3771</v>
      </c>
      <c r="H726"/>
      <c r="I726"/>
      <c r="J726" t="s">
        <v>1042</v>
      </c>
      <c r="K726" t="s">
        <v>1042</v>
      </c>
      <c r="L726"/>
      <c r="M726"/>
      <c r="N726"/>
      <c r="O726" s="73"/>
      <c r="P726" s="73"/>
      <c r="Q726" s="73"/>
      <c r="R726" s="73"/>
      <c r="S726" s="73"/>
      <c r="T726" s="73"/>
      <c r="U726" s="73"/>
      <c r="V726" s="73"/>
      <c r="W726" s="73"/>
      <c r="X726" s="73"/>
      <c r="Y726" s="73"/>
      <c r="Z726" s="73"/>
      <c r="AA726" s="73"/>
    </row>
    <row r="727" spans="1:27" ht="15">
      <c r="B727"/>
      <c r="C727"/>
      <c r="D727" t="s">
        <v>3861</v>
      </c>
      <c r="E727" t="s">
        <v>3863</v>
      </c>
      <c r="F727" t="s">
        <v>3864</v>
      </c>
      <c r="G727" t="s">
        <v>3865</v>
      </c>
      <c r="H727"/>
      <c r="I727"/>
      <c r="J727" t="s">
        <v>1042</v>
      </c>
      <c r="K727" t="s">
        <v>1042</v>
      </c>
      <c r="L727"/>
      <c r="M727"/>
      <c r="N727"/>
      <c r="O727" s="73"/>
      <c r="P727" s="73"/>
      <c r="Q727" s="73"/>
      <c r="R727" s="73"/>
      <c r="S727" s="73"/>
      <c r="T727" s="73"/>
      <c r="U727" s="73"/>
      <c r="V727" s="73"/>
      <c r="W727" s="73"/>
      <c r="X727" s="73"/>
      <c r="Y727" s="73"/>
      <c r="Z727" s="73"/>
      <c r="AA727" s="73"/>
    </row>
    <row r="728" spans="1:27" ht="15">
      <c r="B728"/>
      <c r="C728"/>
      <c r="D728" t="s">
        <v>3845</v>
      </c>
      <c r="E728" t="s">
        <v>594</v>
      </c>
      <c r="F728" t="s">
        <v>2579</v>
      </c>
      <c r="G728" t="s">
        <v>2699</v>
      </c>
      <c r="H728"/>
      <c r="I728"/>
      <c r="J728" t="s">
        <v>1042</v>
      </c>
      <c r="K728" t="s">
        <v>1042</v>
      </c>
      <c r="L728"/>
      <c r="M728"/>
      <c r="N728"/>
      <c r="O728" s="73"/>
      <c r="P728" s="73"/>
      <c r="Q728" s="73"/>
      <c r="R728" s="73"/>
      <c r="S728" s="73"/>
      <c r="T728" s="73"/>
      <c r="U728" s="73"/>
      <c r="V728" s="73"/>
      <c r="W728" s="73"/>
      <c r="X728" s="73"/>
      <c r="Y728" s="73"/>
      <c r="Z728" s="73"/>
      <c r="AA728" s="73"/>
    </row>
    <row r="729" spans="1:27" ht="15">
      <c r="B729"/>
      <c r="C729"/>
      <c r="D729" t="s">
        <v>3858</v>
      </c>
      <c r="E729" t="s">
        <v>3860</v>
      </c>
      <c r="F729" t="s">
        <v>1886</v>
      </c>
      <c r="G729" t="s">
        <v>1501</v>
      </c>
      <c r="H729"/>
      <c r="I729"/>
      <c r="J729" t="s">
        <v>1042</v>
      </c>
      <c r="K729" t="s">
        <v>1042</v>
      </c>
      <c r="L729"/>
      <c r="M729"/>
      <c r="N729"/>
      <c r="O729" s="73"/>
      <c r="P729" s="73"/>
      <c r="Q729" s="73"/>
      <c r="R729" s="73"/>
      <c r="S729" s="73"/>
      <c r="T729" s="73"/>
      <c r="U729" s="73"/>
      <c r="V729" s="73"/>
      <c r="W729" s="73"/>
      <c r="X729" s="73"/>
      <c r="Y729" s="73"/>
      <c r="Z729" s="73"/>
      <c r="AA729" s="73"/>
    </row>
    <row r="730" spans="1:27" ht="15">
      <c r="B730"/>
      <c r="C730"/>
      <c r="D730" t="s">
        <v>3853</v>
      </c>
      <c r="E730" t="s">
        <v>887</v>
      </c>
      <c r="F730" t="s">
        <v>1886</v>
      </c>
      <c r="G730" t="s">
        <v>1813</v>
      </c>
      <c r="H730"/>
      <c r="I730"/>
      <c r="J730" t="s">
        <v>1042</v>
      </c>
      <c r="K730" t="s">
        <v>1042</v>
      </c>
      <c r="L730"/>
      <c r="M730"/>
      <c r="N730"/>
      <c r="O730" s="73"/>
      <c r="P730" s="73"/>
      <c r="Q730" s="73"/>
      <c r="R730" s="73"/>
      <c r="S730" s="73"/>
      <c r="T730" s="73"/>
      <c r="U730" s="73"/>
      <c r="V730" s="73"/>
      <c r="W730" s="73"/>
      <c r="X730" s="73"/>
      <c r="Y730" s="73"/>
      <c r="Z730" s="73"/>
      <c r="AA730" s="73"/>
    </row>
    <row r="731" spans="1:27" ht="15">
      <c r="A731" s="96">
        <v>45244</v>
      </c>
      <c r="B731" t="s">
        <v>3192</v>
      </c>
      <c r="C731" t="s">
        <v>1913</v>
      </c>
      <c r="D731"/>
      <c r="E731" t="s">
        <v>7437</v>
      </c>
      <c r="F731"/>
      <c r="G731" t="s">
        <v>2163</v>
      </c>
      <c r="H731" t="s">
        <v>7301</v>
      </c>
      <c r="I731" t="s">
        <v>1912</v>
      </c>
      <c r="J731" t="s">
        <v>651</v>
      </c>
      <c r="K731" t="s">
        <v>651</v>
      </c>
      <c r="L731" t="s">
        <v>518</v>
      </c>
      <c r="M731" t="s">
        <v>649</v>
      </c>
      <c r="N731" t="s">
        <v>520</v>
      </c>
      <c r="O731" s="73"/>
      <c r="P731" s="73"/>
      <c r="Q731" s="73"/>
      <c r="R731" s="73"/>
      <c r="S731" s="73"/>
      <c r="T731" s="73"/>
      <c r="U731" s="73"/>
      <c r="V731" s="73"/>
      <c r="W731" s="73"/>
      <c r="X731" s="73"/>
      <c r="Y731" s="73"/>
      <c r="Z731" s="73"/>
      <c r="AA731" s="73"/>
    </row>
    <row r="732" spans="1:27" ht="15">
      <c r="B732"/>
      <c r="C732"/>
      <c r="D732" t="s">
        <v>3188</v>
      </c>
      <c r="E732" t="s">
        <v>1031</v>
      </c>
      <c r="F732" t="s">
        <v>514</v>
      </c>
      <c r="G732" t="s">
        <v>2163</v>
      </c>
      <c r="H732"/>
      <c r="I732"/>
      <c r="J732" t="s">
        <v>651</v>
      </c>
      <c r="K732" t="s">
        <v>651</v>
      </c>
      <c r="L732"/>
      <c r="M732"/>
      <c r="N732"/>
      <c r="O732" s="73"/>
      <c r="P732" s="73"/>
      <c r="Q732" s="73"/>
      <c r="R732" s="73"/>
      <c r="S732" s="73"/>
      <c r="T732" s="73"/>
      <c r="U732" s="73"/>
      <c r="V732" s="73"/>
      <c r="W732" s="73"/>
      <c r="X732" s="73"/>
      <c r="Y732" s="73"/>
      <c r="Z732" s="73"/>
      <c r="AA732" s="73"/>
    </row>
    <row r="733" spans="1:27" ht="15">
      <c r="A733" s="96">
        <v>45244</v>
      </c>
      <c r="B733" t="s">
        <v>3190</v>
      </c>
      <c r="C733" t="s">
        <v>1913</v>
      </c>
      <c r="D733"/>
      <c r="E733" t="s">
        <v>7437</v>
      </c>
      <c r="F733"/>
      <c r="G733" t="s">
        <v>2163</v>
      </c>
      <c r="H733" t="s">
        <v>7301</v>
      </c>
      <c r="I733" t="s">
        <v>1912</v>
      </c>
      <c r="J733" t="s">
        <v>651</v>
      </c>
      <c r="K733" t="s">
        <v>651</v>
      </c>
      <c r="L733" t="s">
        <v>518</v>
      </c>
      <c r="M733" t="s">
        <v>649</v>
      </c>
      <c r="N733" t="s">
        <v>520</v>
      </c>
      <c r="O733" s="73"/>
      <c r="P733" s="73"/>
      <c r="Q733" s="73"/>
      <c r="R733" s="73"/>
      <c r="S733" s="73"/>
      <c r="T733" s="73"/>
      <c r="U733" s="73"/>
      <c r="V733" s="73"/>
      <c r="W733" s="73"/>
      <c r="X733" s="73"/>
      <c r="Y733" s="73"/>
      <c r="Z733" s="73"/>
      <c r="AA733" s="73"/>
    </row>
    <row r="734" spans="1:27" ht="15">
      <c r="B734"/>
      <c r="C734"/>
      <c r="D734" t="s">
        <v>3188</v>
      </c>
      <c r="E734" t="s">
        <v>1031</v>
      </c>
      <c r="F734" t="s">
        <v>514</v>
      </c>
      <c r="G734" t="s">
        <v>2163</v>
      </c>
      <c r="H734"/>
      <c r="I734"/>
      <c r="J734" t="s">
        <v>651</v>
      </c>
      <c r="K734" t="s">
        <v>651</v>
      </c>
      <c r="L734"/>
      <c r="M734"/>
      <c r="N734"/>
      <c r="O734" s="73"/>
      <c r="P734" s="73"/>
      <c r="Q734" s="73"/>
      <c r="R734" s="73"/>
      <c r="S734" s="73"/>
      <c r="T734" s="73"/>
      <c r="U734" s="73"/>
      <c r="V734" s="73"/>
      <c r="W734" s="73"/>
      <c r="X734" s="73"/>
      <c r="Y734" s="73"/>
      <c r="Z734" s="73"/>
      <c r="AA734" s="73"/>
    </row>
    <row r="735" spans="1:27" ht="15">
      <c r="A735" s="96">
        <v>45244</v>
      </c>
      <c r="B735" t="s">
        <v>4925</v>
      </c>
      <c r="C735" t="s">
        <v>670</v>
      </c>
      <c r="D735"/>
      <c r="E735" t="s">
        <v>7438</v>
      </c>
      <c r="F735"/>
      <c r="G735" t="s">
        <v>555</v>
      </c>
      <c r="H735" t="s">
        <v>7304</v>
      </c>
      <c r="I735" t="s">
        <v>4927</v>
      </c>
      <c r="J735" t="s">
        <v>733</v>
      </c>
      <c r="K735" t="s">
        <v>733</v>
      </c>
      <c r="L735" t="s">
        <v>518</v>
      </c>
      <c r="M735" t="s">
        <v>2147</v>
      </c>
      <c r="N735" t="s">
        <v>520</v>
      </c>
      <c r="O735" s="73"/>
      <c r="P735" s="73"/>
      <c r="Q735" s="73"/>
      <c r="R735" s="73"/>
      <c r="S735" s="73"/>
      <c r="T735" s="73"/>
      <c r="U735" s="73"/>
      <c r="V735" s="73"/>
      <c r="W735" s="73"/>
      <c r="X735" s="73"/>
      <c r="Y735" s="73"/>
      <c r="Z735" s="73"/>
      <c r="AA735" s="73"/>
    </row>
    <row r="736" spans="1:27" ht="15">
      <c r="B736"/>
      <c r="C736"/>
      <c r="D736" t="s">
        <v>4923</v>
      </c>
      <c r="E736" t="s">
        <v>4926</v>
      </c>
      <c r="F736" t="s">
        <v>514</v>
      </c>
      <c r="G736" t="s">
        <v>555</v>
      </c>
      <c r="H736"/>
      <c r="I736"/>
      <c r="J736" t="s">
        <v>733</v>
      </c>
      <c r="K736" t="s">
        <v>733</v>
      </c>
      <c r="L736"/>
      <c r="M736"/>
      <c r="N736"/>
      <c r="O736" s="73"/>
      <c r="P736" s="73"/>
      <c r="Q736" s="73"/>
      <c r="R736" s="73"/>
      <c r="S736" s="73"/>
      <c r="T736" s="73"/>
      <c r="U736" s="73"/>
      <c r="V736" s="73"/>
      <c r="W736" s="73"/>
      <c r="X736" s="73"/>
      <c r="Y736" s="73"/>
      <c r="Z736" s="73"/>
      <c r="AA736" s="73"/>
    </row>
    <row r="737" spans="1:27" ht="15">
      <c r="A737" s="96">
        <v>45244</v>
      </c>
      <c r="B737" t="s">
        <v>3926</v>
      </c>
      <c r="C737" t="s">
        <v>1418</v>
      </c>
      <c r="D737"/>
      <c r="E737" t="s">
        <v>7439</v>
      </c>
      <c r="F737"/>
      <c r="G737" t="s">
        <v>3928</v>
      </c>
      <c r="H737" t="s">
        <v>7304</v>
      </c>
      <c r="I737" t="s">
        <v>3929</v>
      </c>
      <c r="J737" t="s">
        <v>733</v>
      </c>
      <c r="K737" t="s">
        <v>733</v>
      </c>
      <c r="L737" t="s">
        <v>518</v>
      </c>
      <c r="M737" t="s">
        <v>2147</v>
      </c>
      <c r="N737" t="s">
        <v>520</v>
      </c>
      <c r="O737" s="73"/>
      <c r="P737" s="73"/>
      <c r="Q737" s="73"/>
      <c r="R737" s="73"/>
      <c r="S737" s="73"/>
      <c r="T737" s="73"/>
      <c r="U737" s="73"/>
      <c r="V737" s="73"/>
      <c r="W737" s="73"/>
      <c r="X737" s="73"/>
      <c r="Y737" s="73"/>
      <c r="Z737" s="73"/>
      <c r="AA737" s="73"/>
    </row>
    <row r="738" spans="1:27" ht="15">
      <c r="B738"/>
      <c r="C738"/>
      <c r="D738" t="s">
        <v>3924</v>
      </c>
      <c r="E738" t="s">
        <v>3927</v>
      </c>
      <c r="F738" t="s">
        <v>514</v>
      </c>
      <c r="G738" t="s">
        <v>3928</v>
      </c>
      <c r="H738"/>
      <c r="I738"/>
      <c r="J738" t="s">
        <v>733</v>
      </c>
      <c r="K738" t="s">
        <v>733</v>
      </c>
      <c r="L738"/>
      <c r="M738"/>
      <c r="N738"/>
      <c r="O738" s="73"/>
      <c r="P738" s="73"/>
      <c r="Q738" s="73"/>
      <c r="R738" s="73"/>
      <c r="S738" s="73"/>
      <c r="T738" s="73"/>
      <c r="U738" s="73"/>
      <c r="V738" s="73"/>
      <c r="W738" s="73"/>
      <c r="X738" s="73"/>
      <c r="Y738" s="73"/>
      <c r="Z738" s="73"/>
      <c r="AA738" s="73"/>
    </row>
    <row r="739" spans="1:27" ht="15">
      <c r="A739" s="96">
        <v>45244</v>
      </c>
      <c r="B739" t="s">
        <v>4364</v>
      </c>
      <c r="C739" t="s">
        <v>670</v>
      </c>
      <c r="D739"/>
      <c r="E739" t="s">
        <v>7440</v>
      </c>
      <c r="F739"/>
      <c r="G739" t="s">
        <v>555</v>
      </c>
      <c r="H739" t="s">
        <v>7306</v>
      </c>
      <c r="I739" t="s">
        <v>4368</v>
      </c>
      <c r="J739" t="s">
        <v>1918</v>
      </c>
      <c r="K739" t="s">
        <v>1918</v>
      </c>
      <c r="L739" t="s">
        <v>518</v>
      </c>
      <c r="M739" t="s">
        <v>4077</v>
      </c>
      <c r="N739" t="s">
        <v>535</v>
      </c>
      <c r="O739" s="73"/>
      <c r="P739" s="73"/>
      <c r="Q739" s="73"/>
      <c r="R739" s="73"/>
      <c r="S739" s="73"/>
      <c r="T739" s="73"/>
      <c r="U739" s="73"/>
      <c r="V739" s="73"/>
      <c r="W739" s="73"/>
      <c r="X739" s="73"/>
      <c r="Y739" s="73"/>
      <c r="Z739" s="73"/>
      <c r="AA739" s="73"/>
    </row>
    <row r="740" spans="1:27" ht="15">
      <c r="B740"/>
      <c r="C740"/>
      <c r="D740" t="s">
        <v>4362</v>
      </c>
      <c r="E740" t="s">
        <v>4365</v>
      </c>
      <c r="F740" t="s">
        <v>4366</v>
      </c>
      <c r="G740" t="s">
        <v>555</v>
      </c>
      <c r="H740"/>
      <c r="I740"/>
      <c r="J740" t="s">
        <v>1918</v>
      </c>
      <c r="K740" t="s">
        <v>1918</v>
      </c>
      <c r="L740"/>
      <c r="M740"/>
      <c r="N740"/>
      <c r="O740" s="73"/>
      <c r="P740" s="73"/>
      <c r="Q740" s="73"/>
      <c r="R740" s="73"/>
      <c r="S740" s="73"/>
      <c r="T740" s="73"/>
      <c r="U740" s="73"/>
      <c r="V740" s="73"/>
      <c r="W740" s="73"/>
      <c r="X740" s="73"/>
      <c r="Y740" s="73"/>
      <c r="Z740" s="73"/>
      <c r="AA740" s="73"/>
    </row>
    <row r="741" spans="1:27" ht="15">
      <c r="A741" s="96">
        <v>45244</v>
      </c>
      <c r="B741" t="s">
        <v>3907</v>
      </c>
      <c r="C741" t="s">
        <v>670</v>
      </c>
      <c r="D741"/>
      <c r="E741" t="s">
        <v>7441</v>
      </c>
      <c r="F741"/>
      <c r="G741" t="s">
        <v>3909</v>
      </c>
      <c r="H741" t="s">
        <v>7262</v>
      </c>
      <c r="I741" t="s">
        <v>3911</v>
      </c>
      <c r="J741" t="s">
        <v>733</v>
      </c>
      <c r="K741" t="s">
        <v>733</v>
      </c>
      <c r="L741" t="s">
        <v>518</v>
      </c>
      <c r="M741" t="s">
        <v>3910</v>
      </c>
      <c r="N741" t="s">
        <v>1374</v>
      </c>
      <c r="O741" s="73"/>
      <c r="P741" s="73"/>
      <c r="Q741" s="73"/>
      <c r="R741" s="73"/>
      <c r="S741" s="73"/>
      <c r="T741" s="73"/>
      <c r="U741" s="73"/>
      <c r="V741" s="73"/>
      <c r="W741" s="73"/>
      <c r="X741" s="73"/>
      <c r="Y741" s="73"/>
      <c r="Z741" s="73"/>
      <c r="AA741" s="73"/>
    </row>
    <row r="742" spans="1:27" ht="15">
      <c r="B742"/>
      <c r="C742"/>
      <c r="D742" t="s">
        <v>3905</v>
      </c>
      <c r="E742" t="s">
        <v>3908</v>
      </c>
      <c r="F742" t="s">
        <v>1077</v>
      </c>
      <c r="G742" t="s">
        <v>3909</v>
      </c>
      <c r="H742"/>
      <c r="I742"/>
      <c r="J742" t="s">
        <v>733</v>
      </c>
      <c r="K742" t="s">
        <v>733</v>
      </c>
      <c r="L742"/>
      <c r="M742"/>
      <c r="N742"/>
      <c r="O742" s="73"/>
      <c r="P742" s="73"/>
      <c r="Q742" s="73"/>
      <c r="R742" s="73"/>
      <c r="S742" s="73"/>
      <c r="T742" s="73"/>
      <c r="U742" s="73"/>
      <c r="V742" s="73"/>
      <c r="W742" s="73"/>
      <c r="X742" s="73"/>
      <c r="Y742" s="73"/>
      <c r="Z742" s="73"/>
      <c r="AA742" s="73"/>
    </row>
    <row r="743" spans="1:27" ht="15">
      <c r="A743" s="96">
        <v>45244</v>
      </c>
      <c r="B743" t="s">
        <v>2989</v>
      </c>
      <c r="C743" t="s">
        <v>670</v>
      </c>
      <c r="D743"/>
      <c r="E743" t="s">
        <v>7442</v>
      </c>
      <c r="F743"/>
      <c r="G743" t="s">
        <v>2991</v>
      </c>
      <c r="H743" t="s">
        <v>7306</v>
      </c>
      <c r="I743" t="s">
        <v>2992</v>
      </c>
      <c r="J743" t="s">
        <v>1098</v>
      </c>
      <c r="K743" t="s">
        <v>1098</v>
      </c>
      <c r="L743" t="s">
        <v>518</v>
      </c>
      <c r="M743" t="s">
        <v>1097</v>
      </c>
      <c r="N743" t="s">
        <v>535</v>
      </c>
      <c r="O743" s="73"/>
      <c r="P743" s="73"/>
      <c r="Q743" s="73"/>
      <c r="R743" s="73"/>
      <c r="S743" s="73"/>
      <c r="T743" s="73"/>
      <c r="U743" s="73"/>
      <c r="V743" s="73"/>
      <c r="W743" s="73"/>
      <c r="X743" s="73"/>
      <c r="Y743" s="73"/>
      <c r="Z743" s="73"/>
      <c r="AA743" s="73"/>
    </row>
    <row r="744" spans="1:27" ht="15">
      <c r="B744"/>
      <c r="C744"/>
      <c r="D744" t="s">
        <v>2987</v>
      </c>
      <c r="E744" t="s">
        <v>2990</v>
      </c>
      <c r="F744" t="s">
        <v>657</v>
      </c>
      <c r="G744" t="s">
        <v>2991</v>
      </c>
      <c r="H744"/>
      <c r="I744"/>
      <c r="J744" t="s">
        <v>1098</v>
      </c>
      <c r="K744" t="s">
        <v>1098</v>
      </c>
      <c r="L744"/>
      <c r="M744"/>
      <c r="N744"/>
      <c r="O744" s="73"/>
      <c r="P744" s="73"/>
      <c r="Q744" s="73"/>
      <c r="R744" s="73"/>
      <c r="S744" s="73"/>
      <c r="T744" s="73"/>
      <c r="U744" s="73"/>
      <c r="V744" s="73"/>
      <c r="W744" s="73"/>
      <c r="X744" s="73"/>
      <c r="Y744" s="73"/>
      <c r="Z744" s="73"/>
      <c r="AA744" s="73"/>
    </row>
    <row r="745" spans="1:27" ht="15">
      <c r="A745" s="96">
        <v>45244</v>
      </c>
      <c r="B745" t="s">
        <v>4888</v>
      </c>
      <c r="C745" t="s">
        <v>670</v>
      </c>
      <c r="D745"/>
      <c r="E745" t="s">
        <v>7443</v>
      </c>
      <c r="F745"/>
      <c r="G745" t="s">
        <v>4890</v>
      </c>
      <c r="H745" t="s">
        <v>7444</v>
      </c>
      <c r="I745" t="s">
        <v>4891</v>
      </c>
      <c r="J745" t="s">
        <v>1918</v>
      </c>
      <c r="K745" t="s">
        <v>1918</v>
      </c>
      <c r="L745" t="s">
        <v>518</v>
      </c>
      <c r="M745" t="s">
        <v>4077</v>
      </c>
      <c r="N745" t="s">
        <v>605</v>
      </c>
      <c r="O745" s="73"/>
      <c r="P745" s="73"/>
      <c r="Q745" s="73"/>
      <c r="R745" s="73"/>
      <c r="S745" s="73"/>
      <c r="T745" s="73"/>
      <c r="U745" s="73"/>
      <c r="V745" s="73"/>
      <c r="W745" s="73"/>
      <c r="X745" s="73"/>
      <c r="Y745" s="73"/>
      <c r="Z745" s="73"/>
      <c r="AA745" s="73"/>
    </row>
    <row r="746" spans="1:27" ht="15">
      <c r="B746"/>
      <c r="C746"/>
      <c r="D746" t="s">
        <v>4881</v>
      </c>
      <c r="E746" t="s">
        <v>4889</v>
      </c>
      <c r="F746" t="s">
        <v>648</v>
      </c>
      <c r="G746" t="s">
        <v>4890</v>
      </c>
      <c r="H746"/>
      <c r="I746"/>
      <c r="J746" t="s">
        <v>1918</v>
      </c>
      <c r="K746" t="s">
        <v>1918</v>
      </c>
      <c r="L746"/>
      <c r="M746"/>
      <c r="N746"/>
      <c r="O746" s="73"/>
      <c r="P746" s="73"/>
      <c r="Q746" s="73"/>
      <c r="R746" s="73"/>
      <c r="S746" s="73"/>
      <c r="T746" s="73"/>
      <c r="U746" s="73"/>
      <c r="V746" s="73"/>
      <c r="W746" s="73"/>
      <c r="X746" s="73"/>
      <c r="Y746" s="73"/>
      <c r="Z746" s="73"/>
      <c r="AA746" s="73"/>
    </row>
    <row r="747" spans="1:27" ht="15">
      <c r="A747" s="96">
        <v>45244</v>
      </c>
      <c r="B747" t="s">
        <v>4763</v>
      </c>
      <c r="C747" t="s">
        <v>670</v>
      </c>
      <c r="D747"/>
      <c r="E747" t="s">
        <v>7445</v>
      </c>
      <c r="F747"/>
      <c r="G747" t="s">
        <v>4765</v>
      </c>
      <c r="H747" t="s">
        <v>7444</v>
      </c>
      <c r="I747" t="s">
        <v>4766</v>
      </c>
      <c r="J747" t="s">
        <v>733</v>
      </c>
      <c r="K747" t="s">
        <v>733</v>
      </c>
      <c r="L747" t="s">
        <v>518</v>
      </c>
      <c r="M747" t="s">
        <v>2147</v>
      </c>
      <c r="N747" t="s">
        <v>520</v>
      </c>
      <c r="O747" s="73"/>
      <c r="P747" s="73"/>
      <c r="Q747" s="73"/>
      <c r="R747" s="73"/>
      <c r="S747" s="73"/>
      <c r="T747" s="73"/>
      <c r="U747" s="73"/>
      <c r="V747" s="73"/>
      <c r="W747" s="73"/>
      <c r="X747" s="73"/>
      <c r="Y747" s="73"/>
      <c r="Z747" s="73"/>
      <c r="AA747" s="73"/>
    </row>
    <row r="748" spans="1:27" ht="15">
      <c r="B748"/>
      <c r="C748"/>
      <c r="D748" t="s">
        <v>4761</v>
      </c>
      <c r="E748" t="s">
        <v>4764</v>
      </c>
      <c r="F748" t="s">
        <v>657</v>
      </c>
      <c r="G748" t="s">
        <v>4765</v>
      </c>
      <c r="H748"/>
      <c r="I748"/>
      <c r="J748" t="s">
        <v>733</v>
      </c>
      <c r="K748" t="s">
        <v>733</v>
      </c>
      <c r="L748"/>
      <c r="M748"/>
      <c r="N748"/>
      <c r="O748" s="73"/>
      <c r="P748" s="73"/>
      <c r="Q748" s="73"/>
      <c r="R748" s="73"/>
      <c r="S748" s="73"/>
      <c r="T748" s="73"/>
      <c r="U748" s="73"/>
      <c r="V748" s="73"/>
      <c r="W748" s="73"/>
      <c r="X748" s="73"/>
      <c r="Y748" s="73"/>
      <c r="Z748" s="73"/>
      <c r="AA748" s="73"/>
    </row>
    <row r="749" spans="1:27" ht="15">
      <c r="A749" s="96">
        <v>45244</v>
      </c>
      <c r="B749" t="s">
        <v>5328</v>
      </c>
      <c r="C749" t="s">
        <v>670</v>
      </c>
      <c r="D749"/>
      <c r="E749" t="s">
        <v>7446</v>
      </c>
      <c r="F749"/>
      <c r="G749" t="s">
        <v>3748</v>
      </c>
      <c r="H749" t="s">
        <v>7306</v>
      </c>
      <c r="I749" t="s">
        <v>5330</v>
      </c>
      <c r="J749" t="s">
        <v>597</v>
      </c>
      <c r="K749" t="s">
        <v>597</v>
      </c>
      <c r="L749" t="s">
        <v>518</v>
      </c>
      <c r="M749" t="s">
        <v>596</v>
      </c>
      <c r="N749" t="s">
        <v>535</v>
      </c>
      <c r="O749" s="73"/>
      <c r="P749" s="73"/>
      <c r="Q749" s="73"/>
      <c r="R749" s="73"/>
      <c r="S749" s="73"/>
      <c r="T749" s="73"/>
      <c r="U749" s="73"/>
      <c r="V749" s="73"/>
      <c r="W749" s="73"/>
      <c r="X749" s="73"/>
      <c r="Y749" s="73"/>
      <c r="Z749" s="73"/>
      <c r="AA749" s="73"/>
    </row>
    <row r="750" spans="1:27" ht="15">
      <c r="B750"/>
      <c r="C750"/>
      <c r="D750" t="s">
        <v>5326</v>
      </c>
      <c r="E750" t="s">
        <v>5329</v>
      </c>
      <c r="F750" t="s">
        <v>3055</v>
      </c>
      <c r="G750" t="s">
        <v>3748</v>
      </c>
      <c r="H750"/>
      <c r="I750"/>
      <c r="J750" t="s">
        <v>597</v>
      </c>
      <c r="K750" t="s">
        <v>597</v>
      </c>
      <c r="L750"/>
      <c r="M750"/>
      <c r="N750"/>
      <c r="O750" s="73"/>
      <c r="P750" s="73"/>
      <c r="Q750" s="73"/>
      <c r="R750" s="73"/>
      <c r="S750" s="73"/>
      <c r="T750" s="73"/>
      <c r="U750" s="73"/>
      <c r="V750" s="73"/>
      <c r="W750" s="73"/>
      <c r="X750" s="73"/>
      <c r="Y750" s="73"/>
      <c r="Z750" s="73"/>
      <c r="AA750" s="73"/>
    </row>
    <row r="751" spans="1:27" ht="15">
      <c r="A751" s="96">
        <v>45244</v>
      </c>
      <c r="B751" t="s">
        <v>4233</v>
      </c>
      <c r="C751" t="s">
        <v>670</v>
      </c>
      <c r="D751"/>
      <c r="E751" t="s">
        <v>7447</v>
      </c>
      <c r="F751"/>
      <c r="G751" t="s">
        <v>2050</v>
      </c>
      <c r="H751" t="s">
        <v>7306</v>
      </c>
      <c r="I751" t="s">
        <v>4235</v>
      </c>
      <c r="J751" t="s">
        <v>1098</v>
      </c>
      <c r="K751" t="s">
        <v>1098</v>
      </c>
      <c r="L751" t="s">
        <v>518</v>
      </c>
      <c r="M751" t="s">
        <v>1097</v>
      </c>
      <c r="N751" t="s">
        <v>605</v>
      </c>
      <c r="O751" s="73"/>
      <c r="P751" s="73"/>
      <c r="Q751" s="73"/>
      <c r="R751" s="73"/>
      <c r="S751" s="73"/>
      <c r="T751" s="73"/>
      <c r="U751" s="73"/>
      <c r="V751" s="73"/>
      <c r="W751" s="73"/>
      <c r="X751" s="73"/>
      <c r="Y751" s="73"/>
      <c r="Z751" s="73"/>
      <c r="AA751" s="73"/>
    </row>
    <row r="752" spans="1:27" ht="15">
      <c r="B752"/>
      <c r="C752"/>
      <c r="D752" t="s">
        <v>4231</v>
      </c>
      <c r="E752" t="s">
        <v>4234</v>
      </c>
      <c r="F752" t="s">
        <v>657</v>
      </c>
      <c r="G752" t="s">
        <v>2050</v>
      </c>
      <c r="H752"/>
      <c r="I752"/>
      <c r="J752" t="s">
        <v>1098</v>
      </c>
      <c r="K752" t="s">
        <v>1098</v>
      </c>
      <c r="L752"/>
      <c r="M752"/>
      <c r="N752"/>
      <c r="O752" s="73"/>
      <c r="P752" s="73"/>
      <c r="Q752" s="73"/>
      <c r="R752" s="73"/>
      <c r="S752" s="73"/>
      <c r="T752" s="73"/>
      <c r="U752" s="73"/>
      <c r="V752" s="73"/>
      <c r="W752" s="73"/>
      <c r="X752" s="73"/>
      <c r="Y752" s="73"/>
      <c r="Z752" s="73"/>
      <c r="AA752" s="73"/>
    </row>
    <row r="753" spans="1:27" ht="15">
      <c r="A753" s="96">
        <v>45244</v>
      </c>
      <c r="B753" t="s">
        <v>3831</v>
      </c>
      <c r="C753" t="s">
        <v>670</v>
      </c>
      <c r="D753"/>
      <c r="E753" t="s">
        <v>7336</v>
      </c>
      <c r="F753"/>
      <c r="G753" t="s">
        <v>555</v>
      </c>
      <c r="H753" t="s">
        <v>7306</v>
      </c>
      <c r="I753" t="s">
        <v>3832</v>
      </c>
      <c r="J753" t="s">
        <v>1098</v>
      </c>
      <c r="K753" t="s">
        <v>1098</v>
      </c>
      <c r="L753" t="s">
        <v>518</v>
      </c>
      <c r="M753" t="s">
        <v>1097</v>
      </c>
      <c r="N753" t="s">
        <v>535</v>
      </c>
      <c r="O753" s="73"/>
      <c r="P753" s="73"/>
      <c r="Q753" s="73"/>
      <c r="R753" s="73"/>
      <c r="S753" s="73"/>
      <c r="T753" s="73"/>
      <c r="U753" s="73"/>
      <c r="V753" s="73"/>
      <c r="W753" s="73"/>
      <c r="X753" s="73"/>
      <c r="Y753" s="73"/>
      <c r="Z753" s="73"/>
      <c r="AA753" s="73"/>
    </row>
    <row r="754" spans="1:27" ht="15">
      <c r="B754"/>
      <c r="C754"/>
      <c r="D754" t="s">
        <v>3825</v>
      </c>
      <c r="E754" t="s">
        <v>3828</v>
      </c>
      <c r="F754" t="s">
        <v>1077</v>
      </c>
      <c r="G754" t="s">
        <v>555</v>
      </c>
      <c r="H754"/>
      <c r="I754"/>
      <c r="J754" t="s">
        <v>1098</v>
      </c>
      <c r="K754" t="s">
        <v>607</v>
      </c>
      <c r="L754"/>
      <c r="M754"/>
      <c r="N754"/>
      <c r="O754" s="73"/>
      <c r="P754" s="73"/>
      <c r="Q754" s="73"/>
      <c r="R754" s="73"/>
      <c r="S754" s="73"/>
      <c r="T754" s="73"/>
      <c r="U754" s="73"/>
      <c r="V754" s="73"/>
      <c r="W754" s="73"/>
      <c r="X754" s="73"/>
      <c r="Y754" s="73"/>
      <c r="Z754" s="73"/>
      <c r="AA754" s="73"/>
    </row>
    <row r="755" spans="1:27" ht="15">
      <c r="A755" s="96">
        <v>45244</v>
      </c>
      <c r="B755" t="s">
        <v>7448</v>
      </c>
      <c r="C755" t="s">
        <v>670</v>
      </c>
      <c r="D755"/>
      <c r="E755" t="s">
        <v>7376</v>
      </c>
      <c r="F755"/>
      <c r="G755" t="s">
        <v>4587</v>
      </c>
      <c r="H755" t="s">
        <v>7306</v>
      </c>
      <c r="I755" t="s">
        <v>7449</v>
      </c>
      <c r="J755" t="s">
        <v>1918</v>
      </c>
      <c r="K755" t="s">
        <v>1918</v>
      </c>
      <c r="L755" t="s">
        <v>518</v>
      </c>
      <c r="M755" t="s">
        <v>2100</v>
      </c>
      <c r="N755" t="s">
        <v>535</v>
      </c>
      <c r="O755" s="73"/>
      <c r="P755" s="73"/>
      <c r="Q755" s="73"/>
      <c r="R755" s="73"/>
      <c r="S755" s="73"/>
      <c r="T755" s="73"/>
      <c r="U755" s="73"/>
      <c r="V755" s="73"/>
      <c r="W755" s="73"/>
      <c r="X755" s="73"/>
      <c r="Y755" s="73"/>
      <c r="Z755" s="73"/>
      <c r="AA755" s="73"/>
    </row>
    <row r="756" spans="1:27" ht="15">
      <c r="B756"/>
      <c r="C756"/>
      <c r="D756" t="s">
        <v>2096</v>
      </c>
      <c r="E756" t="s">
        <v>2098</v>
      </c>
      <c r="F756" t="s">
        <v>514</v>
      </c>
      <c r="G756" t="s">
        <v>2099</v>
      </c>
      <c r="H756"/>
      <c r="I756"/>
      <c r="J756" t="s">
        <v>1918</v>
      </c>
      <c r="K756" t="s">
        <v>1918</v>
      </c>
      <c r="L756"/>
      <c r="M756"/>
      <c r="N756"/>
      <c r="O756" s="73"/>
      <c r="P756" s="73"/>
      <c r="Q756" s="73"/>
      <c r="R756" s="73"/>
      <c r="S756" s="73"/>
      <c r="T756" s="73"/>
      <c r="U756" s="73"/>
      <c r="V756" s="73"/>
      <c r="W756" s="73"/>
      <c r="X756" s="73"/>
      <c r="Y756" s="73"/>
      <c r="Z756" s="73"/>
      <c r="AA756" s="73"/>
    </row>
    <row r="757" spans="1:27" ht="15">
      <c r="B757"/>
      <c r="C757"/>
      <c r="D757" t="s">
        <v>2096</v>
      </c>
      <c r="E757" t="s">
        <v>2098</v>
      </c>
      <c r="F757" t="s">
        <v>514</v>
      </c>
      <c r="G757" t="s">
        <v>2099</v>
      </c>
      <c r="H757"/>
      <c r="I757"/>
      <c r="J757" t="s">
        <v>1918</v>
      </c>
      <c r="K757" t="s">
        <v>1918</v>
      </c>
      <c r="L757"/>
      <c r="M757"/>
      <c r="N757"/>
      <c r="O757" s="73"/>
      <c r="P757" s="73"/>
      <c r="Q757" s="73"/>
      <c r="R757" s="73"/>
      <c r="S757" s="73"/>
      <c r="T757" s="73"/>
      <c r="U757" s="73"/>
      <c r="V757" s="73"/>
      <c r="W757" s="73"/>
      <c r="X757" s="73"/>
      <c r="Y757" s="73"/>
      <c r="Z757" s="73"/>
      <c r="AA757" s="73"/>
    </row>
    <row r="758" spans="1:27" ht="15">
      <c r="B758"/>
      <c r="C758"/>
      <c r="D758" t="s">
        <v>2096</v>
      </c>
      <c r="E758" t="s">
        <v>2098</v>
      </c>
      <c r="F758" t="s">
        <v>514</v>
      </c>
      <c r="G758" t="s">
        <v>2099</v>
      </c>
      <c r="H758"/>
      <c r="I758"/>
      <c r="J758" t="s">
        <v>1918</v>
      </c>
      <c r="K758" t="s">
        <v>1918</v>
      </c>
      <c r="L758"/>
      <c r="M758"/>
      <c r="N758"/>
      <c r="O758" s="73"/>
      <c r="P758" s="73"/>
      <c r="Q758" s="73"/>
      <c r="R758" s="73"/>
      <c r="S758" s="73"/>
      <c r="T758" s="73"/>
      <c r="U758" s="73"/>
      <c r="V758" s="73"/>
      <c r="W758" s="73"/>
      <c r="X758" s="73"/>
      <c r="Y758" s="73"/>
      <c r="Z758" s="73"/>
      <c r="AA758" s="73"/>
    </row>
    <row r="759" spans="1:27" ht="15">
      <c r="B759"/>
      <c r="C759"/>
      <c r="D759" t="s">
        <v>2096</v>
      </c>
      <c r="E759" t="s">
        <v>2098</v>
      </c>
      <c r="F759" t="s">
        <v>514</v>
      </c>
      <c r="G759" t="s">
        <v>2099</v>
      </c>
      <c r="H759"/>
      <c r="I759"/>
      <c r="J759" t="s">
        <v>1918</v>
      </c>
      <c r="K759" t="s">
        <v>1918</v>
      </c>
      <c r="L759"/>
      <c r="M759"/>
      <c r="N759"/>
      <c r="O759" s="73"/>
      <c r="P759" s="73"/>
      <c r="Q759" s="73"/>
      <c r="R759" s="73"/>
      <c r="S759" s="73"/>
      <c r="T759" s="73"/>
      <c r="U759" s="73"/>
      <c r="V759" s="73"/>
      <c r="W759" s="73"/>
      <c r="X759" s="73"/>
      <c r="Y759" s="73"/>
      <c r="Z759" s="73"/>
      <c r="AA759" s="73"/>
    </row>
    <row r="760" spans="1:27" ht="15">
      <c r="B760"/>
      <c r="C760"/>
      <c r="D760" t="s">
        <v>2096</v>
      </c>
      <c r="E760" t="s">
        <v>2098</v>
      </c>
      <c r="F760" t="s">
        <v>514</v>
      </c>
      <c r="G760" t="s">
        <v>2067</v>
      </c>
      <c r="H760"/>
      <c r="I760"/>
      <c r="J760" t="s">
        <v>1918</v>
      </c>
      <c r="K760" t="s">
        <v>1918</v>
      </c>
      <c r="L760"/>
      <c r="M760"/>
      <c r="N760"/>
      <c r="O760" s="73"/>
      <c r="P760" s="73"/>
      <c r="Q760" s="73"/>
      <c r="R760" s="73"/>
      <c r="S760" s="73"/>
      <c r="T760" s="73"/>
      <c r="U760" s="73"/>
      <c r="V760" s="73"/>
      <c r="W760" s="73"/>
      <c r="X760" s="73"/>
      <c r="Y760" s="73"/>
      <c r="Z760" s="73"/>
      <c r="AA760" s="73"/>
    </row>
    <row r="761" spans="1:27" ht="15">
      <c r="A761" s="96">
        <v>45244</v>
      </c>
      <c r="B761" t="s">
        <v>3176</v>
      </c>
      <c r="C761" t="s">
        <v>1418</v>
      </c>
      <c r="D761"/>
      <c r="E761" t="s">
        <v>7349</v>
      </c>
      <c r="F761"/>
      <c r="G761" t="s">
        <v>3169</v>
      </c>
      <c r="H761" t="s">
        <v>7306</v>
      </c>
      <c r="I761" t="s">
        <v>3177</v>
      </c>
      <c r="J761" t="s">
        <v>733</v>
      </c>
      <c r="K761" t="s">
        <v>733</v>
      </c>
      <c r="L761" t="s">
        <v>518</v>
      </c>
      <c r="M761" t="s">
        <v>1769</v>
      </c>
      <c r="N761" t="s">
        <v>605</v>
      </c>
      <c r="O761" s="73"/>
      <c r="P761" s="73"/>
      <c r="Q761" s="73"/>
      <c r="R761" s="73"/>
      <c r="S761" s="73"/>
      <c r="T761" s="73"/>
      <c r="U761" s="73"/>
      <c r="V761" s="73"/>
      <c r="W761" s="73"/>
      <c r="X761" s="73"/>
      <c r="Y761" s="73"/>
      <c r="Z761" s="73"/>
      <c r="AA761" s="73"/>
    </row>
    <row r="762" spans="1:27" ht="15">
      <c r="B762"/>
      <c r="C762"/>
      <c r="D762" t="s">
        <v>3165</v>
      </c>
      <c r="E762" t="s">
        <v>3168</v>
      </c>
      <c r="F762" t="s">
        <v>958</v>
      </c>
      <c r="G762" t="s">
        <v>3169</v>
      </c>
      <c r="H762"/>
      <c r="I762"/>
      <c r="J762" t="s">
        <v>733</v>
      </c>
      <c r="K762" t="s">
        <v>733</v>
      </c>
      <c r="L762"/>
      <c r="M762"/>
      <c r="N762"/>
      <c r="O762" s="73"/>
      <c r="P762" s="73"/>
      <c r="Q762" s="73"/>
      <c r="R762" s="73"/>
      <c r="S762" s="73"/>
      <c r="T762" s="73"/>
      <c r="U762" s="73"/>
      <c r="V762" s="73"/>
      <c r="W762" s="73"/>
      <c r="X762" s="73"/>
      <c r="Y762" s="73"/>
      <c r="Z762" s="73"/>
      <c r="AA762" s="73"/>
    </row>
    <row r="763" spans="1:27" ht="15">
      <c r="A763" s="96">
        <v>45244</v>
      </c>
      <c r="B763" t="s">
        <v>3167</v>
      </c>
      <c r="C763" t="s">
        <v>1418</v>
      </c>
      <c r="D763"/>
      <c r="E763" t="s">
        <v>7349</v>
      </c>
      <c r="F763"/>
      <c r="G763" t="s">
        <v>3169</v>
      </c>
      <c r="H763" t="s">
        <v>7306</v>
      </c>
      <c r="I763" t="s">
        <v>3170</v>
      </c>
      <c r="J763" t="s">
        <v>733</v>
      </c>
      <c r="K763" t="s">
        <v>733</v>
      </c>
      <c r="L763" t="s">
        <v>518</v>
      </c>
      <c r="M763" t="s">
        <v>1769</v>
      </c>
      <c r="N763" t="s">
        <v>605</v>
      </c>
      <c r="O763" s="73"/>
      <c r="P763" s="73"/>
      <c r="Q763" s="73"/>
      <c r="R763" s="73"/>
      <c r="S763" s="73"/>
      <c r="T763" s="73"/>
      <c r="U763" s="73"/>
      <c r="V763" s="73"/>
      <c r="W763" s="73"/>
      <c r="X763" s="73"/>
      <c r="Y763" s="73"/>
      <c r="Z763" s="73"/>
      <c r="AA763" s="73"/>
    </row>
    <row r="764" spans="1:27" ht="15">
      <c r="B764"/>
      <c r="C764"/>
      <c r="D764" t="s">
        <v>3165</v>
      </c>
      <c r="E764" t="s">
        <v>3168</v>
      </c>
      <c r="F764" t="s">
        <v>958</v>
      </c>
      <c r="G764" t="s">
        <v>3169</v>
      </c>
      <c r="H764"/>
      <c r="I764"/>
      <c r="J764" t="s">
        <v>733</v>
      </c>
      <c r="K764" t="s">
        <v>733</v>
      </c>
      <c r="L764"/>
      <c r="M764"/>
      <c r="N764"/>
      <c r="O764" s="73"/>
      <c r="P764" s="73"/>
      <c r="Q764" s="73"/>
      <c r="R764" s="73"/>
      <c r="S764" s="73"/>
      <c r="T764" s="73"/>
      <c r="U764" s="73"/>
      <c r="V764" s="73"/>
      <c r="W764" s="73"/>
      <c r="X764" s="73"/>
      <c r="Y764" s="73"/>
      <c r="Z764" s="73"/>
      <c r="AA764" s="73"/>
    </row>
    <row r="765" spans="1:27" ht="15">
      <c r="A765" s="96">
        <v>45244</v>
      </c>
      <c r="B765" t="s">
        <v>3695</v>
      </c>
      <c r="C765" t="s">
        <v>670</v>
      </c>
      <c r="D765"/>
      <c r="E765" t="s">
        <v>7450</v>
      </c>
      <c r="F765"/>
      <c r="G765" t="s">
        <v>3697</v>
      </c>
      <c r="H765" t="s">
        <v>7306</v>
      </c>
      <c r="I765" t="s">
        <v>3698</v>
      </c>
      <c r="J765" t="s">
        <v>590</v>
      </c>
      <c r="K765" t="s">
        <v>590</v>
      </c>
      <c r="L765" t="s">
        <v>518</v>
      </c>
      <c r="M765" t="s">
        <v>588</v>
      </c>
      <c r="N765" t="s">
        <v>520</v>
      </c>
      <c r="O765" s="73"/>
      <c r="P765" s="73"/>
      <c r="Q765" s="73"/>
      <c r="R765" s="73"/>
      <c r="S765" s="73"/>
      <c r="T765" s="73"/>
      <c r="U765" s="73"/>
      <c r="V765" s="73"/>
      <c r="W765" s="73"/>
      <c r="X765" s="73"/>
      <c r="Y765" s="73"/>
      <c r="Z765" s="73"/>
      <c r="AA765" s="73"/>
    </row>
    <row r="766" spans="1:27" ht="15">
      <c r="B766"/>
      <c r="C766"/>
      <c r="D766" t="s">
        <v>3687</v>
      </c>
      <c r="E766" t="s">
        <v>3696</v>
      </c>
      <c r="F766" t="s">
        <v>724</v>
      </c>
      <c r="G766" t="s">
        <v>3697</v>
      </c>
      <c r="H766"/>
      <c r="I766"/>
      <c r="J766" t="s">
        <v>590</v>
      </c>
      <c r="K766" t="s">
        <v>590</v>
      </c>
      <c r="L766"/>
      <c r="M766"/>
      <c r="N766"/>
      <c r="O766" s="73"/>
      <c r="P766" s="73"/>
      <c r="Q766" s="73"/>
      <c r="R766" s="73"/>
      <c r="S766" s="73"/>
      <c r="T766" s="73"/>
      <c r="U766" s="73"/>
      <c r="V766" s="73"/>
      <c r="W766" s="73"/>
      <c r="X766" s="73"/>
      <c r="Y766" s="73"/>
      <c r="Z766" s="73"/>
      <c r="AA766" s="73"/>
    </row>
    <row r="767" spans="1:27" ht="15">
      <c r="A767" s="96">
        <v>45244</v>
      </c>
      <c r="B767" t="s">
        <v>3810</v>
      </c>
      <c r="C767" t="s">
        <v>670</v>
      </c>
      <c r="D767"/>
      <c r="E767" t="s">
        <v>7451</v>
      </c>
      <c r="F767"/>
      <c r="G767" t="s">
        <v>3954</v>
      </c>
      <c r="H767" t="s">
        <v>7306</v>
      </c>
      <c r="I767" t="s">
        <v>3814</v>
      </c>
      <c r="J767" t="s">
        <v>1014</v>
      </c>
      <c r="K767" t="s">
        <v>1014</v>
      </c>
      <c r="L767" t="s">
        <v>518</v>
      </c>
      <c r="M767" t="s">
        <v>3813</v>
      </c>
      <c r="N767" t="s">
        <v>520</v>
      </c>
      <c r="O767" s="73"/>
      <c r="P767" s="73"/>
      <c r="Q767" s="73"/>
      <c r="R767" s="73"/>
      <c r="S767" s="73"/>
      <c r="T767" s="73"/>
      <c r="U767" s="73"/>
      <c r="V767" s="73"/>
      <c r="W767" s="73"/>
      <c r="X767" s="73"/>
      <c r="Y767" s="73"/>
      <c r="Z767" s="73"/>
      <c r="AA767" s="73"/>
    </row>
    <row r="768" spans="1:27" ht="15">
      <c r="B768"/>
      <c r="C768"/>
      <c r="D768" t="s">
        <v>3808</v>
      </c>
      <c r="E768" t="s">
        <v>3811</v>
      </c>
      <c r="F768" t="s">
        <v>3812</v>
      </c>
      <c r="G768" t="s">
        <v>3158</v>
      </c>
      <c r="H768"/>
      <c r="I768"/>
      <c r="J768" t="s">
        <v>1014</v>
      </c>
      <c r="K768" t="s">
        <v>1014</v>
      </c>
      <c r="L768"/>
      <c r="M768"/>
      <c r="N768"/>
      <c r="O768" s="73"/>
      <c r="P768" s="73"/>
      <c r="Q768" s="73"/>
      <c r="R768" s="73"/>
      <c r="S768" s="73"/>
      <c r="T768" s="73"/>
      <c r="U768" s="73"/>
      <c r="V768" s="73"/>
      <c r="W768" s="73"/>
      <c r="X768" s="73"/>
      <c r="Y768" s="73"/>
      <c r="Z768" s="73"/>
      <c r="AA768" s="73"/>
    </row>
    <row r="769" spans="1:27" ht="15">
      <c r="B769"/>
      <c r="C769"/>
      <c r="D769" t="s">
        <v>3808</v>
      </c>
      <c r="E769" t="s">
        <v>3817</v>
      </c>
      <c r="F769" t="s">
        <v>3818</v>
      </c>
      <c r="G769" t="s">
        <v>3819</v>
      </c>
      <c r="H769"/>
      <c r="I769"/>
      <c r="J769" t="s">
        <v>1014</v>
      </c>
      <c r="K769" t="s">
        <v>1014</v>
      </c>
      <c r="L769"/>
      <c r="M769"/>
      <c r="N769"/>
      <c r="O769" s="73"/>
      <c r="P769" s="73"/>
      <c r="Q769" s="73"/>
      <c r="R769" s="73"/>
      <c r="S769" s="73"/>
      <c r="T769" s="73"/>
      <c r="U769" s="73"/>
      <c r="V769" s="73"/>
      <c r="W769" s="73"/>
      <c r="X769" s="73"/>
      <c r="Y769" s="73"/>
      <c r="Z769" s="73"/>
      <c r="AA769" s="73"/>
    </row>
    <row r="770" spans="1:27" ht="15">
      <c r="B770"/>
      <c r="C770"/>
      <c r="D770" t="s">
        <v>3808</v>
      </c>
      <c r="E770" t="s">
        <v>3821</v>
      </c>
      <c r="F770" t="s">
        <v>958</v>
      </c>
      <c r="G770" t="s">
        <v>2614</v>
      </c>
      <c r="H770"/>
      <c r="I770"/>
      <c r="J770" t="s">
        <v>1014</v>
      </c>
      <c r="K770" t="s">
        <v>1014</v>
      </c>
      <c r="L770"/>
      <c r="M770"/>
      <c r="N770"/>
      <c r="O770" s="73"/>
      <c r="P770" s="73"/>
      <c r="Q770" s="73"/>
      <c r="R770" s="73"/>
      <c r="S770" s="73"/>
      <c r="T770" s="73"/>
      <c r="U770" s="73"/>
      <c r="V770" s="73"/>
      <c r="W770" s="73"/>
      <c r="X770" s="73"/>
      <c r="Y770" s="73"/>
      <c r="Z770" s="73"/>
      <c r="AA770" s="73"/>
    </row>
    <row r="771" spans="1:27" ht="15">
      <c r="A771" s="96">
        <v>45244</v>
      </c>
      <c r="B771" t="s">
        <v>4211</v>
      </c>
      <c r="C771" t="s">
        <v>670</v>
      </c>
      <c r="D771"/>
      <c r="E771" t="s">
        <v>7354</v>
      </c>
      <c r="F771"/>
      <c r="G771" t="s">
        <v>3805</v>
      </c>
      <c r="H771" t="s">
        <v>7306</v>
      </c>
      <c r="I771" t="s">
        <v>4212</v>
      </c>
      <c r="J771" t="s">
        <v>753</v>
      </c>
      <c r="K771" t="s">
        <v>753</v>
      </c>
      <c r="L771" t="s">
        <v>518</v>
      </c>
      <c r="M771" t="s">
        <v>751</v>
      </c>
      <c r="N771" t="s">
        <v>520</v>
      </c>
      <c r="O771" s="73"/>
      <c r="P771" s="73"/>
      <c r="Q771" s="73"/>
      <c r="R771" s="73"/>
      <c r="S771" s="73"/>
      <c r="T771" s="73"/>
      <c r="U771" s="73"/>
      <c r="V771" s="73"/>
      <c r="W771" s="73"/>
      <c r="X771" s="73"/>
      <c r="Y771" s="73"/>
      <c r="Z771" s="73"/>
      <c r="AA771" s="73"/>
    </row>
    <row r="772" spans="1:27" ht="15">
      <c r="B772"/>
      <c r="C772"/>
      <c r="D772" t="s">
        <v>4202</v>
      </c>
      <c r="E772" t="s">
        <v>4208</v>
      </c>
      <c r="F772" t="s">
        <v>1077</v>
      </c>
      <c r="G772" t="s">
        <v>3805</v>
      </c>
      <c r="H772"/>
      <c r="I772"/>
      <c r="J772" t="s">
        <v>753</v>
      </c>
      <c r="K772" t="s">
        <v>753</v>
      </c>
      <c r="L772"/>
      <c r="M772"/>
      <c r="N772"/>
      <c r="O772" s="73"/>
      <c r="P772" s="73"/>
      <c r="Q772" s="73"/>
      <c r="R772" s="73"/>
      <c r="S772" s="73"/>
      <c r="T772" s="73"/>
      <c r="U772" s="73"/>
      <c r="V772" s="73"/>
      <c r="W772" s="73"/>
      <c r="X772" s="73"/>
      <c r="Y772" s="73"/>
      <c r="Z772" s="73"/>
      <c r="AA772" s="73"/>
    </row>
    <row r="773" spans="1:27" ht="15">
      <c r="A773" s="96">
        <v>45244</v>
      </c>
      <c r="B773" t="s">
        <v>4260</v>
      </c>
      <c r="C773" t="s">
        <v>670</v>
      </c>
      <c r="D773"/>
      <c r="E773" t="s">
        <v>7452</v>
      </c>
      <c r="F773"/>
      <c r="G773" t="s">
        <v>4262</v>
      </c>
      <c r="H773" t="s">
        <v>7306</v>
      </c>
      <c r="I773" t="s">
        <v>4263</v>
      </c>
      <c r="J773" t="s">
        <v>1015</v>
      </c>
      <c r="K773" t="s">
        <v>1015</v>
      </c>
      <c r="L773" t="s">
        <v>518</v>
      </c>
      <c r="M773" t="s">
        <v>1013</v>
      </c>
      <c r="N773" t="s">
        <v>535</v>
      </c>
      <c r="O773" s="73"/>
      <c r="P773" s="73"/>
      <c r="Q773" s="73"/>
      <c r="R773" s="73"/>
      <c r="S773" s="73"/>
      <c r="T773" s="73"/>
      <c r="U773" s="73"/>
      <c r="V773" s="73"/>
      <c r="W773" s="73"/>
      <c r="X773" s="73"/>
      <c r="Y773" s="73"/>
      <c r="Z773" s="73"/>
      <c r="AA773" s="73"/>
    </row>
    <row r="774" spans="1:27" ht="15">
      <c r="B774"/>
      <c r="C774"/>
      <c r="D774" t="s">
        <v>4253</v>
      </c>
      <c r="E774" t="s">
        <v>4261</v>
      </c>
      <c r="F774" t="s">
        <v>1077</v>
      </c>
      <c r="G774" t="s">
        <v>4262</v>
      </c>
      <c r="H774"/>
      <c r="I774"/>
      <c r="J774" t="s">
        <v>1015</v>
      </c>
      <c r="K774" t="s">
        <v>1015</v>
      </c>
      <c r="L774"/>
      <c r="M774"/>
      <c r="N774"/>
      <c r="O774" s="73"/>
      <c r="P774" s="73"/>
      <c r="Q774" s="73"/>
      <c r="R774" s="73"/>
      <c r="S774" s="73"/>
      <c r="T774" s="73"/>
      <c r="U774" s="73"/>
      <c r="V774" s="73"/>
      <c r="W774" s="73"/>
      <c r="X774" s="73"/>
      <c r="Y774" s="73"/>
      <c r="Z774" s="73"/>
      <c r="AA774" s="73"/>
    </row>
    <row r="775" spans="1:27" ht="15">
      <c r="A775" s="96">
        <v>45244</v>
      </c>
      <c r="B775" t="s">
        <v>4716</v>
      </c>
      <c r="C775" t="s">
        <v>670</v>
      </c>
      <c r="D775"/>
      <c r="E775" t="s">
        <v>7441</v>
      </c>
      <c r="F775"/>
      <c r="G775" t="s">
        <v>4587</v>
      </c>
      <c r="H775" t="s">
        <v>7306</v>
      </c>
      <c r="I775" t="s">
        <v>4717</v>
      </c>
      <c r="J775" t="s">
        <v>917</v>
      </c>
      <c r="K775" t="s">
        <v>917</v>
      </c>
      <c r="L775" t="s">
        <v>518</v>
      </c>
      <c r="M775" t="s">
        <v>916</v>
      </c>
      <c r="N775" t="s">
        <v>535</v>
      </c>
      <c r="O775" s="73"/>
      <c r="P775" s="73"/>
      <c r="Q775" s="73"/>
      <c r="R775" s="73"/>
      <c r="S775" s="73"/>
      <c r="T775" s="73"/>
      <c r="U775" s="73"/>
      <c r="V775" s="73"/>
      <c r="W775" s="73"/>
      <c r="X775" s="73"/>
      <c r="Y775" s="73"/>
      <c r="Z775" s="73"/>
      <c r="AA775" s="73"/>
    </row>
    <row r="776" spans="1:27" ht="15">
      <c r="B776"/>
      <c r="C776"/>
      <c r="D776" t="s">
        <v>4714</v>
      </c>
      <c r="E776" t="s">
        <v>3908</v>
      </c>
      <c r="F776" t="s">
        <v>1077</v>
      </c>
      <c r="G776" t="s">
        <v>4587</v>
      </c>
      <c r="H776"/>
      <c r="I776"/>
      <c r="J776" t="s">
        <v>917</v>
      </c>
      <c r="K776" t="s">
        <v>917</v>
      </c>
      <c r="L776"/>
      <c r="M776"/>
      <c r="N776"/>
      <c r="O776" s="73"/>
      <c r="P776" s="73"/>
      <c r="Q776" s="73"/>
      <c r="R776" s="73"/>
      <c r="S776" s="73"/>
      <c r="T776" s="73"/>
      <c r="U776" s="73"/>
      <c r="V776" s="73"/>
      <c r="W776" s="73"/>
      <c r="X776" s="73"/>
      <c r="Y776" s="73"/>
      <c r="Z776" s="73"/>
      <c r="AA776" s="73"/>
    </row>
    <row r="777" spans="1:27" ht="15">
      <c r="A777" s="96">
        <v>45244</v>
      </c>
      <c r="B777" t="s">
        <v>5289</v>
      </c>
      <c r="C777" t="s">
        <v>670</v>
      </c>
      <c r="D777"/>
      <c r="E777" t="s">
        <v>7305</v>
      </c>
      <c r="F777"/>
      <c r="G777" t="s">
        <v>5286</v>
      </c>
      <c r="H777" t="s">
        <v>7306</v>
      </c>
      <c r="I777" t="s">
        <v>5290</v>
      </c>
      <c r="J777" t="s">
        <v>3083</v>
      </c>
      <c r="K777" t="s">
        <v>3083</v>
      </c>
      <c r="L777" t="s">
        <v>518</v>
      </c>
      <c r="M777" t="s">
        <v>3338</v>
      </c>
      <c r="N777" t="s">
        <v>520</v>
      </c>
      <c r="O777" s="73"/>
      <c r="P777" s="73"/>
      <c r="Q777" s="73"/>
      <c r="R777" s="73"/>
      <c r="S777" s="73"/>
      <c r="T777" s="73"/>
      <c r="U777" s="73"/>
      <c r="V777" s="73"/>
      <c r="W777" s="73"/>
      <c r="X777" s="73"/>
      <c r="Y777" s="73"/>
      <c r="Z777" s="73"/>
      <c r="AA777" s="73"/>
    </row>
    <row r="778" spans="1:27" ht="15">
      <c r="B778"/>
      <c r="C778"/>
      <c r="D778" t="s">
        <v>5282</v>
      </c>
      <c r="E778" t="s">
        <v>2253</v>
      </c>
      <c r="F778" t="s">
        <v>724</v>
      </c>
      <c r="G778" t="s">
        <v>5286</v>
      </c>
      <c r="H778"/>
      <c r="I778"/>
      <c r="J778" t="s">
        <v>3083</v>
      </c>
      <c r="K778" t="s">
        <v>3083</v>
      </c>
      <c r="L778"/>
      <c r="M778"/>
      <c r="N778"/>
      <c r="O778" s="73"/>
      <c r="P778" s="73"/>
      <c r="Q778" s="73"/>
      <c r="R778" s="73"/>
      <c r="S778" s="73"/>
      <c r="T778" s="73"/>
      <c r="U778" s="73"/>
      <c r="V778" s="73"/>
      <c r="W778" s="73"/>
      <c r="X778" s="73"/>
      <c r="Y778" s="73"/>
      <c r="Z778" s="73"/>
      <c r="AA778" s="73"/>
    </row>
    <row r="779" spans="1:27" ht="15">
      <c r="A779" s="96">
        <v>45244</v>
      </c>
      <c r="B779" t="s">
        <v>5322</v>
      </c>
      <c r="C779" t="s">
        <v>670</v>
      </c>
      <c r="D779"/>
      <c r="E779" t="s">
        <v>7453</v>
      </c>
      <c r="F779"/>
      <c r="G779" t="s">
        <v>5324</v>
      </c>
      <c r="H779" t="s">
        <v>7306</v>
      </c>
      <c r="I779" t="s">
        <v>5325</v>
      </c>
      <c r="J779" t="s">
        <v>1042</v>
      </c>
      <c r="K779" t="s">
        <v>1042</v>
      </c>
      <c r="L779" t="s">
        <v>518</v>
      </c>
      <c r="M779" t="s">
        <v>2925</v>
      </c>
      <c r="N779" t="s">
        <v>535</v>
      </c>
      <c r="O779" s="73"/>
      <c r="P779" s="73"/>
      <c r="Q779" s="73"/>
      <c r="R779" s="73"/>
      <c r="S779" s="73"/>
      <c r="T779" s="73"/>
      <c r="U779" s="73"/>
      <c r="V779" s="73"/>
      <c r="W779" s="73"/>
      <c r="X779" s="73"/>
      <c r="Y779" s="73"/>
      <c r="Z779" s="73"/>
      <c r="AA779" s="73"/>
    </row>
    <row r="780" spans="1:27" ht="15">
      <c r="B780"/>
      <c r="C780"/>
      <c r="D780" t="s">
        <v>5320</v>
      </c>
      <c r="E780" t="s">
        <v>5323</v>
      </c>
      <c r="F780" t="s">
        <v>2579</v>
      </c>
      <c r="G780" t="s">
        <v>5324</v>
      </c>
      <c r="H780"/>
      <c r="I780"/>
      <c r="J780" t="s">
        <v>1042</v>
      </c>
      <c r="K780" t="s">
        <v>1042</v>
      </c>
      <c r="L780"/>
      <c r="M780"/>
      <c r="N780"/>
      <c r="O780" s="73"/>
      <c r="P780" s="73"/>
      <c r="Q780" s="73"/>
      <c r="R780" s="73"/>
      <c r="S780" s="73"/>
      <c r="T780" s="73"/>
      <c r="U780" s="73"/>
      <c r="V780" s="73"/>
      <c r="W780" s="73"/>
      <c r="X780" s="73"/>
      <c r="Y780" s="73"/>
      <c r="Z780" s="73"/>
      <c r="AA780" s="73"/>
    </row>
    <row r="781" spans="1:27" ht="15">
      <c r="A781" s="96">
        <v>45244</v>
      </c>
      <c r="B781" t="s">
        <v>3937</v>
      </c>
      <c r="C781" t="s">
        <v>670</v>
      </c>
      <c r="D781"/>
      <c r="E781" t="s">
        <v>7341</v>
      </c>
      <c r="F781"/>
      <c r="G781" t="s">
        <v>3934</v>
      </c>
      <c r="H781" t="s">
        <v>7306</v>
      </c>
      <c r="I781" t="s">
        <v>3938</v>
      </c>
      <c r="J781" t="s">
        <v>597</v>
      </c>
      <c r="K781" t="s">
        <v>597</v>
      </c>
      <c r="L781" t="s">
        <v>518</v>
      </c>
      <c r="M781" t="s">
        <v>596</v>
      </c>
      <c r="N781" t="s">
        <v>605</v>
      </c>
      <c r="O781" s="73"/>
      <c r="P781" s="73"/>
      <c r="Q781" s="73"/>
      <c r="R781" s="73"/>
      <c r="S781" s="73"/>
      <c r="T781" s="73"/>
      <c r="U781" s="73"/>
      <c r="V781" s="73"/>
      <c r="W781" s="73"/>
      <c r="X781" s="73"/>
      <c r="Y781" s="73"/>
      <c r="Z781" s="73"/>
      <c r="AA781" s="73"/>
    </row>
    <row r="782" spans="1:27" ht="15">
      <c r="B782"/>
      <c r="C782"/>
      <c r="D782" t="s">
        <v>3930</v>
      </c>
      <c r="E782" t="s">
        <v>3933</v>
      </c>
      <c r="F782" t="s">
        <v>657</v>
      </c>
      <c r="G782" t="s">
        <v>3934</v>
      </c>
      <c r="H782"/>
      <c r="I782"/>
      <c r="J782" t="s">
        <v>597</v>
      </c>
      <c r="K782" t="s">
        <v>597</v>
      </c>
      <c r="L782"/>
      <c r="M782"/>
      <c r="N782"/>
      <c r="O782" s="73"/>
      <c r="P782" s="73"/>
      <c r="Q782" s="73"/>
      <c r="R782" s="73"/>
      <c r="S782" s="73"/>
      <c r="T782" s="73"/>
      <c r="U782" s="73"/>
      <c r="V782" s="73"/>
      <c r="W782" s="73"/>
      <c r="X782" s="73"/>
      <c r="Y782" s="73"/>
      <c r="Z782" s="73"/>
      <c r="AA782" s="73"/>
    </row>
    <row r="783" spans="1:27" ht="15">
      <c r="A783" s="96">
        <v>45244</v>
      </c>
      <c r="B783" t="s">
        <v>3575</v>
      </c>
      <c r="C783" t="s">
        <v>670</v>
      </c>
      <c r="D783"/>
      <c r="E783" t="s">
        <v>7454</v>
      </c>
      <c r="F783"/>
      <c r="G783" t="s">
        <v>3577</v>
      </c>
      <c r="H783" t="s">
        <v>7306</v>
      </c>
      <c r="I783" t="s">
        <v>3578</v>
      </c>
      <c r="J783" t="s">
        <v>897</v>
      </c>
      <c r="K783" t="s">
        <v>897</v>
      </c>
      <c r="L783" t="s">
        <v>518</v>
      </c>
      <c r="M783" t="s">
        <v>895</v>
      </c>
      <c r="N783" t="s">
        <v>605</v>
      </c>
      <c r="O783" s="73"/>
      <c r="P783" s="73"/>
      <c r="Q783" s="73"/>
      <c r="R783" s="73"/>
      <c r="S783" s="73"/>
      <c r="T783" s="73"/>
      <c r="U783" s="73"/>
      <c r="V783" s="73"/>
      <c r="W783" s="73"/>
      <c r="X783" s="73"/>
      <c r="Y783" s="73"/>
      <c r="Z783" s="73"/>
      <c r="AA783" s="73"/>
    </row>
    <row r="784" spans="1:27" ht="15">
      <c r="B784"/>
      <c r="C784"/>
      <c r="D784" t="s">
        <v>3573</v>
      </c>
      <c r="E784" t="s">
        <v>3576</v>
      </c>
      <c r="F784" t="s">
        <v>514</v>
      </c>
      <c r="G784" t="s">
        <v>3577</v>
      </c>
      <c r="H784"/>
      <c r="I784"/>
      <c r="J784" t="s">
        <v>897</v>
      </c>
      <c r="K784" t="s">
        <v>897</v>
      </c>
      <c r="L784"/>
      <c r="M784"/>
      <c r="N784"/>
      <c r="O784" s="73"/>
      <c r="P784" s="73"/>
      <c r="Q784" s="73"/>
      <c r="R784" s="73"/>
      <c r="S784" s="73"/>
      <c r="T784" s="73"/>
      <c r="U784" s="73"/>
      <c r="V784" s="73"/>
      <c r="W784" s="73"/>
      <c r="X784" s="73"/>
      <c r="Y784" s="73"/>
      <c r="Z784" s="73"/>
      <c r="AA784" s="73"/>
    </row>
    <row r="785" spans="1:27" ht="15">
      <c r="A785" s="96">
        <v>45244</v>
      </c>
      <c r="B785" t="s">
        <v>4223</v>
      </c>
      <c r="C785" t="s">
        <v>670</v>
      </c>
      <c r="D785"/>
      <c r="E785" t="s">
        <v>7355</v>
      </c>
      <c r="F785"/>
      <c r="G785" t="s">
        <v>4220</v>
      </c>
      <c r="H785" t="s">
        <v>7306</v>
      </c>
      <c r="I785" t="s">
        <v>4224</v>
      </c>
      <c r="J785" t="s">
        <v>3640</v>
      </c>
      <c r="K785" t="s">
        <v>3640</v>
      </c>
      <c r="L785" t="s">
        <v>518</v>
      </c>
      <c r="M785" t="s">
        <v>3639</v>
      </c>
      <c r="N785" t="s">
        <v>535</v>
      </c>
      <c r="O785" s="73"/>
      <c r="P785" s="73"/>
      <c r="Q785" s="73"/>
      <c r="R785" s="73"/>
      <c r="S785" s="73"/>
      <c r="T785" s="73"/>
      <c r="U785" s="73"/>
      <c r="V785" s="73"/>
      <c r="W785" s="73"/>
      <c r="X785" s="73"/>
      <c r="Y785" s="73"/>
      <c r="Z785" s="73"/>
      <c r="AA785" s="73"/>
    </row>
    <row r="786" spans="1:27" ht="15">
      <c r="B786"/>
      <c r="C786"/>
      <c r="D786" t="s">
        <v>4216</v>
      </c>
      <c r="E786" t="s">
        <v>4219</v>
      </c>
      <c r="F786" t="s">
        <v>657</v>
      </c>
      <c r="G786" t="s">
        <v>4220</v>
      </c>
      <c r="H786"/>
      <c r="I786"/>
      <c r="J786" t="s">
        <v>3640</v>
      </c>
      <c r="K786" t="s">
        <v>3640</v>
      </c>
      <c r="L786"/>
      <c r="M786"/>
      <c r="N786"/>
      <c r="O786" s="73"/>
      <c r="P786" s="73"/>
      <c r="Q786" s="73"/>
      <c r="R786" s="73"/>
      <c r="S786" s="73"/>
      <c r="T786" s="73"/>
      <c r="U786" s="73"/>
      <c r="V786" s="73"/>
      <c r="W786" s="73"/>
      <c r="X786" s="73"/>
      <c r="Y786" s="73"/>
      <c r="Z786" s="73"/>
      <c r="AA786" s="73"/>
    </row>
    <row r="787" spans="1:27" ht="15">
      <c r="A787" s="96">
        <v>45244</v>
      </c>
      <c r="B787" t="s">
        <v>4218</v>
      </c>
      <c r="C787" t="s">
        <v>670</v>
      </c>
      <c r="D787"/>
      <c r="E787" t="s">
        <v>7355</v>
      </c>
      <c r="F787"/>
      <c r="G787" t="s">
        <v>4220</v>
      </c>
      <c r="H787" t="s">
        <v>7306</v>
      </c>
      <c r="I787" t="s">
        <v>4221</v>
      </c>
      <c r="J787" t="s">
        <v>3640</v>
      </c>
      <c r="K787" t="s">
        <v>3640</v>
      </c>
      <c r="L787" t="s">
        <v>518</v>
      </c>
      <c r="M787" t="s">
        <v>3639</v>
      </c>
      <c r="N787" t="s">
        <v>535</v>
      </c>
      <c r="O787" s="73"/>
      <c r="P787" s="73"/>
      <c r="Q787" s="73"/>
      <c r="R787" s="73"/>
      <c r="S787" s="73"/>
      <c r="T787" s="73"/>
      <c r="U787" s="73"/>
      <c r="V787" s="73"/>
      <c r="W787" s="73"/>
      <c r="X787" s="73"/>
      <c r="Y787" s="73"/>
      <c r="Z787" s="73"/>
      <c r="AA787" s="73"/>
    </row>
    <row r="788" spans="1:27" ht="15">
      <c r="B788"/>
      <c r="C788"/>
      <c r="D788" t="s">
        <v>4216</v>
      </c>
      <c r="E788" t="s">
        <v>4219</v>
      </c>
      <c r="F788" t="s">
        <v>657</v>
      </c>
      <c r="G788" t="s">
        <v>4220</v>
      </c>
      <c r="H788"/>
      <c r="I788"/>
      <c r="J788" t="s">
        <v>3640</v>
      </c>
      <c r="K788" t="s">
        <v>3640</v>
      </c>
      <c r="L788"/>
      <c r="M788"/>
      <c r="N788"/>
      <c r="O788" s="73"/>
      <c r="P788" s="73"/>
      <c r="Q788" s="73"/>
      <c r="R788" s="73"/>
      <c r="S788" s="73"/>
      <c r="T788" s="73"/>
      <c r="U788" s="73"/>
      <c r="V788" s="73"/>
      <c r="W788" s="73"/>
      <c r="X788" s="73"/>
      <c r="Y788" s="73"/>
      <c r="Z788" s="73"/>
      <c r="AA788" s="73"/>
    </row>
    <row r="789" spans="1:27" ht="15">
      <c r="A789" s="96">
        <v>45244</v>
      </c>
      <c r="B789" t="s">
        <v>4873</v>
      </c>
      <c r="C789" t="s">
        <v>670</v>
      </c>
      <c r="D789"/>
      <c r="E789" t="s">
        <v>7455</v>
      </c>
      <c r="F789"/>
      <c r="G789" t="s">
        <v>4875</v>
      </c>
      <c r="H789" t="s">
        <v>7306</v>
      </c>
      <c r="I789" t="s">
        <v>4876</v>
      </c>
      <c r="J789" t="s">
        <v>676</v>
      </c>
      <c r="K789" t="s">
        <v>676</v>
      </c>
      <c r="L789" t="s">
        <v>518</v>
      </c>
      <c r="M789" t="s">
        <v>675</v>
      </c>
      <c r="N789" t="s">
        <v>605</v>
      </c>
      <c r="O789" s="73"/>
      <c r="P789" s="73"/>
      <c r="Q789" s="73"/>
      <c r="R789" s="73"/>
      <c r="S789" s="73"/>
      <c r="T789" s="73"/>
      <c r="U789" s="73"/>
      <c r="V789" s="73"/>
      <c r="W789" s="73"/>
      <c r="X789" s="73"/>
      <c r="Y789" s="73"/>
      <c r="Z789" s="73"/>
      <c r="AA789" s="73"/>
    </row>
    <row r="790" spans="1:27" ht="15">
      <c r="B790"/>
      <c r="C790"/>
      <c r="D790" t="s">
        <v>4871</v>
      </c>
      <c r="E790" t="s">
        <v>4874</v>
      </c>
      <c r="F790" t="s">
        <v>665</v>
      </c>
      <c r="G790" t="s">
        <v>4875</v>
      </c>
      <c r="H790"/>
      <c r="I790"/>
      <c r="J790" t="s">
        <v>676</v>
      </c>
      <c r="K790" t="s">
        <v>676</v>
      </c>
      <c r="L790"/>
      <c r="M790"/>
      <c r="N790"/>
      <c r="O790" s="73"/>
      <c r="P790" s="73"/>
      <c r="Q790" s="73"/>
      <c r="R790" s="73"/>
      <c r="S790" s="73"/>
      <c r="T790" s="73"/>
      <c r="U790" s="73"/>
      <c r="V790" s="73"/>
      <c r="W790" s="73"/>
      <c r="X790" s="73"/>
      <c r="Y790" s="73"/>
      <c r="Z790" s="73"/>
      <c r="AA790" s="73"/>
    </row>
    <row r="791" spans="1:27" ht="15">
      <c r="A791" s="96">
        <v>45244</v>
      </c>
      <c r="B791" t="s">
        <v>3708</v>
      </c>
      <c r="C791" t="s">
        <v>670</v>
      </c>
      <c r="D791"/>
      <c r="E791" t="s">
        <v>7456</v>
      </c>
      <c r="F791"/>
      <c r="G791" t="s">
        <v>555</v>
      </c>
      <c r="H791" t="s">
        <v>7306</v>
      </c>
      <c r="I791" t="s">
        <v>3710</v>
      </c>
      <c r="J791" t="s">
        <v>561</v>
      </c>
      <c r="K791" t="s">
        <v>561</v>
      </c>
      <c r="L791" t="s">
        <v>518</v>
      </c>
      <c r="M791" t="s">
        <v>556</v>
      </c>
      <c r="N791" t="s">
        <v>535</v>
      </c>
      <c r="O791" s="73"/>
      <c r="P791" s="73"/>
      <c r="Q791" s="73"/>
      <c r="R791" s="73"/>
      <c r="S791" s="73"/>
      <c r="T791" s="73"/>
      <c r="U791" s="73"/>
      <c r="V791" s="73"/>
      <c r="W791" s="73"/>
      <c r="X791" s="73"/>
      <c r="Y791" s="73"/>
      <c r="Z791" s="73"/>
      <c r="AA791" s="73"/>
    </row>
    <row r="792" spans="1:27" ht="15">
      <c r="B792"/>
      <c r="C792"/>
      <c r="D792" t="s">
        <v>551</v>
      </c>
      <c r="E792" t="s">
        <v>3709</v>
      </c>
      <c r="F792" t="s">
        <v>514</v>
      </c>
      <c r="G792" t="s">
        <v>555</v>
      </c>
      <c r="H792"/>
      <c r="I792"/>
      <c r="J792" t="s">
        <v>561</v>
      </c>
      <c r="K792" t="s">
        <v>561</v>
      </c>
      <c r="L792"/>
      <c r="M792"/>
      <c r="N792"/>
      <c r="O792" s="73"/>
      <c r="P792" s="73"/>
      <c r="Q792" s="73"/>
      <c r="R792" s="73"/>
      <c r="S792" s="73"/>
      <c r="T792" s="73"/>
      <c r="U792" s="73"/>
      <c r="V792" s="73"/>
      <c r="W792" s="73"/>
      <c r="X792" s="73"/>
      <c r="Y792" s="73"/>
      <c r="Z792" s="73"/>
      <c r="AA792" s="73"/>
    </row>
    <row r="793" spans="1:27" ht="15">
      <c r="A793" s="96">
        <v>45244</v>
      </c>
      <c r="B793" t="s">
        <v>4423</v>
      </c>
      <c r="C793" t="s">
        <v>670</v>
      </c>
      <c r="D793"/>
      <c r="E793" t="s">
        <v>7457</v>
      </c>
      <c r="F793"/>
      <c r="G793" t="s">
        <v>4425</v>
      </c>
      <c r="H793" t="s">
        <v>7306</v>
      </c>
      <c r="I793" t="s">
        <v>4426</v>
      </c>
      <c r="J793" t="s">
        <v>811</v>
      </c>
      <c r="K793" t="s">
        <v>811</v>
      </c>
      <c r="L793" t="s">
        <v>518</v>
      </c>
      <c r="M793" t="s">
        <v>809</v>
      </c>
      <c r="N793" t="s">
        <v>520</v>
      </c>
      <c r="O793" s="73"/>
      <c r="P793" s="73"/>
      <c r="Q793" s="73"/>
      <c r="R793" s="73"/>
      <c r="S793" s="73"/>
      <c r="T793" s="73"/>
      <c r="U793" s="73"/>
      <c r="V793" s="73"/>
      <c r="W793" s="73"/>
      <c r="X793" s="73"/>
      <c r="Y793" s="73"/>
      <c r="Z793" s="73"/>
      <c r="AA793" s="73"/>
    </row>
    <row r="794" spans="1:27" ht="15">
      <c r="B794"/>
      <c r="C794"/>
      <c r="D794" t="s">
        <v>4421</v>
      </c>
      <c r="E794" t="s">
        <v>4424</v>
      </c>
      <c r="F794" t="s">
        <v>724</v>
      </c>
      <c r="G794" t="s">
        <v>4425</v>
      </c>
      <c r="H794"/>
      <c r="I794"/>
      <c r="J794" t="s">
        <v>811</v>
      </c>
      <c r="K794" t="s">
        <v>811</v>
      </c>
      <c r="L794"/>
      <c r="M794"/>
      <c r="N794"/>
      <c r="O794" s="73"/>
      <c r="P794" s="73"/>
      <c r="Q794" s="73"/>
      <c r="R794" s="73"/>
      <c r="S794" s="73"/>
      <c r="T794" s="73"/>
      <c r="U794" s="73"/>
      <c r="V794" s="73"/>
      <c r="W794" s="73"/>
      <c r="X794" s="73"/>
      <c r="Y794" s="73"/>
      <c r="Z794" s="73"/>
      <c r="AA794" s="73"/>
    </row>
    <row r="795" spans="1:27" ht="15">
      <c r="A795" s="96">
        <v>45244</v>
      </c>
      <c r="B795" t="s">
        <v>3468</v>
      </c>
      <c r="C795" t="s">
        <v>1913</v>
      </c>
      <c r="D795"/>
      <c r="E795" t="s">
        <v>3914</v>
      </c>
      <c r="F795"/>
      <c r="G795" t="s">
        <v>3470</v>
      </c>
      <c r="H795" t="s">
        <v>7423</v>
      </c>
      <c r="I795" t="s">
        <v>3471</v>
      </c>
      <c r="J795" t="s">
        <v>3461</v>
      </c>
      <c r="K795" t="s">
        <v>3461</v>
      </c>
      <c r="L795" t="s">
        <v>518</v>
      </c>
      <c r="M795" t="s">
        <v>3460</v>
      </c>
      <c r="N795" t="s">
        <v>535</v>
      </c>
      <c r="O795" s="73"/>
      <c r="P795" s="73"/>
      <c r="Q795" s="73"/>
      <c r="R795" s="73"/>
      <c r="S795" s="73"/>
      <c r="T795" s="73"/>
      <c r="U795" s="73"/>
      <c r="V795" s="73"/>
      <c r="W795" s="73"/>
      <c r="X795" s="73"/>
      <c r="Y795" s="73"/>
      <c r="Z795" s="73"/>
      <c r="AA795" s="73"/>
    </row>
    <row r="796" spans="1:27" ht="15">
      <c r="B796"/>
      <c r="C796"/>
      <c r="D796" t="s">
        <v>3457</v>
      </c>
      <c r="E796" t="s">
        <v>3469</v>
      </c>
      <c r="F796" t="s">
        <v>2895</v>
      </c>
      <c r="G796" t="s">
        <v>3470</v>
      </c>
      <c r="H796"/>
      <c r="I796"/>
      <c r="J796" t="s">
        <v>3461</v>
      </c>
      <c r="K796" t="s">
        <v>811</v>
      </c>
      <c r="L796"/>
      <c r="M796"/>
      <c r="N796"/>
      <c r="O796" s="73"/>
      <c r="P796" s="73"/>
      <c r="Q796" s="73"/>
      <c r="R796" s="73"/>
      <c r="S796" s="73"/>
      <c r="T796" s="73"/>
      <c r="U796" s="73"/>
      <c r="V796" s="73"/>
      <c r="W796" s="73"/>
      <c r="X796" s="73"/>
      <c r="Y796" s="73"/>
      <c r="Z796" s="73"/>
      <c r="AA796" s="73"/>
    </row>
    <row r="797" spans="1:27" ht="15">
      <c r="A797" s="96">
        <v>45244</v>
      </c>
      <c r="B797" t="s">
        <v>4720</v>
      </c>
      <c r="C797" t="s">
        <v>1071</v>
      </c>
      <c r="D797"/>
      <c r="E797" t="s">
        <v>7458</v>
      </c>
      <c r="F797"/>
      <c r="G797" t="s">
        <v>4722</v>
      </c>
      <c r="H797" t="s">
        <v>4723</v>
      </c>
      <c r="I797" t="s">
        <v>4724</v>
      </c>
      <c r="J797" t="s">
        <v>699</v>
      </c>
      <c r="K797" t="s">
        <v>699</v>
      </c>
      <c r="L797" t="s">
        <v>518</v>
      </c>
      <c r="M797" t="s">
        <v>697</v>
      </c>
      <c r="N797" t="s">
        <v>535</v>
      </c>
      <c r="O797" s="73"/>
      <c r="P797" s="73"/>
      <c r="Q797" s="73"/>
      <c r="R797" s="73"/>
      <c r="S797" s="73"/>
      <c r="T797" s="73"/>
      <c r="U797" s="73"/>
      <c r="V797" s="73"/>
      <c r="W797" s="73"/>
      <c r="X797" s="73"/>
      <c r="Y797" s="73"/>
      <c r="Z797" s="73"/>
      <c r="AA797" s="73"/>
    </row>
    <row r="798" spans="1:27" ht="15">
      <c r="B798"/>
      <c r="C798"/>
      <c r="D798" t="s">
        <v>4718</v>
      </c>
      <c r="E798" t="s">
        <v>4721</v>
      </c>
      <c r="F798" t="s">
        <v>514</v>
      </c>
      <c r="G798" t="s">
        <v>4722</v>
      </c>
      <c r="H798"/>
      <c r="I798"/>
      <c r="J798" t="s">
        <v>699</v>
      </c>
      <c r="K798" t="s">
        <v>699</v>
      </c>
      <c r="L798"/>
      <c r="M798"/>
      <c r="N798"/>
      <c r="O798" s="73"/>
      <c r="P798" s="73"/>
      <c r="Q798" s="73"/>
      <c r="R798" s="73"/>
      <c r="S798" s="73"/>
      <c r="T798" s="73"/>
      <c r="U798" s="73"/>
      <c r="V798" s="73"/>
      <c r="W798" s="73"/>
      <c r="X798" s="73"/>
      <c r="Y798" s="73"/>
      <c r="Z798" s="73"/>
      <c r="AA798" s="73"/>
    </row>
    <row r="799" spans="1:27" ht="15">
      <c r="A799" s="96">
        <v>45244</v>
      </c>
      <c r="B799" t="s">
        <v>4883</v>
      </c>
      <c r="C799" t="s">
        <v>670</v>
      </c>
      <c r="D799"/>
      <c r="E799" t="s">
        <v>7459</v>
      </c>
      <c r="F799"/>
      <c r="G799" t="s">
        <v>4885</v>
      </c>
      <c r="H799" t="s">
        <v>7319</v>
      </c>
      <c r="I799" t="s">
        <v>4886</v>
      </c>
      <c r="J799" t="s">
        <v>1918</v>
      </c>
      <c r="K799" t="s">
        <v>1918</v>
      </c>
      <c r="L799" t="s">
        <v>518</v>
      </c>
      <c r="M799" t="s">
        <v>4077</v>
      </c>
      <c r="N799" t="s">
        <v>605</v>
      </c>
      <c r="O799" s="73"/>
      <c r="P799" s="73"/>
      <c r="Q799" s="73"/>
      <c r="R799" s="73"/>
      <c r="S799" s="73"/>
      <c r="T799" s="73"/>
      <c r="U799" s="73"/>
      <c r="V799" s="73"/>
      <c r="W799" s="73"/>
      <c r="X799" s="73"/>
      <c r="Y799" s="73"/>
      <c r="Z799" s="73"/>
      <c r="AA799" s="73"/>
    </row>
    <row r="800" spans="1:27" ht="15">
      <c r="B800"/>
      <c r="C800"/>
      <c r="D800" t="s">
        <v>4881</v>
      </c>
      <c r="E800" t="s">
        <v>4884</v>
      </c>
      <c r="F800" t="s">
        <v>979</v>
      </c>
      <c r="G800" t="s">
        <v>4885</v>
      </c>
      <c r="H800"/>
      <c r="I800"/>
      <c r="J800" t="s">
        <v>1918</v>
      </c>
      <c r="K800" t="s">
        <v>1918</v>
      </c>
      <c r="L800"/>
      <c r="M800"/>
      <c r="N800"/>
      <c r="O800" s="73"/>
      <c r="P800" s="73"/>
      <c r="Q800" s="73"/>
      <c r="R800" s="73"/>
      <c r="S800" s="73"/>
      <c r="T800" s="73"/>
      <c r="U800" s="73"/>
      <c r="V800" s="73"/>
      <c r="W800" s="73"/>
      <c r="X800" s="73"/>
      <c r="Y800" s="73"/>
      <c r="Z800" s="73"/>
      <c r="AA800" s="73"/>
    </row>
    <row r="801" spans="1:27" ht="15">
      <c r="A801" s="96">
        <v>45244</v>
      </c>
      <c r="B801" t="s">
        <v>2938</v>
      </c>
      <c r="C801" t="s">
        <v>670</v>
      </c>
      <c r="D801"/>
      <c r="E801" t="s">
        <v>7408</v>
      </c>
      <c r="F801"/>
      <c r="G801" t="s">
        <v>2940</v>
      </c>
      <c r="H801" t="s">
        <v>7319</v>
      </c>
      <c r="I801" t="s">
        <v>2944</v>
      </c>
      <c r="J801" t="s">
        <v>2943</v>
      </c>
      <c r="K801" t="s">
        <v>2943</v>
      </c>
      <c r="L801" t="s">
        <v>518</v>
      </c>
      <c r="M801" t="s">
        <v>2941</v>
      </c>
      <c r="N801" t="s">
        <v>535</v>
      </c>
      <c r="O801" s="73"/>
      <c r="P801" s="73"/>
      <c r="Q801" s="73"/>
      <c r="R801" s="73"/>
      <c r="S801" s="73"/>
      <c r="T801" s="73"/>
      <c r="U801" s="73"/>
      <c r="V801" s="73"/>
      <c r="W801" s="73"/>
      <c r="X801" s="73"/>
      <c r="Y801" s="73"/>
      <c r="Z801" s="73"/>
      <c r="AA801" s="73"/>
    </row>
    <row r="802" spans="1:27" ht="15">
      <c r="B802"/>
      <c r="C802"/>
      <c r="D802" t="s">
        <v>2936</v>
      </c>
      <c r="E802" t="s">
        <v>2939</v>
      </c>
      <c r="F802" t="s">
        <v>657</v>
      </c>
      <c r="G802" t="s">
        <v>2940</v>
      </c>
      <c r="H802"/>
      <c r="I802"/>
      <c r="J802" t="s">
        <v>2943</v>
      </c>
      <c r="K802" t="s">
        <v>2943</v>
      </c>
      <c r="L802"/>
      <c r="M802"/>
      <c r="N802"/>
      <c r="O802" s="73"/>
      <c r="P802" s="73"/>
      <c r="Q802" s="73"/>
      <c r="R802" s="73"/>
      <c r="S802" s="73"/>
      <c r="T802" s="73"/>
      <c r="U802" s="73"/>
      <c r="V802" s="73"/>
      <c r="W802" s="73"/>
      <c r="X802" s="73"/>
      <c r="Y802" s="73"/>
      <c r="Z802" s="73"/>
      <c r="AA802" s="73"/>
    </row>
    <row r="803" spans="1:27" ht="15">
      <c r="A803" s="96">
        <v>45244</v>
      </c>
      <c r="B803" t="s">
        <v>5128</v>
      </c>
      <c r="C803" t="s">
        <v>670</v>
      </c>
      <c r="D803"/>
      <c r="E803" t="s">
        <v>7460</v>
      </c>
      <c r="F803"/>
      <c r="G803" t="s">
        <v>555</v>
      </c>
      <c r="H803" t="s">
        <v>7319</v>
      </c>
      <c r="I803" t="s">
        <v>5130</v>
      </c>
      <c r="J803" t="s">
        <v>3083</v>
      </c>
      <c r="K803" t="s">
        <v>3083</v>
      </c>
      <c r="L803" t="s">
        <v>518</v>
      </c>
      <c r="M803" t="s">
        <v>3338</v>
      </c>
      <c r="N803" t="s">
        <v>535</v>
      </c>
      <c r="O803" s="73"/>
      <c r="P803" s="73"/>
      <c r="Q803" s="73"/>
      <c r="R803" s="73"/>
      <c r="S803" s="73"/>
      <c r="T803" s="73"/>
      <c r="U803" s="73"/>
      <c r="V803" s="73"/>
      <c r="W803" s="73"/>
      <c r="X803" s="73"/>
      <c r="Y803" s="73"/>
      <c r="Z803" s="73"/>
      <c r="AA803" s="73"/>
    </row>
    <row r="804" spans="1:27" ht="15">
      <c r="B804"/>
      <c r="C804"/>
      <c r="D804" t="s">
        <v>5122</v>
      </c>
      <c r="E804" t="s">
        <v>5129</v>
      </c>
      <c r="F804" t="s">
        <v>514</v>
      </c>
      <c r="G804" t="s">
        <v>555</v>
      </c>
      <c r="H804"/>
      <c r="I804"/>
      <c r="J804" t="s">
        <v>3083</v>
      </c>
      <c r="K804" t="s">
        <v>3083</v>
      </c>
      <c r="L804"/>
      <c r="M804"/>
      <c r="N804"/>
      <c r="O804" s="73"/>
      <c r="P804" s="73"/>
      <c r="Q804" s="73"/>
      <c r="R804" s="73"/>
      <c r="S804" s="73"/>
      <c r="T804" s="73"/>
      <c r="U804" s="73"/>
      <c r="V804" s="73"/>
      <c r="W804" s="73"/>
      <c r="X804" s="73"/>
      <c r="Y804" s="73"/>
      <c r="Z804" s="73"/>
      <c r="AA804" s="73"/>
    </row>
    <row r="805" spans="1:27" ht="15">
      <c r="A805" s="96">
        <v>45244</v>
      </c>
      <c r="B805" t="s">
        <v>3259</v>
      </c>
      <c r="C805" t="s">
        <v>1071</v>
      </c>
      <c r="D805"/>
      <c r="E805" t="s">
        <v>7461</v>
      </c>
      <c r="F805"/>
      <c r="G805" t="s">
        <v>624</v>
      </c>
      <c r="H805" t="s">
        <v>7328</v>
      </c>
      <c r="I805" t="s">
        <v>3262</v>
      </c>
      <c r="J805" t="s">
        <v>1918</v>
      </c>
      <c r="K805" t="s">
        <v>1918</v>
      </c>
      <c r="L805" t="s">
        <v>682</v>
      </c>
      <c r="M805" t="s">
        <v>3261</v>
      </c>
      <c r="N805" t="s">
        <v>535</v>
      </c>
      <c r="O805" s="73"/>
      <c r="P805" s="73"/>
      <c r="Q805" s="73"/>
      <c r="R805" s="73"/>
      <c r="S805" s="73"/>
      <c r="T805" s="73"/>
      <c r="U805" s="73"/>
      <c r="V805" s="73"/>
      <c r="W805" s="73"/>
      <c r="X805" s="73"/>
      <c r="Y805" s="73"/>
      <c r="Z805" s="73"/>
      <c r="AA805" s="73"/>
    </row>
    <row r="806" spans="1:27" ht="15">
      <c r="B806"/>
      <c r="C806"/>
      <c r="D806" t="s">
        <v>3257</v>
      </c>
      <c r="E806" t="s">
        <v>3260</v>
      </c>
      <c r="F806" t="s">
        <v>514</v>
      </c>
      <c r="G806" t="s">
        <v>624</v>
      </c>
      <c r="H806"/>
      <c r="I806"/>
      <c r="J806" t="s">
        <v>1918</v>
      </c>
      <c r="K806" t="s">
        <v>1918</v>
      </c>
      <c r="L806"/>
      <c r="M806"/>
      <c r="N806"/>
      <c r="O806" s="73"/>
      <c r="P806" s="73"/>
      <c r="Q806" s="73"/>
      <c r="R806" s="73"/>
      <c r="S806" s="73"/>
      <c r="T806" s="73"/>
      <c r="U806" s="73"/>
      <c r="V806" s="73"/>
      <c r="W806" s="73"/>
      <c r="X806" s="73"/>
      <c r="Y806" s="73"/>
      <c r="Z806" s="73"/>
      <c r="AA806" s="73"/>
    </row>
    <row r="807" spans="1:27" ht="15">
      <c r="A807" s="96">
        <v>45244</v>
      </c>
      <c r="B807" t="s">
        <v>3303</v>
      </c>
      <c r="C807" t="s">
        <v>670</v>
      </c>
      <c r="D807"/>
      <c r="E807" t="s">
        <v>7462</v>
      </c>
      <c r="F807"/>
      <c r="G807" t="s">
        <v>3296</v>
      </c>
      <c r="H807" t="s">
        <v>7328</v>
      </c>
      <c r="I807" t="s">
        <v>3304</v>
      </c>
      <c r="J807" t="s">
        <v>1918</v>
      </c>
      <c r="K807" t="s">
        <v>1918</v>
      </c>
      <c r="L807" t="s">
        <v>518</v>
      </c>
      <c r="M807" t="s">
        <v>2100</v>
      </c>
      <c r="N807" t="s">
        <v>535</v>
      </c>
      <c r="O807" s="73"/>
      <c r="P807" s="73"/>
      <c r="Q807" s="73"/>
      <c r="R807" s="73"/>
      <c r="S807" s="73"/>
      <c r="T807" s="73"/>
      <c r="U807" s="73"/>
      <c r="V807" s="73"/>
      <c r="W807" s="73"/>
      <c r="X807" s="73"/>
      <c r="Y807" s="73"/>
      <c r="Z807" s="73"/>
      <c r="AA807" s="73"/>
    </row>
    <row r="808" spans="1:27" ht="15">
      <c r="B808"/>
      <c r="C808"/>
      <c r="D808" t="s">
        <v>3292</v>
      </c>
      <c r="E808" t="s">
        <v>3295</v>
      </c>
      <c r="F808" t="s">
        <v>1077</v>
      </c>
      <c r="G808" t="s">
        <v>3296</v>
      </c>
      <c r="H808"/>
      <c r="I808"/>
      <c r="J808" t="s">
        <v>1918</v>
      </c>
      <c r="K808" t="s">
        <v>1918</v>
      </c>
      <c r="L808"/>
      <c r="M808"/>
      <c r="N808"/>
      <c r="O808" s="73"/>
      <c r="P808" s="73"/>
      <c r="Q808" s="73"/>
      <c r="R808" s="73"/>
      <c r="S808" s="73"/>
      <c r="T808" s="73"/>
      <c r="U808" s="73"/>
      <c r="V808" s="73"/>
      <c r="W808" s="73"/>
      <c r="X808" s="73"/>
      <c r="Y808" s="73"/>
      <c r="Z808" s="73"/>
      <c r="AA808" s="73"/>
    </row>
    <row r="809" spans="1:27" ht="15">
      <c r="A809" s="96">
        <v>45244</v>
      </c>
      <c r="B809" t="s">
        <v>3294</v>
      </c>
      <c r="C809" t="s">
        <v>670</v>
      </c>
      <c r="D809"/>
      <c r="E809" t="s">
        <v>7462</v>
      </c>
      <c r="F809"/>
      <c r="G809" t="s">
        <v>3296</v>
      </c>
      <c r="H809" t="s">
        <v>7328</v>
      </c>
      <c r="I809" t="s">
        <v>3298</v>
      </c>
      <c r="J809" t="s">
        <v>1918</v>
      </c>
      <c r="K809" t="s">
        <v>1918</v>
      </c>
      <c r="L809" t="s">
        <v>518</v>
      </c>
      <c r="M809" t="s">
        <v>3297</v>
      </c>
      <c r="N809" t="s">
        <v>535</v>
      </c>
      <c r="O809" s="73"/>
      <c r="P809" s="73"/>
      <c r="Q809" s="73"/>
      <c r="R809" s="73"/>
      <c r="S809" s="73"/>
      <c r="T809" s="73"/>
      <c r="U809" s="73"/>
      <c r="V809" s="73"/>
      <c r="W809" s="73"/>
      <c r="X809" s="73"/>
      <c r="Y809" s="73"/>
      <c r="Z809" s="73"/>
      <c r="AA809" s="73"/>
    </row>
    <row r="810" spans="1:27" ht="15">
      <c r="B810"/>
      <c r="C810"/>
      <c r="D810" t="s">
        <v>3292</v>
      </c>
      <c r="E810" t="s">
        <v>3295</v>
      </c>
      <c r="F810" t="s">
        <v>1077</v>
      </c>
      <c r="G810" t="s">
        <v>3296</v>
      </c>
      <c r="H810"/>
      <c r="I810"/>
      <c r="J810" t="s">
        <v>1918</v>
      </c>
      <c r="K810" t="s">
        <v>1918</v>
      </c>
      <c r="L810"/>
      <c r="M810"/>
      <c r="N810"/>
      <c r="O810" s="73"/>
      <c r="P810" s="73"/>
      <c r="Q810" s="73"/>
      <c r="R810" s="73"/>
      <c r="S810" s="73"/>
      <c r="T810" s="73"/>
      <c r="U810" s="73"/>
      <c r="V810" s="73"/>
      <c r="W810" s="73"/>
      <c r="X810" s="73"/>
      <c r="Y810" s="73"/>
      <c r="Z810" s="73"/>
      <c r="AA810" s="73"/>
    </row>
    <row r="811" spans="1:27" ht="15">
      <c r="A811" s="96">
        <v>45244</v>
      </c>
      <c r="B811" t="s">
        <v>4255</v>
      </c>
      <c r="C811" t="s">
        <v>670</v>
      </c>
      <c r="D811"/>
      <c r="E811" t="s">
        <v>7463</v>
      </c>
      <c r="F811"/>
      <c r="G811" t="s">
        <v>4257</v>
      </c>
      <c r="H811" t="s">
        <v>7328</v>
      </c>
      <c r="I811" t="s">
        <v>4258</v>
      </c>
      <c r="J811" t="s">
        <v>1015</v>
      </c>
      <c r="K811" t="s">
        <v>1015</v>
      </c>
      <c r="L811" t="s">
        <v>518</v>
      </c>
      <c r="M811" t="s">
        <v>1013</v>
      </c>
      <c r="N811" t="s">
        <v>535</v>
      </c>
      <c r="O811" s="73"/>
      <c r="P811" s="73"/>
      <c r="Q811" s="73"/>
      <c r="R811" s="73"/>
      <c r="S811" s="73"/>
      <c r="T811" s="73"/>
      <c r="U811" s="73"/>
      <c r="V811" s="73"/>
      <c r="W811" s="73"/>
      <c r="X811" s="73"/>
      <c r="Y811" s="73"/>
      <c r="Z811" s="73"/>
      <c r="AA811" s="73"/>
    </row>
    <row r="812" spans="1:27" ht="15">
      <c r="B812"/>
      <c r="C812"/>
      <c r="D812" t="s">
        <v>4253</v>
      </c>
      <c r="E812" t="s">
        <v>4256</v>
      </c>
      <c r="F812" t="s">
        <v>1163</v>
      </c>
      <c r="G812" t="s">
        <v>4257</v>
      </c>
      <c r="H812"/>
      <c r="I812"/>
      <c r="J812" t="s">
        <v>1015</v>
      </c>
      <c r="K812" t="s">
        <v>1015</v>
      </c>
      <c r="L812"/>
      <c r="M812"/>
      <c r="N812"/>
      <c r="O812" s="73"/>
      <c r="P812" s="73"/>
      <c r="Q812" s="73"/>
      <c r="R812" s="73"/>
      <c r="S812" s="73"/>
      <c r="T812" s="73"/>
      <c r="U812" s="73"/>
      <c r="V812" s="73"/>
      <c r="W812" s="73"/>
      <c r="X812" s="73"/>
      <c r="Y812" s="73"/>
      <c r="Z812" s="73"/>
      <c r="AA812" s="73"/>
    </row>
    <row r="813" spans="1:27" ht="15">
      <c r="A813" s="96">
        <v>45244</v>
      </c>
      <c r="B813" t="s">
        <v>4148</v>
      </c>
      <c r="C813" t="s">
        <v>670</v>
      </c>
      <c r="D813"/>
      <c r="E813" t="s">
        <v>4560</v>
      </c>
      <c r="F813"/>
      <c r="G813" t="s">
        <v>4150</v>
      </c>
      <c r="H813" t="s">
        <v>7464</v>
      </c>
      <c r="I813" t="s">
        <v>4151</v>
      </c>
      <c r="J813" t="s">
        <v>811</v>
      </c>
      <c r="K813" t="s">
        <v>811</v>
      </c>
      <c r="L813" t="s">
        <v>518</v>
      </c>
      <c r="M813" t="s">
        <v>809</v>
      </c>
      <c r="N813" t="s">
        <v>535</v>
      </c>
      <c r="O813" s="73"/>
      <c r="P813" s="73"/>
      <c r="Q813" s="73"/>
      <c r="R813" s="73"/>
      <c r="S813" s="73"/>
      <c r="T813" s="73"/>
      <c r="U813" s="73"/>
      <c r="V813" s="73"/>
      <c r="W813" s="73"/>
      <c r="X813" s="73"/>
      <c r="Y813" s="73"/>
      <c r="Z813" s="73"/>
      <c r="AA813" s="73"/>
    </row>
    <row r="814" spans="1:27" ht="15">
      <c r="B814"/>
      <c r="C814"/>
      <c r="D814" t="s">
        <v>4146</v>
      </c>
      <c r="E814" t="s">
        <v>4149</v>
      </c>
      <c r="F814" t="s">
        <v>657</v>
      </c>
      <c r="G814" t="s">
        <v>4150</v>
      </c>
      <c r="H814"/>
      <c r="I814"/>
      <c r="J814" t="s">
        <v>811</v>
      </c>
      <c r="K814" t="s">
        <v>811</v>
      </c>
      <c r="L814"/>
      <c r="M814"/>
      <c r="N814"/>
      <c r="O814" s="73"/>
      <c r="P814" s="73"/>
      <c r="Q814" s="73"/>
      <c r="R814" s="73"/>
      <c r="S814" s="73"/>
      <c r="T814" s="73"/>
      <c r="U814" s="73"/>
      <c r="V814" s="73"/>
      <c r="W814" s="73"/>
      <c r="X814" s="73"/>
      <c r="Y814" s="73"/>
      <c r="Z814" s="73"/>
      <c r="AA814" s="73"/>
    </row>
    <row r="815" spans="1:27" ht="15">
      <c r="A815" s="96">
        <v>45244</v>
      </c>
      <c r="B815" t="s">
        <v>6963</v>
      </c>
      <c r="C815" t="s">
        <v>670</v>
      </c>
      <c r="D815"/>
      <c r="E815" t="s">
        <v>7465</v>
      </c>
      <c r="F815"/>
      <c r="G815" t="s">
        <v>6965</v>
      </c>
      <c r="H815" t="s">
        <v>7256</v>
      </c>
      <c r="I815" t="s">
        <v>6966</v>
      </c>
      <c r="J815" t="s">
        <v>840</v>
      </c>
      <c r="K815" t="s">
        <v>840</v>
      </c>
      <c r="L815" t="s">
        <v>518</v>
      </c>
      <c r="M815" t="s">
        <v>839</v>
      </c>
      <c r="N815" t="s">
        <v>535</v>
      </c>
      <c r="O815" s="73"/>
      <c r="P815" s="73"/>
      <c r="Q815" s="73"/>
      <c r="R815" s="73"/>
      <c r="S815" s="73"/>
      <c r="T815" s="73"/>
      <c r="U815" s="73"/>
      <c r="V815" s="73"/>
      <c r="W815" s="73"/>
      <c r="X815" s="73"/>
      <c r="Y815" s="73"/>
      <c r="Z815" s="73"/>
      <c r="AA815" s="73" t="s">
        <v>6558</v>
      </c>
    </row>
    <row r="816" spans="1:27" ht="15">
      <c r="B816"/>
      <c r="C816"/>
      <c r="D816" t="s">
        <v>6961</v>
      </c>
      <c r="E816" t="s">
        <v>6964</v>
      </c>
      <c r="F816" t="s">
        <v>1456</v>
      </c>
      <c r="G816" t="s">
        <v>6965</v>
      </c>
      <c r="H816"/>
      <c r="I816"/>
      <c r="J816" t="s">
        <v>840</v>
      </c>
      <c r="K816" t="s">
        <v>840</v>
      </c>
      <c r="L816"/>
      <c r="M816"/>
      <c r="N816"/>
      <c r="O816" s="73"/>
      <c r="P816" s="73"/>
      <c r="Q816" s="73"/>
      <c r="R816" s="73"/>
      <c r="S816" s="73"/>
      <c r="T816" s="73"/>
      <c r="U816" s="73"/>
      <c r="V816" s="73"/>
      <c r="W816" s="73"/>
      <c r="X816" s="73"/>
      <c r="Y816" s="73"/>
      <c r="Z816" s="73"/>
      <c r="AA816" s="73"/>
    </row>
    <row r="817" spans="1:27" ht="15">
      <c r="A817" s="96">
        <v>45244</v>
      </c>
      <c r="B817" t="s">
        <v>6576</v>
      </c>
      <c r="C817" t="s">
        <v>1071</v>
      </c>
      <c r="D817"/>
      <c r="E817" t="s">
        <v>5884</v>
      </c>
      <c r="F817"/>
      <c r="G817" t="s">
        <v>7466</v>
      </c>
      <c r="H817" t="s">
        <v>7256</v>
      </c>
      <c r="I817" t="s">
        <v>6577</v>
      </c>
      <c r="J817" t="s">
        <v>840</v>
      </c>
      <c r="K817" t="s">
        <v>840</v>
      </c>
      <c r="L817" t="s">
        <v>518</v>
      </c>
      <c r="M817" t="s">
        <v>839</v>
      </c>
      <c r="N817" t="s">
        <v>535</v>
      </c>
      <c r="O817" s="73"/>
      <c r="P817" s="73"/>
      <c r="Q817" s="73"/>
      <c r="R817" s="73"/>
      <c r="S817" s="73"/>
      <c r="T817" s="73"/>
      <c r="U817" s="73"/>
      <c r="V817" s="73"/>
      <c r="W817" s="73"/>
      <c r="X817" s="73"/>
      <c r="Y817" s="73"/>
      <c r="Z817" s="73"/>
      <c r="AA817" s="73" t="s">
        <v>6558</v>
      </c>
    </row>
    <row r="818" spans="1:27" ht="15">
      <c r="B818"/>
      <c r="C818"/>
      <c r="D818" t="s">
        <v>6607</v>
      </c>
      <c r="E818" t="s">
        <v>2712</v>
      </c>
      <c r="F818" t="s">
        <v>514</v>
      </c>
      <c r="G818" t="s">
        <v>2741</v>
      </c>
      <c r="H818"/>
      <c r="I818"/>
      <c r="J818" t="s">
        <v>840</v>
      </c>
      <c r="K818" t="s">
        <v>840</v>
      </c>
      <c r="L818"/>
      <c r="M818"/>
      <c r="N818"/>
      <c r="O818" s="73"/>
      <c r="P818" s="73"/>
      <c r="Q818" s="73"/>
      <c r="R818" s="73"/>
      <c r="S818" s="73"/>
      <c r="T818" s="73"/>
      <c r="U818" s="73"/>
      <c r="V818" s="73"/>
      <c r="W818" s="73"/>
      <c r="X818" s="73"/>
      <c r="Y818" s="73"/>
      <c r="Z818" s="73"/>
      <c r="AA818" s="73"/>
    </row>
    <row r="819" spans="1:27" ht="15">
      <c r="B819"/>
      <c r="C819"/>
      <c r="D819" t="s">
        <v>6574</v>
      </c>
      <c r="E819" t="s">
        <v>2800</v>
      </c>
      <c r="F819" t="s">
        <v>514</v>
      </c>
      <c r="G819" t="s">
        <v>794</v>
      </c>
      <c r="H819"/>
      <c r="I819"/>
      <c r="J819" t="s">
        <v>840</v>
      </c>
      <c r="K819" t="s">
        <v>840</v>
      </c>
      <c r="L819"/>
      <c r="M819"/>
      <c r="N819"/>
      <c r="O819" s="73"/>
      <c r="P819" s="73"/>
      <c r="Q819" s="73"/>
      <c r="R819" s="73"/>
      <c r="S819" s="73"/>
      <c r="T819" s="73"/>
      <c r="U819" s="73"/>
      <c r="V819" s="73"/>
      <c r="W819" s="73"/>
      <c r="X819" s="73"/>
      <c r="Y819" s="73"/>
      <c r="Z819" s="73"/>
      <c r="AA819" s="73"/>
    </row>
    <row r="820" spans="1:27" ht="15">
      <c r="B820"/>
      <c r="C820"/>
      <c r="D820" t="s">
        <v>6814</v>
      </c>
      <c r="E820" t="s">
        <v>1672</v>
      </c>
      <c r="F820" t="s">
        <v>514</v>
      </c>
      <c r="G820" t="s">
        <v>768</v>
      </c>
      <c r="H820"/>
      <c r="I820"/>
      <c r="J820" t="s">
        <v>840</v>
      </c>
      <c r="K820" t="s">
        <v>840</v>
      </c>
      <c r="L820"/>
      <c r="M820"/>
      <c r="N820"/>
      <c r="O820" s="73"/>
      <c r="P820" s="73"/>
      <c r="Q820" s="73"/>
      <c r="R820" s="73"/>
      <c r="S820" s="73"/>
      <c r="T820" s="73"/>
      <c r="U820" s="73"/>
      <c r="V820" s="73"/>
      <c r="W820" s="73"/>
      <c r="X820" s="73"/>
      <c r="Y820" s="73"/>
      <c r="Z820" s="73"/>
      <c r="AA820" s="73"/>
    </row>
    <row r="821" spans="1:27" ht="15">
      <c r="B821"/>
      <c r="C821"/>
      <c r="D821" t="s">
        <v>7017</v>
      </c>
      <c r="E821" t="s">
        <v>3953</v>
      </c>
      <c r="F821" t="s">
        <v>514</v>
      </c>
      <c r="G821" t="s">
        <v>3593</v>
      </c>
      <c r="H821"/>
      <c r="I821"/>
      <c r="J821" t="s">
        <v>840</v>
      </c>
      <c r="K821" t="s">
        <v>840</v>
      </c>
      <c r="L821"/>
      <c r="M821"/>
      <c r="N821"/>
      <c r="O821" s="73"/>
      <c r="P821" s="73"/>
      <c r="Q821" s="73"/>
      <c r="R821" s="73"/>
      <c r="S821" s="73"/>
      <c r="T821" s="73"/>
      <c r="U821" s="73"/>
      <c r="V821" s="73"/>
      <c r="W821" s="73"/>
      <c r="X821" s="73"/>
      <c r="Y821" s="73"/>
      <c r="Z821" s="73"/>
      <c r="AA821" s="73"/>
    </row>
    <row r="822" spans="1:27" ht="15">
      <c r="B822"/>
      <c r="C822"/>
      <c r="D822" t="s">
        <v>7163</v>
      </c>
      <c r="E822" t="s">
        <v>882</v>
      </c>
      <c r="F822" t="s">
        <v>514</v>
      </c>
      <c r="G822" t="s">
        <v>5993</v>
      </c>
      <c r="H822"/>
      <c r="I822"/>
      <c r="J822" t="s">
        <v>840</v>
      </c>
      <c r="K822" t="s">
        <v>840</v>
      </c>
      <c r="L822"/>
      <c r="M822"/>
      <c r="N822"/>
      <c r="O822" s="73"/>
      <c r="P822" s="73"/>
      <c r="Q822" s="73"/>
      <c r="R822" s="73"/>
      <c r="S822" s="73"/>
      <c r="T822" s="73"/>
      <c r="U822" s="73"/>
      <c r="V822" s="73"/>
      <c r="W822" s="73"/>
      <c r="X822" s="73"/>
      <c r="Y822" s="73"/>
      <c r="Z822" s="73"/>
      <c r="AA822" s="73"/>
    </row>
    <row r="823" spans="1:27" ht="15">
      <c r="B823"/>
      <c r="C823"/>
      <c r="D823" t="s">
        <v>6607</v>
      </c>
      <c r="E823" t="s">
        <v>2712</v>
      </c>
      <c r="F823" t="s">
        <v>514</v>
      </c>
      <c r="G823" t="s">
        <v>2741</v>
      </c>
      <c r="H823"/>
      <c r="I823"/>
      <c r="J823" t="s">
        <v>840</v>
      </c>
      <c r="K823" t="s">
        <v>840</v>
      </c>
      <c r="L823"/>
      <c r="M823"/>
      <c r="N823"/>
      <c r="O823" s="73"/>
      <c r="P823" s="73"/>
      <c r="Q823" s="73"/>
      <c r="R823" s="73"/>
      <c r="S823" s="73"/>
      <c r="T823" s="73"/>
      <c r="U823" s="73"/>
      <c r="V823" s="73"/>
      <c r="W823" s="73"/>
      <c r="X823" s="73"/>
      <c r="Y823" s="73"/>
      <c r="Z823" s="73"/>
      <c r="AA823" s="73"/>
    </row>
    <row r="824" spans="1:27" ht="15">
      <c r="A824" s="96">
        <v>45244</v>
      </c>
      <c r="B824" t="s">
        <v>7183</v>
      </c>
      <c r="C824" t="s">
        <v>670</v>
      </c>
      <c r="D824"/>
      <c r="E824" t="s">
        <v>7467</v>
      </c>
      <c r="F824"/>
      <c r="G824" t="s">
        <v>7185</v>
      </c>
      <c r="H824" t="s">
        <v>7256</v>
      </c>
      <c r="I824" t="s">
        <v>7186</v>
      </c>
      <c r="J824" t="s">
        <v>4100</v>
      </c>
      <c r="K824" t="s">
        <v>4100</v>
      </c>
      <c r="L824" t="s">
        <v>518</v>
      </c>
      <c r="M824" t="s">
        <v>4099</v>
      </c>
      <c r="N824" t="s">
        <v>535</v>
      </c>
      <c r="O824" s="73"/>
      <c r="P824" s="73"/>
      <c r="Q824" s="73"/>
      <c r="R824" s="73"/>
      <c r="S824" s="73"/>
      <c r="T824" s="73"/>
      <c r="U824" s="73"/>
      <c r="V824" s="73"/>
      <c r="W824" s="73"/>
      <c r="X824" s="73"/>
      <c r="Y824" s="73"/>
      <c r="Z824" s="73"/>
      <c r="AA824" s="73" t="s">
        <v>6558</v>
      </c>
    </row>
    <row r="825" spans="1:27" ht="15">
      <c r="B825"/>
      <c r="C825"/>
      <c r="D825" t="s">
        <v>7181</v>
      </c>
      <c r="E825" t="s">
        <v>7184</v>
      </c>
      <c r="F825" t="s">
        <v>1077</v>
      </c>
      <c r="G825" t="s">
        <v>7185</v>
      </c>
      <c r="H825"/>
      <c r="I825"/>
      <c r="J825" t="s">
        <v>4100</v>
      </c>
      <c r="K825" t="s">
        <v>4100</v>
      </c>
      <c r="L825"/>
      <c r="M825"/>
      <c r="N825"/>
      <c r="O825" s="73"/>
      <c r="P825" s="73"/>
      <c r="Q825" s="73"/>
      <c r="R825" s="73"/>
      <c r="S825" s="73"/>
      <c r="T825" s="73"/>
      <c r="U825" s="73"/>
      <c r="V825" s="73"/>
      <c r="W825" s="73"/>
      <c r="X825" s="73"/>
      <c r="Y825" s="73"/>
      <c r="Z825" s="73"/>
      <c r="AA825" s="73"/>
    </row>
    <row r="826" spans="1:27" ht="15">
      <c r="A826" s="96">
        <v>45244</v>
      </c>
      <c r="B826" t="s">
        <v>6752</v>
      </c>
      <c r="C826" t="s">
        <v>670</v>
      </c>
      <c r="D826"/>
      <c r="E826" t="s">
        <v>7468</v>
      </c>
      <c r="F826"/>
      <c r="G826" t="s">
        <v>1134</v>
      </c>
      <c r="H826" t="s">
        <v>7262</v>
      </c>
      <c r="I826" t="s">
        <v>6754</v>
      </c>
      <c r="J826" t="s">
        <v>4700</v>
      </c>
      <c r="K826" t="s">
        <v>4700</v>
      </c>
      <c r="L826" t="s">
        <v>682</v>
      </c>
      <c r="M826" t="s">
        <v>4699</v>
      </c>
      <c r="N826" t="s">
        <v>535</v>
      </c>
      <c r="O826" s="73"/>
      <c r="P826" s="73"/>
      <c r="Q826" s="73"/>
      <c r="R826" s="73"/>
      <c r="S826" s="73"/>
      <c r="T826" s="73"/>
      <c r="U826" s="73"/>
      <c r="V826" s="73"/>
      <c r="W826" s="73"/>
      <c r="X826" s="73"/>
      <c r="Y826" s="73"/>
      <c r="Z826" s="73"/>
      <c r="AA826" s="73" t="s">
        <v>6558</v>
      </c>
    </row>
    <row r="827" spans="1:27" ht="15">
      <c r="B827"/>
      <c r="C827"/>
      <c r="D827" t="s">
        <v>6750</v>
      </c>
      <c r="E827" t="s">
        <v>6753</v>
      </c>
      <c r="F827" t="s">
        <v>1077</v>
      </c>
      <c r="G827" t="s">
        <v>1134</v>
      </c>
      <c r="H827"/>
      <c r="I827"/>
      <c r="J827" t="s">
        <v>4700</v>
      </c>
      <c r="K827" t="s">
        <v>4700</v>
      </c>
      <c r="L827"/>
      <c r="M827"/>
      <c r="N827"/>
      <c r="O827" s="73"/>
      <c r="P827" s="73"/>
      <c r="Q827" s="73"/>
      <c r="R827" s="73"/>
      <c r="S827" s="73"/>
      <c r="T827" s="73"/>
      <c r="U827" s="73"/>
      <c r="V827" s="73"/>
      <c r="W827" s="73"/>
      <c r="X827" s="73"/>
      <c r="Y827" s="73"/>
      <c r="Z827" s="73"/>
      <c r="AA827" s="73"/>
    </row>
    <row r="828" spans="1:27" ht="15">
      <c r="A828" s="96">
        <v>45244</v>
      </c>
      <c r="B828" t="s">
        <v>6977</v>
      </c>
      <c r="C828" t="s">
        <v>670</v>
      </c>
      <c r="D828"/>
      <c r="E828" t="s">
        <v>7469</v>
      </c>
      <c r="F828"/>
      <c r="G828" t="s">
        <v>7470</v>
      </c>
      <c r="H828" t="s">
        <v>7262</v>
      </c>
      <c r="I828" t="s">
        <v>6978</v>
      </c>
      <c r="J828" t="s">
        <v>607</v>
      </c>
      <c r="K828" t="s">
        <v>607</v>
      </c>
      <c r="L828" t="s">
        <v>518</v>
      </c>
      <c r="M828" t="s">
        <v>604</v>
      </c>
      <c r="N828" t="s">
        <v>535</v>
      </c>
      <c r="O828" s="73"/>
      <c r="P828" s="73"/>
      <c r="Q828" s="73"/>
      <c r="R828" s="73"/>
      <c r="S828" s="73"/>
      <c r="T828" s="73"/>
      <c r="U828" s="73"/>
      <c r="V828" s="73"/>
      <c r="W828" s="73"/>
      <c r="X828" s="73"/>
      <c r="Y828" s="73"/>
      <c r="Z828" s="73"/>
      <c r="AA828" s="73" t="s">
        <v>6558</v>
      </c>
    </row>
    <row r="829" spans="1:27" ht="15">
      <c r="B829"/>
      <c r="C829"/>
      <c r="D829" t="s">
        <v>7125</v>
      </c>
      <c r="E829" t="s">
        <v>7127</v>
      </c>
      <c r="F829" t="s">
        <v>724</v>
      </c>
      <c r="G829" t="s">
        <v>7128</v>
      </c>
      <c r="H829"/>
      <c r="I829"/>
      <c r="J829" t="s">
        <v>607</v>
      </c>
      <c r="K829" t="s">
        <v>607</v>
      </c>
      <c r="L829"/>
      <c r="M829"/>
      <c r="N829"/>
      <c r="O829" s="73"/>
      <c r="P829" s="73"/>
      <c r="Q829" s="73"/>
      <c r="R829" s="73"/>
      <c r="S829" s="73"/>
      <c r="T829" s="73"/>
      <c r="U829" s="73"/>
      <c r="V829" s="73"/>
      <c r="W829" s="73"/>
      <c r="X829" s="73"/>
      <c r="Y829" s="73"/>
      <c r="Z829" s="73"/>
      <c r="AA829" s="73"/>
    </row>
    <row r="830" spans="1:27" ht="15">
      <c r="B830"/>
      <c r="C830"/>
      <c r="D830" t="s">
        <v>6973</v>
      </c>
      <c r="E830" t="s">
        <v>4405</v>
      </c>
      <c r="F830" t="s">
        <v>979</v>
      </c>
      <c r="G830" t="s">
        <v>2442</v>
      </c>
      <c r="H830"/>
      <c r="I830"/>
      <c r="J830" t="s">
        <v>607</v>
      </c>
      <c r="K830" t="s">
        <v>607</v>
      </c>
      <c r="L830"/>
      <c r="M830"/>
      <c r="N830"/>
      <c r="O830" s="73"/>
      <c r="P830" s="73"/>
      <c r="Q830" s="73"/>
      <c r="R830" s="73"/>
      <c r="S830" s="73"/>
      <c r="T830" s="73"/>
      <c r="U830" s="73"/>
      <c r="V830" s="73"/>
      <c r="W830" s="73"/>
      <c r="X830" s="73"/>
      <c r="Y830" s="73"/>
      <c r="Z830" s="73"/>
      <c r="AA830" s="73"/>
    </row>
    <row r="831" spans="1:27" ht="15">
      <c r="A831" s="96">
        <v>45244</v>
      </c>
      <c r="B831" t="s">
        <v>6884</v>
      </c>
      <c r="C831" t="s">
        <v>670</v>
      </c>
      <c r="D831"/>
      <c r="E831" t="s">
        <v>7471</v>
      </c>
      <c r="F831"/>
      <c r="G831" t="s">
        <v>6887</v>
      </c>
      <c r="H831" t="s">
        <v>7262</v>
      </c>
      <c r="I831" t="s">
        <v>6888</v>
      </c>
      <c r="J831" t="s">
        <v>545</v>
      </c>
      <c r="K831" t="s">
        <v>545</v>
      </c>
      <c r="L831" t="s">
        <v>682</v>
      </c>
      <c r="M831" t="s">
        <v>3078</v>
      </c>
      <c r="N831" t="s">
        <v>535</v>
      </c>
      <c r="O831" s="73"/>
      <c r="P831" s="73"/>
      <c r="Q831" s="73"/>
      <c r="R831" s="73"/>
      <c r="S831" s="73"/>
      <c r="T831" s="73"/>
      <c r="U831" s="73"/>
      <c r="V831" s="73"/>
      <c r="W831" s="73"/>
      <c r="X831" s="73"/>
      <c r="Y831" s="73"/>
      <c r="Z831" s="73"/>
      <c r="AA831" s="73" t="s">
        <v>6558</v>
      </c>
    </row>
    <row r="832" spans="1:27" ht="15">
      <c r="B832"/>
      <c r="C832"/>
      <c r="D832" t="s">
        <v>6882</v>
      </c>
      <c r="E832" t="s">
        <v>6885</v>
      </c>
      <c r="F832" t="s">
        <v>6886</v>
      </c>
      <c r="G832" t="s">
        <v>6887</v>
      </c>
      <c r="H832"/>
      <c r="I832"/>
      <c r="J832" t="s">
        <v>545</v>
      </c>
      <c r="K832" t="s">
        <v>545</v>
      </c>
      <c r="L832"/>
      <c r="M832"/>
      <c r="N832"/>
      <c r="O832" s="73"/>
      <c r="P832" s="73"/>
      <c r="Q832" s="73"/>
      <c r="R832" s="73"/>
      <c r="S832" s="73"/>
      <c r="T832" s="73"/>
      <c r="U832" s="73"/>
      <c r="V832" s="73"/>
      <c r="W832" s="73"/>
      <c r="X832" s="73"/>
      <c r="Y832" s="73"/>
      <c r="Z832" s="73"/>
      <c r="AA832" s="73"/>
    </row>
    <row r="833" spans="1:27" ht="15">
      <c r="A833" s="96">
        <v>45244</v>
      </c>
      <c r="B833" t="s">
        <v>7131</v>
      </c>
      <c r="C833" t="s">
        <v>670</v>
      </c>
      <c r="D833"/>
      <c r="E833" t="s">
        <v>2480</v>
      </c>
      <c r="F833"/>
      <c r="G833" t="s">
        <v>555</v>
      </c>
      <c r="H833" t="s">
        <v>7262</v>
      </c>
      <c r="I833" t="s">
        <v>7133</v>
      </c>
      <c r="J833" t="s">
        <v>897</v>
      </c>
      <c r="K833" t="s">
        <v>897</v>
      </c>
      <c r="L833" t="s">
        <v>518</v>
      </c>
      <c r="M833" t="s">
        <v>974</v>
      </c>
      <c r="N833" t="s">
        <v>535</v>
      </c>
      <c r="O833" s="73"/>
      <c r="P833" s="73"/>
      <c r="Q833" s="73"/>
      <c r="R833" s="73"/>
      <c r="S833" s="73"/>
      <c r="T833" s="73"/>
      <c r="U833" s="73"/>
      <c r="V833" s="73"/>
      <c r="W833" s="73"/>
      <c r="X833" s="73"/>
      <c r="Y833" s="73"/>
      <c r="Z833" s="73"/>
      <c r="AA833" s="73" t="s">
        <v>6558</v>
      </c>
    </row>
    <row r="834" spans="1:27" ht="15">
      <c r="B834"/>
      <c r="C834"/>
      <c r="D834" t="s">
        <v>7129</v>
      </c>
      <c r="E834" t="s">
        <v>7132</v>
      </c>
      <c r="F834" t="s">
        <v>514</v>
      </c>
      <c r="G834" t="s">
        <v>555</v>
      </c>
      <c r="H834"/>
      <c r="I834"/>
      <c r="J834" t="s">
        <v>897</v>
      </c>
      <c r="K834" t="s">
        <v>897</v>
      </c>
      <c r="L834"/>
      <c r="M834"/>
      <c r="N834"/>
      <c r="O834" s="73"/>
      <c r="P834" s="73"/>
      <c r="Q834" s="73"/>
      <c r="R834" s="73"/>
      <c r="S834" s="73"/>
      <c r="T834" s="73"/>
      <c r="U834" s="73"/>
      <c r="V834" s="73"/>
      <c r="W834" s="73"/>
      <c r="X834" s="73"/>
      <c r="Y834" s="73"/>
      <c r="Z834" s="73"/>
      <c r="AA834" s="73"/>
    </row>
    <row r="835" spans="1:27" ht="15">
      <c r="A835" s="96">
        <v>45244</v>
      </c>
      <c r="B835" t="s">
        <v>7135</v>
      </c>
      <c r="C835" t="s">
        <v>670</v>
      </c>
      <c r="D835"/>
      <c r="E835" t="s">
        <v>7472</v>
      </c>
      <c r="F835"/>
      <c r="G835" t="s">
        <v>555</v>
      </c>
      <c r="H835" t="s">
        <v>7262</v>
      </c>
      <c r="I835" t="s">
        <v>7137</v>
      </c>
      <c r="J835" t="s">
        <v>897</v>
      </c>
      <c r="K835" t="s">
        <v>897</v>
      </c>
      <c r="L835" t="s">
        <v>518</v>
      </c>
      <c r="M835" t="s">
        <v>974</v>
      </c>
      <c r="N835" t="s">
        <v>535</v>
      </c>
      <c r="O835" s="73"/>
      <c r="P835" s="73"/>
      <c r="Q835" s="73"/>
      <c r="R835" s="73"/>
      <c r="S835" s="73"/>
      <c r="T835" s="73"/>
      <c r="U835" s="73"/>
      <c r="V835" s="73"/>
      <c r="W835" s="73"/>
      <c r="X835" s="73"/>
      <c r="Y835" s="73"/>
      <c r="Z835" s="73"/>
      <c r="AA835" s="73" t="s">
        <v>6558</v>
      </c>
    </row>
    <row r="836" spans="1:27" ht="15">
      <c r="B836"/>
      <c r="C836"/>
      <c r="D836" t="s">
        <v>7129</v>
      </c>
      <c r="E836" t="s">
        <v>7136</v>
      </c>
      <c r="F836" t="s">
        <v>514</v>
      </c>
      <c r="G836" t="s">
        <v>555</v>
      </c>
      <c r="H836"/>
      <c r="I836"/>
      <c r="J836" t="s">
        <v>897</v>
      </c>
      <c r="K836" t="s">
        <v>897</v>
      </c>
      <c r="L836"/>
      <c r="M836"/>
      <c r="N836"/>
      <c r="O836" s="73"/>
      <c r="P836" s="73"/>
      <c r="Q836" s="73"/>
      <c r="R836" s="73"/>
      <c r="S836" s="73"/>
      <c r="T836" s="73"/>
      <c r="U836" s="73"/>
      <c r="V836" s="73"/>
      <c r="W836" s="73"/>
      <c r="X836" s="73"/>
      <c r="Y836" s="73"/>
      <c r="Z836" s="73"/>
      <c r="AA836" s="73"/>
    </row>
    <row r="837" spans="1:27" ht="15">
      <c r="A837" s="96">
        <v>45244</v>
      </c>
      <c r="B837" t="s">
        <v>6848</v>
      </c>
      <c r="C837" t="s">
        <v>670</v>
      </c>
      <c r="D837"/>
      <c r="E837" t="s">
        <v>7473</v>
      </c>
      <c r="F837"/>
      <c r="G837" t="s">
        <v>6850</v>
      </c>
      <c r="H837" t="s">
        <v>7262</v>
      </c>
      <c r="I837" t="s">
        <v>6851</v>
      </c>
      <c r="J837" t="s">
        <v>1376</v>
      </c>
      <c r="K837" t="s">
        <v>1376</v>
      </c>
      <c r="L837" t="s">
        <v>518</v>
      </c>
      <c r="M837" t="s">
        <v>1373</v>
      </c>
      <c r="N837" t="s">
        <v>520</v>
      </c>
      <c r="O837" s="73"/>
      <c r="P837" s="73"/>
      <c r="Q837" s="73"/>
      <c r="R837" s="73"/>
      <c r="S837" s="73"/>
      <c r="T837" s="73"/>
      <c r="U837" s="73"/>
      <c r="V837" s="73"/>
      <c r="W837" s="73"/>
      <c r="X837" s="73"/>
      <c r="Y837" s="73"/>
      <c r="Z837" s="73"/>
      <c r="AA837" s="73" t="s">
        <v>6558</v>
      </c>
    </row>
    <row r="838" spans="1:27" ht="15">
      <c r="B838"/>
      <c r="C838"/>
      <c r="D838" t="s">
        <v>6846</v>
      </c>
      <c r="E838" t="s">
        <v>6849</v>
      </c>
      <c r="F838" t="s">
        <v>958</v>
      </c>
      <c r="G838" t="s">
        <v>6850</v>
      </c>
      <c r="H838"/>
      <c r="I838"/>
      <c r="J838" t="s">
        <v>1376</v>
      </c>
      <c r="K838" t="s">
        <v>1376</v>
      </c>
      <c r="L838"/>
      <c r="M838"/>
      <c r="N838"/>
      <c r="O838" s="73"/>
      <c r="P838" s="73"/>
      <c r="Q838" s="73"/>
      <c r="R838" s="73"/>
      <c r="S838" s="73"/>
      <c r="T838" s="73"/>
      <c r="U838" s="73"/>
      <c r="V838" s="73"/>
      <c r="W838" s="73"/>
      <c r="X838" s="73"/>
      <c r="Y838" s="73"/>
      <c r="Z838" s="73"/>
      <c r="AA838" s="73"/>
    </row>
    <row r="839" spans="1:27" ht="15">
      <c r="A839" s="96">
        <v>45244</v>
      </c>
      <c r="B839" t="s">
        <v>5889</v>
      </c>
      <c r="C839" t="s">
        <v>670</v>
      </c>
      <c r="D839"/>
      <c r="E839" t="s">
        <v>7474</v>
      </c>
      <c r="F839"/>
      <c r="G839" t="s">
        <v>7475</v>
      </c>
      <c r="H839" t="s">
        <v>7262</v>
      </c>
      <c r="I839" t="s">
        <v>7476</v>
      </c>
      <c r="J839" t="s">
        <v>917</v>
      </c>
      <c r="K839" t="s">
        <v>917</v>
      </c>
      <c r="L839" t="s">
        <v>518</v>
      </c>
      <c r="M839" t="s">
        <v>1276</v>
      </c>
      <c r="N839" t="s">
        <v>535</v>
      </c>
      <c r="O839" s="73"/>
      <c r="P839" s="73"/>
      <c r="Q839" s="73"/>
      <c r="R839" s="73"/>
      <c r="S839" s="73"/>
      <c r="T839" s="73"/>
      <c r="U839" s="73"/>
      <c r="V839" s="73"/>
      <c r="W839" s="73"/>
      <c r="X839" s="73"/>
      <c r="Y839" s="73"/>
      <c r="Z839" s="73"/>
      <c r="AA839" s="73" t="s">
        <v>6558</v>
      </c>
    </row>
    <row r="840" spans="1:27" ht="15">
      <c r="B840"/>
      <c r="C840"/>
      <c r="D840" t="s">
        <v>4167</v>
      </c>
      <c r="E840" t="s">
        <v>4172</v>
      </c>
      <c r="F840" t="s">
        <v>514</v>
      </c>
      <c r="G840" t="s">
        <v>1693</v>
      </c>
      <c r="H840"/>
      <c r="I840"/>
      <c r="J840" t="s">
        <v>917</v>
      </c>
      <c r="K840" t="s">
        <v>917</v>
      </c>
      <c r="L840"/>
      <c r="M840"/>
      <c r="N840"/>
      <c r="O840" s="73"/>
      <c r="P840" s="73"/>
      <c r="Q840" s="73"/>
      <c r="R840" s="73"/>
      <c r="S840" s="73"/>
      <c r="T840" s="73"/>
      <c r="U840" s="73"/>
      <c r="V840" s="73"/>
      <c r="W840" s="73"/>
      <c r="X840" s="73"/>
      <c r="Y840" s="73"/>
      <c r="Z840" s="73"/>
      <c r="AA840" s="73"/>
    </row>
    <row r="841" spans="1:27" ht="15">
      <c r="B841"/>
      <c r="C841"/>
      <c r="D841" t="s">
        <v>4167</v>
      </c>
      <c r="E841" t="s">
        <v>4172</v>
      </c>
      <c r="F841" t="s">
        <v>514</v>
      </c>
      <c r="G841" t="s">
        <v>1693</v>
      </c>
      <c r="H841"/>
      <c r="I841"/>
      <c r="J841" t="s">
        <v>917</v>
      </c>
      <c r="K841" t="s">
        <v>917</v>
      </c>
      <c r="L841"/>
      <c r="M841"/>
      <c r="N841"/>
      <c r="O841" s="73"/>
      <c r="P841" s="73"/>
      <c r="Q841" s="73"/>
      <c r="R841" s="73"/>
      <c r="S841" s="73"/>
      <c r="T841" s="73"/>
      <c r="U841" s="73"/>
      <c r="V841" s="73"/>
      <c r="W841" s="73"/>
      <c r="X841" s="73"/>
      <c r="Y841" s="73"/>
      <c r="Z841" s="73"/>
      <c r="AA841" s="73"/>
    </row>
    <row r="842" spans="1:27" ht="15">
      <c r="B842"/>
      <c r="C842"/>
      <c r="D842" t="s">
        <v>4108</v>
      </c>
      <c r="E842" t="s">
        <v>1547</v>
      </c>
      <c r="F842" t="s">
        <v>514</v>
      </c>
      <c r="G842" t="s">
        <v>1715</v>
      </c>
      <c r="H842"/>
      <c r="I842"/>
      <c r="J842" t="s">
        <v>917</v>
      </c>
      <c r="K842" t="s">
        <v>917</v>
      </c>
      <c r="L842"/>
      <c r="M842"/>
      <c r="N842"/>
      <c r="O842" s="73"/>
      <c r="P842" s="73"/>
      <c r="Q842" s="73"/>
      <c r="R842" s="73"/>
      <c r="S842" s="73"/>
      <c r="T842" s="73"/>
      <c r="U842" s="73"/>
      <c r="V842" s="73"/>
      <c r="W842" s="73"/>
      <c r="X842" s="73"/>
      <c r="Y842" s="73"/>
      <c r="Z842" s="73"/>
      <c r="AA842" s="73"/>
    </row>
    <row r="843" spans="1:27" ht="15">
      <c r="B843"/>
      <c r="C843"/>
      <c r="D843" t="s">
        <v>5887</v>
      </c>
      <c r="E843" t="s">
        <v>5890</v>
      </c>
      <c r="F843" t="s">
        <v>514</v>
      </c>
      <c r="G843" t="s">
        <v>1291</v>
      </c>
      <c r="H843"/>
      <c r="I843"/>
      <c r="J843" t="s">
        <v>917</v>
      </c>
      <c r="K843" t="s">
        <v>917</v>
      </c>
      <c r="L843"/>
      <c r="M843"/>
      <c r="N843"/>
      <c r="O843" s="73"/>
      <c r="P843" s="73"/>
      <c r="Q843" s="73"/>
      <c r="R843" s="73"/>
      <c r="S843" s="73"/>
      <c r="T843" s="73"/>
      <c r="U843" s="73"/>
      <c r="V843" s="73"/>
      <c r="W843" s="73"/>
      <c r="X843" s="73"/>
      <c r="Y843" s="73"/>
      <c r="Z843" s="73"/>
      <c r="AA843" s="73"/>
    </row>
    <row r="844" spans="1:27" ht="15">
      <c r="B844"/>
      <c r="C844"/>
      <c r="D844" t="s">
        <v>5887</v>
      </c>
      <c r="E844" t="s">
        <v>5890</v>
      </c>
      <c r="F844" t="s">
        <v>514</v>
      </c>
      <c r="G844" t="s">
        <v>1291</v>
      </c>
      <c r="H844"/>
      <c r="I844"/>
      <c r="J844" t="s">
        <v>917</v>
      </c>
      <c r="K844" t="s">
        <v>917</v>
      </c>
      <c r="L844"/>
      <c r="M844"/>
      <c r="N844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</row>
    <row r="845" spans="1:27" ht="15">
      <c r="B845"/>
      <c r="C845"/>
      <c r="D845" t="s">
        <v>5887</v>
      </c>
      <c r="E845" t="s">
        <v>5890</v>
      </c>
      <c r="F845" t="s">
        <v>514</v>
      </c>
      <c r="G845" t="s">
        <v>1291</v>
      </c>
      <c r="H845"/>
      <c r="I845"/>
      <c r="J845" t="s">
        <v>917</v>
      </c>
      <c r="K845" t="s">
        <v>917</v>
      </c>
      <c r="L845"/>
      <c r="M845"/>
      <c r="N845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</row>
    <row r="846" spans="1:27" ht="15">
      <c r="B846"/>
      <c r="C846"/>
      <c r="D846" t="s">
        <v>4167</v>
      </c>
      <c r="E846" t="s">
        <v>4172</v>
      </c>
      <c r="F846" t="s">
        <v>514</v>
      </c>
      <c r="G846" t="s">
        <v>2732</v>
      </c>
      <c r="H846"/>
      <c r="I846"/>
      <c r="J846" t="s">
        <v>917</v>
      </c>
      <c r="K846" t="s">
        <v>917</v>
      </c>
      <c r="L846"/>
      <c r="M846"/>
      <c r="N846"/>
      <c r="O846" s="73"/>
      <c r="P846" s="73"/>
      <c r="Q846" s="73"/>
      <c r="R846" s="73"/>
      <c r="S846" s="73"/>
      <c r="T846" s="73"/>
      <c r="U846" s="73"/>
      <c r="V846" s="73"/>
      <c r="W846" s="73"/>
      <c r="X846" s="73"/>
      <c r="Y846" s="73"/>
      <c r="Z846" s="73"/>
      <c r="AA846" s="73"/>
    </row>
    <row r="847" spans="1:27" ht="15">
      <c r="B847"/>
      <c r="C847"/>
      <c r="D847" t="s">
        <v>4167</v>
      </c>
      <c r="E847" t="s">
        <v>4175</v>
      </c>
      <c r="F847" t="s">
        <v>958</v>
      </c>
      <c r="G847" t="s">
        <v>904</v>
      </c>
      <c r="H847"/>
      <c r="I847"/>
      <c r="J847" t="s">
        <v>917</v>
      </c>
      <c r="K847" t="s">
        <v>917</v>
      </c>
      <c r="L847"/>
      <c r="M847"/>
      <c r="N847"/>
      <c r="O847" s="73"/>
      <c r="P847" s="73"/>
      <c r="Q847" s="73"/>
      <c r="R847" s="73"/>
      <c r="S847" s="73"/>
      <c r="T847" s="73"/>
      <c r="U847" s="73"/>
      <c r="V847" s="73"/>
      <c r="W847" s="73"/>
      <c r="X847" s="73"/>
      <c r="Y847" s="73"/>
      <c r="Z847" s="73"/>
      <c r="AA847" s="73"/>
    </row>
    <row r="848" spans="1:27" ht="15">
      <c r="B848"/>
      <c r="C848"/>
      <c r="D848" t="s">
        <v>4167</v>
      </c>
      <c r="E848" t="s">
        <v>4169</v>
      </c>
      <c r="F848" t="s">
        <v>2895</v>
      </c>
      <c r="G848" t="s">
        <v>4170</v>
      </c>
      <c r="H848"/>
      <c r="I848"/>
      <c r="J848" t="s">
        <v>917</v>
      </c>
      <c r="K848" t="s">
        <v>917</v>
      </c>
      <c r="L848"/>
      <c r="M848"/>
      <c r="N848"/>
      <c r="O848" s="73"/>
      <c r="P848" s="73"/>
      <c r="Q848" s="73"/>
      <c r="R848" s="73"/>
      <c r="S848" s="73"/>
      <c r="T848" s="73"/>
      <c r="U848" s="73"/>
      <c r="V848" s="73"/>
      <c r="W848" s="73"/>
      <c r="X848" s="73"/>
      <c r="Y848" s="73"/>
      <c r="Z848" s="73"/>
      <c r="AA848" s="73"/>
    </row>
    <row r="849" spans="1:27" ht="15">
      <c r="A849" s="96">
        <v>45244</v>
      </c>
      <c r="B849" t="s">
        <v>6088</v>
      </c>
      <c r="C849" t="s">
        <v>670</v>
      </c>
      <c r="D849"/>
      <c r="E849" t="s">
        <v>7477</v>
      </c>
      <c r="F849"/>
      <c r="G849" t="s">
        <v>7478</v>
      </c>
      <c r="H849" t="s">
        <v>7262</v>
      </c>
      <c r="I849" t="s">
        <v>1858</v>
      </c>
      <c r="J849" t="s">
        <v>741</v>
      </c>
      <c r="K849" t="s">
        <v>741</v>
      </c>
      <c r="L849" t="s">
        <v>518</v>
      </c>
      <c r="M849" t="s">
        <v>739</v>
      </c>
      <c r="N849" t="s">
        <v>535</v>
      </c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 t="s">
        <v>6558</v>
      </c>
    </row>
    <row r="850" spans="1:27" ht="15">
      <c r="B850"/>
      <c r="C850"/>
      <c r="D850" t="s">
        <v>6086</v>
      </c>
      <c r="E850" t="s">
        <v>6089</v>
      </c>
      <c r="F850" t="s">
        <v>514</v>
      </c>
      <c r="G850" t="s">
        <v>5038</v>
      </c>
      <c r="H850"/>
      <c r="I850"/>
      <c r="J850" t="s">
        <v>741</v>
      </c>
      <c r="K850" t="s">
        <v>6090</v>
      </c>
      <c r="L850"/>
      <c r="M850"/>
      <c r="N850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</row>
    <row r="851" spans="1:27" ht="15">
      <c r="B851"/>
      <c r="C851"/>
      <c r="D851" t="s">
        <v>6258</v>
      </c>
      <c r="E851" t="s">
        <v>2277</v>
      </c>
      <c r="F851" t="s">
        <v>514</v>
      </c>
      <c r="G851" t="s">
        <v>6260</v>
      </c>
      <c r="H851"/>
      <c r="I851"/>
      <c r="J851" t="s">
        <v>741</v>
      </c>
      <c r="K851" t="s">
        <v>6262</v>
      </c>
      <c r="L851"/>
      <c r="M851"/>
      <c r="N851"/>
      <c r="O851" s="73"/>
      <c r="P851" s="73"/>
      <c r="Q851" s="73"/>
      <c r="R851" s="73"/>
      <c r="S851" s="73"/>
      <c r="T851" s="73"/>
      <c r="U851" s="73"/>
      <c r="V851" s="73"/>
      <c r="W851" s="73"/>
      <c r="X851" s="73"/>
      <c r="Y851" s="73"/>
      <c r="Z851" s="73"/>
      <c r="AA851" s="73"/>
    </row>
    <row r="852" spans="1:27" ht="15">
      <c r="B852"/>
      <c r="C852"/>
      <c r="D852" t="s">
        <v>6459</v>
      </c>
      <c r="E852" t="s">
        <v>6461</v>
      </c>
      <c r="F852" t="s">
        <v>958</v>
      </c>
      <c r="G852" t="s">
        <v>1365</v>
      </c>
      <c r="H852"/>
      <c r="I852"/>
      <c r="J852" t="s">
        <v>741</v>
      </c>
      <c r="K852" t="s">
        <v>741</v>
      </c>
      <c r="L852"/>
      <c r="M852"/>
      <c r="N852"/>
      <c r="O852" s="73"/>
      <c r="P852" s="73"/>
      <c r="Q852" s="73"/>
      <c r="R852" s="73"/>
      <c r="S852" s="73"/>
      <c r="T852" s="73"/>
      <c r="U852" s="73"/>
      <c r="V852" s="73"/>
      <c r="W852" s="73"/>
      <c r="X852" s="73"/>
      <c r="Y852" s="73"/>
      <c r="Z852" s="73"/>
      <c r="AA852" s="73"/>
    </row>
    <row r="853" spans="1:27" ht="15">
      <c r="B853"/>
      <c r="C853"/>
      <c r="D853" t="s">
        <v>3021</v>
      </c>
      <c r="E853" t="s">
        <v>3023</v>
      </c>
      <c r="F853" t="s">
        <v>958</v>
      </c>
      <c r="G853" t="s">
        <v>1360</v>
      </c>
      <c r="H853"/>
      <c r="I853"/>
      <c r="J853" t="s">
        <v>741</v>
      </c>
      <c r="K853" t="s">
        <v>741</v>
      </c>
      <c r="L853"/>
      <c r="M853"/>
      <c r="N853"/>
      <c r="O853" s="73"/>
      <c r="P853" s="73"/>
      <c r="Q853" s="73"/>
      <c r="R853" s="73"/>
      <c r="S853" s="73"/>
      <c r="T853" s="73"/>
      <c r="U853" s="73"/>
      <c r="V853" s="73"/>
      <c r="W853" s="73"/>
      <c r="X853" s="73"/>
      <c r="Y853" s="73"/>
      <c r="Z853" s="73"/>
      <c r="AA853" s="73"/>
    </row>
    <row r="854" spans="1:27" ht="15">
      <c r="B854"/>
      <c r="C854"/>
      <c r="D854" t="s">
        <v>3021</v>
      </c>
      <c r="E854" t="s">
        <v>3023</v>
      </c>
      <c r="F854" t="s">
        <v>958</v>
      </c>
      <c r="G854" t="s">
        <v>2067</v>
      </c>
      <c r="H854"/>
      <c r="I854"/>
      <c r="J854" t="s">
        <v>741</v>
      </c>
      <c r="K854" t="s">
        <v>741</v>
      </c>
      <c r="L854"/>
      <c r="M854"/>
      <c r="N854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</row>
    <row r="855" spans="1:27" ht="15">
      <c r="B855"/>
      <c r="C855"/>
      <c r="D855" t="s">
        <v>3021</v>
      </c>
      <c r="E855" t="s">
        <v>3023</v>
      </c>
      <c r="F855" t="s">
        <v>958</v>
      </c>
      <c r="G855" t="s">
        <v>1360</v>
      </c>
      <c r="H855"/>
      <c r="I855"/>
      <c r="J855" t="s">
        <v>741</v>
      </c>
      <c r="K855" t="s">
        <v>741</v>
      </c>
      <c r="L855"/>
      <c r="M855"/>
      <c r="N855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</row>
    <row r="856" spans="1:27" ht="15">
      <c r="B856"/>
      <c r="C856"/>
      <c r="D856" t="s">
        <v>3021</v>
      </c>
      <c r="E856" t="s">
        <v>3025</v>
      </c>
      <c r="F856" t="s">
        <v>514</v>
      </c>
      <c r="G856" t="s">
        <v>1580</v>
      </c>
      <c r="H856"/>
      <c r="I856"/>
      <c r="J856" t="s">
        <v>741</v>
      </c>
      <c r="K856" t="s">
        <v>741</v>
      </c>
      <c r="L856"/>
      <c r="M856"/>
      <c r="N856"/>
      <c r="O856" s="73"/>
      <c r="P856" s="73"/>
      <c r="Q856" s="73"/>
      <c r="R856" s="73"/>
      <c r="S856" s="73"/>
      <c r="T856" s="73"/>
      <c r="U856" s="73"/>
      <c r="V856" s="73"/>
      <c r="W856" s="73"/>
      <c r="X856" s="73"/>
      <c r="Y856" s="73"/>
      <c r="Z856" s="73"/>
      <c r="AA856" s="73"/>
    </row>
    <row r="857" spans="1:27" ht="15">
      <c r="B857"/>
      <c r="C857"/>
      <c r="D857" t="s">
        <v>6130</v>
      </c>
      <c r="E857" t="s">
        <v>6132</v>
      </c>
      <c r="F857" t="s">
        <v>514</v>
      </c>
      <c r="G857" t="s">
        <v>1610</v>
      </c>
      <c r="H857"/>
      <c r="I857"/>
      <c r="J857" t="s">
        <v>741</v>
      </c>
      <c r="K857" t="s">
        <v>741</v>
      </c>
      <c r="L857"/>
      <c r="M857"/>
      <c r="N857"/>
      <c r="O857" s="73"/>
      <c r="P857" s="73"/>
      <c r="Q857" s="73"/>
      <c r="R857" s="73"/>
      <c r="S857" s="73"/>
      <c r="T857" s="73"/>
      <c r="U857" s="73"/>
      <c r="V857" s="73"/>
      <c r="W857" s="73"/>
      <c r="X857" s="73"/>
      <c r="Y857" s="73"/>
      <c r="Z857" s="73"/>
      <c r="AA857" s="73"/>
    </row>
    <row r="858" spans="1:27" ht="15">
      <c r="B858"/>
      <c r="C858"/>
      <c r="D858" t="s">
        <v>6365</v>
      </c>
      <c r="E858" t="s">
        <v>2271</v>
      </c>
      <c r="F858" t="s">
        <v>514</v>
      </c>
      <c r="G858" t="s">
        <v>3941</v>
      </c>
      <c r="H858"/>
      <c r="I858"/>
      <c r="J858" t="s">
        <v>741</v>
      </c>
      <c r="K858" t="s">
        <v>741</v>
      </c>
      <c r="L858"/>
      <c r="M858"/>
      <c r="N858"/>
      <c r="O858" s="73"/>
      <c r="P858" s="73"/>
      <c r="Q858" s="73"/>
      <c r="R858" s="73"/>
      <c r="S858" s="73"/>
      <c r="T858" s="73"/>
      <c r="U858" s="73"/>
      <c r="V858" s="73"/>
      <c r="W858" s="73"/>
      <c r="X858" s="73"/>
      <c r="Y858" s="73"/>
      <c r="Z858" s="73"/>
      <c r="AA858" s="73"/>
    </row>
    <row r="859" spans="1:27" ht="15">
      <c r="B859"/>
      <c r="C859"/>
      <c r="D859" t="s">
        <v>3524</v>
      </c>
      <c r="E859" t="s">
        <v>3030</v>
      </c>
      <c r="F859" t="s">
        <v>958</v>
      </c>
      <c r="G859" t="s">
        <v>2072</v>
      </c>
      <c r="H859"/>
      <c r="I859"/>
      <c r="J859" t="s">
        <v>741</v>
      </c>
      <c r="K859" t="s">
        <v>741</v>
      </c>
      <c r="L859"/>
      <c r="M859"/>
      <c r="N859"/>
      <c r="O859" s="73"/>
      <c r="P859" s="73"/>
      <c r="Q859" s="73"/>
      <c r="R859" s="73"/>
      <c r="S859" s="73"/>
      <c r="T859" s="73"/>
      <c r="U859" s="73"/>
      <c r="V859" s="73"/>
      <c r="W859" s="73"/>
      <c r="X859" s="73"/>
      <c r="Y859" s="73"/>
      <c r="Z859" s="73"/>
      <c r="AA859" s="73"/>
    </row>
    <row r="860" spans="1:27" ht="15">
      <c r="A860" s="96">
        <v>45244</v>
      </c>
      <c r="B860" t="s">
        <v>7062</v>
      </c>
      <c r="C860" t="s">
        <v>670</v>
      </c>
      <c r="D860"/>
      <c r="E860" t="s">
        <v>7479</v>
      </c>
      <c r="F860"/>
      <c r="G860" t="s">
        <v>1123</v>
      </c>
      <c r="H860" t="s">
        <v>7262</v>
      </c>
      <c r="I860" t="s">
        <v>7065</v>
      </c>
      <c r="J860" t="s">
        <v>752</v>
      </c>
      <c r="K860" t="s">
        <v>752</v>
      </c>
      <c r="L860" t="s">
        <v>518</v>
      </c>
      <c r="M860" t="s">
        <v>7064</v>
      </c>
      <c r="N860" t="s">
        <v>535</v>
      </c>
      <c r="O860" s="73"/>
      <c r="P860" s="73"/>
      <c r="Q860" s="73"/>
      <c r="R860" s="73"/>
      <c r="S860" s="73"/>
      <c r="T860" s="73"/>
      <c r="U860" s="73"/>
      <c r="V860" s="73"/>
      <c r="W860" s="73"/>
      <c r="X860" s="73"/>
      <c r="Y860" s="73"/>
      <c r="Z860" s="73"/>
      <c r="AA860" s="73" t="s">
        <v>6558</v>
      </c>
    </row>
    <row r="861" spans="1:27" ht="15">
      <c r="B861"/>
      <c r="C861"/>
      <c r="D861" t="s">
        <v>7060</v>
      </c>
      <c r="E861" t="s">
        <v>7063</v>
      </c>
      <c r="F861" t="s">
        <v>724</v>
      </c>
      <c r="G861" t="s">
        <v>1123</v>
      </c>
      <c r="H861"/>
      <c r="I861"/>
      <c r="J861" t="s">
        <v>752</v>
      </c>
      <c r="K861" t="s">
        <v>752</v>
      </c>
      <c r="L861"/>
      <c r="M861"/>
      <c r="N861"/>
      <c r="O861" s="73"/>
      <c r="P861" s="73"/>
      <c r="Q861" s="73"/>
      <c r="R861" s="73"/>
      <c r="S861" s="73"/>
      <c r="T861" s="73"/>
      <c r="U861" s="73"/>
      <c r="V861" s="73"/>
      <c r="W861" s="73"/>
      <c r="X861" s="73"/>
      <c r="Y861" s="73"/>
      <c r="Z861" s="73"/>
      <c r="AA861" s="73"/>
    </row>
    <row r="862" spans="1:27" ht="15">
      <c r="A862" s="96">
        <v>45244</v>
      </c>
      <c r="B862" t="s">
        <v>6891</v>
      </c>
      <c r="C862" t="s">
        <v>670</v>
      </c>
      <c r="D862"/>
      <c r="E862" t="s">
        <v>7480</v>
      </c>
      <c r="F862"/>
      <c r="G862" t="s">
        <v>6893</v>
      </c>
      <c r="H862" t="s">
        <v>7262</v>
      </c>
      <c r="I862" t="s">
        <v>6896</v>
      </c>
      <c r="J862" t="s">
        <v>3806</v>
      </c>
      <c r="K862" t="s">
        <v>3806</v>
      </c>
      <c r="L862" t="s">
        <v>518</v>
      </c>
      <c r="M862" t="s">
        <v>6628</v>
      </c>
      <c r="N862" t="s">
        <v>535</v>
      </c>
      <c r="O862" s="73"/>
      <c r="P862" s="73"/>
      <c r="Q862" s="73"/>
      <c r="R862" s="73"/>
      <c r="S862" s="73"/>
      <c r="T862" s="73"/>
      <c r="U862" s="73"/>
      <c r="V862" s="73"/>
      <c r="W862" s="73"/>
      <c r="X862" s="73"/>
      <c r="Y862" s="73"/>
      <c r="Z862" s="73"/>
      <c r="AA862" s="73" t="s">
        <v>6558</v>
      </c>
    </row>
    <row r="863" spans="1:27" ht="15">
      <c r="B863"/>
      <c r="C863"/>
      <c r="D863" t="s">
        <v>6889</v>
      </c>
      <c r="E863" t="s">
        <v>6892</v>
      </c>
      <c r="F863" t="s">
        <v>1077</v>
      </c>
      <c r="G863" t="s">
        <v>6893</v>
      </c>
      <c r="H863"/>
      <c r="I863"/>
      <c r="J863" t="s">
        <v>3806</v>
      </c>
      <c r="K863" t="s">
        <v>3806</v>
      </c>
      <c r="L863"/>
      <c r="M863"/>
      <c r="N863"/>
      <c r="O863" s="73"/>
      <c r="P863" s="73"/>
      <c r="Q863" s="73"/>
      <c r="R863" s="73"/>
      <c r="S863" s="73"/>
      <c r="T863" s="73"/>
      <c r="U863" s="73"/>
      <c r="V863" s="73"/>
      <c r="W863" s="73"/>
      <c r="X863" s="73"/>
      <c r="Y863" s="73"/>
      <c r="Z863" s="73"/>
      <c r="AA863" s="73"/>
    </row>
    <row r="864" spans="1:27" ht="15">
      <c r="A864" s="96">
        <v>45244</v>
      </c>
      <c r="B864" t="s">
        <v>6256</v>
      </c>
      <c r="C864" t="s">
        <v>670</v>
      </c>
      <c r="D864"/>
      <c r="E864" t="s">
        <v>7481</v>
      </c>
      <c r="F864"/>
      <c r="G864" t="s">
        <v>7482</v>
      </c>
      <c r="H864" t="s">
        <v>7262</v>
      </c>
      <c r="I864" t="s">
        <v>7483</v>
      </c>
      <c r="J864" t="s">
        <v>753</v>
      </c>
      <c r="K864" t="s">
        <v>753</v>
      </c>
      <c r="L864" t="s">
        <v>518</v>
      </c>
      <c r="M864" t="s">
        <v>751</v>
      </c>
      <c r="N864" t="s">
        <v>605</v>
      </c>
      <c r="O864" s="73"/>
      <c r="P864" s="73"/>
      <c r="Q864" s="73"/>
      <c r="R864" s="73"/>
      <c r="S864" s="73"/>
      <c r="T864" s="73"/>
      <c r="U864" s="73"/>
      <c r="V864" s="73"/>
      <c r="W864" s="73"/>
      <c r="X864" s="73"/>
      <c r="Y864" s="73"/>
      <c r="Z864" s="73"/>
      <c r="AA864" s="73" t="s">
        <v>6558</v>
      </c>
    </row>
    <row r="865" spans="1:27" ht="15">
      <c r="B865"/>
      <c r="C865"/>
      <c r="D865" t="s">
        <v>2761</v>
      </c>
      <c r="E865" t="s">
        <v>2763</v>
      </c>
      <c r="F865" t="s">
        <v>514</v>
      </c>
      <c r="G865" t="s">
        <v>2764</v>
      </c>
      <c r="H865"/>
      <c r="I865"/>
      <c r="J865" t="s">
        <v>753</v>
      </c>
      <c r="K865" t="s">
        <v>753</v>
      </c>
      <c r="L865"/>
      <c r="M865"/>
      <c r="N865"/>
      <c r="O865" s="73"/>
      <c r="P865" s="73"/>
      <c r="Q865" s="73"/>
      <c r="R865" s="73"/>
      <c r="S865" s="73"/>
      <c r="T865" s="73"/>
      <c r="U865" s="73"/>
      <c r="V865" s="73"/>
      <c r="W865" s="73"/>
      <c r="X865" s="73"/>
      <c r="Y865" s="73"/>
      <c r="Z865" s="73"/>
      <c r="AA865" s="73"/>
    </row>
    <row r="866" spans="1:27" ht="15">
      <c r="B866"/>
      <c r="C866"/>
      <c r="D866" t="s">
        <v>6247</v>
      </c>
      <c r="E866" t="s">
        <v>6250</v>
      </c>
      <c r="F866" t="s">
        <v>514</v>
      </c>
      <c r="G866" t="s">
        <v>1701</v>
      </c>
      <c r="H866"/>
      <c r="I866"/>
      <c r="J866" t="s">
        <v>753</v>
      </c>
      <c r="K866" t="s">
        <v>6059</v>
      </c>
      <c r="L866"/>
      <c r="M866"/>
      <c r="N866"/>
      <c r="O866" s="73"/>
      <c r="P866" s="73"/>
      <c r="Q866" s="73"/>
      <c r="R866" s="73"/>
      <c r="S866" s="73"/>
      <c r="T866" s="73"/>
      <c r="U866" s="73"/>
      <c r="V866" s="73"/>
      <c r="W866" s="73"/>
      <c r="X866" s="73"/>
      <c r="Y866" s="73"/>
      <c r="Z866" s="73"/>
      <c r="AA866" s="73"/>
    </row>
    <row r="867" spans="1:27" ht="15">
      <c r="B867"/>
      <c r="C867"/>
      <c r="D867" t="s">
        <v>2761</v>
      </c>
      <c r="E867" t="s">
        <v>2763</v>
      </c>
      <c r="F867" t="s">
        <v>514</v>
      </c>
      <c r="G867" t="s">
        <v>2764</v>
      </c>
      <c r="H867"/>
      <c r="I867"/>
      <c r="J867" t="s">
        <v>753</v>
      </c>
      <c r="K867" t="s">
        <v>753</v>
      </c>
      <c r="L867"/>
      <c r="M867"/>
      <c r="N867"/>
      <c r="O867" s="73"/>
      <c r="P867" s="73"/>
      <c r="Q867" s="73"/>
      <c r="R867" s="73"/>
      <c r="S867" s="73"/>
      <c r="T867" s="73"/>
      <c r="U867" s="73"/>
      <c r="V867" s="73"/>
      <c r="W867" s="73"/>
      <c r="X867" s="73"/>
      <c r="Y867" s="73"/>
      <c r="Z867" s="73"/>
      <c r="AA867" s="73"/>
    </row>
    <row r="868" spans="1:27" ht="15">
      <c r="B868"/>
      <c r="C868"/>
      <c r="D868" t="s">
        <v>2761</v>
      </c>
      <c r="E868" t="s">
        <v>2763</v>
      </c>
      <c r="F868" t="s">
        <v>514</v>
      </c>
      <c r="G868" t="s">
        <v>2764</v>
      </c>
      <c r="H868"/>
      <c r="I868"/>
      <c r="J868" t="s">
        <v>753</v>
      </c>
      <c r="K868" t="s">
        <v>753</v>
      </c>
      <c r="L868"/>
      <c r="M868"/>
      <c r="N868"/>
      <c r="O868" s="73"/>
      <c r="P868" s="73"/>
      <c r="Q868" s="73"/>
      <c r="R868" s="73"/>
      <c r="S868" s="73"/>
      <c r="T868" s="73"/>
      <c r="U868" s="73"/>
      <c r="V868" s="73"/>
      <c r="W868" s="73"/>
      <c r="X868" s="73"/>
      <c r="Y868" s="73"/>
      <c r="Z868" s="73"/>
      <c r="AA868" s="73"/>
    </row>
    <row r="869" spans="1:27" ht="15">
      <c r="B869"/>
      <c r="C869"/>
      <c r="D869" t="s">
        <v>2761</v>
      </c>
      <c r="E869" t="s">
        <v>2763</v>
      </c>
      <c r="F869" t="s">
        <v>514</v>
      </c>
      <c r="G869" t="s">
        <v>2764</v>
      </c>
      <c r="H869"/>
      <c r="I869"/>
      <c r="J869" t="s">
        <v>753</v>
      </c>
      <c r="K869" t="s">
        <v>753</v>
      </c>
      <c r="L869"/>
      <c r="M869"/>
      <c r="N869"/>
      <c r="O869" s="73"/>
      <c r="P869" s="73"/>
      <c r="Q869" s="73"/>
      <c r="R869" s="73"/>
      <c r="S869" s="73"/>
      <c r="T869" s="73"/>
      <c r="U869" s="73"/>
      <c r="V869" s="73"/>
      <c r="W869" s="73"/>
      <c r="X869" s="73"/>
      <c r="Y869" s="73"/>
      <c r="Z869" s="73"/>
      <c r="AA869" s="73"/>
    </row>
    <row r="870" spans="1:27" ht="15">
      <c r="B870"/>
      <c r="C870"/>
      <c r="D870" t="s">
        <v>3232</v>
      </c>
      <c r="E870" t="s">
        <v>3234</v>
      </c>
      <c r="F870" t="s">
        <v>514</v>
      </c>
      <c r="G870" t="s">
        <v>1580</v>
      </c>
      <c r="H870"/>
      <c r="I870"/>
      <c r="J870" t="s">
        <v>753</v>
      </c>
      <c r="K870" t="s">
        <v>753</v>
      </c>
      <c r="L870"/>
      <c r="M870"/>
      <c r="N870"/>
      <c r="O870" s="73"/>
      <c r="P870" s="73"/>
      <c r="Q870" s="73"/>
      <c r="R870" s="73"/>
      <c r="S870" s="73"/>
      <c r="T870" s="73"/>
      <c r="U870" s="73"/>
      <c r="V870" s="73"/>
      <c r="W870" s="73"/>
      <c r="X870" s="73"/>
      <c r="Y870" s="73"/>
      <c r="Z870" s="73"/>
      <c r="AA870" s="73"/>
    </row>
    <row r="871" spans="1:27" ht="15">
      <c r="B871"/>
      <c r="C871"/>
      <c r="D871" t="s">
        <v>5508</v>
      </c>
      <c r="E871" t="s">
        <v>3125</v>
      </c>
      <c r="F871" t="s">
        <v>514</v>
      </c>
      <c r="G871" t="s">
        <v>2679</v>
      </c>
      <c r="H871"/>
      <c r="I871"/>
      <c r="J871" t="s">
        <v>753</v>
      </c>
      <c r="K871" t="s">
        <v>753</v>
      </c>
      <c r="L871"/>
      <c r="M871"/>
      <c r="N871"/>
      <c r="O871" s="73"/>
      <c r="P871" s="73"/>
      <c r="Q871" s="73"/>
      <c r="R871" s="73"/>
      <c r="S871" s="73"/>
      <c r="T871" s="73"/>
      <c r="U871" s="73"/>
      <c r="V871" s="73"/>
      <c r="W871" s="73"/>
      <c r="X871" s="73"/>
      <c r="Y871" s="73"/>
      <c r="Z871" s="73"/>
      <c r="AA871" s="73"/>
    </row>
    <row r="872" spans="1:27" ht="15">
      <c r="B872"/>
      <c r="C872"/>
      <c r="D872" t="s">
        <v>5311</v>
      </c>
      <c r="E872" t="s">
        <v>5313</v>
      </c>
      <c r="F872" t="s">
        <v>514</v>
      </c>
      <c r="G872" t="s">
        <v>2985</v>
      </c>
      <c r="H872"/>
      <c r="I872"/>
      <c r="J872" t="s">
        <v>753</v>
      </c>
      <c r="K872" t="s">
        <v>753</v>
      </c>
      <c r="L872"/>
      <c r="M872"/>
      <c r="N872"/>
      <c r="O872" s="73"/>
      <c r="P872" s="73"/>
      <c r="Q872" s="73"/>
      <c r="R872" s="73"/>
      <c r="S872" s="73"/>
      <c r="T872" s="73"/>
      <c r="U872" s="73"/>
      <c r="V872" s="73"/>
      <c r="W872" s="73"/>
      <c r="X872" s="73"/>
      <c r="Y872" s="73"/>
      <c r="Z872" s="73"/>
      <c r="AA872" s="73"/>
    </row>
    <row r="873" spans="1:27" ht="15">
      <c r="A873" s="96">
        <v>45244</v>
      </c>
      <c r="B873" t="s">
        <v>7484</v>
      </c>
      <c r="C873" t="s">
        <v>670</v>
      </c>
      <c r="D873"/>
      <c r="E873" t="s">
        <v>7485</v>
      </c>
      <c r="F873"/>
      <c r="G873" t="s">
        <v>7486</v>
      </c>
      <c r="H873" t="s">
        <v>7262</v>
      </c>
      <c r="I873" t="s">
        <v>7487</v>
      </c>
      <c r="J873" t="s">
        <v>803</v>
      </c>
      <c r="K873" t="s">
        <v>803</v>
      </c>
      <c r="L873" t="s">
        <v>518</v>
      </c>
      <c r="M873" t="s">
        <v>801</v>
      </c>
      <c r="N873" t="s">
        <v>535</v>
      </c>
      <c r="O873" s="73"/>
      <c r="P873" s="73"/>
      <c r="Q873" s="73"/>
      <c r="R873" s="73"/>
      <c r="S873" s="73"/>
      <c r="T873" s="73"/>
      <c r="U873" s="73"/>
      <c r="V873" s="73"/>
      <c r="W873" s="73"/>
      <c r="X873" s="73"/>
      <c r="Y873" s="73"/>
      <c r="Z873" s="73"/>
      <c r="AA873" s="73" t="s">
        <v>6558</v>
      </c>
    </row>
    <row r="874" spans="1:27" ht="15">
      <c r="B874"/>
      <c r="C874"/>
      <c r="D874" t="s">
        <v>1974</v>
      </c>
      <c r="E874" t="s">
        <v>1976</v>
      </c>
      <c r="F874" t="s">
        <v>514</v>
      </c>
      <c r="G874" t="s">
        <v>1284</v>
      </c>
      <c r="H874"/>
      <c r="I874"/>
      <c r="J874" t="s">
        <v>803</v>
      </c>
      <c r="K874" t="s">
        <v>803</v>
      </c>
      <c r="L874"/>
      <c r="M874"/>
      <c r="N874"/>
      <c r="O874" s="73"/>
      <c r="P874" s="73"/>
      <c r="Q874" s="73"/>
      <c r="R874" s="73"/>
      <c r="S874" s="73"/>
      <c r="T874" s="73"/>
      <c r="U874" s="73"/>
      <c r="V874" s="73"/>
      <c r="W874" s="73"/>
      <c r="X874" s="73"/>
      <c r="Y874" s="73"/>
      <c r="Z874" s="73"/>
      <c r="AA874" s="73"/>
    </row>
    <row r="875" spans="1:27" ht="15">
      <c r="B875"/>
      <c r="C875"/>
      <c r="D875" t="s">
        <v>1974</v>
      </c>
      <c r="E875" t="s">
        <v>1976</v>
      </c>
      <c r="F875" t="s">
        <v>514</v>
      </c>
      <c r="G875" t="s">
        <v>639</v>
      </c>
      <c r="H875"/>
      <c r="I875"/>
      <c r="J875" t="s">
        <v>803</v>
      </c>
      <c r="K875" t="s">
        <v>803</v>
      </c>
      <c r="L875"/>
      <c r="M875"/>
      <c r="N875"/>
      <c r="O875" s="73"/>
      <c r="P875" s="73"/>
      <c r="Q875" s="73"/>
      <c r="R875" s="73"/>
      <c r="S875" s="73"/>
      <c r="T875" s="73"/>
      <c r="U875" s="73"/>
      <c r="V875" s="73"/>
      <c r="W875" s="73"/>
      <c r="X875" s="73"/>
      <c r="Y875" s="73"/>
      <c r="Z875" s="73"/>
      <c r="AA875" s="73"/>
    </row>
    <row r="876" spans="1:27" ht="15">
      <c r="B876"/>
      <c r="C876"/>
      <c r="D876" t="s">
        <v>1898</v>
      </c>
      <c r="E876" t="s">
        <v>1900</v>
      </c>
      <c r="F876" t="s">
        <v>665</v>
      </c>
      <c r="G876" t="s">
        <v>1813</v>
      </c>
      <c r="H876"/>
      <c r="I876"/>
      <c r="J876" t="s">
        <v>803</v>
      </c>
      <c r="K876" t="s">
        <v>803</v>
      </c>
      <c r="L876"/>
      <c r="M876"/>
      <c r="N876"/>
      <c r="O876" s="73"/>
      <c r="P876" s="73"/>
      <c r="Q876" s="73"/>
      <c r="R876" s="73"/>
      <c r="S876" s="73"/>
      <c r="T876" s="73"/>
      <c r="U876" s="73"/>
      <c r="V876" s="73"/>
      <c r="W876" s="73"/>
      <c r="X876" s="73"/>
      <c r="Y876" s="73"/>
      <c r="Z876" s="73"/>
      <c r="AA876" s="73"/>
    </row>
    <row r="877" spans="1:27" ht="15">
      <c r="B877"/>
      <c r="C877"/>
      <c r="D877" t="s">
        <v>1447</v>
      </c>
      <c r="E877" t="s">
        <v>7488</v>
      </c>
      <c r="F877" t="s">
        <v>958</v>
      </c>
      <c r="G877" t="s">
        <v>2614</v>
      </c>
      <c r="H877"/>
      <c r="I877"/>
      <c r="J877" t="s">
        <v>803</v>
      </c>
      <c r="K877" t="s">
        <v>803</v>
      </c>
      <c r="L877"/>
      <c r="M877"/>
      <c r="N877"/>
      <c r="O877" s="73"/>
      <c r="P877" s="73"/>
      <c r="Q877" s="73"/>
      <c r="R877" s="73"/>
      <c r="S877" s="73"/>
      <c r="T877" s="73"/>
      <c r="U877" s="73"/>
      <c r="V877" s="73"/>
      <c r="W877" s="73"/>
      <c r="X877" s="73"/>
      <c r="Y877" s="73"/>
      <c r="Z877" s="73"/>
      <c r="AA877" s="73"/>
    </row>
    <row r="878" spans="1:27" ht="15">
      <c r="B878"/>
      <c r="C878"/>
      <c r="D878" t="s">
        <v>1447</v>
      </c>
      <c r="E878" t="s">
        <v>1461</v>
      </c>
      <c r="F878" t="s">
        <v>1456</v>
      </c>
      <c r="G878" t="s">
        <v>1457</v>
      </c>
      <c r="H878"/>
      <c r="I878"/>
      <c r="J878" t="s">
        <v>803</v>
      </c>
      <c r="K878" t="s">
        <v>803</v>
      </c>
      <c r="L878"/>
      <c r="M878"/>
      <c r="N878"/>
      <c r="O878" s="73"/>
      <c r="P878" s="73"/>
      <c r="Q878" s="73"/>
      <c r="R878" s="73"/>
      <c r="S878" s="73"/>
      <c r="T878" s="73"/>
      <c r="U878" s="73"/>
      <c r="V878" s="73"/>
      <c r="W878" s="73"/>
      <c r="X878" s="73"/>
      <c r="Y878" s="73"/>
      <c r="Z878" s="73"/>
      <c r="AA878" s="73"/>
    </row>
    <row r="879" spans="1:27" ht="15">
      <c r="B879"/>
      <c r="C879"/>
      <c r="D879" t="s">
        <v>4982</v>
      </c>
      <c r="E879" t="s">
        <v>7489</v>
      </c>
      <c r="F879" t="s">
        <v>665</v>
      </c>
      <c r="G879" t="s">
        <v>5038</v>
      </c>
      <c r="H879"/>
      <c r="I879"/>
      <c r="J879" t="s">
        <v>803</v>
      </c>
      <c r="K879" t="s">
        <v>803</v>
      </c>
      <c r="L879"/>
      <c r="M879"/>
      <c r="N879"/>
      <c r="O879" s="73"/>
      <c r="P879" s="73"/>
      <c r="Q879" s="73"/>
      <c r="R879" s="73"/>
      <c r="S879" s="73"/>
      <c r="T879" s="73"/>
      <c r="U879" s="73"/>
      <c r="V879" s="73"/>
      <c r="W879" s="73"/>
      <c r="X879" s="73"/>
      <c r="Y879" s="73"/>
      <c r="Z879" s="73"/>
      <c r="AA879" s="73"/>
    </row>
    <row r="880" spans="1:27" ht="15">
      <c r="A880" s="96">
        <v>45244</v>
      </c>
      <c r="B880" t="s">
        <v>7490</v>
      </c>
      <c r="C880" t="s">
        <v>670</v>
      </c>
      <c r="D880"/>
      <c r="E880" t="s">
        <v>7491</v>
      </c>
      <c r="F880"/>
      <c r="G880" t="s">
        <v>7492</v>
      </c>
      <c r="H880" t="s">
        <v>7262</v>
      </c>
      <c r="I880" t="s">
        <v>7493</v>
      </c>
      <c r="J880" t="s">
        <v>676</v>
      </c>
      <c r="K880" t="s">
        <v>676</v>
      </c>
      <c r="L880" t="s">
        <v>518</v>
      </c>
      <c r="M880" t="s">
        <v>675</v>
      </c>
      <c r="N880" t="s">
        <v>535</v>
      </c>
      <c r="O880" s="73"/>
      <c r="P880" s="73"/>
      <c r="Q880" s="73"/>
      <c r="R880" s="73"/>
      <c r="S880" s="73"/>
      <c r="T880" s="73"/>
      <c r="U880" s="73"/>
      <c r="V880" s="73"/>
      <c r="W880" s="73"/>
      <c r="X880" s="73"/>
      <c r="Y880" s="73"/>
      <c r="Z880" s="73"/>
      <c r="AA880" s="73" t="s">
        <v>6558</v>
      </c>
    </row>
    <row r="881" spans="1:27" ht="15">
      <c r="B881"/>
      <c r="C881"/>
      <c r="D881" t="s">
        <v>1831</v>
      </c>
      <c r="E881" t="s">
        <v>1833</v>
      </c>
      <c r="F881" t="s">
        <v>665</v>
      </c>
      <c r="G881" t="s">
        <v>1834</v>
      </c>
      <c r="H881"/>
      <c r="I881"/>
      <c r="J881" t="s">
        <v>676</v>
      </c>
      <c r="K881" t="s">
        <v>676</v>
      </c>
      <c r="L881"/>
      <c r="M881"/>
      <c r="N881"/>
      <c r="O881" s="73"/>
      <c r="P881" s="73"/>
      <c r="Q881" s="73"/>
      <c r="R881" s="73"/>
      <c r="S881" s="73"/>
      <c r="T881" s="73"/>
      <c r="U881" s="73"/>
      <c r="V881" s="73"/>
      <c r="W881" s="73"/>
      <c r="X881" s="73"/>
      <c r="Y881" s="73"/>
      <c r="Z881" s="73"/>
      <c r="AA881" s="73"/>
    </row>
    <row r="882" spans="1:27" ht="15">
      <c r="B882"/>
      <c r="C882"/>
      <c r="D882" t="s">
        <v>2387</v>
      </c>
      <c r="E882" t="s">
        <v>2389</v>
      </c>
      <c r="F882" t="s">
        <v>665</v>
      </c>
      <c r="G882" t="s">
        <v>894</v>
      </c>
      <c r="H882"/>
      <c r="I882"/>
      <c r="J882" t="s">
        <v>676</v>
      </c>
      <c r="K882" t="s">
        <v>676</v>
      </c>
      <c r="L882"/>
      <c r="M882"/>
      <c r="N882"/>
      <c r="O882" s="73"/>
      <c r="P882" s="73"/>
      <c r="Q882" s="73"/>
      <c r="R882" s="73"/>
      <c r="S882" s="73"/>
      <c r="T882" s="73"/>
      <c r="U882" s="73"/>
      <c r="V882" s="73"/>
      <c r="W882" s="73"/>
      <c r="X882" s="73"/>
      <c r="Y882" s="73"/>
      <c r="Z882" s="73"/>
      <c r="AA882" s="73"/>
    </row>
    <row r="883" spans="1:27" ht="15">
      <c r="B883"/>
      <c r="C883"/>
      <c r="D883" t="s">
        <v>6331</v>
      </c>
      <c r="E883" t="s">
        <v>6333</v>
      </c>
      <c r="F883" t="s">
        <v>1077</v>
      </c>
      <c r="G883" t="s">
        <v>966</v>
      </c>
      <c r="H883"/>
      <c r="I883"/>
      <c r="J883" t="s">
        <v>676</v>
      </c>
      <c r="K883" t="s">
        <v>676</v>
      </c>
      <c r="L883"/>
      <c r="M883"/>
      <c r="N883"/>
      <c r="O883" s="73"/>
      <c r="P883" s="73"/>
      <c r="Q883" s="73"/>
      <c r="R883" s="73"/>
      <c r="S883" s="73"/>
      <c r="T883" s="73"/>
      <c r="U883" s="73"/>
      <c r="V883" s="73"/>
      <c r="W883" s="73"/>
      <c r="X883" s="73"/>
      <c r="Y883" s="73"/>
      <c r="Z883" s="73"/>
      <c r="AA883" s="73"/>
    </row>
    <row r="884" spans="1:27" ht="15">
      <c r="B884"/>
      <c r="C884"/>
      <c r="D884" t="s">
        <v>1831</v>
      </c>
      <c r="E884" t="s">
        <v>1838</v>
      </c>
      <c r="F884" t="s">
        <v>958</v>
      </c>
      <c r="G884" t="s">
        <v>1387</v>
      </c>
      <c r="H884"/>
      <c r="I884"/>
      <c r="J884" t="s">
        <v>676</v>
      </c>
      <c r="K884" t="s">
        <v>676</v>
      </c>
      <c r="L884"/>
      <c r="M884"/>
      <c r="N884"/>
      <c r="O884" s="73"/>
      <c r="P884" s="73"/>
      <c r="Q884" s="73"/>
      <c r="R884" s="73"/>
      <c r="S884" s="73"/>
      <c r="T884" s="73"/>
      <c r="U884" s="73"/>
      <c r="V884" s="73"/>
      <c r="W884" s="73"/>
      <c r="X884" s="73"/>
      <c r="Y884" s="73"/>
      <c r="Z884" s="73"/>
      <c r="AA884" s="73"/>
    </row>
    <row r="885" spans="1:27" ht="15">
      <c r="A885" s="96">
        <v>45244</v>
      </c>
      <c r="B885" t="s">
        <v>5792</v>
      </c>
      <c r="C885" t="s">
        <v>670</v>
      </c>
      <c r="D885"/>
      <c r="E885" t="s">
        <v>7494</v>
      </c>
      <c r="F885"/>
      <c r="G885" t="s">
        <v>7495</v>
      </c>
      <c r="H885" t="s">
        <v>7262</v>
      </c>
      <c r="I885" t="s">
        <v>7496</v>
      </c>
      <c r="J885" t="s">
        <v>803</v>
      </c>
      <c r="K885" t="s">
        <v>803</v>
      </c>
      <c r="L885" t="s">
        <v>518</v>
      </c>
      <c r="M885" t="s">
        <v>801</v>
      </c>
      <c r="N885" t="s">
        <v>535</v>
      </c>
      <c r="O885" s="73"/>
      <c r="P885" s="73"/>
      <c r="Q885" s="73"/>
      <c r="R885" s="73"/>
      <c r="S885" s="73"/>
      <c r="T885" s="73"/>
      <c r="U885" s="73"/>
      <c r="V885" s="73"/>
      <c r="W885" s="73"/>
      <c r="X885" s="73"/>
      <c r="Y885" s="73"/>
      <c r="Z885" s="73"/>
      <c r="AA885" s="73" t="s">
        <v>6558</v>
      </c>
    </row>
    <row r="886" spans="1:27" ht="15">
      <c r="B886"/>
      <c r="C886"/>
      <c r="D886" t="s">
        <v>1542</v>
      </c>
      <c r="E886" t="s">
        <v>1544</v>
      </c>
      <c r="F886" t="s">
        <v>514</v>
      </c>
      <c r="G886" t="s">
        <v>1241</v>
      </c>
      <c r="H886"/>
      <c r="I886"/>
      <c r="J886" t="s">
        <v>803</v>
      </c>
      <c r="K886" t="s">
        <v>803</v>
      </c>
      <c r="L886"/>
      <c r="M886"/>
      <c r="N886"/>
      <c r="O886" s="73"/>
      <c r="P886" s="73"/>
      <c r="Q886" s="73"/>
      <c r="R886" s="73"/>
      <c r="S886" s="73"/>
      <c r="T886" s="73"/>
      <c r="U886" s="73"/>
      <c r="V886" s="73"/>
      <c r="W886" s="73"/>
      <c r="X886" s="73"/>
      <c r="Y886" s="73"/>
      <c r="Z886" s="73"/>
      <c r="AA886" s="73"/>
    </row>
    <row r="887" spans="1:27" ht="15">
      <c r="B887"/>
      <c r="C887"/>
      <c r="D887" t="s">
        <v>1346</v>
      </c>
      <c r="E887" t="s">
        <v>1348</v>
      </c>
      <c r="F887" t="s">
        <v>514</v>
      </c>
      <c r="G887" t="s">
        <v>1349</v>
      </c>
      <c r="H887"/>
      <c r="I887"/>
      <c r="J887" t="s">
        <v>803</v>
      </c>
      <c r="K887" t="s">
        <v>803</v>
      </c>
      <c r="L887"/>
      <c r="M887"/>
      <c r="N887"/>
      <c r="O887" s="73"/>
      <c r="P887" s="73"/>
      <c r="Q887" s="73"/>
      <c r="R887" s="73"/>
      <c r="S887" s="73"/>
      <c r="T887" s="73"/>
      <c r="U887" s="73"/>
      <c r="V887" s="73"/>
      <c r="W887" s="73"/>
      <c r="X887" s="73"/>
      <c r="Y887" s="73"/>
      <c r="Z887" s="73"/>
      <c r="AA887" s="73"/>
    </row>
    <row r="888" spans="1:27" ht="15">
      <c r="B888"/>
      <c r="C888"/>
      <c r="D888" t="s">
        <v>1447</v>
      </c>
      <c r="E888" t="s">
        <v>1449</v>
      </c>
      <c r="F888" t="s">
        <v>1077</v>
      </c>
      <c r="G888" t="s">
        <v>1236</v>
      </c>
      <c r="H888"/>
      <c r="I888"/>
      <c r="J888" t="s">
        <v>803</v>
      </c>
      <c r="K888" t="s">
        <v>803</v>
      </c>
      <c r="L888"/>
      <c r="M888"/>
      <c r="N888"/>
      <c r="O888" s="73"/>
      <c r="P888" s="73"/>
      <c r="Q888" s="73"/>
      <c r="R888" s="73"/>
      <c r="S888" s="73"/>
      <c r="T888" s="73"/>
      <c r="U888" s="73"/>
      <c r="V888" s="73"/>
      <c r="W888" s="73"/>
      <c r="X888" s="73"/>
      <c r="Y888" s="73"/>
      <c r="Z888" s="73"/>
      <c r="AA888" s="73"/>
    </row>
    <row r="889" spans="1:27" ht="15">
      <c r="B889"/>
      <c r="C889"/>
      <c r="D889" t="s">
        <v>1898</v>
      </c>
      <c r="E889" t="s">
        <v>1904</v>
      </c>
      <c r="F889" t="s">
        <v>514</v>
      </c>
      <c r="G889" t="s">
        <v>1134</v>
      </c>
      <c r="H889"/>
      <c r="I889"/>
      <c r="J889" t="s">
        <v>803</v>
      </c>
      <c r="K889" t="s">
        <v>803</v>
      </c>
      <c r="L889"/>
      <c r="M889"/>
      <c r="N889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</row>
    <row r="890" spans="1:27" ht="15">
      <c r="B890"/>
      <c r="C890"/>
      <c r="D890" t="s">
        <v>1447</v>
      </c>
      <c r="E890" t="s">
        <v>1449</v>
      </c>
      <c r="F890" t="s">
        <v>1077</v>
      </c>
      <c r="G890" t="s">
        <v>1236</v>
      </c>
      <c r="H890"/>
      <c r="I890"/>
      <c r="J890" t="s">
        <v>803</v>
      </c>
      <c r="K890" t="s">
        <v>803</v>
      </c>
      <c r="L890"/>
      <c r="M890"/>
      <c r="N890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</row>
    <row r="891" spans="1:27" ht="15">
      <c r="B891"/>
      <c r="C891"/>
      <c r="D891" t="s">
        <v>1447</v>
      </c>
      <c r="E891" t="s">
        <v>1452</v>
      </c>
      <c r="F891" t="s">
        <v>724</v>
      </c>
      <c r="G891" t="s">
        <v>1463</v>
      </c>
      <c r="H891"/>
      <c r="I891"/>
      <c r="J891" t="s">
        <v>803</v>
      </c>
      <c r="K891" t="s">
        <v>803</v>
      </c>
      <c r="L891"/>
      <c r="M891"/>
      <c r="N891"/>
      <c r="O891" s="73"/>
      <c r="P891" s="73"/>
      <c r="Q891" s="73"/>
      <c r="R891" s="73"/>
      <c r="S891" s="73"/>
      <c r="T891" s="73"/>
      <c r="U891" s="73"/>
      <c r="V891" s="73"/>
      <c r="W891" s="73"/>
      <c r="X891" s="73"/>
      <c r="Y891" s="73"/>
      <c r="Z891" s="73"/>
      <c r="AA891" s="73"/>
    </row>
    <row r="892" spans="1:27" ht="15">
      <c r="B892"/>
      <c r="C892"/>
      <c r="D892" t="s">
        <v>1447</v>
      </c>
      <c r="E892" t="s">
        <v>5793</v>
      </c>
      <c r="F892" t="s">
        <v>979</v>
      </c>
      <c r="G892" t="s">
        <v>2985</v>
      </c>
      <c r="H892"/>
      <c r="I892"/>
      <c r="J892" t="s">
        <v>803</v>
      </c>
      <c r="K892" t="s">
        <v>803</v>
      </c>
      <c r="L892"/>
      <c r="M892"/>
      <c r="N892"/>
      <c r="O892" s="73"/>
      <c r="P892" s="73"/>
      <c r="Q892" s="73"/>
      <c r="R892" s="73"/>
      <c r="S892" s="73"/>
      <c r="T892" s="73"/>
      <c r="U892" s="73"/>
      <c r="V892" s="73"/>
      <c r="W892" s="73"/>
      <c r="X892" s="73"/>
      <c r="Y892" s="73"/>
      <c r="Z892" s="73"/>
      <c r="AA892" s="73"/>
    </row>
    <row r="893" spans="1:27" ht="15">
      <c r="A893" s="96">
        <v>45244</v>
      </c>
      <c r="B893" t="s">
        <v>6645</v>
      </c>
      <c r="C893" t="s">
        <v>1071</v>
      </c>
      <c r="D893"/>
      <c r="E893" t="s">
        <v>7497</v>
      </c>
      <c r="F893"/>
      <c r="G893" t="s">
        <v>7498</v>
      </c>
      <c r="H893" t="s">
        <v>7262</v>
      </c>
      <c r="I893" t="s">
        <v>5942</v>
      </c>
      <c r="J893" t="s">
        <v>4700</v>
      </c>
      <c r="K893" t="s">
        <v>4700</v>
      </c>
      <c r="L893" t="s">
        <v>682</v>
      </c>
      <c r="M893" t="s">
        <v>4699</v>
      </c>
      <c r="N893" t="s">
        <v>535</v>
      </c>
      <c r="O893" s="73"/>
      <c r="P893" s="73"/>
      <c r="Q893" s="73"/>
      <c r="R893" s="73"/>
      <c r="S893" s="73"/>
      <c r="T893" s="73"/>
      <c r="U893" s="73"/>
      <c r="V893" s="73"/>
      <c r="W893" s="73"/>
      <c r="X893" s="73"/>
      <c r="Y893" s="73"/>
      <c r="Z893" s="73"/>
      <c r="AA893" s="73" t="s">
        <v>6558</v>
      </c>
    </row>
    <row r="894" spans="1:27" ht="15">
      <c r="B894"/>
      <c r="C894"/>
      <c r="D894" t="s">
        <v>6904</v>
      </c>
      <c r="E894" t="s">
        <v>2339</v>
      </c>
      <c r="F894" t="s">
        <v>514</v>
      </c>
      <c r="G894" t="s">
        <v>2401</v>
      </c>
      <c r="H894"/>
      <c r="I894"/>
      <c r="J894" t="s">
        <v>4700</v>
      </c>
      <c r="K894" t="s">
        <v>4700</v>
      </c>
      <c r="L894"/>
      <c r="M894"/>
      <c r="N894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</row>
    <row r="895" spans="1:27" ht="15">
      <c r="B895"/>
      <c r="C895"/>
      <c r="D895" t="s">
        <v>6643</v>
      </c>
      <c r="E895" t="s">
        <v>6646</v>
      </c>
      <c r="F895" t="s">
        <v>514</v>
      </c>
      <c r="G895" t="s">
        <v>2985</v>
      </c>
      <c r="H895"/>
      <c r="I895"/>
      <c r="J895" t="s">
        <v>4700</v>
      </c>
      <c r="K895" t="s">
        <v>4700</v>
      </c>
      <c r="L895"/>
      <c r="M895"/>
      <c r="N895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</row>
    <row r="896" spans="1:27" ht="15">
      <c r="B896"/>
      <c r="C896"/>
      <c r="D896" t="s">
        <v>6643</v>
      </c>
      <c r="E896" t="s">
        <v>6646</v>
      </c>
      <c r="F896" t="s">
        <v>514</v>
      </c>
      <c r="G896" t="s">
        <v>2985</v>
      </c>
      <c r="H896"/>
      <c r="I896"/>
      <c r="J896" t="s">
        <v>4700</v>
      </c>
      <c r="K896" t="s">
        <v>4700</v>
      </c>
      <c r="L896"/>
      <c r="M896"/>
      <c r="N896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</row>
    <row r="897" spans="1:27" ht="15">
      <c r="B897"/>
      <c r="C897"/>
      <c r="D897" t="s">
        <v>6643</v>
      </c>
      <c r="E897" t="s">
        <v>6646</v>
      </c>
      <c r="F897" t="s">
        <v>514</v>
      </c>
      <c r="G897" t="s">
        <v>2985</v>
      </c>
      <c r="H897"/>
      <c r="I897"/>
      <c r="J897" t="s">
        <v>4700</v>
      </c>
      <c r="K897" t="s">
        <v>4700</v>
      </c>
      <c r="L897"/>
      <c r="M897"/>
      <c r="N897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</row>
    <row r="898" spans="1:27" ht="15">
      <c r="B898"/>
      <c r="C898"/>
      <c r="D898" t="s">
        <v>6643</v>
      </c>
      <c r="E898" t="s">
        <v>6646</v>
      </c>
      <c r="F898" t="s">
        <v>514</v>
      </c>
      <c r="G898" t="s">
        <v>2985</v>
      </c>
      <c r="H898"/>
      <c r="I898"/>
      <c r="J898" t="s">
        <v>4700</v>
      </c>
      <c r="K898" t="s">
        <v>4700</v>
      </c>
      <c r="L898"/>
      <c r="M898"/>
      <c r="N898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</row>
    <row r="899" spans="1:27" ht="15">
      <c r="B899"/>
      <c r="C899"/>
      <c r="D899" t="s">
        <v>6748</v>
      </c>
      <c r="E899" t="s">
        <v>1727</v>
      </c>
      <c r="F899" t="s">
        <v>514</v>
      </c>
      <c r="G899" t="s">
        <v>915</v>
      </c>
      <c r="H899"/>
      <c r="I899"/>
      <c r="J899" t="s">
        <v>4700</v>
      </c>
      <c r="K899" t="s">
        <v>4700</v>
      </c>
      <c r="L899"/>
      <c r="M899"/>
      <c r="N899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</row>
    <row r="900" spans="1:27" ht="15">
      <c r="B900"/>
      <c r="C900"/>
      <c r="D900" t="s">
        <v>6861</v>
      </c>
      <c r="E900" t="s">
        <v>2694</v>
      </c>
      <c r="F900" t="s">
        <v>514</v>
      </c>
      <c r="G900" t="s">
        <v>915</v>
      </c>
      <c r="H900"/>
      <c r="I900"/>
      <c r="J900" t="s">
        <v>4700</v>
      </c>
      <c r="K900" t="s">
        <v>4700</v>
      </c>
      <c r="L900"/>
      <c r="M900"/>
      <c r="N900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</row>
    <row r="901" spans="1:27" ht="15">
      <c r="B901"/>
      <c r="C901"/>
      <c r="D901" t="s">
        <v>7147</v>
      </c>
      <c r="E901" t="s">
        <v>1989</v>
      </c>
      <c r="F901" t="s">
        <v>514</v>
      </c>
      <c r="G901" t="s">
        <v>2985</v>
      </c>
      <c r="H901"/>
      <c r="I901"/>
      <c r="J901" t="s">
        <v>4700</v>
      </c>
      <c r="K901" t="s">
        <v>4700</v>
      </c>
      <c r="L901"/>
      <c r="M901"/>
      <c r="N901"/>
      <c r="O901" s="73"/>
      <c r="P901" s="73"/>
      <c r="Q901" s="73"/>
      <c r="R901" s="73"/>
      <c r="S901" s="73"/>
      <c r="T901" s="73"/>
      <c r="U901" s="73"/>
      <c r="V901" s="73"/>
      <c r="W901" s="73"/>
      <c r="X901" s="73"/>
      <c r="Y901" s="73"/>
      <c r="Z901" s="73"/>
      <c r="AA901" s="73"/>
    </row>
    <row r="902" spans="1:27" ht="15">
      <c r="A902" s="96">
        <v>45244</v>
      </c>
      <c r="B902" t="s">
        <v>6580</v>
      </c>
      <c r="C902" t="s">
        <v>670</v>
      </c>
      <c r="D902"/>
      <c r="E902" t="s">
        <v>7499</v>
      </c>
      <c r="F902"/>
      <c r="G902" t="s">
        <v>5190</v>
      </c>
      <c r="H902" t="s">
        <v>7262</v>
      </c>
      <c r="I902" t="s">
        <v>6585</v>
      </c>
      <c r="J902" t="s">
        <v>1918</v>
      </c>
      <c r="K902" t="s">
        <v>1918</v>
      </c>
      <c r="L902" t="s">
        <v>682</v>
      </c>
      <c r="M902" t="s">
        <v>6584</v>
      </c>
      <c r="N902" t="s">
        <v>535</v>
      </c>
      <c r="O902" s="73"/>
      <c r="P902" s="73"/>
      <c r="Q902" s="73"/>
      <c r="R902" s="73"/>
      <c r="S902" s="73"/>
      <c r="T902" s="73"/>
      <c r="U902" s="73"/>
      <c r="V902" s="73"/>
      <c r="W902" s="73"/>
      <c r="X902" s="73"/>
      <c r="Y902" s="73"/>
      <c r="Z902" s="73"/>
      <c r="AA902" s="73" t="s">
        <v>6558</v>
      </c>
    </row>
    <row r="903" spans="1:27" ht="15">
      <c r="B903"/>
      <c r="C903"/>
      <c r="D903" t="s">
        <v>6578</v>
      </c>
      <c r="E903" t="s">
        <v>6581</v>
      </c>
      <c r="F903" t="s">
        <v>6582</v>
      </c>
      <c r="G903" t="s">
        <v>6583</v>
      </c>
      <c r="H903"/>
      <c r="I903"/>
      <c r="J903" t="s">
        <v>1918</v>
      </c>
      <c r="K903" t="s">
        <v>1918</v>
      </c>
      <c r="L903"/>
      <c r="M903"/>
      <c r="N903"/>
      <c r="O903" s="73"/>
      <c r="P903" s="73"/>
      <c r="Q903" s="73"/>
      <c r="R903" s="73"/>
      <c r="S903" s="73"/>
      <c r="T903" s="73"/>
      <c r="U903" s="73"/>
      <c r="V903" s="73"/>
      <c r="W903" s="73"/>
      <c r="X903" s="73"/>
      <c r="Y903" s="73"/>
      <c r="Z903" s="73"/>
      <c r="AA903" s="73"/>
    </row>
    <row r="904" spans="1:27" ht="15">
      <c r="A904" s="96">
        <v>45244</v>
      </c>
      <c r="B904" t="s">
        <v>7500</v>
      </c>
      <c r="C904" t="s">
        <v>670</v>
      </c>
      <c r="D904"/>
      <c r="E904" t="s">
        <v>7501</v>
      </c>
      <c r="F904"/>
      <c r="G904" t="s">
        <v>7502</v>
      </c>
      <c r="H904" t="s">
        <v>7262</v>
      </c>
      <c r="I904" t="s">
        <v>7503</v>
      </c>
      <c r="J904" t="s">
        <v>545</v>
      </c>
      <c r="K904" t="s">
        <v>545</v>
      </c>
      <c r="L904" t="s">
        <v>682</v>
      </c>
      <c r="M904" t="s">
        <v>3078</v>
      </c>
      <c r="N904" t="s">
        <v>535</v>
      </c>
      <c r="O904" s="73"/>
      <c r="P904" s="73"/>
      <c r="Q904" s="73"/>
      <c r="R904" s="73"/>
      <c r="S904" s="73"/>
      <c r="T904" s="73"/>
      <c r="U904" s="73"/>
      <c r="V904" s="73"/>
      <c r="W904" s="73"/>
      <c r="X904" s="73"/>
      <c r="Y904" s="73"/>
      <c r="Z904" s="73"/>
      <c r="AA904" s="73" t="s">
        <v>6558</v>
      </c>
    </row>
    <row r="905" spans="1:27" ht="15">
      <c r="B905"/>
      <c r="C905"/>
      <c r="D905" t="s">
        <v>4317</v>
      </c>
      <c r="E905" t="s">
        <v>4319</v>
      </c>
      <c r="F905" t="s">
        <v>514</v>
      </c>
      <c r="G905" t="s">
        <v>1715</v>
      </c>
      <c r="H905"/>
      <c r="I905"/>
      <c r="J905" t="s">
        <v>545</v>
      </c>
      <c r="K905" t="s">
        <v>545</v>
      </c>
      <c r="L905"/>
      <c r="M905"/>
      <c r="N905"/>
      <c r="O905" s="73"/>
      <c r="P905" s="73"/>
      <c r="Q905" s="73"/>
      <c r="R905" s="73"/>
      <c r="S905" s="73"/>
      <c r="T905" s="73"/>
      <c r="U905" s="73"/>
      <c r="V905" s="73"/>
      <c r="W905" s="73"/>
      <c r="X905" s="73"/>
      <c r="Y905" s="73"/>
      <c r="Z905" s="73"/>
      <c r="AA905" s="73"/>
    </row>
    <row r="906" spans="1:27" ht="15">
      <c r="B906"/>
      <c r="C906"/>
      <c r="D906" t="s">
        <v>4317</v>
      </c>
      <c r="E906" t="s">
        <v>4319</v>
      </c>
      <c r="F906" t="s">
        <v>514</v>
      </c>
      <c r="G906" t="s">
        <v>1809</v>
      </c>
      <c r="H906"/>
      <c r="I906"/>
      <c r="J906" t="s">
        <v>545</v>
      </c>
      <c r="K906" t="s">
        <v>545</v>
      </c>
      <c r="L906"/>
      <c r="M906"/>
      <c r="N906"/>
      <c r="O906" s="73"/>
      <c r="P906" s="73"/>
      <c r="Q906" s="73"/>
      <c r="R906" s="73"/>
      <c r="S906" s="73"/>
      <c r="T906" s="73"/>
      <c r="U906" s="73"/>
      <c r="V906" s="73"/>
      <c r="W906" s="73"/>
      <c r="X906" s="73"/>
      <c r="Y906" s="73"/>
      <c r="Z906" s="73"/>
      <c r="AA906" s="73"/>
    </row>
    <row r="907" spans="1:27" ht="15">
      <c r="B907"/>
      <c r="C907"/>
      <c r="D907" t="s">
        <v>3267</v>
      </c>
      <c r="E907" t="s">
        <v>2339</v>
      </c>
      <c r="F907" t="s">
        <v>958</v>
      </c>
      <c r="G907" t="s">
        <v>1275</v>
      </c>
      <c r="H907"/>
      <c r="I907"/>
      <c r="J907" t="s">
        <v>545</v>
      </c>
      <c r="K907" t="s">
        <v>545</v>
      </c>
      <c r="L907"/>
      <c r="M907"/>
      <c r="N907"/>
      <c r="O907" s="73"/>
      <c r="P907" s="73"/>
      <c r="Q907" s="73"/>
      <c r="R907" s="73"/>
      <c r="S907" s="73"/>
      <c r="T907" s="73"/>
      <c r="U907" s="73"/>
      <c r="V907" s="73"/>
      <c r="W907" s="73"/>
      <c r="X907" s="73"/>
      <c r="Y907" s="73"/>
      <c r="Z907" s="73"/>
      <c r="AA907" s="73"/>
    </row>
    <row r="908" spans="1:27" ht="15">
      <c r="B908"/>
      <c r="C908"/>
      <c r="D908" t="s">
        <v>3075</v>
      </c>
      <c r="E908" t="s">
        <v>1844</v>
      </c>
      <c r="F908" t="s">
        <v>514</v>
      </c>
      <c r="G908" t="s">
        <v>3077</v>
      </c>
      <c r="H908"/>
      <c r="I908"/>
      <c r="J908" t="s">
        <v>545</v>
      </c>
      <c r="K908" t="s">
        <v>3079</v>
      </c>
      <c r="L908"/>
      <c r="M908"/>
      <c r="N908"/>
      <c r="O908" s="73"/>
      <c r="P908" s="73"/>
      <c r="Q908" s="73"/>
      <c r="R908" s="73"/>
      <c r="S908" s="73"/>
      <c r="T908" s="73"/>
      <c r="U908" s="73"/>
      <c r="V908" s="73"/>
      <c r="W908" s="73"/>
      <c r="X908" s="73"/>
      <c r="Y908" s="73"/>
      <c r="Z908" s="73"/>
      <c r="AA908" s="73"/>
    </row>
    <row r="909" spans="1:27" ht="15">
      <c r="A909" s="96">
        <v>45244</v>
      </c>
      <c r="B909" t="s">
        <v>6797</v>
      </c>
      <c r="C909" t="s">
        <v>670</v>
      </c>
      <c r="D909"/>
      <c r="E909" t="s">
        <v>7454</v>
      </c>
      <c r="F909"/>
      <c r="G909" t="s">
        <v>6798</v>
      </c>
      <c r="H909" t="s">
        <v>7262</v>
      </c>
      <c r="I909" t="s">
        <v>6799</v>
      </c>
      <c r="J909" t="s">
        <v>897</v>
      </c>
      <c r="K909" t="s">
        <v>897</v>
      </c>
      <c r="L909" t="s">
        <v>518</v>
      </c>
      <c r="M909" t="s">
        <v>895</v>
      </c>
      <c r="N909" t="s">
        <v>520</v>
      </c>
      <c r="O909" s="73"/>
      <c r="P909" s="73"/>
      <c r="Q909" s="73"/>
      <c r="R909" s="73"/>
      <c r="S909" s="73"/>
      <c r="T909" s="73"/>
      <c r="U909" s="73"/>
      <c r="V909" s="73"/>
      <c r="W909" s="73"/>
      <c r="X909" s="73"/>
      <c r="Y909" s="73"/>
      <c r="Z909" s="73"/>
      <c r="AA909" s="73" t="s">
        <v>6558</v>
      </c>
    </row>
    <row r="910" spans="1:27" ht="15">
      <c r="B910"/>
      <c r="C910"/>
      <c r="D910" t="s">
        <v>3573</v>
      </c>
      <c r="E910" t="s">
        <v>3576</v>
      </c>
      <c r="F910" t="s">
        <v>514</v>
      </c>
      <c r="G910" t="s">
        <v>6798</v>
      </c>
      <c r="H910"/>
      <c r="I910"/>
      <c r="J910" t="s">
        <v>897</v>
      </c>
      <c r="K910" t="s">
        <v>897</v>
      </c>
      <c r="L910"/>
      <c r="M910"/>
      <c r="N910"/>
      <c r="O910" s="73"/>
      <c r="P910" s="73"/>
      <c r="Q910" s="73"/>
      <c r="R910" s="73"/>
      <c r="S910" s="73"/>
      <c r="T910" s="73"/>
      <c r="U910" s="73"/>
      <c r="V910" s="73"/>
      <c r="W910" s="73"/>
      <c r="X910" s="73"/>
      <c r="Y910" s="73"/>
      <c r="Z910" s="73"/>
      <c r="AA910" s="73"/>
    </row>
    <row r="911" spans="1:27" ht="15">
      <c r="A911" s="96">
        <v>45244</v>
      </c>
      <c r="B911" t="s">
        <v>6618</v>
      </c>
      <c r="C911" t="s">
        <v>670</v>
      </c>
      <c r="D911"/>
      <c r="E911" t="s">
        <v>7504</v>
      </c>
      <c r="F911"/>
      <c r="G911" t="s">
        <v>5869</v>
      </c>
      <c r="H911" t="s">
        <v>7262</v>
      </c>
      <c r="I911" t="s">
        <v>6620</v>
      </c>
      <c r="J911" t="s">
        <v>733</v>
      </c>
      <c r="K911" t="s">
        <v>733</v>
      </c>
      <c r="L911" t="s">
        <v>518</v>
      </c>
      <c r="M911" t="s">
        <v>731</v>
      </c>
      <c r="N911" t="s">
        <v>535</v>
      </c>
      <c r="O911" s="73"/>
      <c r="P911" s="73"/>
      <c r="Q911" s="73"/>
      <c r="R911" s="73"/>
      <c r="S911" s="73"/>
      <c r="T911" s="73"/>
      <c r="U911" s="73"/>
      <c r="V911" s="73"/>
      <c r="W911" s="73"/>
      <c r="X911" s="73"/>
      <c r="Y911" s="73"/>
      <c r="Z911" s="73"/>
      <c r="AA911" s="73" t="s">
        <v>6558</v>
      </c>
    </row>
    <row r="912" spans="1:27" ht="15">
      <c r="B912"/>
      <c r="C912"/>
      <c r="D912" t="s">
        <v>6616</v>
      </c>
      <c r="E912" t="s">
        <v>6619</v>
      </c>
      <c r="F912" t="s">
        <v>979</v>
      </c>
      <c r="G912" t="s">
        <v>5869</v>
      </c>
      <c r="H912"/>
      <c r="I912"/>
      <c r="J912" t="s">
        <v>733</v>
      </c>
      <c r="K912" t="s">
        <v>733</v>
      </c>
      <c r="L912"/>
      <c r="M912"/>
      <c r="N912"/>
      <c r="O912" s="73"/>
      <c r="P912" s="73"/>
      <c r="Q912" s="73"/>
      <c r="R912" s="73"/>
      <c r="S912" s="73"/>
      <c r="T912" s="73"/>
      <c r="U912" s="73"/>
      <c r="V912" s="73"/>
      <c r="W912" s="73"/>
      <c r="X912" s="73"/>
      <c r="Y912" s="73"/>
      <c r="Z912" s="73"/>
      <c r="AA912" s="73"/>
    </row>
    <row r="913" spans="1:27" ht="15">
      <c r="A913" s="96">
        <v>45244</v>
      </c>
      <c r="B913" t="s">
        <v>6872</v>
      </c>
      <c r="C913" t="s">
        <v>670</v>
      </c>
      <c r="D913"/>
      <c r="E913" t="s">
        <v>7505</v>
      </c>
      <c r="F913"/>
      <c r="G913" t="s">
        <v>555</v>
      </c>
      <c r="H913" t="s">
        <v>7262</v>
      </c>
      <c r="I913" t="s">
        <v>6874</v>
      </c>
      <c r="J913" t="s">
        <v>1918</v>
      </c>
      <c r="K913" t="s">
        <v>1918</v>
      </c>
      <c r="L913" t="s">
        <v>682</v>
      </c>
      <c r="M913" t="s">
        <v>6584</v>
      </c>
      <c r="N913" t="s">
        <v>535</v>
      </c>
      <c r="O913" s="73"/>
      <c r="P913" s="73"/>
      <c r="Q913" s="73"/>
      <c r="R913" s="73"/>
      <c r="S913" s="73"/>
      <c r="T913" s="73"/>
      <c r="U913" s="73"/>
      <c r="V913" s="73"/>
      <c r="W913" s="73"/>
      <c r="X913" s="73"/>
      <c r="Y913" s="73"/>
      <c r="Z913" s="73"/>
      <c r="AA913" s="73" t="s">
        <v>6558</v>
      </c>
    </row>
    <row r="914" spans="1:27" ht="15">
      <c r="B914"/>
      <c r="C914"/>
      <c r="D914" t="s">
        <v>6863</v>
      </c>
      <c r="E914" t="s">
        <v>6873</v>
      </c>
      <c r="F914" t="s">
        <v>514</v>
      </c>
      <c r="G914" t="s">
        <v>555</v>
      </c>
      <c r="H914"/>
      <c r="I914"/>
      <c r="J914" t="s">
        <v>1918</v>
      </c>
      <c r="K914" t="s">
        <v>1918</v>
      </c>
      <c r="L914"/>
      <c r="M914"/>
      <c r="N914"/>
      <c r="O914" s="73"/>
      <c r="P914" s="73"/>
      <c r="Q914" s="73"/>
      <c r="R914" s="73"/>
      <c r="S914" s="73"/>
      <c r="T914" s="73"/>
      <c r="U914" s="73"/>
      <c r="V914" s="73"/>
      <c r="W914" s="73"/>
      <c r="X914" s="73"/>
      <c r="Y914" s="73"/>
      <c r="Z914" s="73"/>
      <c r="AA914" s="73"/>
    </row>
    <row r="915" spans="1:27" ht="15">
      <c r="A915" s="96">
        <v>45244</v>
      </c>
      <c r="B915" t="s">
        <v>6869</v>
      </c>
      <c r="C915" t="s">
        <v>670</v>
      </c>
      <c r="D915"/>
      <c r="E915" t="s">
        <v>7506</v>
      </c>
      <c r="F915"/>
      <c r="G915" t="s">
        <v>555</v>
      </c>
      <c r="H915" t="s">
        <v>7262</v>
      </c>
      <c r="I915" t="s">
        <v>6870</v>
      </c>
      <c r="J915" t="s">
        <v>1918</v>
      </c>
      <c r="K915" t="s">
        <v>1918</v>
      </c>
      <c r="L915" t="s">
        <v>682</v>
      </c>
      <c r="M915" t="s">
        <v>6584</v>
      </c>
      <c r="N915" t="s">
        <v>535</v>
      </c>
      <c r="O915" s="73"/>
      <c r="P915" s="73"/>
      <c r="Q915" s="73"/>
      <c r="R915" s="73"/>
      <c r="S915" s="73"/>
      <c r="T915" s="73"/>
      <c r="U915" s="73"/>
      <c r="V915" s="73"/>
      <c r="W915" s="73"/>
      <c r="X915" s="73"/>
      <c r="Y915" s="73"/>
      <c r="Z915" s="73"/>
      <c r="AA915" s="73" t="s">
        <v>6558</v>
      </c>
    </row>
    <row r="916" spans="1:27" ht="15">
      <c r="B916"/>
      <c r="C916"/>
      <c r="D916" t="s">
        <v>6863</v>
      </c>
      <c r="E916" t="s">
        <v>6866</v>
      </c>
      <c r="F916" t="s">
        <v>514</v>
      </c>
      <c r="G916" t="s">
        <v>555</v>
      </c>
      <c r="H916"/>
      <c r="I916"/>
      <c r="J916" t="s">
        <v>1918</v>
      </c>
      <c r="K916" t="s">
        <v>1918</v>
      </c>
      <c r="L916"/>
      <c r="M916"/>
      <c r="N916"/>
      <c r="O916" s="73"/>
      <c r="P916" s="73"/>
      <c r="Q916" s="73"/>
      <c r="R916" s="73"/>
      <c r="S916" s="73"/>
      <c r="T916" s="73"/>
      <c r="U916" s="73"/>
      <c r="V916" s="73"/>
      <c r="W916" s="73"/>
      <c r="X916" s="73"/>
      <c r="Y916" s="73"/>
      <c r="Z916" s="73"/>
      <c r="AA916" s="73"/>
    </row>
    <row r="917" spans="1:27" ht="15">
      <c r="A917" s="96">
        <v>45244</v>
      </c>
      <c r="B917" t="s">
        <v>6865</v>
      </c>
      <c r="C917" t="s">
        <v>670</v>
      </c>
      <c r="D917"/>
      <c r="E917" t="s">
        <v>7506</v>
      </c>
      <c r="F917"/>
      <c r="G917" t="s">
        <v>555</v>
      </c>
      <c r="H917" t="s">
        <v>7262</v>
      </c>
      <c r="I917" t="s">
        <v>6867</v>
      </c>
      <c r="J917" t="s">
        <v>1918</v>
      </c>
      <c r="K917" t="s">
        <v>1918</v>
      </c>
      <c r="L917" t="s">
        <v>682</v>
      </c>
      <c r="M917" t="s">
        <v>6584</v>
      </c>
      <c r="N917" t="s">
        <v>535</v>
      </c>
      <c r="O917" s="73"/>
      <c r="P917" s="73"/>
      <c r="Q917" s="73"/>
      <c r="R917" s="73"/>
      <c r="S917" s="73"/>
      <c r="T917" s="73"/>
      <c r="U917" s="73"/>
      <c r="V917" s="73"/>
      <c r="W917" s="73"/>
      <c r="X917" s="73"/>
      <c r="Y917" s="73"/>
      <c r="Z917" s="73"/>
      <c r="AA917" s="73" t="s">
        <v>6558</v>
      </c>
    </row>
    <row r="918" spans="1:27" ht="15">
      <c r="B918"/>
      <c r="C918"/>
      <c r="D918" t="s">
        <v>6863</v>
      </c>
      <c r="E918" t="s">
        <v>6866</v>
      </c>
      <c r="F918" t="s">
        <v>514</v>
      </c>
      <c r="G918" t="s">
        <v>555</v>
      </c>
      <c r="H918"/>
      <c r="I918"/>
      <c r="J918" t="s">
        <v>1918</v>
      </c>
      <c r="K918" t="s">
        <v>1918</v>
      </c>
      <c r="L918"/>
      <c r="M918"/>
      <c r="N918"/>
      <c r="O918" s="73"/>
      <c r="P918" s="73"/>
      <c r="Q918" s="73"/>
      <c r="R918" s="73"/>
      <c r="S918" s="73"/>
      <c r="T918" s="73"/>
      <c r="U918" s="73"/>
      <c r="V918" s="73"/>
      <c r="W918" s="73"/>
      <c r="X918" s="73"/>
      <c r="Y918" s="73"/>
      <c r="Z918" s="73"/>
      <c r="AA918" s="73"/>
    </row>
    <row r="919" spans="1:27" ht="15">
      <c r="A919" s="96">
        <v>45244</v>
      </c>
      <c r="B919" t="s">
        <v>6876</v>
      </c>
      <c r="C919" t="s">
        <v>1913</v>
      </c>
      <c r="D919"/>
      <c r="E919" t="s">
        <v>7507</v>
      </c>
      <c r="F919"/>
      <c r="G919" t="s">
        <v>848</v>
      </c>
      <c r="H919" t="s">
        <v>7262</v>
      </c>
      <c r="I919" t="s">
        <v>6878</v>
      </c>
      <c r="J919" t="s">
        <v>1918</v>
      </c>
      <c r="K919" t="s">
        <v>1918</v>
      </c>
      <c r="L919" t="s">
        <v>682</v>
      </c>
      <c r="M919" t="s">
        <v>6584</v>
      </c>
      <c r="N919" t="s">
        <v>535</v>
      </c>
      <c r="O919" s="73"/>
      <c r="P919" s="73"/>
      <c r="Q919" s="73"/>
      <c r="R919" s="73"/>
      <c r="S919" s="73"/>
      <c r="T919" s="73"/>
      <c r="U919" s="73"/>
      <c r="V919" s="73"/>
      <c r="W919" s="73"/>
      <c r="X919" s="73"/>
      <c r="Y919" s="73"/>
      <c r="Z919" s="73"/>
      <c r="AA919" s="73" t="s">
        <v>6558</v>
      </c>
    </row>
    <row r="920" spans="1:27" ht="15">
      <c r="B920"/>
      <c r="C920"/>
      <c r="D920" t="s">
        <v>6863</v>
      </c>
      <c r="E920" t="s">
        <v>6877</v>
      </c>
      <c r="F920" t="s">
        <v>958</v>
      </c>
      <c r="G920" t="s">
        <v>848</v>
      </c>
      <c r="H920"/>
      <c r="I920"/>
      <c r="J920" t="s">
        <v>1918</v>
      </c>
      <c r="K920" t="s">
        <v>1918</v>
      </c>
      <c r="L920"/>
      <c r="M920"/>
      <c r="N920"/>
      <c r="O920" s="73"/>
      <c r="P920" s="73"/>
      <c r="Q920" s="73"/>
      <c r="R920" s="73"/>
      <c r="S920" s="73"/>
      <c r="T920" s="73"/>
      <c r="U920" s="73"/>
      <c r="V920" s="73"/>
      <c r="W920" s="73"/>
      <c r="X920" s="73"/>
      <c r="Y920" s="73"/>
      <c r="Z920" s="73"/>
      <c r="AA920" s="73"/>
    </row>
    <row r="921" spans="1:27" ht="15">
      <c r="A921" s="96">
        <v>45244</v>
      </c>
      <c r="B921" t="s">
        <v>6781</v>
      </c>
      <c r="C921" t="s">
        <v>670</v>
      </c>
      <c r="D921"/>
      <c r="E921" t="s">
        <v>7508</v>
      </c>
      <c r="F921"/>
      <c r="G921" t="s">
        <v>4995</v>
      </c>
      <c r="H921" t="s">
        <v>7284</v>
      </c>
      <c r="I921" t="s">
        <v>6784</v>
      </c>
      <c r="J921" t="s">
        <v>545</v>
      </c>
      <c r="K921" t="s">
        <v>545</v>
      </c>
      <c r="L921" t="s">
        <v>682</v>
      </c>
      <c r="M921" t="s">
        <v>3078</v>
      </c>
      <c r="N921" t="s">
        <v>535</v>
      </c>
      <c r="O921" s="73"/>
      <c r="P921" s="73"/>
      <c r="Q921" s="73"/>
      <c r="R921" s="73"/>
      <c r="S921" s="73"/>
      <c r="T921" s="73"/>
      <c r="U921" s="73"/>
      <c r="V921" s="73"/>
      <c r="W921" s="73"/>
      <c r="X921" s="73"/>
      <c r="Y921" s="73"/>
      <c r="Z921" s="73"/>
      <c r="AA921" s="73" t="s">
        <v>6558</v>
      </c>
    </row>
    <row r="922" spans="1:27" ht="15">
      <c r="B922"/>
      <c r="C922"/>
      <c r="D922" t="s">
        <v>6779</v>
      </c>
      <c r="E922" t="s">
        <v>6782</v>
      </c>
      <c r="F922" t="s">
        <v>6783</v>
      </c>
      <c r="G922" t="s">
        <v>4995</v>
      </c>
      <c r="H922"/>
      <c r="I922"/>
      <c r="J922" t="s">
        <v>545</v>
      </c>
      <c r="K922" t="s">
        <v>545</v>
      </c>
      <c r="L922"/>
      <c r="M922"/>
      <c r="N922"/>
      <c r="O922" s="73"/>
      <c r="P922" s="73"/>
      <c r="Q922" s="73"/>
      <c r="R922" s="73"/>
      <c r="S922" s="73"/>
      <c r="T922" s="73"/>
      <c r="U922" s="73"/>
      <c r="V922" s="73"/>
      <c r="W922" s="73"/>
      <c r="X922" s="73"/>
      <c r="Y922" s="73"/>
      <c r="Z922" s="73"/>
      <c r="AA922" s="73"/>
    </row>
    <row r="923" spans="1:27" ht="15">
      <c r="A923" s="96">
        <v>45244</v>
      </c>
      <c r="B923" t="s">
        <v>6763</v>
      </c>
      <c r="C923" t="s">
        <v>670</v>
      </c>
      <c r="D923"/>
      <c r="E923" t="s">
        <v>7509</v>
      </c>
      <c r="F923"/>
      <c r="G923" t="s">
        <v>7510</v>
      </c>
      <c r="H923" t="s">
        <v>7306</v>
      </c>
      <c r="I923" t="s">
        <v>6766</v>
      </c>
      <c r="J923" t="s">
        <v>1918</v>
      </c>
      <c r="K923" t="s">
        <v>1918</v>
      </c>
      <c r="L923" t="s">
        <v>682</v>
      </c>
      <c r="M923" t="s">
        <v>6584</v>
      </c>
      <c r="N923" t="s">
        <v>535</v>
      </c>
      <c r="O923" s="73"/>
      <c r="P923" s="73"/>
      <c r="Q923" s="73"/>
      <c r="R923" s="73"/>
      <c r="S923" s="73"/>
      <c r="T923" s="73"/>
      <c r="U923" s="73"/>
      <c r="V923" s="73"/>
      <c r="W923" s="73"/>
      <c r="X923" s="73"/>
      <c r="Y923" s="73"/>
      <c r="Z923" s="73"/>
      <c r="AA923" s="73" t="s">
        <v>6558</v>
      </c>
    </row>
    <row r="924" spans="1:27" ht="15">
      <c r="B924"/>
      <c r="C924"/>
      <c r="D924" t="s">
        <v>6761</v>
      </c>
      <c r="E924" t="s">
        <v>6764</v>
      </c>
      <c r="F924" t="s">
        <v>979</v>
      </c>
      <c r="G924" t="s">
        <v>6765</v>
      </c>
      <c r="H924"/>
      <c r="I924"/>
      <c r="J924" t="s">
        <v>1918</v>
      </c>
      <c r="K924" t="s">
        <v>1918</v>
      </c>
      <c r="L924"/>
      <c r="M924"/>
      <c r="N924"/>
      <c r="O924" s="73"/>
      <c r="P924" s="73"/>
      <c r="Q924" s="73"/>
      <c r="R924" s="73"/>
      <c r="S924" s="73"/>
      <c r="T924" s="73"/>
      <c r="U924" s="73"/>
      <c r="V924" s="73"/>
      <c r="W924" s="73"/>
      <c r="X924" s="73"/>
      <c r="Y924" s="73"/>
      <c r="Z924" s="73"/>
      <c r="AA924" s="73"/>
    </row>
    <row r="925" spans="1:27" ht="15">
      <c r="B925"/>
      <c r="C925"/>
      <c r="D925" t="s">
        <v>6852</v>
      </c>
      <c r="E925" t="s">
        <v>6854</v>
      </c>
      <c r="F925" t="s">
        <v>958</v>
      </c>
      <c r="G925" t="s">
        <v>6426</v>
      </c>
      <c r="H925"/>
      <c r="I925"/>
      <c r="J925" t="s">
        <v>1918</v>
      </c>
      <c r="K925" t="s">
        <v>3083</v>
      </c>
      <c r="L925"/>
      <c r="M925"/>
      <c r="N925"/>
      <c r="O925" s="73"/>
      <c r="P925" s="73"/>
      <c r="Q925" s="73"/>
      <c r="R925" s="73"/>
      <c r="S925" s="73"/>
      <c r="T925" s="73"/>
      <c r="U925" s="73"/>
      <c r="V925" s="73"/>
      <c r="W925" s="73"/>
      <c r="X925" s="73"/>
      <c r="Y925" s="73"/>
      <c r="Z925" s="73"/>
      <c r="AA925" s="73"/>
    </row>
    <row r="926" spans="1:27" ht="15">
      <c r="B926"/>
      <c r="C926"/>
      <c r="D926" t="s">
        <v>7031</v>
      </c>
      <c r="E926" t="s">
        <v>7033</v>
      </c>
      <c r="F926" t="s">
        <v>3441</v>
      </c>
      <c r="G926" t="s">
        <v>7034</v>
      </c>
      <c r="H926"/>
      <c r="I926"/>
      <c r="J926" t="s">
        <v>1918</v>
      </c>
      <c r="K926" t="s">
        <v>1918</v>
      </c>
      <c r="L926"/>
      <c r="M926"/>
      <c r="N926"/>
      <c r="O926" s="73"/>
      <c r="P926" s="73"/>
      <c r="Q926" s="73"/>
      <c r="R926" s="73"/>
      <c r="S926" s="73"/>
      <c r="T926" s="73"/>
      <c r="U926" s="73"/>
      <c r="V926" s="73"/>
      <c r="W926" s="73"/>
      <c r="X926" s="73"/>
      <c r="Y926" s="73"/>
      <c r="Z926" s="73"/>
      <c r="AA926" s="73"/>
    </row>
    <row r="927" spans="1:27" ht="15">
      <c r="A927" s="96">
        <v>45244</v>
      </c>
      <c r="B927" t="s">
        <v>7160</v>
      </c>
      <c r="C927" t="s">
        <v>670</v>
      </c>
      <c r="D927"/>
      <c r="E927" t="s">
        <v>7412</v>
      </c>
      <c r="F927"/>
      <c r="G927" t="s">
        <v>7161</v>
      </c>
      <c r="H927" t="s">
        <v>7420</v>
      </c>
      <c r="I927" t="s">
        <v>7162</v>
      </c>
      <c r="J927" t="s">
        <v>840</v>
      </c>
      <c r="K927" t="s">
        <v>840</v>
      </c>
      <c r="L927" t="s">
        <v>518</v>
      </c>
      <c r="M927" t="s">
        <v>839</v>
      </c>
      <c r="N927" t="s">
        <v>535</v>
      </c>
      <c r="O927" s="73"/>
      <c r="P927" s="73"/>
      <c r="Q927" s="73"/>
      <c r="R927" s="73"/>
      <c r="S927" s="73"/>
      <c r="T927" s="73"/>
      <c r="U927" s="73"/>
      <c r="V927" s="73"/>
      <c r="W927" s="73"/>
      <c r="X927" s="73"/>
      <c r="Y927" s="73"/>
      <c r="Z927" s="73"/>
      <c r="AA927" s="73" t="s">
        <v>6558</v>
      </c>
    </row>
    <row r="928" spans="1:27" ht="15">
      <c r="B928"/>
      <c r="C928"/>
      <c r="D928" t="s">
        <v>7158</v>
      </c>
      <c r="E928" t="s">
        <v>5156</v>
      </c>
      <c r="F928" t="s">
        <v>1077</v>
      </c>
      <c r="G928" t="s">
        <v>7161</v>
      </c>
      <c r="H928"/>
      <c r="I928"/>
      <c r="J928" t="s">
        <v>840</v>
      </c>
      <c r="K928" t="s">
        <v>840</v>
      </c>
      <c r="L928"/>
      <c r="M928"/>
      <c r="N928"/>
      <c r="O928" s="73"/>
      <c r="P928" s="73"/>
      <c r="Q928" s="73"/>
      <c r="R928" s="73"/>
      <c r="S928" s="73"/>
      <c r="T928" s="73"/>
      <c r="U928" s="73"/>
      <c r="V928" s="73"/>
      <c r="W928" s="73"/>
      <c r="X928" s="73"/>
      <c r="Y928" s="73"/>
      <c r="Z928" s="73"/>
      <c r="AA928" s="73"/>
    </row>
    <row r="929" spans="1:27" ht="15">
      <c r="A929" s="96">
        <v>45244</v>
      </c>
      <c r="B929" t="s">
        <v>6923</v>
      </c>
      <c r="C929" t="s">
        <v>670</v>
      </c>
      <c r="D929"/>
      <c r="E929" t="s">
        <v>7511</v>
      </c>
      <c r="F929"/>
      <c r="G929" t="s">
        <v>4995</v>
      </c>
      <c r="H929" t="s">
        <v>7292</v>
      </c>
      <c r="I929" t="s">
        <v>6925</v>
      </c>
      <c r="J929" t="s">
        <v>917</v>
      </c>
      <c r="K929" t="s">
        <v>917</v>
      </c>
      <c r="L929" t="s">
        <v>518</v>
      </c>
      <c r="M929" t="s">
        <v>1276</v>
      </c>
      <c r="N929" t="s">
        <v>535</v>
      </c>
      <c r="O929" s="73"/>
      <c r="P929" s="73"/>
      <c r="Q929" s="73"/>
      <c r="R929" s="73"/>
      <c r="S929" s="73"/>
      <c r="T929" s="73"/>
      <c r="U929" s="73"/>
      <c r="V929" s="73"/>
      <c r="W929" s="73"/>
      <c r="X929" s="73"/>
      <c r="Y929" s="73"/>
      <c r="Z929" s="73"/>
      <c r="AA929" s="73" t="s">
        <v>6558</v>
      </c>
    </row>
    <row r="930" spans="1:27" ht="15">
      <c r="B930"/>
      <c r="C930"/>
      <c r="D930" t="s">
        <v>6921</v>
      </c>
      <c r="E930" t="s">
        <v>6924</v>
      </c>
      <c r="F930" t="s">
        <v>1077</v>
      </c>
      <c r="G930" t="s">
        <v>4995</v>
      </c>
      <c r="H930"/>
      <c r="I930"/>
      <c r="J930" t="s">
        <v>917</v>
      </c>
      <c r="K930" t="s">
        <v>917</v>
      </c>
      <c r="L930"/>
      <c r="M930"/>
      <c r="N930"/>
      <c r="O930" s="73"/>
      <c r="P930" s="73"/>
      <c r="Q930" s="73"/>
      <c r="R930" s="73"/>
      <c r="S930" s="73"/>
      <c r="T930" s="73"/>
      <c r="U930" s="73"/>
      <c r="V930" s="73"/>
      <c r="W930" s="73"/>
      <c r="X930" s="73"/>
      <c r="Y930" s="73"/>
      <c r="Z930" s="73"/>
      <c r="AA930" s="73"/>
    </row>
    <row r="931" spans="1:27" ht="15">
      <c r="A931" s="96">
        <v>45244</v>
      </c>
      <c r="B931" t="s">
        <v>7177</v>
      </c>
      <c r="C931" t="s">
        <v>670</v>
      </c>
      <c r="D931"/>
      <c r="E931" t="s">
        <v>7512</v>
      </c>
      <c r="F931"/>
      <c r="G931" t="s">
        <v>7179</v>
      </c>
      <c r="H931" t="s">
        <v>7292</v>
      </c>
      <c r="I931" t="s">
        <v>7180</v>
      </c>
      <c r="J931" t="s">
        <v>2326</v>
      </c>
      <c r="K931" t="s">
        <v>2326</v>
      </c>
      <c r="L931" t="s">
        <v>518</v>
      </c>
      <c r="M931" t="s">
        <v>2325</v>
      </c>
      <c r="N931" t="s">
        <v>520</v>
      </c>
      <c r="O931" s="73"/>
      <c r="P931" s="73"/>
      <c r="Q931" s="73"/>
      <c r="R931" s="73"/>
      <c r="S931" s="73"/>
      <c r="T931" s="73"/>
      <c r="U931" s="73"/>
      <c r="V931" s="73"/>
      <c r="W931" s="73"/>
      <c r="X931" s="73"/>
      <c r="Y931" s="73"/>
      <c r="Z931" s="73"/>
      <c r="AA931" s="73" t="s">
        <v>6558</v>
      </c>
    </row>
    <row r="932" spans="1:27" ht="15">
      <c r="B932"/>
      <c r="C932"/>
      <c r="D932" t="s">
        <v>7175</v>
      </c>
      <c r="E932" t="s">
        <v>7178</v>
      </c>
      <c r="F932" t="s">
        <v>1077</v>
      </c>
      <c r="G932" t="s">
        <v>7179</v>
      </c>
      <c r="H932"/>
      <c r="I932"/>
      <c r="J932" t="s">
        <v>2326</v>
      </c>
      <c r="K932" t="s">
        <v>2326</v>
      </c>
      <c r="L932"/>
      <c r="M932"/>
      <c r="N932"/>
      <c r="O932" s="73"/>
      <c r="P932" s="73"/>
      <c r="Q932" s="73"/>
      <c r="R932" s="73"/>
      <c r="S932" s="73"/>
      <c r="T932" s="73"/>
      <c r="U932" s="73"/>
      <c r="V932" s="73"/>
      <c r="W932" s="73"/>
      <c r="X932" s="73"/>
      <c r="Y932" s="73"/>
      <c r="Z932" s="73"/>
      <c r="AA932" s="73"/>
    </row>
    <row r="933" spans="1:27" ht="15">
      <c r="A933" s="96">
        <v>45244</v>
      </c>
      <c r="B933" t="s">
        <v>6812</v>
      </c>
      <c r="C933" t="s">
        <v>1071</v>
      </c>
      <c r="D933"/>
      <c r="E933" t="s">
        <v>6461</v>
      </c>
      <c r="F933"/>
      <c r="G933" t="s">
        <v>3206</v>
      </c>
      <c r="H933" t="s">
        <v>7292</v>
      </c>
      <c r="I933" t="s">
        <v>6813</v>
      </c>
      <c r="J933" t="s">
        <v>1246</v>
      </c>
      <c r="K933" t="s">
        <v>1246</v>
      </c>
      <c r="L933" t="s">
        <v>518</v>
      </c>
      <c r="M933" t="s">
        <v>1302</v>
      </c>
      <c r="N933" t="s">
        <v>802</v>
      </c>
      <c r="O933" s="73"/>
      <c r="P933" s="73"/>
      <c r="Q933" s="73"/>
      <c r="R933" s="73"/>
      <c r="S933" s="73"/>
      <c r="T933" s="73"/>
      <c r="U933" s="73"/>
      <c r="V933" s="73"/>
      <c r="W933" s="73"/>
      <c r="X933" s="73"/>
      <c r="Y933" s="73"/>
      <c r="Z933" s="73"/>
      <c r="AA933" s="73" t="s">
        <v>6558</v>
      </c>
    </row>
    <row r="934" spans="1:27" ht="15">
      <c r="B934"/>
      <c r="C934"/>
      <c r="D934" t="s">
        <v>6810</v>
      </c>
      <c r="E934" t="s">
        <v>4689</v>
      </c>
      <c r="F934" t="s">
        <v>958</v>
      </c>
      <c r="G934" t="s">
        <v>3206</v>
      </c>
      <c r="H934"/>
      <c r="I934"/>
      <c r="J934" t="s">
        <v>1246</v>
      </c>
      <c r="K934" t="s">
        <v>1246</v>
      </c>
      <c r="L934"/>
      <c r="M934"/>
      <c r="N934"/>
      <c r="O934" s="73"/>
      <c r="P934" s="73"/>
      <c r="Q934" s="73"/>
      <c r="R934" s="73"/>
      <c r="S934" s="73"/>
      <c r="T934" s="73"/>
      <c r="U934" s="73"/>
      <c r="V934" s="73"/>
      <c r="W934" s="73"/>
      <c r="X934" s="73"/>
      <c r="Y934" s="73"/>
      <c r="Z934" s="73"/>
      <c r="AA934" s="73"/>
    </row>
    <row r="935" spans="1:27" ht="15">
      <c r="A935" s="96">
        <v>45244</v>
      </c>
      <c r="B935" t="s">
        <v>6880</v>
      </c>
      <c r="C935" t="s">
        <v>1913</v>
      </c>
      <c r="D935"/>
      <c r="E935" t="s">
        <v>7513</v>
      </c>
      <c r="F935"/>
      <c r="G935" t="s">
        <v>7514</v>
      </c>
      <c r="H935" t="s">
        <v>7292</v>
      </c>
      <c r="I935" t="s">
        <v>6881</v>
      </c>
      <c r="J935" t="s">
        <v>1918</v>
      </c>
      <c r="K935" t="s">
        <v>1918</v>
      </c>
      <c r="L935" t="s">
        <v>682</v>
      </c>
      <c r="M935" t="s">
        <v>6584</v>
      </c>
      <c r="N935" t="s">
        <v>535</v>
      </c>
      <c r="O935" s="73"/>
      <c r="P935" s="73"/>
      <c r="Q935" s="73"/>
      <c r="R935" s="73"/>
      <c r="S935" s="73"/>
      <c r="T935" s="73"/>
      <c r="U935" s="73"/>
      <c r="V935" s="73"/>
      <c r="W935" s="73"/>
      <c r="X935" s="73"/>
      <c r="Y935" s="73"/>
      <c r="Z935" s="73"/>
      <c r="AA935" s="73" t="s">
        <v>6558</v>
      </c>
    </row>
    <row r="936" spans="1:27" ht="15">
      <c r="B936"/>
      <c r="C936"/>
      <c r="D936" t="s">
        <v>6863</v>
      </c>
      <c r="E936" t="s">
        <v>6877</v>
      </c>
      <c r="F936" t="s">
        <v>958</v>
      </c>
      <c r="G936" t="s">
        <v>3771</v>
      </c>
      <c r="H936"/>
      <c r="I936"/>
      <c r="J936" t="s">
        <v>1918</v>
      </c>
      <c r="K936" t="s">
        <v>1918</v>
      </c>
      <c r="L936"/>
      <c r="M936"/>
      <c r="N936"/>
      <c r="O936" s="73"/>
      <c r="P936" s="73"/>
      <c r="Q936" s="73"/>
      <c r="R936" s="73"/>
      <c r="S936" s="73"/>
      <c r="T936" s="73"/>
      <c r="U936" s="73"/>
      <c r="V936" s="73"/>
      <c r="W936" s="73"/>
      <c r="X936" s="73"/>
      <c r="Y936" s="73"/>
      <c r="Z936" s="73"/>
      <c r="AA936" s="73"/>
    </row>
    <row r="937" spans="1:27" ht="15">
      <c r="B937"/>
      <c r="C937"/>
      <c r="D937" t="s">
        <v>6011</v>
      </c>
      <c r="E937" t="s">
        <v>1553</v>
      </c>
      <c r="F937" t="s">
        <v>6930</v>
      </c>
      <c r="G937" t="s">
        <v>542</v>
      </c>
      <c r="H937"/>
      <c r="I937"/>
      <c r="J937" t="s">
        <v>1918</v>
      </c>
      <c r="K937" t="s">
        <v>1918</v>
      </c>
      <c r="L937"/>
      <c r="M937"/>
      <c r="N937"/>
      <c r="O937" s="73"/>
      <c r="P937" s="73"/>
      <c r="Q937" s="73"/>
      <c r="R937" s="73"/>
      <c r="S937" s="73"/>
      <c r="T937" s="73"/>
      <c r="U937" s="73"/>
      <c r="V937" s="73"/>
      <c r="W937" s="73"/>
      <c r="X937" s="73"/>
      <c r="Y937" s="73"/>
      <c r="Z937" s="73"/>
      <c r="AA937" s="73"/>
    </row>
    <row r="938" spans="1:27" ht="15">
      <c r="B938"/>
      <c r="C938"/>
      <c r="D938" t="s">
        <v>6011</v>
      </c>
      <c r="E938" t="s">
        <v>6934</v>
      </c>
      <c r="F938" t="s">
        <v>6935</v>
      </c>
      <c r="G938" t="s">
        <v>828</v>
      </c>
      <c r="H938"/>
      <c r="I938"/>
      <c r="J938" t="s">
        <v>1918</v>
      </c>
      <c r="K938" t="s">
        <v>1918</v>
      </c>
      <c r="L938"/>
      <c r="M938"/>
      <c r="N938"/>
      <c r="O938" s="73"/>
      <c r="P938" s="73"/>
      <c r="Q938" s="73"/>
      <c r="R938" s="73"/>
      <c r="S938" s="73"/>
      <c r="T938" s="73"/>
      <c r="U938" s="73"/>
      <c r="V938" s="73"/>
      <c r="W938" s="73"/>
      <c r="X938" s="73"/>
      <c r="Y938" s="73"/>
      <c r="Z938" s="73"/>
      <c r="AA938" s="73"/>
    </row>
    <row r="939" spans="1:27" ht="15">
      <c r="B939"/>
      <c r="C939"/>
      <c r="D939" t="s">
        <v>6011</v>
      </c>
      <c r="E939" t="s">
        <v>6932</v>
      </c>
      <c r="F939" t="s">
        <v>2675</v>
      </c>
      <c r="G939" t="s">
        <v>1236</v>
      </c>
      <c r="H939"/>
      <c r="I939"/>
      <c r="J939" t="s">
        <v>1918</v>
      </c>
      <c r="K939" t="s">
        <v>1918</v>
      </c>
      <c r="L939"/>
      <c r="M939"/>
      <c r="N939"/>
      <c r="O939" s="73"/>
      <c r="P939" s="73"/>
      <c r="Q939" s="73"/>
      <c r="R939" s="73"/>
      <c r="S939" s="73"/>
      <c r="T939" s="73"/>
      <c r="U939" s="73"/>
      <c r="V939" s="73"/>
      <c r="W939" s="73"/>
      <c r="X939" s="73"/>
      <c r="Y939" s="73"/>
      <c r="Z939" s="73"/>
      <c r="AA939" s="73"/>
    </row>
    <row r="940" spans="1:27" ht="15">
      <c r="A940" s="96">
        <v>45244</v>
      </c>
      <c r="B940" t="s">
        <v>7515</v>
      </c>
      <c r="C940" t="s">
        <v>670</v>
      </c>
      <c r="D940"/>
      <c r="E940" t="s">
        <v>2625</v>
      </c>
      <c r="F940"/>
      <c r="G940" t="s">
        <v>2107</v>
      </c>
      <c r="H940" t="s">
        <v>7516</v>
      </c>
      <c r="I940" t="s">
        <v>7517</v>
      </c>
      <c r="J940" t="s">
        <v>1431</v>
      </c>
      <c r="K940" t="s">
        <v>1431</v>
      </c>
      <c r="L940" t="s">
        <v>518</v>
      </c>
      <c r="M940" t="s">
        <v>1429</v>
      </c>
      <c r="N940" t="s">
        <v>535</v>
      </c>
      <c r="O940" s="73"/>
      <c r="P940" s="73"/>
      <c r="Q940" s="73"/>
      <c r="R940" s="73"/>
      <c r="S940" s="73"/>
      <c r="T940" s="73"/>
      <c r="U940" s="73"/>
      <c r="V940" s="73"/>
      <c r="W940" s="73"/>
      <c r="X940" s="73"/>
      <c r="Y940" s="73"/>
      <c r="Z940" s="73"/>
      <c r="AA940" s="73" t="s">
        <v>6558</v>
      </c>
    </row>
    <row r="941" spans="1:27" ht="15">
      <c r="A941" s="96">
        <v>45244</v>
      </c>
      <c r="B941" t="s">
        <v>7518</v>
      </c>
      <c r="C941" t="s">
        <v>670</v>
      </c>
      <c r="D941"/>
      <c r="E941" t="s">
        <v>2625</v>
      </c>
      <c r="F941"/>
      <c r="G941" t="s">
        <v>2107</v>
      </c>
      <c r="H941" t="s">
        <v>7516</v>
      </c>
      <c r="I941" t="s">
        <v>7517</v>
      </c>
      <c r="J941" t="s">
        <v>546</v>
      </c>
      <c r="K941" t="s">
        <v>546</v>
      </c>
      <c r="L941" t="s">
        <v>518</v>
      </c>
      <c r="M941" t="s">
        <v>543</v>
      </c>
      <c r="N941" t="s">
        <v>535</v>
      </c>
      <c r="O941" s="73"/>
      <c r="P941" s="73"/>
      <c r="Q941" s="73"/>
      <c r="R941" s="73"/>
      <c r="S941" s="73"/>
      <c r="T941" s="73"/>
      <c r="U941" s="73"/>
      <c r="V941" s="73"/>
      <c r="W941" s="73"/>
      <c r="X941" s="73"/>
      <c r="Y941" s="73"/>
      <c r="Z941" s="73"/>
      <c r="AA941" s="73" t="s">
        <v>6558</v>
      </c>
    </row>
    <row r="942" spans="1:27" ht="15">
      <c r="A942" s="96">
        <v>45244</v>
      </c>
      <c r="B942" t="s">
        <v>7144</v>
      </c>
      <c r="C942" t="s">
        <v>1071</v>
      </c>
      <c r="D942"/>
      <c r="E942" t="s">
        <v>7519</v>
      </c>
      <c r="F942"/>
      <c r="G942" t="s">
        <v>555</v>
      </c>
      <c r="H942" t="s">
        <v>4723</v>
      </c>
      <c r="I942" t="s">
        <v>7146</v>
      </c>
      <c r="J942" t="s">
        <v>545</v>
      </c>
      <c r="K942" t="s">
        <v>545</v>
      </c>
      <c r="L942" t="s">
        <v>518</v>
      </c>
      <c r="M942" t="s">
        <v>1032</v>
      </c>
      <c r="N942" t="s">
        <v>535</v>
      </c>
      <c r="O942" s="73"/>
      <c r="P942" s="73"/>
      <c r="Q942" s="73"/>
      <c r="R942" s="73"/>
      <c r="S942" s="73"/>
      <c r="T942" s="73"/>
      <c r="U942" s="73"/>
      <c r="V942" s="73"/>
      <c r="W942" s="73"/>
      <c r="X942" s="73"/>
      <c r="Y942" s="73"/>
      <c r="Z942" s="73"/>
      <c r="AA942" s="73" t="s">
        <v>6558</v>
      </c>
    </row>
    <row r="943" spans="1:27" ht="15">
      <c r="B943"/>
      <c r="C943"/>
      <c r="D943" t="s">
        <v>7138</v>
      </c>
      <c r="E943" t="s">
        <v>7145</v>
      </c>
      <c r="F943" t="s">
        <v>514</v>
      </c>
      <c r="G943" t="s">
        <v>555</v>
      </c>
      <c r="H943"/>
      <c r="I943"/>
      <c r="J943" t="s">
        <v>545</v>
      </c>
      <c r="K943" t="s">
        <v>545</v>
      </c>
      <c r="L943"/>
      <c r="M943"/>
      <c r="N943"/>
      <c r="O943" s="73"/>
      <c r="P943" s="73"/>
      <c r="Q943" s="73"/>
      <c r="R943" s="73"/>
      <c r="S943" s="73"/>
      <c r="T943" s="73"/>
      <c r="U943" s="73"/>
      <c r="V943" s="73"/>
      <c r="W943" s="73"/>
      <c r="X943" s="73"/>
      <c r="Y943" s="73"/>
      <c r="Z943" s="73"/>
      <c r="AA943" s="73"/>
    </row>
    <row r="944" spans="1:27" ht="15">
      <c r="A944" s="96">
        <v>45244</v>
      </c>
      <c r="B944" t="s">
        <v>7140</v>
      </c>
      <c r="C944" t="s">
        <v>1071</v>
      </c>
      <c r="D944"/>
      <c r="E944" t="s">
        <v>7520</v>
      </c>
      <c r="F944"/>
      <c r="G944" t="s">
        <v>555</v>
      </c>
      <c r="H944" t="s">
        <v>7521</v>
      </c>
      <c r="I944" t="s">
        <v>7142</v>
      </c>
      <c r="J944" t="s">
        <v>545</v>
      </c>
      <c r="K944" t="s">
        <v>545</v>
      </c>
      <c r="L944" t="s">
        <v>518</v>
      </c>
      <c r="M944" t="s">
        <v>1032</v>
      </c>
      <c r="N944" t="s">
        <v>535</v>
      </c>
      <c r="O944" s="73"/>
      <c r="P944" s="73"/>
      <c r="Q944" s="73"/>
      <c r="R944" s="73"/>
      <c r="S944" s="73"/>
      <c r="T944" s="73"/>
      <c r="U944" s="73"/>
      <c r="V944" s="73"/>
      <c r="W944" s="73"/>
      <c r="X944" s="73"/>
      <c r="Y944" s="73"/>
      <c r="Z944" s="73"/>
      <c r="AA944" s="73" t="s">
        <v>6558</v>
      </c>
    </row>
    <row r="945" spans="1:27" ht="15">
      <c r="B945"/>
      <c r="C945"/>
      <c r="D945" t="s">
        <v>7138</v>
      </c>
      <c r="E945" t="s">
        <v>7141</v>
      </c>
      <c r="F945" t="s">
        <v>514</v>
      </c>
      <c r="G945" t="s">
        <v>555</v>
      </c>
      <c r="H945"/>
      <c r="I945"/>
      <c r="J945" t="s">
        <v>545</v>
      </c>
      <c r="K945" t="s">
        <v>545</v>
      </c>
      <c r="L945"/>
      <c r="M945"/>
      <c r="N945"/>
      <c r="O945" s="73"/>
      <c r="P945" s="73"/>
      <c r="Q945" s="73"/>
      <c r="R945" s="73"/>
      <c r="S945" s="73"/>
      <c r="T945" s="73"/>
      <c r="U945" s="73"/>
      <c r="V945" s="73"/>
      <c r="W945" s="73"/>
      <c r="X945" s="73"/>
      <c r="Y945" s="73"/>
      <c r="Z945" s="73"/>
      <c r="AA945" s="73"/>
    </row>
    <row r="946" spans="1:27" ht="15">
      <c r="A946" s="96">
        <v>45244</v>
      </c>
      <c r="B946" t="s">
        <v>6601</v>
      </c>
      <c r="C946" t="s">
        <v>670</v>
      </c>
      <c r="D946"/>
      <c r="E946" t="s">
        <v>7522</v>
      </c>
      <c r="F946"/>
      <c r="G946" t="s">
        <v>7523</v>
      </c>
      <c r="H946" t="s">
        <v>7306</v>
      </c>
      <c r="I946" t="s">
        <v>6603</v>
      </c>
      <c r="J946" t="s">
        <v>917</v>
      </c>
      <c r="K946" t="s">
        <v>917</v>
      </c>
      <c r="L946" t="s">
        <v>518</v>
      </c>
      <c r="M946" t="s">
        <v>916</v>
      </c>
      <c r="N946" t="s">
        <v>535</v>
      </c>
      <c r="O946" s="73"/>
      <c r="P946" s="73"/>
      <c r="Q946" s="73"/>
      <c r="R946" s="73"/>
      <c r="S946" s="73"/>
      <c r="T946" s="73"/>
      <c r="U946" s="73"/>
      <c r="V946" s="73"/>
      <c r="W946" s="73"/>
      <c r="X946" s="73"/>
      <c r="Y946" s="73"/>
      <c r="Z946" s="73"/>
      <c r="AA946" s="73" t="s">
        <v>6558</v>
      </c>
    </row>
    <row r="947" spans="1:27" ht="15">
      <c r="B947"/>
      <c r="C947"/>
      <c r="D947" t="s">
        <v>6979</v>
      </c>
      <c r="E947" t="s">
        <v>6981</v>
      </c>
      <c r="F947" t="s">
        <v>4612</v>
      </c>
      <c r="G947" t="s">
        <v>5240</v>
      </c>
      <c r="H947"/>
      <c r="I947"/>
      <c r="J947" t="s">
        <v>917</v>
      </c>
      <c r="K947" t="s">
        <v>917</v>
      </c>
      <c r="L947"/>
      <c r="M947"/>
      <c r="N947"/>
      <c r="O947" s="73"/>
      <c r="P947" s="73"/>
      <c r="Q947" s="73"/>
      <c r="R947" s="73"/>
      <c r="S947" s="73"/>
      <c r="T947" s="73"/>
      <c r="U947" s="73"/>
      <c r="V947" s="73"/>
      <c r="W947" s="73"/>
      <c r="X947" s="73"/>
      <c r="Y947" s="73"/>
      <c r="Z947" s="73"/>
      <c r="AA947" s="73"/>
    </row>
    <row r="948" spans="1:27" ht="15">
      <c r="B948"/>
      <c r="C948"/>
      <c r="D948" t="s">
        <v>7029</v>
      </c>
      <c r="E948" t="s">
        <v>6769</v>
      </c>
      <c r="F948" t="s">
        <v>958</v>
      </c>
      <c r="G948" t="s">
        <v>3533</v>
      </c>
      <c r="H948"/>
      <c r="I948"/>
      <c r="J948" t="s">
        <v>917</v>
      </c>
      <c r="K948" t="s">
        <v>917</v>
      </c>
      <c r="L948"/>
      <c r="M948"/>
      <c r="N948"/>
      <c r="O948" s="73"/>
      <c r="P948" s="73"/>
      <c r="Q948" s="73"/>
      <c r="R948" s="73"/>
      <c r="S948" s="73"/>
      <c r="T948" s="73"/>
      <c r="U948" s="73"/>
      <c r="V948" s="73"/>
      <c r="W948" s="73"/>
      <c r="X948" s="73"/>
      <c r="Y948" s="73"/>
      <c r="Z948" s="73"/>
      <c r="AA948" s="73"/>
    </row>
    <row r="949" spans="1:27" ht="15">
      <c r="B949"/>
      <c r="C949"/>
      <c r="D949" t="s">
        <v>6599</v>
      </c>
      <c r="E949" t="s">
        <v>3342</v>
      </c>
      <c r="F949" t="s">
        <v>665</v>
      </c>
      <c r="G949" t="s">
        <v>3290</v>
      </c>
      <c r="H949"/>
      <c r="I949"/>
      <c r="J949" t="s">
        <v>917</v>
      </c>
      <c r="K949" t="s">
        <v>6602</v>
      </c>
      <c r="L949"/>
      <c r="M949"/>
      <c r="N949"/>
      <c r="O949" s="73"/>
      <c r="P949" s="73"/>
      <c r="Q949" s="73"/>
      <c r="R949" s="73"/>
      <c r="S949" s="73"/>
      <c r="T949" s="73"/>
      <c r="U949" s="73"/>
      <c r="V949" s="73"/>
      <c r="W949" s="73"/>
      <c r="X949" s="73"/>
      <c r="Y949" s="73"/>
      <c r="Z949" s="73"/>
      <c r="AA949" s="73"/>
    </row>
    <row r="950" spans="1:27" ht="15">
      <c r="A950" s="96">
        <v>45244</v>
      </c>
      <c r="B950" t="s">
        <v>6898</v>
      </c>
      <c r="C950" t="s">
        <v>670</v>
      </c>
      <c r="D950"/>
      <c r="E950" t="s">
        <v>7480</v>
      </c>
      <c r="F950"/>
      <c r="G950" t="s">
        <v>6893</v>
      </c>
      <c r="H950" t="s">
        <v>7306</v>
      </c>
      <c r="I950" t="s">
        <v>4368</v>
      </c>
      <c r="J950" t="s">
        <v>3806</v>
      </c>
      <c r="K950" t="s">
        <v>3806</v>
      </c>
      <c r="L950" t="s">
        <v>518</v>
      </c>
      <c r="M950" t="s">
        <v>6628</v>
      </c>
      <c r="N950" t="s">
        <v>535</v>
      </c>
      <c r="O950" s="73"/>
      <c r="P950" s="73"/>
      <c r="Q950" s="73"/>
      <c r="R950" s="73"/>
      <c r="S950" s="73"/>
      <c r="T950" s="73"/>
      <c r="U950" s="73"/>
      <c r="V950" s="73"/>
      <c r="W950" s="73"/>
      <c r="X950" s="73"/>
      <c r="Y950" s="73"/>
      <c r="Z950" s="73"/>
      <c r="AA950" s="73" t="s">
        <v>6558</v>
      </c>
    </row>
    <row r="951" spans="1:27" ht="15">
      <c r="B951"/>
      <c r="C951"/>
      <c r="D951" t="s">
        <v>6889</v>
      </c>
      <c r="E951" t="s">
        <v>6892</v>
      </c>
      <c r="F951" t="s">
        <v>1077</v>
      </c>
      <c r="G951" t="s">
        <v>6893</v>
      </c>
      <c r="H951"/>
      <c r="I951"/>
      <c r="J951" t="s">
        <v>3806</v>
      </c>
      <c r="K951" t="s">
        <v>3806</v>
      </c>
      <c r="L951"/>
      <c r="M951"/>
      <c r="N951"/>
      <c r="O951" s="73"/>
      <c r="P951" s="73"/>
      <c r="Q951" s="73"/>
      <c r="R951" s="73"/>
      <c r="S951" s="73"/>
      <c r="T951" s="73"/>
      <c r="U951" s="73"/>
      <c r="V951" s="73"/>
      <c r="W951" s="73"/>
      <c r="X951" s="73"/>
      <c r="Y951" s="73"/>
      <c r="Z951" s="73"/>
      <c r="AA951" s="73"/>
    </row>
    <row r="952" spans="1:27" ht="15">
      <c r="A952" s="96">
        <v>45244</v>
      </c>
      <c r="B952" t="s">
        <v>7000</v>
      </c>
      <c r="C952" t="s">
        <v>1913</v>
      </c>
      <c r="D952"/>
      <c r="E952" t="s">
        <v>7184</v>
      </c>
      <c r="F952"/>
      <c r="G952" t="s">
        <v>2369</v>
      </c>
      <c r="H952" t="s">
        <v>7524</v>
      </c>
      <c r="I952" t="s">
        <v>6836</v>
      </c>
      <c r="J952" t="s">
        <v>1918</v>
      </c>
      <c r="K952" t="s">
        <v>1918</v>
      </c>
      <c r="L952" t="s">
        <v>682</v>
      </c>
      <c r="M952" t="s">
        <v>6584</v>
      </c>
      <c r="N952" t="s">
        <v>535</v>
      </c>
      <c r="O952" s="73"/>
      <c r="P952" s="73"/>
      <c r="Q952" s="73"/>
      <c r="R952" s="73"/>
      <c r="S952" s="73"/>
      <c r="T952" s="73"/>
      <c r="U952" s="73"/>
      <c r="V952" s="73"/>
      <c r="W952" s="73"/>
      <c r="X952" s="73"/>
      <c r="Y952" s="73"/>
      <c r="Z952" s="73"/>
      <c r="AA952" s="73" t="s">
        <v>6558</v>
      </c>
    </row>
    <row r="953" spans="1:27" ht="15">
      <c r="B953"/>
      <c r="C953"/>
      <c r="D953" t="s">
        <v>6998</v>
      </c>
      <c r="E953" t="s">
        <v>3382</v>
      </c>
      <c r="F953" t="s">
        <v>7001</v>
      </c>
      <c r="G953" t="s">
        <v>2369</v>
      </c>
      <c r="H953"/>
      <c r="I953"/>
      <c r="J953" t="s">
        <v>1918</v>
      </c>
      <c r="K953" t="s">
        <v>1918</v>
      </c>
      <c r="L953"/>
      <c r="M953"/>
      <c r="N953"/>
      <c r="O953" s="73"/>
      <c r="P953" s="73"/>
      <c r="Q953" s="73"/>
      <c r="R953" s="73"/>
      <c r="S953" s="73"/>
      <c r="T953" s="73"/>
      <c r="U953" s="73"/>
      <c r="V953" s="73"/>
      <c r="W953" s="73"/>
      <c r="X953" s="73"/>
      <c r="Y953" s="73"/>
      <c r="Z953" s="73"/>
      <c r="AA953" s="73"/>
    </row>
    <row r="954" spans="1:27" ht="15">
      <c r="A954" s="96">
        <v>45244</v>
      </c>
      <c r="B954" t="s">
        <v>6835</v>
      </c>
      <c r="C954" t="s">
        <v>1913</v>
      </c>
      <c r="D954"/>
      <c r="E954" t="s">
        <v>2003</v>
      </c>
      <c r="F954"/>
      <c r="G954" t="s">
        <v>1187</v>
      </c>
      <c r="H954" t="s">
        <v>7524</v>
      </c>
      <c r="I954" t="s">
        <v>6836</v>
      </c>
      <c r="J954" t="s">
        <v>1918</v>
      </c>
      <c r="K954" t="s">
        <v>1918</v>
      </c>
      <c r="L954" t="s">
        <v>682</v>
      </c>
      <c r="M954" t="s">
        <v>6584</v>
      </c>
      <c r="N954" t="s">
        <v>535</v>
      </c>
      <c r="O954" s="73"/>
      <c r="P954" s="73"/>
      <c r="Q954" s="73"/>
      <c r="R954" s="73"/>
      <c r="S954" s="73"/>
      <c r="T954" s="73"/>
      <c r="U954" s="73"/>
      <c r="V954" s="73"/>
      <c r="W954" s="73"/>
      <c r="X954" s="73"/>
      <c r="Y954" s="73"/>
      <c r="Z954" s="73"/>
      <c r="AA954" s="73" t="s">
        <v>6558</v>
      </c>
    </row>
    <row r="955" spans="1:27" ht="15">
      <c r="B955"/>
      <c r="C955"/>
      <c r="D955" t="s">
        <v>6833</v>
      </c>
      <c r="E955" t="s">
        <v>6566</v>
      </c>
      <c r="F955" t="s">
        <v>514</v>
      </c>
      <c r="G955" t="s">
        <v>1187</v>
      </c>
      <c r="H955"/>
      <c r="I955"/>
      <c r="J955" t="s">
        <v>1918</v>
      </c>
      <c r="K955" t="s">
        <v>1918</v>
      </c>
      <c r="L955"/>
      <c r="M955"/>
      <c r="N955"/>
      <c r="O955" s="73"/>
      <c r="P955" s="73"/>
      <c r="Q955" s="73"/>
      <c r="R955" s="73"/>
      <c r="S955" s="73"/>
      <c r="T955" s="73"/>
      <c r="U955" s="73"/>
      <c r="V955" s="73"/>
      <c r="W955" s="73"/>
      <c r="X955" s="73"/>
      <c r="Y955" s="73"/>
      <c r="Z955" s="73"/>
      <c r="AA955" s="73"/>
    </row>
    <row r="956" spans="1:27" ht="15">
      <c r="A956" s="96">
        <v>45244</v>
      </c>
      <c r="B956" t="s">
        <v>7202</v>
      </c>
      <c r="C956" t="s">
        <v>1913</v>
      </c>
      <c r="D956"/>
      <c r="E956" t="s">
        <v>4461</v>
      </c>
      <c r="F956"/>
      <c r="G956" t="s">
        <v>515</v>
      </c>
      <c r="H956" t="s">
        <v>7524</v>
      </c>
      <c r="I956" t="s">
        <v>6836</v>
      </c>
      <c r="J956" t="s">
        <v>1918</v>
      </c>
      <c r="K956" t="s">
        <v>1918</v>
      </c>
      <c r="L956" t="s">
        <v>682</v>
      </c>
      <c r="M956" t="s">
        <v>6584</v>
      </c>
      <c r="N956" t="s">
        <v>535</v>
      </c>
      <c r="O956" s="73"/>
      <c r="P956" s="73"/>
      <c r="Q956" s="73"/>
      <c r="R956" s="73"/>
      <c r="S956" s="73"/>
      <c r="T956" s="73"/>
      <c r="U956" s="73"/>
      <c r="V956" s="73"/>
      <c r="W956" s="73"/>
      <c r="X956" s="73"/>
      <c r="Y956" s="73"/>
      <c r="Z956" s="73"/>
      <c r="AA956" s="73" t="s">
        <v>6558</v>
      </c>
    </row>
    <row r="957" spans="1:27" ht="15">
      <c r="B957"/>
      <c r="C957"/>
      <c r="D957" t="s">
        <v>7200</v>
      </c>
      <c r="E957" t="s">
        <v>3125</v>
      </c>
      <c r="F957" t="s">
        <v>514</v>
      </c>
      <c r="G957" t="s">
        <v>515</v>
      </c>
      <c r="H957"/>
      <c r="I957"/>
      <c r="J957" t="s">
        <v>1918</v>
      </c>
      <c r="K957" t="s">
        <v>1918</v>
      </c>
      <c r="L957"/>
      <c r="M957"/>
      <c r="N957"/>
      <c r="O957" s="73"/>
      <c r="P957" s="73"/>
      <c r="Q957" s="73"/>
      <c r="R957" s="73"/>
      <c r="S957" s="73"/>
      <c r="T957" s="73"/>
      <c r="U957" s="73"/>
      <c r="V957" s="73"/>
      <c r="W957" s="73"/>
      <c r="X957" s="73"/>
      <c r="Y957" s="73"/>
      <c r="Z957" s="73"/>
      <c r="AA957" s="73"/>
    </row>
    <row r="958" spans="1:27" ht="15">
      <c r="A958" s="96">
        <v>45244</v>
      </c>
      <c r="B958" t="s">
        <v>6927</v>
      </c>
      <c r="C958" t="s">
        <v>1913</v>
      </c>
      <c r="D958"/>
      <c r="E958" t="s">
        <v>7525</v>
      </c>
      <c r="F958"/>
      <c r="G958" t="s">
        <v>848</v>
      </c>
      <c r="H958" t="s">
        <v>7524</v>
      </c>
      <c r="I958" t="s">
        <v>6836</v>
      </c>
      <c r="J958" t="s">
        <v>1918</v>
      </c>
      <c r="K958" t="s">
        <v>1918</v>
      </c>
      <c r="L958" t="s">
        <v>682</v>
      </c>
      <c r="M958" t="s">
        <v>6584</v>
      </c>
      <c r="N958" t="s">
        <v>535</v>
      </c>
      <c r="O958" s="73"/>
      <c r="P958" s="73"/>
      <c r="Q958" s="73"/>
      <c r="R958" s="73"/>
      <c r="S958" s="73"/>
      <c r="T958" s="73"/>
      <c r="U958" s="73"/>
      <c r="V958" s="73"/>
      <c r="W958" s="73"/>
      <c r="X958" s="73"/>
      <c r="Y958" s="73"/>
      <c r="Z958" s="73"/>
      <c r="AA958" s="73" t="s">
        <v>6558</v>
      </c>
    </row>
    <row r="959" spans="1:27" ht="15">
      <c r="B959"/>
      <c r="C959"/>
      <c r="D959" t="s">
        <v>6011</v>
      </c>
      <c r="E959" t="s">
        <v>6937</v>
      </c>
      <c r="F959" t="s">
        <v>6938</v>
      </c>
      <c r="G959" t="s">
        <v>2741</v>
      </c>
      <c r="H959"/>
      <c r="I959"/>
      <c r="J959" t="s">
        <v>1918</v>
      </c>
      <c r="K959" t="s">
        <v>1918</v>
      </c>
      <c r="L959"/>
      <c r="M959"/>
      <c r="N959"/>
      <c r="O959" s="73"/>
      <c r="P959" s="73"/>
      <c r="Q959" s="73"/>
      <c r="R959" s="73"/>
      <c r="S959" s="73"/>
      <c r="T959" s="73"/>
      <c r="U959" s="73"/>
      <c r="V959" s="73"/>
      <c r="W959" s="73"/>
      <c r="X959" s="73"/>
      <c r="Y959" s="73"/>
      <c r="Z959" s="73"/>
      <c r="AA959" s="73"/>
    </row>
    <row r="960" spans="1:27" ht="15">
      <c r="B960"/>
      <c r="C960"/>
      <c r="D960" t="s">
        <v>6011</v>
      </c>
      <c r="E960" t="s">
        <v>6928</v>
      </c>
      <c r="F960" t="s">
        <v>2675</v>
      </c>
      <c r="G960" t="s">
        <v>1236</v>
      </c>
      <c r="H960"/>
      <c r="I960"/>
      <c r="J960" t="s">
        <v>1918</v>
      </c>
      <c r="K960" t="s">
        <v>1918</v>
      </c>
      <c r="L960"/>
      <c r="M960"/>
      <c r="N960"/>
      <c r="O960" s="73"/>
      <c r="P960" s="73"/>
      <c r="Q960" s="73"/>
      <c r="R960" s="73"/>
      <c r="S960" s="73"/>
      <c r="T960" s="73"/>
      <c r="U960" s="73"/>
      <c r="V960" s="73"/>
      <c r="W960" s="73"/>
      <c r="X960" s="73"/>
      <c r="Y960" s="73"/>
      <c r="Z960" s="73"/>
      <c r="AA960" s="73"/>
    </row>
    <row r="961" spans="1:27" ht="15">
      <c r="A961" s="96">
        <v>45244</v>
      </c>
      <c r="B961" t="s">
        <v>7210</v>
      </c>
      <c r="C961" t="s">
        <v>670</v>
      </c>
      <c r="D961"/>
      <c r="E961" t="s">
        <v>7526</v>
      </c>
      <c r="F961"/>
      <c r="G961" t="s">
        <v>7212</v>
      </c>
      <c r="H961" t="s">
        <v>7328</v>
      </c>
      <c r="I961" t="s">
        <v>7213</v>
      </c>
      <c r="J961" t="s">
        <v>4700</v>
      </c>
      <c r="K961" t="s">
        <v>607</v>
      </c>
      <c r="L961" t="s">
        <v>682</v>
      </c>
      <c r="M961" t="s">
        <v>4699</v>
      </c>
      <c r="N961" t="s">
        <v>535</v>
      </c>
      <c r="O961" s="73"/>
      <c r="P961" s="73"/>
      <c r="Q961" s="73"/>
      <c r="R961" s="73"/>
      <c r="S961" s="73"/>
      <c r="T961" s="73"/>
      <c r="U961" s="73"/>
      <c r="V961" s="73"/>
      <c r="W961" s="73"/>
      <c r="X961" s="73"/>
      <c r="Y961" s="73"/>
      <c r="Z961" s="73"/>
      <c r="AA961" s="73" t="s">
        <v>6558</v>
      </c>
    </row>
    <row r="962" spans="1:27" ht="15">
      <c r="B962"/>
      <c r="C962"/>
      <c r="D962" t="s">
        <v>7208</v>
      </c>
      <c r="E962" t="s">
        <v>7211</v>
      </c>
      <c r="F962" t="s">
        <v>1077</v>
      </c>
      <c r="G962" t="s">
        <v>7212</v>
      </c>
      <c r="H962"/>
      <c r="I962"/>
      <c r="J962" t="s">
        <v>4700</v>
      </c>
      <c r="K962" t="s">
        <v>607</v>
      </c>
      <c r="L962"/>
      <c r="M962"/>
      <c r="N962"/>
      <c r="O962" s="73"/>
      <c r="P962" s="73"/>
      <c r="Q962" s="73"/>
      <c r="R962" s="73"/>
      <c r="S962" s="73"/>
      <c r="T962" s="73"/>
      <c r="U962" s="73"/>
      <c r="V962" s="73"/>
      <c r="W962" s="73"/>
      <c r="X962" s="73"/>
      <c r="Y962" s="73"/>
      <c r="Z962" s="73"/>
      <c r="AA962" s="73"/>
    </row>
    <row r="963" spans="1:27" ht="15">
      <c r="A963" s="96">
        <v>45244</v>
      </c>
      <c r="B963" t="s">
        <v>7011</v>
      </c>
      <c r="C963" t="s">
        <v>670</v>
      </c>
      <c r="D963"/>
      <c r="E963" t="s">
        <v>7527</v>
      </c>
      <c r="F963"/>
      <c r="G963" t="s">
        <v>7014</v>
      </c>
      <c r="H963" t="s">
        <v>7464</v>
      </c>
      <c r="I963" t="s">
        <v>7016</v>
      </c>
      <c r="J963" t="s">
        <v>651</v>
      </c>
      <c r="K963" t="s">
        <v>651</v>
      </c>
      <c r="L963" t="s">
        <v>518</v>
      </c>
      <c r="M963" t="s">
        <v>1199</v>
      </c>
      <c r="N963" t="s">
        <v>535</v>
      </c>
      <c r="O963" s="73"/>
      <c r="P963" s="73"/>
      <c r="Q963" s="73"/>
      <c r="R963" s="73"/>
      <c r="S963" s="73"/>
      <c r="T963" s="73"/>
      <c r="U963" s="73"/>
      <c r="V963" s="73"/>
      <c r="W963" s="73"/>
      <c r="X963" s="73"/>
      <c r="Y963" s="73"/>
      <c r="Z963" s="73"/>
      <c r="AA963" s="73" t="s">
        <v>6558</v>
      </c>
    </row>
    <row r="964" spans="1:27" ht="15">
      <c r="B964"/>
      <c r="C964"/>
      <c r="D964" t="s">
        <v>7009</v>
      </c>
      <c r="E964" t="s">
        <v>7012</v>
      </c>
      <c r="F964" t="s">
        <v>7013</v>
      </c>
      <c r="G964" t="s">
        <v>7014</v>
      </c>
      <c r="H964"/>
      <c r="I964"/>
      <c r="J964" t="s">
        <v>651</v>
      </c>
      <c r="K964" t="s">
        <v>651</v>
      </c>
      <c r="L964"/>
      <c r="M964"/>
      <c r="N964"/>
      <c r="O964" s="73"/>
      <c r="P964" s="73"/>
      <c r="Q964" s="73"/>
      <c r="R964" s="73"/>
      <c r="S964" s="73"/>
      <c r="T964" s="73"/>
      <c r="U964" s="73"/>
      <c r="V964" s="73"/>
      <c r="W964" s="73"/>
      <c r="X964" s="73"/>
      <c r="Y964" s="73"/>
      <c r="Z964" s="73"/>
      <c r="AA964" s="73"/>
    </row>
    <row r="965" spans="1:27" ht="15">
      <c r="A965" s="96">
        <v>45244</v>
      </c>
      <c r="B965" t="s">
        <v>6612</v>
      </c>
      <c r="C965" t="s">
        <v>670</v>
      </c>
      <c r="D965"/>
      <c r="E965" t="s">
        <v>7528</v>
      </c>
      <c r="F965"/>
      <c r="G965" t="s">
        <v>7185</v>
      </c>
      <c r="H965" t="s">
        <v>7464</v>
      </c>
      <c r="I965" t="s">
        <v>6615</v>
      </c>
      <c r="J965" t="s">
        <v>4100</v>
      </c>
      <c r="K965" t="s">
        <v>4100</v>
      </c>
      <c r="L965" t="s">
        <v>518</v>
      </c>
      <c r="M965" t="s">
        <v>4099</v>
      </c>
      <c r="N965" t="s">
        <v>535</v>
      </c>
      <c r="O965" s="73"/>
      <c r="P965" s="73"/>
      <c r="Q965" s="73"/>
      <c r="R965" s="73"/>
      <c r="S965" s="73"/>
      <c r="T965" s="73"/>
      <c r="U965" s="73"/>
      <c r="V965" s="73"/>
      <c r="W965" s="73"/>
      <c r="X965" s="73"/>
      <c r="Y965" s="73"/>
      <c r="Z965" s="73"/>
      <c r="AA965" s="73" t="s">
        <v>6558</v>
      </c>
    </row>
    <row r="966" spans="1:27" ht="15">
      <c r="B966"/>
      <c r="C966"/>
      <c r="D966" t="s">
        <v>6610</v>
      </c>
      <c r="E966" t="s">
        <v>6613</v>
      </c>
      <c r="F966" t="s">
        <v>665</v>
      </c>
      <c r="G966" t="s">
        <v>6614</v>
      </c>
      <c r="H966"/>
      <c r="I966"/>
      <c r="J966" t="s">
        <v>4100</v>
      </c>
      <c r="K966" t="s">
        <v>4100</v>
      </c>
      <c r="L966"/>
      <c r="M966"/>
      <c r="N966"/>
      <c r="O966" s="73"/>
      <c r="P966" s="73"/>
      <c r="Q966" s="73"/>
      <c r="R966" s="73"/>
      <c r="S966" s="73"/>
      <c r="T966" s="73"/>
      <c r="U966" s="73"/>
      <c r="V966" s="73"/>
      <c r="W966" s="73"/>
      <c r="X966" s="73"/>
      <c r="Y966" s="73"/>
      <c r="Z966" s="73"/>
      <c r="AA966" s="73"/>
    </row>
    <row r="967" spans="1:27" ht="15">
      <c r="B967"/>
      <c r="C967"/>
      <c r="D967" t="s">
        <v>7187</v>
      </c>
      <c r="E967" t="s">
        <v>7189</v>
      </c>
      <c r="F967" t="s">
        <v>724</v>
      </c>
      <c r="G967" t="s">
        <v>7190</v>
      </c>
      <c r="H967"/>
      <c r="I967"/>
      <c r="J967" t="s">
        <v>4100</v>
      </c>
      <c r="K967" t="s">
        <v>4100</v>
      </c>
      <c r="L967"/>
      <c r="M967"/>
      <c r="N967"/>
      <c r="O967" s="73"/>
      <c r="P967" s="73"/>
      <c r="Q967" s="73"/>
      <c r="R967" s="73"/>
      <c r="S967" s="73"/>
      <c r="T967" s="73"/>
      <c r="U967" s="73"/>
      <c r="V967" s="73"/>
      <c r="W967" s="73"/>
      <c r="X967" s="73"/>
      <c r="Y967" s="73"/>
      <c r="Z967" s="73"/>
      <c r="AA967" s="73"/>
    </row>
  </sheetData>
  <mergeCells count="6">
    <mergeCell ref="B2:R2"/>
    <mergeCell ref="S2:T2"/>
    <mergeCell ref="U1:Y1"/>
    <mergeCell ref="U2:W2"/>
    <mergeCell ref="X2:Y2"/>
    <mergeCell ref="B1:T1"/>
  </mergeCells>
  <phoneticPr fontId="20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E45"/>
  <sheetViews>
    <sheetView workbookViewId="0">
      <selection activeCell="C28" activeCellId="1" sqref="C8:C10 C28:C29"/>
    </sheetView>
  </sheetViews>
  <sheetFormatPr defaultColWidth="9.140625" defaultRowHeight="15"/>
  <cols>
    <col min="1" max="1" width="121.140625" style="1" bestFit="1" customWidth="1"/>
    <col min="2" max="2" width="22.5703125" style="1" bestFit="1" customWidth="1"/>
    <col min="3" max="4" width="23.5703125" style="1" bestFit="1" customWidth="1"/>
    <col min="5" max="5" width="24.5703125" style="1" bestFit="1" customWidth="1"/>
    <col min="6" max="6" width="22.85546875" style="1" bestFit="1" customWidth="1"/>
    <col min="7" max="7" width="27.7109375" style="1" bestFit="1" customWidth="1"/>
    <col min="8" max="8" width="21.7109375" style="1" bestFit="1" customWidth="1"/>
    <col min="9" max="9" width="32" style="1" bestFit="1" customWidth="1"/>
    <col min="10" max="10" width="8.28515625" style="1" bestFit="1" customWidth="1"/>
    <col min="11" max="11" width="21.5703125" style="1" bestFit="1" customWidth="1"/>
    <col min="12" max="12" width="8.7109375" style="1" bestFit="1" customWidth="1"/>
    <col min="13" max="13" width="20.42578125" style="1" bestFit="1" customWidth="1"/>
    <col min="14" max="14" width="110.7109375" style="1" bestFit="1" customWidth="1"/>
    <col min="15" max="15" width="6.28515625" style="1" bestFit="1" customWidth="1"/>
    <col min="16" max="16" width="12.5703125" style="1" bestFit="1" customWidth="1"/>
    <col min="17" max="17" width="17.140625" style="1" bestFit="1" customWidth="1"/>
    <col min="18" max="18" width="14" style="1" bestFit="1" customWidth="1"/>
    <col min="19" max="19" width="17.140625" style="1" bestFit="1" customWidth="1"/>
    <col min="20" max="20" width="20.42578125" style="1" bestFit="1" customWidth="1"/>
    <col min="21" max="21" width="17.140625" style="1" bestFit="1" customWidth="1"/>
    <col min="22" max="22" width="20.42578125" style="1" bestFit="1" customWidth="1"/>
    <col min="23" max="23" width="17.140625" style="1" bestFit="1" customWidth="1"/>
    <col min="24" max="24" width="21.5703125" style="1" bestFit="1" customWidth="1"/>
    <col min="25" max="25" width="18.42578125" style="1" bestFit="1" customWidth="1"/>
    <col min="26" max="26" width="15.140625" style="1" bestFit="1" customWidth="1"/>
    <col min="27" max="27" width="18.42578125" style="1" bestFit="1" customWidth="1"/>
    <col min="28" max="28" width="21.5703125" style="1" bestFit="1" customWidth="1"/>
    <col min="29" max="29" width="18.42578125" style="1" bestFit="1" customWidth="1"/>
    <col min="30" max="30" width="21.5703125" style="1" bestFit="1" customWidth="1"/>
    <col min="31" max="31" width="18.42578125" style="1" bestFit="1" customWidth="1"/>
    <col min="32" max="32" width="21.5703125" style="1" bestFit="1" customWidth="1"/>
    <col min="33" max="33" width="18.42578125" style="1" bestFit="1" customWidth="1"/>
    <col min="34" max="34" width="15.140625" style="1" bestFit="1" customWidth="1"/>
    <col min="35" max="35" width="18.42578125" style="1" bestFit="1" customWidth="1"/>
    <col min="36" max="36" width="15.140625" style="1" bestFit="1" customWidth="1"/>
    <col min="37" max="37" width="18.42578125" style="1" bestFit="1" customWidth="1"/>
    <col min="38" max="38" width="21.5703125" style="1" bestFit="1" customWidth="1"/>
    <col min="39" max="39" width="18.42578125" style="1" bestFit="1" customWidth="1"/>
    <col min="40" max="40" width="21.5703125" style="1" bestFit="1" customWidth="1"/>
    <col min="41" max="41" width="18.42578125" style="1" bestFit="1" customWidth="1"/>
    <col min="42" max="42" width="21.5703125" style="1" bestFit="1" customWidth="1"/>
    <col min="43" max="43" width="18.42578125" style="1" bestFit="1" customWidth="1"/>
    <col min="44" max="44" width="15.140625" style="1" bestFit="1" customWidth="1"/>
    <col min="45" max="45" width="18.42578125" style="1" bestFit="1" customWidth="1"/>
    <col min="46" max="46" width="15.140625" style="1" bestFit="1" customWidth="1"/>
    <col min="47" max="47" width="18.42578125" style="1" bestFit="1" customWidth="1"/>
    <col min="48" max="48" width="15.140625" style="1" bestFit="1" customWidth="1"/>
    <col min="49" max="49" width="18.42578125" style="1" bestFit="1" customWidth="1"/>
    <col min="50" max="50" width="15.140625" style="1" bestFit="1" customWidth="1"/>
    <col min="51" max="51" width="18.42578125" style="1" bestFit="1" customWidth="1"/>
    <col min="52" max="52" width="15.140625" style="1" bestFit="1" customWidth="1"/>
    <col min="53" max="53" width="18.42578125" style="1" bestFit="1" customWidth="1"/>
    <col min="54" max="54" width="15.140625" style="1" bestFit="1" customWidth="1"/>
    <col min="55" max="55" width="18.42578125" style="1" bestFit="1" customWidth="1"/>
    <col min="56" max="56" width="15.140625" style="1" bestFit="1" customWidth="1"/>
    <col min="57" max="57" width="18.42578125" style="1" bestFit="1" customWidth="1"/>
    <col min="58" max="58" width="21.5703125" style="1" bestFit="1" customWidth="1"/>
    <col min="59" max="59" width="18.42578125" style="1" bestFit="1" customWidth="1"/>
    <col min="60" max="60" width="27.7109375" style="1" bestFit="1" customWidth="1"/>
    <col min="61" max="61" width="18.42578125" style="1" bestFit="1" customWidth="1"/>
    <col min="62" max="62" width="15.140625" style="1" bestFit="1" customWidth="1"/>
    <col min="63" max="63" width="18.42578125" style="1" bestFit="1" customWidth="1"/>
    <col min="64" max="64" width="21.5703125" style="1" bestFit="1" customWidth="1"/>
    <col min="65" max="65" width="18.42578125" style="1" bestFit="1" customWidth="1"/>
    <col min="66" max="66" width="15.140625" style="1" bestFit="1" customWidth="1"/>
    <col min="67" max="67" width="18.42578125" style="1" bestFit="1" customWidth="1"/>
    <col min="68" max="68" width="21.5703125" style="1" bestFit="1" customWidth="1"/>
    <col min="69" max="69" width="18.42578125" style="1" bestFit="1" customWidth="1"/>
    <col min="70" max="70" width="21.5703125" style="1" bestFit="1" customWidth="1"/>
    <col min="71" max="71" width="18.42578125" style="1" bestFit="1" customWidth="1"/>
    <col min="72" max="72" width="15.140625" style="1" bestFit="1" customWidth="1"/>
    <col min="73" max="73" width="18.42578125" style="1" bestFit="1" customWidth="1"/>
    <col min="74" max="74" width="21.5703125" style="1" bestFit="1" customWidth="1"/>
    <col min="75" max="75" width="18.42578125" style="1" bestFit="1" customWidth="1"/>
    <col min="76" max="76" width="21.5703125" style="1" bestFit="1" customWidth="1"/>
    <col min="77" max="77" width="18.42578125" style="1" bestFit="1" customWidth="1"/>
    <col min="78" max="78" width="21.5703125" style="1" bestFit="1" customWidth="1"/>
    <col min="79" max="79" width="18.42578125" style="1" bestFit="1" customWidth="1"/>
    <col min="80" max="80" width="21.7109375" style="1" bestFit="1" customWidth="1"/>
    <col min="81" max="81" width="18.42578125" style="1" bestFit="1" customWidth="1"/>
    <col min="82" max="82" width="15.140625" style="1" bestFit="1" customWidth="1"/>
    <col min="83" max="83" width="18.42578125" style="1" bestFit="1" customWidth="1"/>
    <col min="84" max="84" width="15.140625" style="1" bestFit="1" customWidth="1"/>
    <col min="85" max="85" width="18.42578125" style="1" bestFit="1" customWidth="1"/>
    <col min="86" max="86" width="21.5703125" style="1" bestFit="1" customWidth="1"/>
    <col min="87" max="87" width="18.42578125" style="1" bestFit="1" customWidth="1"/>
    <col min="88" max="88" width="21.5703125" style="1" bestFit="1" customWidth="1"/>
    <col min="89" max="89" width="18.42578125" style="1" bestFit="1" customWidth="1"/>
    <col min="90" max="90" width="21.5703125" style="1" bestFit="1" customWidth="1"/>
    <col min="91" max="91" width="18.42578125" style="1" bestFit="1" customWidth="1"/>
    <col min="92" max="92" width="15.140625" style="1" bestFit="1" customWidth="1"/>
    <col min="93" max="93" width="18.42578125" style="1" bestFit="1" customWidth="1"/>
    <col min="94" max="94" width="21.5703125" style="1" bestFit="1" customWidth="1"/>
    <col min="95" max="95" width="18.42578125" style="1" bestFit="1" customWidth="1"/>
    <col min="96" max="96" width="15.140625" style="1" bestFit="1" customWidth="1"/>
    <col min="97" max="97" width="18.42578125" style="1" bestFit="1" customWidth="1"/>
    <col min="98" max="98" width="15.140625" style="1" bestFit="1" customWidth="1"/>
    <col min="99" max="99" width="18.42578125" style="1" bestFit="1" customWidth="1"/>
    <col min="100" max="100" width="21.5703125" style="1" bestFit="1" customWidth="1"/>
    <col min="101" max="101" width="18.42578125" style="1" bestFit="1" customWidth="1"/>
    <col min="102" max="102" width="15.140625" style="1" bestFit="1" customWidth="1"/>
    <col min="103" max="103" width="18.42578125" style="1" bestFit="1" customWidth="1"/>
    <col min="104" max="104" width="15.140625" style="1" bestFit="1" customWidth="1"/>
    <col min="105" max="105" width="18.42578125" style="1" bestFit="1" customWidth="1"/>
    <col min="106" max="106" width="15.140625" style="1" bestFit="1" customWidth="1"/>
    <col min="107" max="107" width="18.42578125" style="1" bestFit="1" customWidth="1"/>
    <col min="108" max="108" width="21.5703125" style="1" bestFit="1" customWidth="1"/>
    <col min="109" max="109" width="18.42578125" style="1" bestFit="1" customWidth="1"/>
    <col min="110" max="110" width="21.5703125" style="1" bestFit="1" customWidth="1"/>
    <col min="111" max="111" width="18.42578125" style="1" bestFit="1" customWidth="1"/>
    <col min="112" max="112" width="21.5703125" style="1" bestFit="1" customWidth="1"/>
    <col min="113" max="113" width="18.42578125" style="1" bestFit="1" customWidth="1"/>
    <col min="114" max="114" width="21.5703125" style="1" bestFit="1" customWidth="1"/>
    <col min="115" max="115" width="18.42578125" style="1" bestFit="1" customWidth="1"/>
    <col min="116" max="116" width="32" style="1" bestFit="1" customWidth="1"/>
    <col min="117" max="117" width="18.42578125" style="1" bestFit="1" customWidth="1"/>
    <col min="118" max="118" width="21.5703125" style="1" bestFit="1" customWidth="1"/>
    <col min="119" max="119" width="18.42578125" style="1" bestFit="1" customWidth="1"/>
    <col min="120" max="120" width="15.140625" style="1" bestFit="1" customWidth="1"/>
    <col min="121" max="121" width="18.42578125" style="1" bestFit="1" customWidth="1"/>
    <col min="122" max="122" width="15.140625" style="1" bestFit="1" customWidth="1"/>
    <col min="123" max="123" width="18.42578125" style="1" bestFit="1" customWidth="1"/>
    <col min="124" max="124" width="21.5703125" style="1" bestFit="1" customWidth="1"/>
    <col min="125" max="125" width="18.42578125" style="1" bestFit="1" customWidth="1"/>
    <col min="126" max="126" width="21.5703125" style="1" bestFit="1" customWidth="1"/>
    <col min="127" max="127" width="18.42578125" style="1" bestFit="1" customWidth="1"/>
    <col min="128" max="128" width="21.5703125" style="1" bestFit="1" customWidth="1"/>
    <col min="129" max="129" width="18.42578125" style="1" bestFit="1" customWidth="1"/>
    <col min="130" max="130" width="21.5703125" style="1" bestFit="1" customWidth="1"/>
    <col min="131" max="131" width="18.42578125" style="1" bestFit="1" customWidth="1"/>
    <col min="132" max="132" width="15.140625" style="1" bestFit="1" customWidth="1"/>
    <col min="133" max="133" width="18.42578125" style="1" bestFit="1" customWidth="1"/>
    <col min="134" max="134" width="21.5703125" style="1" bestFit="1" customWidth="1"/>
    <col min="135" max="135" width="18.42578125" style="1" bestFit="1" customWidth="1"/>
    <col min="136" max="136" width="15.140625" style="1" bestFit="1" customWidth="1"/>
    <col min="137" max="137" width="18.42578125" style="1" bestFit="1" customWidth="1"/>
    <col min="138" max="138" width="21.5703125" style="1" bestFit="1" customWidth="1"/>
    <col min="139" max="139" width="18.42578125" style="1" bestFit="1" customWidth="1"/>
    <col min="140" max="140" width="15.140625" style="1" bestFit="1" customWidth="1"/>
    <col min="141" max="141" width="18.42578125" style="1" bestFit="1" customWidth="1"/>
    <col min="142" max="142" width="21.5703125" style="1" bestFit="1" customWidth="1"/>
    <col min="143" max="143" width="18.42578125" style="1" bestFit="1" customWidth="1"/>
    <col min="144" max="144" width="21.5703125" style="1" bestFit="1" customWidth="1"/>
    <col min="145" max="145" width="18.42578125" style="1" bestFit="1" customWidth="1"/>
    <col min="146" max="146" width="21.5703125" style="1" bestFit="1" customWidth="1"/>
    <col min="147" max="147" width="18.42578125" style="1" bestFit="1" customWidth="1"/>
    <col min="148" max="148" width="21.5703125" style="1" bestFit="1" customWidth="1"/>
    <col min="149" max="149" width="18.42578125" style="1" bestFit="1" customWidth="1"/>
    <col min="150" max="150" width="15.140625" style="1" bestFit="1" customWidth="1"/>
    <col min="151" max="151" width="18.42578125" style="1" bestFit="1" customWidth="1"/>
    <col min="152" max="152" width="15.140625" style="1" bestFit="1" customWidth="1"/>
    <col min="153" max="153" width="18.42578125" style="1" bestFit="1" customWidth="1"/>
    <col min="154" max="154" width="21.5703125" style="1" bestFit="1" customWidth="1"/>
    <col min="155" max="155" width="18.42578125" style="1" bestFit="1" customWidth="1"/>
    <col min="156" max="156" width="15.140625" style="1" bestFit="1" customWidth="1"/>
    <col min="157" max="157" width="18.42578125" style="1" bestFit="1" customWidth="1"/>
    <col min="158" max="158" width="21.5703125" style="1" bestFit="1" customWidth="1"/>
    <col min="159" max="159" width="18.42578125" style="1" bestFit="1" customWidth="1"/>
    <col min="160" max="160" width="21.5703125" style="1" bestFit="1" customWidth="1"/>
    <col min="161" max="161" width="18.42578125" style="1" bestFit="1" customWidth="1"/>
    <col min="162" max="162" width="21.5703125" style="1" bestFit="1" customWidth="1"/>
    <col min="163" max="163" width="18.42578125" style="1" bestFit="1" customWidth="1"/>
    <col min="164" max="164" width="21.5703125" style="1" bestFit="1" customWidth="1"/>
    <col min="165" max="165" width="18.42578125" style="1" bestFit="1" customWidth="1"/>
    <col min="166" max="166" width="15.140625" style="1" bestFit="1" customWidth="1"/>
    <col min="167" max="167" width="18.42578125" style="1" bestFit="1" customWidth="1"/>
    <col min="168" max="168" width="21.5703125" style="1" bestFit="1" customWidth="1"/>
    <col min="169" max="169" width="18.42578125" style="1" bestFit="1" customWidth="1"/>
    <col min="170" max="170" width="21.5703125" style="1" bestFit="1" customWidth="1"/>
    <col min="171" max="171" width="18.42578125" style="1" bestFit="1" customWidth="1"/>
    <col min="172" max="172" width="21.5703125" style="1" bestFit="1" customWidth="1"/>
    <col min="173" max="173" width="18.42578125" style="1" bestFit="1" customWidth="1"/>
    <col min="174" max="174" width="15.140625" style="1" bestFit="1" customWidth="1"/>
    <col min="175" max="175" width="18.42578125" style="1" bestFit="1" customWidth="1"/>
    <col min="176" max="176" width="21.5703125" style="1" bestFit="1" customWidth="1"/>
    <col min="177" max="177" width="18.42578125" style="1" bestFit="1" customWidth="1"/>
    <col min="178" max="178" width="21.5703125" style="1" bestFit="1" customWidth="1"/>
    <col min="179" max="179" width="18.42578125" style="1" bestFit="1" customWidth="1"/>
    <col min="180" max="180" width="21.5703125" style="1" bestFit="1" customWidth="1"/>
    <col min="181" max="181" width="18.42578125" style="1" bestFit="1" customWidth="1"/>
    <col min="182" max="182" width="15.140625" style="1" bestFit="1" customWidth="1"/>
    <col min="183" max="183" width="18.42578125" style="1" bestFit="1" customWidth="1"/>
    <col min="184" max="184" width="21.5703125" style="1" bestFit="1" customWidth="1"/>
    <col min="185" max="185" width="18.42578125" style="1" bestFit="1" customWidth="1"/>
    <col min="186" max="186" width="15.140625" style="1" bestFit="1" customWidth="1"/>
    <col min="187" max="187" width="18.42578125" style="1" bestFit="1" customWidth="1"/>
    <col min="188" max="188" width="21.5703125" style="1" bestFit="1" customWidth="1"/>
    <col min="189" max="189" width="18.42578125" style="1" bestFit="1" customWidth="1"/>
    <col min="190" max="190" width="21.5703125" style="1" bestFit="1" customWidth="1"/>
    <col min="191" max="191" width="18.42578125" style="1" bestFit="1" customWidth="1"/>
    <col min="192" max="192" width="21.5703125" style="1" bestFit="1" customWidth="1"/>
    <col min="193" max="193" width="18.42578125" style="1" bestFit="1" customWidth="1"/>
    <col min="194" max="194" width="15.140625" style="1" bestFit="1" customWidth="1"/>
    <col min="195" max="195" width="18.42578125" style="1" bestFit="1" customWidth="1"/>
    <col min="196" max="196" width="15.140625" style="1" bestFit="1" customWidth="1"/>
    <col min="197" max="197" width="18.42578125" style="1" bestFit="1" customWidth="1"/>
    <col min="198" max="198" width="15.140625" style="1" bestFit="1" customWidth="1"/>
    <col min="199" max="199" width="18.42578125" style="1" bestFit="1" customWidth="1"/>
    <col min="200" max="200" width="21.5703125" style="1" bestFit="1" customWidth="1"/>
    <col min="201" max="201" width="18.42578125" style="1" bestFit="1" customWidth="1"/>
    <col min="202" max="202" width="21.5703125" style="1" bestFit="1" customWidth="1"/>
    <col min="203" max="203" width="18.42578125" style="1" bestFit="1" customWidth="1"/>
    <col min="204" max="204" width="21.5703125" style="1" bestFit="1" customWidth="1"/>
    <col min="205" max="205" width="18.42578125" style="1" bestFit="1" customWidth="1"/>
    <col min="206" max="206" width="15.140625" style="1" bestFit="1" customWidth="1"/>
    <col min="207" max="207" width="18.42578125" style="1" bestFit="1" customWidth="1"/>
    <col min="208" max="208" width="21.5703125" style="1" bestFit="1" customWidth="1"/>
    <col min="209" max="209" width="18.42578125" style="1" bestFit="1" customWidth="1"/>
    <col min="210" max="210" width="15.140625" style="1" bestFit="1" customWidth="1"/>
    <col min="211" max="211" width="18.42578125" style="1" bestFit="1" customWidth="1"/>
    <col min="212" max="212" width="21.5703125" style="1" bestFit="1" customWidth="1"/>
    <col min="213" max="213" width="18.42578125" style="1" bestFit="1" customWidth="1"/>
    <col min="214" max="214" width="21.5703125" style="1" bestFit="1" customWidth="1"/>
    <col min="215" max="215" width="18.42578125" style="1" bestFit="1" customWidth="1"/>
    <col min="216" max="216" width="21.5703125" style="1" bestFit="1" customWidth="1"/>
    <col min="217" max="217" width="18.42578125" style="1" bestFit="1" customWidth="1"/>
    <col min="218" max="218" width="21.5703125" style="1" bestFit="1" customWidth="1"/>
    <col min="219" max="219" width="18.42578125" style="1" bestFit="1" customWidth="1"/>
    <col min="220" max="220" width="21.5703125" style="1" bestFit="1" customWidth="1"/>
    <col min="221" max="221" width="18.42578125" style="1" bestFit="1" customWidth="1"/>
    <col min="222" max="222" width="15.140625" style="1" bestFit="1" customWidth="1"/>
    <col min="223" max="223" width="18.42578125" style="1" bestFit="1" customWidth="1"/>
    <col min="224" max="224" width="21.5703125" style="1" bestFit="1" customWidth="1"/>
    <col min="225" max="225" width="18.42578125" style="1" bestFit="1" customWidth="1"/>
    <col min="226" max="226" width="15.140625" style="1" bestFit="1" customWidth="1"/>
    <col min="227" max="227" width="18.42578125" style="1" bestFit="1" customWidth="1"/>
    <col min="228" max="228" width="21.5703125" style="1" bestFit="1" customWidth="1"/>
    <col min="229" max="229" width="18.42578125" style="1" bestFit="1" customWidth="1"/>
    <col min="230" max="230" width="21.5703125" style="1" bestFit="1" customWidth="1"/>
    <col min="231" max="231" width="18.42578125" style="1" bestFit="1" customWidth="1"/>
    <col min="232" max="232" width="21.5703125" style="1" bestFit="1" customWidth="1"/>
    <col min="233" max="233" width="18.42578125" style="1" bestFit="1" customWidth="1"/>
    <col min="234" max="234" width="22.85546875" style="1" bestFit="1" customWidth="1"/>
    <col min="235" max="235" width="18.42578125" style="1" bestFit="1" customWidth="1"/>
    <col min="236" max="236" width="21.5703125" style="1" bestFit="1" customWidth="1"/>
    <col min="237" max="237" width="18.42578125" style="1" bestFit="1" customWidth="1"/>
    <col min="238" max="238" width="15.140625" style="1" bestFit="1" customWidth="1"/>
    <col min="239" max="239" width="18.42578125" style="1" bestFit="1" customWidth="1"/>
    <col min="240" max="240" width="21.5703125" style="1" bestFit="1" customWidth="1"/>
    <col min="241" max="241" width="18.42578125" style="1" bestFit="1" customWidth="1"/>
    <col min="242" max="242" width="21.5703125" style="1" bestFit="1" customWidth="1"/>
    <col min="243" max="243" width="18.42578125" style="1" bestFit="1" customWidth="1"/>
    <col min="244" max="244" width="15.140625" style="1" bestFit="1" customWidth="1"/>
    <col min="245" max="245" width="18.42578125" style="1" bestFit="1" customWidth="1"/>
    <col min="246" max="246" width="15.140625" style="1" bestFit="1" customWidth="1"/>
    <col min="247" max="247" width="18.42578125" style="1" bestFit="1" customWidth="1"/>
    <col min="248" max="248" width="15.140625" style="1" bestFit="1" customWidth="1"/>
    <col min="249" max="249" width="18.42578125" style="1" bestFit="1" customWidth="1"/>
    <col min="250" max="250" width="15.140625" style="1" bestFit="1" customWidth="1"/>
    <col min="251" max="251" width="18.42578125" style="1" bestFit="1" customWidth="1"/>
    <col min="252" max="252" width="15.140625" style="1" bestFit="1" customWidth="1"/>
    <col min="253" max="253" width="18.42578125" style="1" bestFit="1" customWidth="1"/>
    <col min="254" max="254" width="21.5703125" style="1" bestFit="1" customWidth="1"/>
    <col min="255" max="255" width="18.42578125" style="1" bestFit="1" customWidth="1"/>
    <col min="256" max="256" width="15.140625" style="1" bestFit="1" customWidth="1"/>
    <col min="257" max="257" width="18.42578125" style="1" bestFit="1" customWidth="1"/>
    <col min="258" max="258" width="15.140625" style="1" bestFit="1" customWidth="1"/>
    <col min="259" max="259" width="18.42578125" style="1" bestFit="1" customWidth="1"/>
    <col min="260" max="260" width="21.5703125" style="1" bestFit="1" customWidth="1"/>
    <col min="261" max="261" width="18.42578125" style="1" bestFit="1" customWidth="1"/>
    <col min="262" max="262" width="21.5703125" style="1" bestFit="1" customWidth="1"/>
    <col min="263" max="263" width="18.42578125" style="1" bestFit="1" customWidth="1"/>
    <col min="264" max="264" width="15.140625" style="1" bestFit="1" customWidth="1"/>
    <col min="265" max="265" width="18.42578125" style="1" bestFit="1" customWidth="1"/>
    <col min="266" max="266" width="21.5703125" style="1" bestFit="1" customWidth="1"/>
    <col min="267" max="267" width="18.42578125" style="1" bestFit="1" customWidth="1"/>
    <col min="268" max="268" width="15.140625" style="1" bestFit="1" customWidth="1"/>
    <col min="269" max="269" width="18.42578125" style="1" bestFit="1" customWidth="1"/>
    <col min="270" max="270" width="15.140625" style="1" bestFit="1" customWidth="1"/>
    <col min="271" max="271" width="18.42578125" style="1" bestFit="1" customWidth="1"/>
    <col min="272" max="272" width="21.5703125" style="1" bestFit="1" customWidth="1"/>
    <col min="273" max="273" width="18.42578125" style="1" bestFit="1" customWidth="1"/>
    <col min="274" max="274" width="22.85546875" style="1" bestFit="1" customWidth="1"/>
    <col min="275" max="275" width="18.42578125" style="1" bestFit="1" customWidth="1"/>
    <col min="276" max="276" width="36" style="1" bestFit="1" customWidth="1"/>
    <col min="277" max="277" width="18.42578125" style="1" bestFit="1" customWidth="1"/>
    <col min="278" max="278" width="21.5703125" style="1" bestFit="1" customWidth="1"/>
    <col min="279" max="279" width="18.42578125" style="1" bestFit="1" customWidth="1"/>
    <col min="280" max="280" width="21.5703125" style="1" bestFit="1" customWidth="1"/>
    <col min="281" max="281" width="18.42578125" style="1" bestFit="1" customWidth="1"/>
    <col min="282" max="282" width="21.5703125" style="1" bestFit="1" customWidth="1"/>
    <col min="283" max="283" width="18.42578125" style="1" bestFit="1" customWidth="1"/>
    <col min="284" max="284" width="21.5703125" style="1" bestFit="1" customWidth="1"/>
    <col min="285" max="285" width="18.42578125" style="1" bestFit="1" customWidth="1"/>
    <col min="286" max="286" width="50" style="1" bestFit="1" customWidth="1"/>
    <col min="287" max="287" width="18.42578125" style="1" bestFit="1" customWidth="1"/>
    <col min="288" max="288" width="15.140625" style="1" bestFit="1" customWidth="1"/>
    <col min="289" max="289" width="18.42578125" style="1" bestFit="1" customWidth="1"/>
    <col min="290" max="290" width="15.140625" style="1" bestFit="1" customWidth="1"/>
    <col min="291" max="291" width="18.42578125" style="1" bestFit="1" customWidth="1"/>
    <col min="292" max="292" width="21.5703125" style="1" bestFit="1" customWidth="1"/>
    <col min="293" max="293" width="18.42578125" style="1" bestFit="1" customWidth="1"/>
    <col min="294" max="294" width="15.140625" style="1" bestFit="1" customWidth="1"/>
    <col min="295" max="295" width="18.42578125" style="1" bestFit="1" customWidth="1"/>
    <col min="296" max="296" width="15.140625" style="1" bestFit="1" customWidth="1"/>
    <col min="297" max="297" width="18.42578125" style="1" bestFit="1" customWidth="1"/>
    <col min="298" max="298" width="21.5703125" style="1" bestFit="1" customWidth="1"/>
    <col min="299" max="299" width="18.42578125" style="1" bestFit="1" customWidth="1"/>
    <col min="300" max="300" width="21.5703125" style="1" bestFit="1" customWidth="1"/>
    <col min="301" max="301" width="18.42578125" style="1" bestFit="1" customWidth="1"/>
    <col min="302" max="302" width="21.5703125" style="1" bestFit="1" customWidth="1"/>
    <col min="303" max="303" width="18.42578125" style="1" bestFit="1" customWidth="1"/>
    <col min="304" max="304" width="21.5703125" style="1" bestFit="1" customWidth="1"/>
    <col min="305" max="305" width="18.42578125" style="1" bestFit="1" customWidth="1"/>
    <col min="306" max="306" width="15.140625" style="1" bestFit="1" customWidth="1"/>
    <col min="307" max="307" width="18.42578125" style="1" bestFit="1" customWidth="1"/>
    <col min="308" max="308" width="21.5703125" style="1" bestFit="1" customWidth="1"/>
    <col min="309" max="309" width="18.42578125" style="1" bestFit="1" customWidth="1"/>
    <col min="310" max="310" width="21.5703125" style="1" bestFit="1" customWidth="1"/>
    <col min="311" max="311" width="18.42578125" style="1" bestFit="1" customWidth="1"/>
    <col min="312" max="312" width="21.5703125" style="1" bestFit="1" customWidth="1"/>
    <col min="313" max="313" width="18.42578125" style="1" bestFit="1" customWidth="1"/>
    <col min="314" max="314" width="21.5703125" style="1" bestFit="1" customWidth="1"/>
    <col min="315" max="315" width="18.42578125" style="1" bestFit="1" customWidth="1"/>
    <col min="316" max="316" width="21.5703125" style="1" bestFit="1" customWidth="1"/>
    <col min="317" max="317" width="18.42578125" style="1" bestFit="1" customWidth="1"/>
    <col min="318" max="318" width="21.5703125" style="1" bestFit="1" customWidth="1"/>
    <col min="319" max="319" width="18.42578125" style="1" bestFit="1" customWidth="1"/>
    <col min="320" max="320" width="21.5703125" style="1" bestFit="1" customWidth="1"/>
    <col min="321" max="321" width="18.42578125" style="1" bestFit="1" customWidth="1"/>
    <col min="322" max="322" width="21.5703125" style="1" bestFit="1" customWidth="1"/>
    <col min="323" max="323" width="18.42578125" style="1" bestFit="1" customWidth="1"/>
    <col min="324" max="324" width="21.5703125" style="1" bestFit="1" customWidth="1"/>
    <col min="325" max="325" width="18.42578125" style="1" bestFit="1" customWidth="1"/>
    <col min="326" max="326" width="21.5703125" style="1" bestFit="1" customWidth="1"/>
    <col min="327" max="327" width="18.42578125" style="1" bestFit="1" customWidth="1"/>
    <col min="328" max="328" width="21.5703125" style="1" bestFit="1" customWidth="1"/>
    <col min="329" max="329" width="18.42578125" style="1" bestFit="1" customWidth="1"/>
    <col min="330" max="330" width="15.140625" style="1" bestFit="1" customWidth="1"/>
    <col min="331" max="331" width="18.42578125" style="1" bestFit="1" customWidth="1"/>
    <col min="332" max="332" width="15.140625" style="1" bestFit="1" customWidth="1"/>
    <col min="333" max="333" width="18.42578125" style="1" bestFit="1" customWidth="1"/>
    <col min="334" max="334" width="21.5703125" style="1" bestFit="1" customWidth="1"/>
    <col min="335" max="335" width="18.42578125" style="1" bestFit="1" customWidth="1"/>
    <col min="336" max="336" width="21.5703125" style="1" bestFit="1" customWidth="1"/>
    <col min="337" max="337" width="18.42578125" style="1" bestFit="1" customWidth="1"/>
    <col min="338" max="338" width="21.5703125" style="1" bestFit="1" customWidth="1"/>
    <col min="339" max="339" width="18.42578125" style="1" bestFit="1" customWidth="1"/>
    <col min="340" max="340" width="15.140625" style="1" bestFit="1" customWidth="1"/>
    <col min="341" max="341" width="18.42578125" style="1" bestFit="1" customWidth="1"/>
    <col min="342" max="342" width="21.5703125" style="1" bestFit="1" customWidth="1"/>
    <col min="343" max="343" width="18.42578125" style="1" bestFit="1" customWidth="1"/>
    <col min="344" max="344" width="15.140625" style="1" bestFit="1" customWidth="1"/>
    <col min="345" max="345" width="18.42578125" style="1" bestFit="1" customWidth="1"/>
    <col min="346" max="346" width="15.140625" style="1" bestFit="1" customWidth="1"/>
    <col min="347" max="347" width="18.42578125" style="1" bestFit="1" customWidth="1"/>
    <col min="348" max="348" width="21.5703125" style="1" bestFit="1" customWidth="1"/>
    <col min="349" max="349" width="18.42578125" style="1" bestFit="1" customWidth="1"/>
    <col min="350" max="350" width="21.5703125" style="1" bestFit="1" customWidth="1"/>
    <col min="351" max="351" width="18.42578125" style="1" bestFit="1" customWidth="1"/>
    <col min="352" max="352" width="21.5703125" style="1" bestFit="1" customWidth="1"/>
    <col min="353" max="353" width="18.42578125" style="1" bestFit="1" customWidth="1"/>
    <col min="354" max="354" width="21.5703125" style="1" bestFit="1" customWidth="1"/>
    <col min="355" max="355" width="18.42578125" style="1" bestFit="1" customWidth="1"/>
    <col min="356" max="356" width="21.5703125" style="1" bestFit="1" customWidth="1"/>
    <col min="357" max="357" width="18.42578125" style="1" bestFit="1" customWidth="1"/>
    <col min="358" max="358" width="15.140625" style="1" bestFit="1" customWidth="1"/>
    <col min="359" max="359" width="18.42578125" style="1" bestFit="1" customWidth="1"/>
    <col min="360" max="360" width="22.85546875" style="1" bestFit="1" customWidth="1"/>
    <col min="361" max="361" width="18.42578125" style="1" bestFit="1" customWidth="1"/>
    <col min="362" max="362" width="21.5703125" style="1" bestFit="1" customWidth="1"/>
    <col min="363" max="363" width="18.42578125" style="1" bestFit="1" customWidth="1"/>
    <col min="364" max="364" width="15.140625" style="1" bestFit="1" customWidth="1"/>
    <col min="365" max="365" width="18.42578125" style="1" bestFit="1" customWidth="1"/>
    <col min="366" max="366" width="21.5703125" style="1" bestFit="1" customWidth="1"/>
    <col min="367" max="367" width="18.42578125" style="1" bestFit="1" customWidth="1"/>
    <col min="368" max="368" width="15.140625" style="1" bestFit="1" customWidth="1"/>
    <col min="369" max="369" width="18.42578125" style="1" bestFit="1" customWidth="1"/>
    <col min="370" max="370" width="15.140625" style="1" bestFit="1" customWidth="1"/>
    <col min="371" max="371" width="18.42578125" style="1" bestFit="1" customWidth="1"/>
    <col min="372" max="372" width="21.5703125" style="1" bestFit="1" customWidth="1"/>
    <col min="373" max="373" width="18.42578125" style="1" bestFit="1" customWidth="1"/>
    <col min="374" max="374" width="21.5703125" style="1" bestFit="1" customWidth="1"/>
    <col min="375" max="375" width="18.42578125" style="1" bestFit="1" customWidth="1"/>
    <col min="376" max="376" width="15.140625" style="1" bestFit="1" customWidth="1"/>
    <col min="377" max="377" width="18.42578125" style="1" bestFit="1" customWidth="1"/>
    <col min="378" max="378" width="15.140625" style="1" bestFit="1" customWidth="1"/>
    <col min="379" max="379" width="18.42578125" style="1" bestFit="1" customWidth="1"/>
    <col min="380" max="380" width="15.140625" style="1" bestFit="1" customWidth="1"/>
    <col min="381" max="381" width="18.42578125" style="1" bestFit="1" customWidth="1"/>
    <col min="382" max="382" width="21.5703125" style="1" bestFit="1" customWidth="1"/>
    <col min="383" max="383" width="18.42578125" style="1" bestFit="1" customWidth="1"/>
    <col min="384" max="384" width="15.140625" style="1" bestFit="1" customWidth="1"/>
    <col min="385" max="385" width="18.42578125" style="1" bestFit="1" customWidth="1"/>
    <col min="386" max="386" width="21.5703125" style="1" bestFit="1" customWidth="1"/>
    <col min="387" max="387" width="18.42578125" style="1" bestFit="1" customWidth="1"/>
    <col min="388" max="388" width="21.5703125" style="1" bestFit="1" customWidth="1"/>
    <col min="389" max="389" width="18.42578125" style="1" bestFit="1" customWidth="1"/>
    <col min="390" max="390" width="21.5703125" style="1" bestFit="1" customWidth="1"/>
    <col min="391" max="391" width="18.42578125" style="1" bestFit="1" customWidth="1"/>
    <col min="392" max="392" width="15.140625" style="1" bestFit="1" customWidth="1"/>
    <col min="393" max="393" width="18.42578125" style="1" bestFit="1" customWidth="1"/>
    <col min="394" max="394" width="21.5703125" style="1" bestFit="1" customWidth="1"/>
    <col min="395" max="395" width="18.42578125" style="1" bestFit="1" customWidth="1"/>
    <col min="396" max="396" width="21.5703125" style="1" bestFit="1" customWidth="1"/>
    <col min="397" max="397" width="18.42578125" style="1" bestFit="1" customWidth="1"/>
    <col min="398" max="398" width="15.140625" style="1" bestFit="1" customWidth="1"/>
    <col min="399" max="399" width="18.42578125" style="1" bestFit="1" customWidth="1"/>
    <col min="400" max="400" width="21.5703125" style="1" bestFit="1" customWidth="1"/>
    <col min="401" max="401" width="18.42578125" style="1" bestFit="1" customWidth="1"/>
    <col min="402" max="402" width="15.140625" style="1" bestFit="1" customWidth="1"/>
    <col min="403" max="403" width="18.42578125" style="1" bestFit="1" customWidth="1"/>
    <col min="404" max="404" width="21.5703125" style="1" bestFit="1" customWidth="1"/>
    <col min="405" max="405" width="18.42578125" style="1" bestFit="1" customWidth="1"/>
    <col min="406" max="406" width="15.140625" style="1" bestFit="1" customWidth="1"/>
    <col min="407" max="407" width="18.42578125" style="1" bestFit="1" customWidth="1"/>
    <col min="408" max="408" width="15.140625" style="1" bestFit="1" customWidth="1"/>
    <col min="409" max="409" width="18.42578125" style="1" bestFit="1" customWidth="1"/>
    <col min="410" max="410" width="15.140625" style="1" bestFit="1" customWidth="1"/>
    <col min="411" max="411" width="18.42578125" style="1" bestFit="1" customWidth="1"/>
    <col min="412" max="412" width="21.5703125" style="1" bestFit="1" customWidth="1"/>
    <col min="413" max="413" width="18.42578125" style="1" bestFit="1" customWidth="1"/>
    <col min="414" max="414" width="21.5703125" style="1" bestFit="1" customWidth="1"/>
    <col min="415" max="415" width="18.42578125" style="1" bestFit="1" customWidth="1"/>
    <col min="416" max="416" width="21.5703125" style="1" bestFit="1" customWidth="1"/>
    <col min="417" max="417" width="18.42578125" style="1" bestFit="1" customWidth="1"/>
    <col min="418" max="418" width="21.5703125" style="1" bestFit="1" customWidth="1"/>
    <col min="419" max="419" width="18.42578125" style="1" bestFit="1" customWidth="1"/>
    <col min="420" max="420" width="21.5703125" style="1" bestFit="1" customWidth="1"/>
    <col min="421" max="421" width="18.42578125" style="1" bestFit="1" customWidth="1"/>
    <col min="422" max="422" width="21.5703125" style="1" bestFit="1" customWidth="1"/>
    <col min="423" max="423" width="18.42578125" style="1" bestFit="1" customWidth="1"/>
    <col min="424" max="424" width="21.5703125" style="1" bestFit="1" customWidth="1"/>
    <col min="425" max="425" width="18.42578125" style="1" bestFit="1" customWidth="1"/>
    <col min="426" max="426" width="21.5703125" style="1" bestFit="1" customWidth="1"/>
    <col min="427" max="427" width="18.42578125" style="1" bestFit="1" customWidth="1"/>
    <col min="428" max="428" width="21.5703125" style="1" bestFit="1" customWidth="1"/>
    <col min="429" max="429" width="18.42578125" style="1" bestFit="1" customWidth="1"/>
    <col min="430" max="430" width="15.140625" style="1" bestFit="1" customWidth="1"/>
    <col min="431" max="431" width="18.42578125" style="1" bestFit="1" customWidth="1"/>
    <col min="432" max="432" width="21.5703125" style="1" bestFit="1" customWidth="1"/>
    <col min="433" max="433" width="18.42578125" style="1" bestFit="1" customWidth="1"/>
    <col min="434" max="434" width="21.5703125" style="1" bestFit="1" customWidth="1"/>
    <col min="435" max="435" width="18.42578125" style="1" bestFit="1" customWidth="1"/>
    <col min="436" max="436" width="15.140625" style="1" bestFit="1" customWidth="1"/>
    <col min="437" max="437" width="18.42578125" style="1" bestFit="1" customWidth="1"/>
    <col min="438" max="438" width="15.140625" style="1" bestFit="1" customWidth="1"/>
    <col min="439" max="439" width="18.42578125" style="1" bestFit="1" customWidth="1"/>
    <col min="440" max="440" width="21.5703125" style="1" bestFit="1" customWidth="1"/>
    <col min="441" max="441" width="18.42578125" style="1" bestFit="1" customWidth="1"/>
    <col min="442" max="442" width="15.140625" style="1" bestFit="1" customWidth="1"/>
    <col min="443" max="443" width="18.42578125" style="1" bestFit="1" customWidth="1"/>
    <col min="444" max="444" width="21.5703125" style="1" bestFit="1" customWidth="1"/>
    <col min="445" max="445" width="18.42578125" style="1" bestFit="1" customWidth="1"/>
    <col min="446" max="446" width="21.5703125" style="1" bestFit="1" customWidth="1"/>
    <col min="447" max="447" width="18.42578125" style="1" bestFit="1" customWidth="1"/>
    <col min="448" max="448" width="21.5703125" style="1" bestFit="1" customWidth="1"/>
    <col min="449" max="449" width="18.42578125" style="1" bestFit="1" customWidth="1"/>
    <col min="450" max="450" width="21.5703125" style="1" bestFit="1" customWidth="1"/>
    <col min="451" max="451" width="18.42578125" style="1" bestFit="1" customWidth="1"/>
    <col min="452" max="452" width="15.140625" style="1" bestFit="1" customWidth="1"/>
    <col min="453" max="453" width="18.42578125" style="1" bestFit="1" customWidth="1"/>
    <col min="454" max="454" width="21.5703125" style="1" bestFit="1" customWidth="1"/>
    <col min="455" max="455" width="18.42578125" style="1" bestFit="1" customWidth="1"/>
    <col min="456" max="456" width="21.5703125" style="1" bestFit="1" customWidth="1"/>
    <col min="457" max="457" width="18.42578125" style="1" bestFit="1" customWidth="1"/>
    <col min="458" max="458" width="21.5703125" style="1" bestFit="1" customWidth="1"/>
    <col min="459" max="459" width="18.42578125" style="1" bestFit="1" customWidth="1"/>
    <col min="460" max="460" width="21.5703125" style="1" bestFit="1" customWidth="1"/>
    <col min="461" max="461" width="18.42578125" style="1" bestFit="1" customWidth="1"/>
    <col min="462" max="462" width="21.5703125" style="1" bestFit="1" customWidth="1"/>
    <col min="463" max="463" width="18.42578125" style="1" bestFit="1" customWidth="1"/>
    <col min="464" max="464" width="21.5703125" style="1" bestFit="1" customWidth="1"/>
    <col min="465" max="465" width="18.42578125" style="1" bestFit="1" customWidth="1"/>
    <col min="466" max="466" width="21.5703125" style="1" bestFit="1" customWidth="1"/>
    <col min="467" max="467" width="18.42578125" style="1" bestFit="1" customWidth="1"/>
    <col min="468" max="468" width="21.5703125" style="1" bestFit="1" customWidth="1"/>
    <col min="469" max="469" width="18.42578125" style="1" bestFit="1" customWidth="1"/>
    <col min="470" max="470" width="21.5703125" style="1" bestFit="1" customWidth="1"/>
    <col min="471" max="471" width="18.42578125" style="1" bestFit="1" customWidth="1"/>
    <col min="472" max="472" width="21.5703125" style="1" bestFit="1" customWidth="1"/>
    <col min="473" max="473" width="18.42578125" style="1" bestFit="1" customWidth="1"/>
    <col min="474" max="474" width="21.5703125" style="1" bestFit="1" customWidth="1"/>
    <col min="475" max="475" width="18.42578125" style="1" bestFit="1" customWidth="1"/>
    <col min="476" max="476" width="21.5703125" style="1" bestFit="1" customWidth="1"/>
    <col min="477" max="477" width="18.42578125" style="1" bestFit="1" customWidth="1"/>
    <col min="478" max="478" width="21.5703125" style="1" bestFit="1" customWidth="1"/>
    <col min="479" max="479" width="18.42578125" style="1" bestFit="1" customWidth="1"/>
    <col min="480" max="480" width="21.5703125" style="1" bestFit="1" customWidth="1"/>
    <col min="481" max="481" width="18.42578125" style="1" bestFit="1" customWidth="1"/>
    <col min="482" max="482" width="21.5703125" style="1" bestFit="1" customWidth="1"/>
    <col min="483" max="483" width="18.42578125" style="1" bestFit="1" customWidth="1"/>
    <col min="484" max="484" width="21.5703125" style="1" bestFit="1" customWidth="1"/>
    <col min="485" max="485" width="18.42578125" style="1" bestFit="1" customWidth="1"/>
    <col min="486" max="486" width="15.140625" style="1" bestFit="1" customWidth="1"/>
    <col min="487" max="487" width="18.42578125" style="1" bestFit="1" customWidth="1"/>
    <col min="488" max="488" width="15.140625" style="1" bestFit="1" customWidth="1"/>
    <col min="489" max="489" width="18.42578125" style="1" bestFit="1" customWidth="1"/>
    <col min="490" max="490" width="15.140625" style="1" bestFit="1" customWidth="1"/>
    <col min="491" max="491" width="18.42578125" style="1" bestFit="1" customWidth="1"/>
    <col min="492" max="492" width="15.140625" style="1" bestFit="1" customWidth="1"/>
    <col min="493" max="493" width="18.42578125" style="1" bestFit="1" customWidth="1"/>
    <col min="494" max="494" width="21.5703125" style="1" bestFit="1" customWidth="1"/>
    <col min="495" max="495" width="18.42578125" style="1" bestFit="1" customWidth="1"/>
    <col min="496" max="496" width="21.5703125" style="1" bestFit="1" customWidth="1"/>
    <col min="497" max="497" width="18.42578125" style="1" bestFit="1" customWidth="1"/>
    <col min="498" max="498" width="21.5703125" style="1" bestFit="1" customWidth="1"/>
    <col min="499" max="499" width="18.42578125" style="1" bestFit="1" customWidth="1"/>
    <col min="500" max="500" width="15.140625" style="1" bestFit="1" customWidth="1"/>
    <col min="501" max="501" width="18.42578125" style="1" bestFit="1" customWidth="1"/>
    <col min="502" max="502" width="21.5703125" style="1" bestFit="1" customWidth="1"/>
    <col min="503" max="503" width="18.42578125" style="1" bestFit="1" customWidth="1"/>
    <col min="504" max="504" width="15.140625" style="1" bestFit="1" customWidth="1"/>
    <col min="505" max="505" width="18.42578125" style="1" bestFit="1" customWidth="1"/>
    <col min="506" max="506" width="15.140625" style="1" bestFit="1" customWidth="1"/>
    <col min="507" max="507" width="18.42578125" style="1" bestFit="1" customWidth="1"/>
    <col min="508" max="508" width="21.5703125" style="1" bestFit="1" customWidth="1"/>
    <col min="509" max="509" width="18.42578125" style="1" bestFit="1" customWidth="1"/>
    <col min="510" max="510" width="15.140625" style="1" bestFit="1" customWidth="1"/>
    <col min="511" max="511" width="18.42578125" style="1" bestFit="1" customWidth="1"/>
    <col min="512" max="512" width="15.140625" style="1" bestFit="1" customWidth="1"/>
    <col min="513" max="513" width="18.42578125" style="1" bestFit="1" customWidth="1"/>
    <col min="514" max="514" width="21.5703125" style="1" bestFit="1" customWidth="1"/>
    <col min="515" max="515" width="18.42578125" style="1" bestFit="1" customWidth="1"/>
    <col min="516" max="516" width="21.5703125" style="1" bestFit="1" customWidth="1"/>
    <col min="517" max="517" width="18.42578125" style="1" bestFit="1" customWidth="1"/>
    <col min="518" max="518" width="21.5703125" style="1" bestFit="1" customWidth="1"/>
    <col min="519" max="519" width="18.42578125" style="1" bestFit="1" customWidth="1"/>
    <col min="520" max="520" width="15.140625" style="1" bestFit="1" customWidth="1"/>
    <col min="521" max="521" width="18.42578125" style="1" bestFit="1" customWidth="1"/>
    <col min="522" max="522" width="110.7109375" style="1" bestFit="1" customWidth="1"/>
    <col min="523" max="523" width="18.42578125" style="1" bestFit="1" customWidth="1"/>
    <col min="524" max="524" width="15.140625" style="1" bestFit="1" customWidth="1"/>
    <col min="525" max="525" width="18.42578125" style="1" bestFit="1" customWidth="1"/>
    <col min="526" max="526" width="21.5703125" style="1" bestFit="1" customWidth="1"/>
    <col min="527" max="527" width="18.42578125" style="1" bestFit="1" customWidth="1"/>
    <col min="528" max="528" width="21.5703125" style="1" bestFit="1" customWidth="1"/>
    <col min="529" max="529" width="18.42578125" style="1" bestFit="1" customWidth="1"/>
    <col min="530" max="530" width="15.140625" style="1" bestFit="1" customWidth="1"/>
    <col min="531" max="531" width="18.42578125" style="1" bestFit="1" customWidth="1"/>
    <col min="532" max="532" width="15.140625" style="1" bestFit="1" customWidth="1"/>
    <col min="533" max="533" width="18.42578125" style="1" bestFit="1" customWidth="1"/>
    <col min="534" max="534" width="21.5703125" style="1" bestFit="1" customWidth="1"/>
    <col min="535" max="535" width="18.42578125" style="1" bestFit="1" customWidth="1"/>
    <col min="536" max="536" width="21.5703125" style="1" bestFit="1" customWidth="1"/>
    <col min="537" max="537" width="18.42578125" style="1" bestFit="1" customWidth="1"/>
    <col min="538" max="538" width="15.140625" style="1" bestFit="1" customWidth="1"/>
    <col min="539" max="539" width="18.42578125" style="1" bestFit="1" customWidth="1"/>
    <col min="540" max="540" width="21.5703125" style="1" bestFit="1" customWidth="1"/>
    <col min="541" max="541" width="18.42578125" style="1" bestFit="1" customWidth="1"/>
    <col min="542" max="542" width="21.5703125" style="1" bestFit="1" customWidth="1"/>
    <col min="543" max="543" width="18.42578125" style="1" bestFit="1" customWidth="1"/>
    <col min="544" max="544" width="15.140625" style="1" bestFit="1" customWidth="1"/>
    <col min="545" max="545" width="18.42578125" style="1" bestFit="1" customWidth="1"/>
    <col min="546" max="546" width="21.5703125" style="1" bestFit="1" customWidth="1"/>
    <col min="547" max="547" width="18.42578125" style="1" bestFit="1" customWidth="1"/>
    <col min="548" max="548" width="15.140625" style="1" bestFit="1" customWidth="1"/>
    <col min="549" max="549" width="18.42578125" style="1" bestFit="1" customWidth="1"/>
    <col min="550" max="550" width="21.5703125" style="1" bestFit="1" customWidth="1"/>
    <col min="551" max="551" width="18.42578125" style="1" bestFit="1" customWidth="1"/>
    <col min="552" max="552" width="15.140625" style="1" bestFit="1" customWidth="1"/>
    <col min="553" max="553" width="18.42578125" style="1" bestFit="1" customWidth="1"/>
    <col min="554" max="554" width="15.140625" style="1" bestFit="1" customWidth="1"/>
    <col min="555" max="555" width="18.42578125" style="1" bestFit="1" customWidth="1"/>
    <col min="556" max="556" width="21.5703125" style="1" bestFit="1" customWidth="1"/>
    <col min="557" max="557" width="18.42578125" style="1" bestFit="1" customWidth="1"/>
    <col min="558" max="558" width="21.5703125" style="1" bestFit="1" customWidth="1"/>
    <col min="559" max="559" width="18.42578125" style="1" bestFit="1" customWidth="1"/>
    <col min="560" max="560" width="15.140625" style="1" bestFit="1" customWidth="1"/>
    <col min="561" max="561" width="18.42578125" style="1" bestFit="1" customWidth="1"/>
    <col min="562" max="562" width="20.42578125" style="1" bestFit="1" customWidth="1"/>
    <col min="563" max="563" width="18.42578125" style="1" bestFit="1" customWidth="1"/>
    <col min="564" max="564" width="15.140625" style="1" bestFit="1" customWidth="1"/>
    <col min="565" max="565" width="18.42578125" style="1" bestFit="1" customWidth="1"/>
    <col min="566" max="566" width="20.42578125" style="1" bestFit="1" customWidth="1"/>
    <col min="567" max="567" width="6.28515625" style="1" bestFit="1" customWidth="1"/>
    <col min="568" max="568" width="18.42578125" style="1" bestFit="1" customWidth="1"/>
    <col min="569" max="569" width="15.140625" style="1" bestFit="1" customWidth="1"/>
    <col min="570" max="570" width="18.42578125" style="1" bestFit="1" customWidth="1"/>
    <col min="571" max="571" width="15.140625" style="1" bestFit="1" customWidth="1"/>
    <col min="572" max="572" width="18.42578125" style="1" bestFit="1" customWidth="1"/>
    <col min="573" max="573" width="15.140625" style="1" bestFit="1" customWidth="1"/>
    <col min="574" max="574" width="18.42578125" style="1" bestFit="1" customWidth="1"/>
    <col min="575" max="575" width="15.140625" style="1" bestFit="1" customWidth="1"/>
    <col min="576" max="576" width="18.42578125" style="1" bestFit="1" customWidth="1"/>
    <col min="577" max="577" width="15.140625" style="1" bestFit="1" customWidth="1"/>
    <col min="578" max="578" width="18.42578125" style="1" bestFit="1" customWidth="1"/>
    <col min="579" max="579" width="21.5703125" style="1" bestFit="1" customWidth="1"/>
    <col min="580" max="580" width="18.42578125" style="1" bestFit="1" customWidth="1"/>
    <col min="581" max="581" width="21.5703125" style="1" bestFit="1" customWidth="1"/>
    <col min="582" max="582" width="18.42578125" style="1" bestFit="1" customWidth="1"/>
    <col min="583" max="583" width="21.5703125" style="1" bestFit="1" customWidth="1"/>
    <col min="584" max="584" width="18.42578125" style="1" bestFit="1" customWidth="1"/>
    <col min="585" max="585" width="21.5703125" style="1" bestFit="1" customWidth="1"/>
    <col min="586" max="586" width="18.42578125" style="1" bestFit="1" customWidth="1"/>
    <col min="587" max="587" width="15.140625" style="1" bestFit="1" customWidth="1"/>
    <col min="588" max="588" width="18.42578125" style="1" bestFit="1" customWidth="1"/>
    <col min="589" max="589" width="21.5703125" style="1" bestFit="1" customWidth="1"/>
    <col min="590" max="590" width="18.42578125" style="1" bestFit="1" customWidth="1"/>
    <col min="591" max="591" width="21.5703125" style="1" bestFit="1" customWidth="1"/>
    <col min="592" max="592" width="18.42578125" style="1" bestFit="1" customWidth="1"/>
    <col min="593" max="593" width="21.5703125" style="1" bestFit="1" customWidth="1"/>
    <col min="594" max="594" width="18.42578125" style="1" bestFit="1" customWidth="1"/>
    <col min="595" max="595" width="21.5703125" style="1" bestFit="1" customWidth="1"/>
    <col min="596" max="596" width="18.42578125" style="1" bestFit="1" customWidth="1"/>
    <col min="597" max="597" width="21.5703125" style="1" bestFit="1" customWidth="1"/>
    <col min="598" max="598" width="18.42578125" style="1" bestFit="1" customWidth="1"/>
    <col min="599" max="599" width="21.5703125" style="1" bestFit="1" customWidth="1"/>
    <col min="600" max="600" width="18.42578125" style="1" bestFit="1" customWidth="1"/>
    <col min="601" max="601" width="21.5703125" style="1" bestFit="1" customWidth="1"/>
    <col min="602" max="602" width="18.42578125" style="1" bestFit="1" customWidth="1"/>
    <col min="603" max="603" width="21.5703125" style="1" bestFit="1" customWidth="1"/>
    <col min="604" max="604" width="18.42578125" style="1" bestFit="1" customWidth="1"/>
    <col min="605" max="605" width="21.5703125" style="1" bestFit="1" customWidth="1"/>
    <col min="606" max="606" width="18.42578125" style="1" bestFit="1" customWidth="1"/>
    <col min="607" max="607" width="21.5703125" style="1" bestFit="1" customWidth="1"/>
    <col min="608" max="608" width="18.42578125" style="1" bestFit="1" customWidth="1"/>
    <col min="609" max="609" width="21.5703125" style="1" bestFit="1" customWidth="1"/>
    <col min="610" max="610" width="18.42578125" style="1" bestFit="1" customWidth="1"/>
    <col min="611" max="611" width="21.5703125" style="1" bestFit="1" customWidth="1"/>
    <col min="612" max="612" width="18.42578125" style="1" bestFit="1" customWidth="1"/>
    <col min="613" max="613" width="21.5703125" style="1" bestFit="1" customWidth="1"/>
    <col min="614" max="614" width="18.42578125" style="1" bestFit="1" customWidth="1"/>
    <col min="615" max="615" width="21.5703125" style="1" bestFit="1" customWidth="1"/>
    <col min="616" max="616" width="18.42578125" style="1" bestFit="1" customWidth="1"/>
    <col min="617" max="617" width="21.5703125" style="1" bestFit="1" customWidth="1"/>
    <col min="618" max="618" width="18.42578125" style="1" bestFit="1" customWidth="1"/>
    <col min="619" max="619" width="15.140625" style="1" bestFit="1" customWidth="1"/>
    <col min="620" max="620" width="18.42578125" style="1" bestFit="1" customWidth="1"/>
    <col min="621" max="621" width="21.5703125" style="1" bestFit="1" customWidth="1"/>
    <col min="622" max="622" width="18.42578125" style="1" bestFit="1" customWidth="1"/>
    <col min="623" max="623" width="21.5703125" style="1" bestFit="1" customWidth="1"/>
    <col min="624" max="624" width="18.42578125" style="1" bestFit="1" customWidth="1"/>
    <col min="625" max="625" width="15.140625" style="1" bestFit="1" customWidth="1"/>
    <col min="626" max="626" width="18.42578125" style="1" bestFit="1" customWidth="1"/>
    <col min="627" max="627" width="21.5703125" style="1" bestFit="1" customWidth="1"/>
    <col min="628" max="628" width="18.42578125" style="1" bestFit="1" customWidth="1"/>
    <col min="629" max="629" width="21.5703125" style="1" bestFit="1" customWidth="1"/>
    <col min="630" max="630" width="18.42578125" style="1" bestFit="1" customWidth="1"/>
    <col min="631" max="631" width="15.140625" style="1" bestFit="1" customWidth="1"/>
    <col min="632" max="632" width="18.42578125" style="1" bestFit="1" customWidth="1"/>
    <col min="633" max="633" width="21.5703125" style="1" bestFit="1" customWidth="1"/>
    <col min="634" max="634" width="18.42578125" style="1" bestFit="1" customWidth="1"/>
    <col min="635" max="635" width="21.5703125" style="1" bestFit="1" customWidth="1"/>
    <col min="636" max="636" width="18.42578125" style="1" bestFit="1" customWidth="1"/>
    <col min="637" max="637" width="21.5703125" style="1" bestFit="1" customWidth="1"/>
    <col min="638" max="638" width="18.42578125" style="1" bestFit="1" customWidth="1"/>
    <col min="639" max="639" width="15.140625" style="1" bestFit="1" customWidth="1"/>
    <col min="640" max="640" width="18.42578125" style="1" bestFit="1" customWidth="1"/>
    <col min="641" max="641" width="15.140625" style="1" bestFit="1" customWidth="1"/>
    <col min="642" max="642" width="18.42578125" style="1" bestFit="1" customWidth="1"/>
    <col min="643" max="643" width="21.5703125" style="1" bestFit="1" customWidth="1"/>
    <col min="644" max="644" width="18.42578125" style="1" bestFit="1" customWidth="1"/>
    <col min="645" max="645" width="21.5703125" style="1" bestFit="1" customWidth="1"/>
    <col min="646" max="646" width="18.42578125" style="1" bestFit="1" customWidth="1"/>
    <col min="647" max="647" width="21.5703125" style="1" bestFit="1" customWidth="1"/>
    <col min="648" max="648" width="18.42578125" style="1" bestFit="1" customWidth="1"/>
    <col min="649" max="649" width="21.5703125" style="1" bestFit="1" customWidth="1"/>
    <col min="650" max="650" width="18.42578125" style="1" bestFit="1" customWidth="1"/>
    <col min="651" max="651" width="15.140625" style="1" bestFit="1" customWidth="1"/>
    <col min="652" max="652" width="18.42578125" style="1" bestFit="1" customWidth="1"/>
    <col min="653" max="653" width="21.5703125" style="1" bestFit="1" customWidth="1"/>
    <col min="654" max="654" width="18.42578125" style="1" bestFit="1" customWidth="1"/>
    <col min="655" max="655" width="21.5703125" style="1" bestFit="1" customWidth="1"/>
    <col min="656" max="656" width="18.42578125" style="1" bestFit="1" customWidth="1"/>
    <col min="657" max="657" width="21.5703125" style="1" bestFit="1" customWidth="1"/>
    <col min="658" max="658" width="18.42578125" style="1" bestFit="1" customWidth="1"/>
    <col min="659" max="659" width="15.140625" style="1" bestFit="1" customWidth="1"/>
    <col min="660" max="660" width="18.42578125" style="1" bestFit="1" customWidth="1"/>
    <col min="661" max="661" width="21.5703125" style="1" bestFit="1" customWidth="1"/>
    <col min="662" max="662" width="18.42578125" style="1" bestFit="1" customWidth="1"/>
    <col min="663" max="663" width="21.5703125" style="1" bestFit="1" customWidth="1"/>
    <col min="664" max="664" width="18.42578125" style="1" bestFit="1" customWidth="1"/>
    <col min="665" max="665" width="15.140625" style="1" bestFit="1" customWidth="1"/>
    <col min="666" max="666" width="18.42578125" style="1" bestFit="1" customWidth="1"/>
    <col min="667" max="667" width="15.140625" style="1" bestFit="1" customWidth="1"/>
    <col min="668" max="668" width="18.42578125" style="1" bestFit="1" customWidth="1"/>
    <col min="669" max="669" width="15.140625" style="1" bestFit="1" customWidth="1"/>
    <col min="670" max="670" width="18.42578125" style="1" bestFit="1" customWidth="1"/>
    <col min="671" max="671" width="15.140625" style="1" bestFit="1" customWidth="1"/>
    <col min="672" max="672" width="18.42578125" style="1" bestFit="1" customWidth="1"/>
    <col min="673" max="673" width="21.5703125" style="1" bestFit="1" customWidth="1"/>
    <col min="674" max="674" width="18.42578125" style="1" bestFit="1" customWidth="1"/>
    <col min="675" max="675" width="15.140625" style="1" bestFit="1" customWidth="1"/>
    <col min="676" max="676" width="18.42578125" style="1" bestFit="1" customWidth="1"/>
    <col min="677" max="677" width="12.5703125" style="1" bestFit="1" customWidth="1"/>
    <col min="678" max="16384" width="9.140625" style="1"/>
  </cols>
  <sheetData>
    <row r="1" spans="1:5">
      <c r="A1" s="1" t="s">
        <v>7529</v>
      </c>
      <c r="B1" s="1" t="s">
        <v>7530</v>
      </c>
    </row>
    <row r="3" spans="1:5">
      <c r="A3" s="114" t="s">
        <v>492</v>
      </c>
      <c r="B3" s="114" t="s">
        <v>7531</v>
      </c>
      <c r="C3" s="114" t="s">
        <v>7532</v>
      </c>
      <c r="D3" s="114" t="s">
        <v>7533</v>
      </c>
      <c r="E3" s="114" t="s">
        <v>7534</v>
      </c>
    </row>
    <row r="4" spans="1:5">
      <c r="A4" s="1" t="s">
        <v>1638</v>
      </c>
      <c r="B4" s="1">
        <v>6</v>
      </c>
      <c r="C4" s="111">
        <v>4.6118370484242886E-3</v>
      </c>
      <c r="D4" s="120">
        <v>0.85714285714285698</v>
      </c>
      <c r="E4" s="120">
        <v>0.85714285714285698</v>
      </c>
    </row>
    <row r="5" spans="1:5">
      <c r="A5" s="1" t="s">
        <v>564</v>
      </c>
      <c r="B5" s="1">
        <v>1</v>
      </c>
      <c r="C5" s="111">
        <v>7.6863950807071484E-4</v>
      </c>
      <c r="D5" s="120">
        <v>0.33333333333333331</v>
      </c>
      <c r="E5" s="120">
        <v>0.33333333333333331</v>
      </c>
    </row>
    <row r="6" spans="1:5">
      <c r="A6" s="122" t="s">
        <v>830</v>
      </c>
      <c r="B6" s="122">
        <v>32</v>
      </c>
      <c r="C6" s="123">
        <v>2.4596464258262875E-2</v>
      </c>
      <c r="D6" s="120">
        <v>20.999999999999996</v>
      </c>
      <c r="E6" s="120">
        <v>20.999999999999996</v>
      </c>
    </row>
    <row r="7" spans="1:5">
      <c r="A7" s="1" t="s">
        <v>1059</v>
      </c>
      <c r="B7" s="1">
        <v>6</v>
      </c>
      <c r="C7" s="111">
        <v>4.6118370484242886E-3</v>
      </c>
      <c r="D7" s="120">
        <v>1.9999999999999998</v>
      </c>
      <c r="E7" s="120">
        <v>1.9999999999999998</v>
      </c>
    </row>
    <row r="8" spans="1:5">
      <c r="A8" s="122" t="s">
        <v>609</v>
      </c>
      <c r="B8" s="122">
        <v>84</v>
      </c>
      <c r="C8" s="123">
        <v>6.4565718677940045E-2</v>
      </c>
      <c r="D8" s="120">
        <v>46.499999999999993</v>
      </c>
      <c r="E8" s="120">
        <v>46.499999999999993</v>
      </c>
    </row>
    <row r="9" spans="1:5">
      <c r="A9" s="122" t="s">
        <v>527</v>
      </c>
      <c r="B9" s="122">
        <v>931</v>
      </c>
      <c r="C9" s="123">
        <v>0.71560338201383555</v>
      </c>
      <c r="D9" s="120">
        <v>475.54871794871639</v>
      </c>
      <c r="E9" s="120">
        <v>475.54871794871639</v>
      </c>
    </row>
    <row r="10" spans="1:5">
      <c r="A10" s="122" t="s">
        <v>630</v>
      </c>
      <c r="B10" s="122">
        <v>17</v>
      </c>
      <c r="C10" s="123">
        <v>1.3066871637202153E-2</v>
      </c>
      <c r="D10" s="120">
        <v>10.5</v>
      </c>
      <c r="E10" s="120">
        <v>10.5</v>
      </c>
    </row>
    <row r="11" spans="1:5">
      <c r="A11" s="1" t="s">
        <v>2968</v>
      </c>
      <c r="B11" s="1">
        <v>1</v>
      </c>
      <c r="C11" s="111">
        <v>7.6863950807071484E-4</v>
      </c>
      <c r="D11" s="120">
        <v>1</v>
      </c>
      <c r="E11" s="120">
        <v>1</v>
      </c>
    </row>
    <row r="12" spans="1:5">
      <c r="A12" s="1" t="s">
        <v>3016</v>
      </c>
      <c r="B12" s="1">
        <v>1</v>
      </c>
      <c r="C12" s="111">
        <v>7.6863950807071484E-4</v>
      </c>
      <c r="D12" s="120">
        <v>0.5</v>
      </c>
      <c r="E12" s="120">
        <v>0.5</v>
      </c>
    </row>
    <row r="13" spans="1:5">
      <c r="A13" s="1" t="s">
        <v>3152</v>
      </c>
      <c r="B13" s="1">
        <v>3</v>
      </c>
      <c r="C13" s="111">
        <v>2.3059185242121443E-3</v>
      </c>
      <c r="D13" s="120">
        <v>1</v>
      </c>
      <c r="E13" s="120">
        <v>1</v>
      </c>
    </row>
    <row r="14" spans="1:5">
      <c r="A14" s="1" t="s">
        <v>4126</v>
      </c>
      <c r="B14" s="1">
        <v>2</v>
      </c>
      <c r="C14" s="111">
        <v>1.5372790161414297E-3</v>
      </c>
      <c r="D14" s="120">
        <v>0.66666666666666663</v>
      </c>
      <c r="E14" s="120">
        <v>0.66666666666666663</v>
      </c>
    </row>
    <row r="15" spans="1:5">
      <c r="A15" s="1" t="s">
        <v>4027</v>
      </c>
      <c r="B15" s="1">
        <v>3</v>
      </c>
      <c r="C15" s="111">
        <v>2.3059185242121443E-3</v>
      </c>
      <c r="D15" s="120">
        <v>2</v>
      </c>
      <c r="E15" s="120">
        <v>2</v>
      </c>
    </row>
    <row r="16" spans="1:5">
      <c r="A16" s="122" t="s">
        <v>4181</v>
      </c>
      <c r="B16" s="122">
        <v>11</v>
      </c>
      <c r="C16" s="123">
        <v>8.4550345887778634E-3</v>
      </c>
      <c r="D16" s="120">
        <v>6</v>
      </c>
      <c r="E16" s="120">
        <v>6</v>
      </c>
    </row>
    <row r="17" spans="1:5">
      <c r="A17" s="1" t="s">
        <v>7535</v>
      </c>
      <c r="B17" s="1">
        <v>2</v>
      </c>
      <c r="C17" s="111">
        <v>1.5372790161414297E-3</v>
      </c>
      <c r="D17" s="120">
        <v>2</v>
      </c>
      <c r="E17" s="120">
        <v>2</v>
      </c>
    </row>
    <row r="18" spans="1:5">
      <c r="A18" s="1" t="s">
        <v>2458</v>
      </c>
      <c r="B18" s="1">
        <v>4</v>
      </c>
      <c r="C18" s="111">
        <v>3.0745580322828594E-3</v>
      </c>
      <c r="D18" s="120">
        <v>1.5</v>
      </c>
      <c r="E18" s="120">
        <v>1.5</v>
      </c>
    </row>
    <row r="19" spans="1:5">
      <c r="A19" s="1" t="s">
        <v>4286</v>
      </c>
      <c r="B19" s="1">
        <v>3</v>
      </c>
      <c r="C19" s="111">
        <v>2.3059185242121443E-3</v>
      </c>
      <c r="D19" s="120">
        <v>1</v>
      </c>
      <c r="E19" s="120">
        <v>1</v>
      </c>
    </row>
    <row r="20" spans="1:5">
      <c r="A20" s="1" t="s">
        <v>4349</v>
      </c>
      <c r="B20" s="1">
        <v>7</v>
      </c>
      <c r="C20" s="111">
        <v>5.3804765564950041E-3</v>
      </c>
      <c r="D20" s="120">
        <v>0.99999999999999978</v>
      </c>
      <c r="E20" s="120">
        <v>0.99999999999999978</v>
      </c>
    </row>
    <row r="21" spans="1:5">
      <c r="A21" s="1" t="s">
        <v>1419</v>
      </c>
      <c r="B21" s="1">
        <v>2</v>
      </c>
      <c r="C21" s="111">
        <v>1.5372790161414297E-3</v>
      </c>
      <c r="D21" s="120">
        <v>1.5</v>
      </c>
      <c r="E21" s="120">
        <v>1.5</v>
      </c>
    </row>
    <row r="22" spans="1:5">
      <c r="A22" s="1" t="s">
        <v>1424</v>
      </c>
      <c r="B22" s="1">
        <v>1</v>
      </c>
      <c r="C22" s="111">
        <v>7.6863950807071484E-4</v>
      </c>
      <c r="D22" s="120">
        <v>0.5</v>
      </c>
      <c r="E22" s="120">
        <v>0.5</v>
      </c>
    </row>
    <row r="23" spans="1:5">
      <c r="A23" s="1" t="s">
        <v>2385</v>
      </c>
      <c r="B23" s="1">
        <v>1</v>
      </c>
      <c r="C23" s="111">
        <v>7.6863950807071484E-4</v>
      </c>
      <c r="D23" s="120">
        <v>1</v>
      </c>
      <c r="E23" s="120">
        <v>1</v>
      </c>
    </row>
    <row r="24" spans="1:5">
      <c r="A24" s="1" t="s">
        <v>2619</v>
      </c>
      <c r="B24" s="1">
        <v>1</v>
      </c>
      <c r="C24" s="111">
        <v>7.6863950807071484E-4</v>
      </c>
      <c r="D24" s="120">
        <v>1</v>
      </c>
      <c r="E24" s="120">
        <v>1</v>
      </c>
    </row>
    <row r="25" spans="1:5">
      <c r="A25" s="1" t="s">
        <v>3766</v>
      </c>
      <c r="B25" s="1">
        <v>1</v>
      </c>
      <c r="C25" s="111">
        <v>7.6863950807071484E-4</v>
      </c>
      <c r="D25" s="120">
        <v>1</v>
      </c>
      <c r="E25" s="120">
        <v>1</v>
      </c>
    </row>
    <row r="26" spans="1:5">
      <c r="A26" s="1" t="s">
        <v>3904</v>
      </c>
      <c r="B26" s="1">
        <v>4</v>
      </c>
      <c r="C26" s="111">
        <v>3.0745580322828594E-3</v>
      </c>
      <c r="D26" s="120">
        <v>2.833333333333333</v>
      </c>
      <c r="E26" s="120">
        <v>2.833333333333333</v>
      </c>
    </row>
    <row r="27" spans="1:5">
      <c r="A27" s="1" t="s">
        <v>4008</v>
      </c>
      <c r="B27" s="1">
        <v>1</v>
      </c>
      <c r="C27" s="111">
        <v>7.6863950807071484E-4</v>
      </c>
      <c r="D27" s="120">
        <v>1</v>
      </c>
      <c r="E27" s="120">
        <v>1</v>
      </c>
    </row>
    <row r="28" spans="1:5">
      <c r="A28" s="122" t="s">
        <v>4506</v>
      </c>
      <c r="B28" s="122">
        <v>138</v>
      </c>
      <c r="C28" s="123">
        <v>0.10607225211375865</v>
      </c>
      <c r="D28" s="120">
        <v>99.916666666666671</v>
      </c>
      <c r="E28" s="120">
        <v>99.916666666666671</v>
      </c>
    </row>
    <row r="29" spans="1:5">
      <c r="A29" s="122" t="s">
        <v>4511</v>
      </c>
      <c r="B29" s="122">
        <v>13</v>
      </c>
      <c r="C29" s="123">
        <v>9.9923136049192927E-3</v>
      </c>
      <c r="D29" s="120">
        <v>9.25</v>
      </c>
      <c r="E29" s="120">
        <v>9.25</v>
      </c>
    </row>
    <row r="30" spans="1:5">
      <c r="A30" s="1" t="s">
        <v>4746</v>
      </c>
      <c r="B30" s="1">
        <v>1</v>
      </c>
      <c r="C30" s="111">
        <v>7.6863950807071484E-4</v>
      </c>
      <c r="D30" s="120">
        <v>1</v>
      </c>
      <c r="E30" s="120">
        <v>1</v>
      </c>
    </row>
    <row r="31" spans="1:5">
      <c r="A31" s="1" t="s">
        <v>4776</v>
      </c>
      <c r="B31" s="1">
        <v>2</v>
      </c>
      <c r="C31" s="111">
        <v>1.5372790161414297E-3</v>
      </c>
      <c r="D31" s="120">
        <v>2</v>
      </c>
      <c r="E31" s="120">
        <v>2</v>
      </c>
    </row>
    <row r="32" spans="1:5">
      <c r="A32" s="1" t="s">
        <v>5174</v>
      </c>
      <c r="B32" s="1">
        <v>6</v>
      </c>
      <c r="C32" s="111">
        <v>4.6118370484242886E-3</v>
      </c>
      <c r="D32" s="120">
        <v>2</v>
      </c>
      <c r="E32" s="120">
        <v>2</v>
      </c>
    </row>
    <row r="33" spans="1:5">
      <c r="A33" s="1" t="s">
        <v>4122</v>
      </c>
      <c r="B33" s="1">
        <v>1</v>
      </c>
      <c r="C33" s="111">
        <v>7.6863950807071484E-4</v>
      </c>
      <c r="D33" s="120">
        <v>0.33333333333333331</v>
      </c>
      <c r="E33" s="120">
        <v>0.33333333333333331</v>
      </c>
    </row>
    <row r="34" spans="1:5">
      <c r="A34" s="1" t="s">
        <v>4895</v>
      </c>
      <c r="B34" s="1">
        <v>1</v>
      </c>
      <c r="C34" s="111">
        <v>7.6863950807071484E-4</v>
      </c>
      <c r="D34" s="120">
        <v>1</v>
      </c>
      <c r="E34" s="120">
        <v>1</v>
      </c>
    </row>
    <row r="35" spans="1:5">
      <c r="A35" s="1" t="s">
        <v>3017</v>
      </c>
      <c r="B35" s="1">
        <v>1</v>
      </c>
      <c r="C35" s="111">
        <v>7.6863950807071484E-4</v>
      </c>
      <c r="D35" s="120">
        <v>0.5</v>
      </c>
      <c r="E35" s="120">
        <v>0.5</v>
      </c>
    </row>
    <row r="36" spans="1:5">
      <c r="A36" s="1" t="s">
        <v>5356</v>
      </c>
      <c r="B36" s="1">
        <v>1</v>
      </c>
      <c r="C36" s="111">
        <v>7.6863950807071484E-4</v>
      </c>
      <c r="D36" s="120">
        <v>0.5</v>
      </c>
      <c r="E36" s="120">
        <v>0.5</v>
      </c>
    </row>
    <row r="37" spans="1:5">
      <c r="A37" s="1" t="s">
        <v>5533</v>
      </c>
      <c r="B37" s="1">
        <v>1</v>
      </c>
      <c r="C37" s="111">
        <v>7.6863950807071484E-4</v>
      </c>
      <c r="D37" s="120">
        <v>1</v>
      </c>
      <c r="E37" s="120">
        <v>1</v>
      </c>
    </row>
    <row r="38" spans="1:5">
      <c r="A38" s="1" t="s">
        <v>5657</v>
      </c>
      <c r="B38" s="1">
        <v>2</v>
      </c>
      <c r="C38" s="111">
        <v>1.5372790161414297E-3</v>
      </c>
      <c r="D38" s="120">
        <v>1</v>
      </c>
      <c r="E38" s="120">
        <v>1</v>
      </c>
    </row>
    <row r="39" spans="1:5">
      <c r="A39" s="1" t="s">
        <v>6073</v>
      </c>
      <c r="B39" s="1">
        <v>2</v>
      </c>
      <c r="C39" s="111">
        <v>1.5372790161414297E-3</v>
      </c>
      <c r="D39" s="120">
        <v>1</v>
      </c>
      <c r="E39" s="120">
        <v>1</v>
      </c>
    </row>
    <row r="40" spans="1:5">
      <c r="A40" s="1" t="s">
        <v>6096</v>
      </c>
      <c r="B40" s="1">
        <v>2</v>
      </c>
      <c r="C40" s="111">
        <v>1.5372790161414297E-3</v>
      </c>
      <c r="D40" s="120">
        <v>1</v>
      </c>
      <c r="E40" s="120">
        <v>1</v>
      </c>
    </row>
    <row r="41" spans="1:5">
      <c r="A41" s="1" t="s">
        <v>6353</v>
      </c>
      <c r="B41" s="1">
        <v>2</v>
      </c>
      <c r="C41" s="111">
        <v>1.5372790161414297E-3</v>
      </c>
      <c r="D41" s="120">
        <v>0.5</v>
      </c>
      <c r="E41" s="120">
        <v>0.5</v>
      </c>
    </row>
    <row r="42" spans="1:5">
      <c r="A42" s="1" t="s">
        <v>6405</v>
      </c>
      <c r="B42" s="1">
        <v>1</v>
      </c>
      <c r="C42" s="111">
        <v>7.6863950807071484E-4</v>
      </c>
      <c r="D42" s="120">
        <v>1</v>
      </c>
      <c r="E42" s="120">
        <v>1</v>
      </c>
    </row>
    <row r="43" spans="1:5">
      <c r="A43" s="1" t="s">
        <v>6477</v>
      </c>
      <c r="B43" s="1">
        <v>1</v>
      </c>
      <c r="C43" s="111">
        <v>7.6863950807071484E-4</v>
      </c>
      <c r="D43" s="120">
        <v>1</v>
      </c>
      <c r="E43" s="120">
        <v>1</v>
      </c>
    </row>
    <row r="44" spans="1:5">
      <c r="A44" s="1" t="s">
        <v>6523</v>
      </c>
      <c r="B44" s="1">
        <v>1</v>
      </c>
      <c r="C44" s="111">
        <v>7.6863950807071484E-4</v>
      </c>
      <c r="D44" s="120">
        <v>1</v>
      </c>
      <c r="E44" s="120">
        <v>1</v>
      </c>
    </row>
    <row r="45" spans="1:5">
      <c r="A45" s="112" t="s">
        <v>7536</v>
      </c>
      <c r="B45" s="112">
        <v>1301</v>
      </c>
      <c r="C45" s="113">
        <v>1</v>
      </c>
      <c r="D45" s="121">
        <v>706.23919413919498</v>
      </c>
      <c r="E45" s="121">
        <v>706.23919413919498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I107"/>
  <sheetViews>
    <sheetView zoomScale="93" workbookViewId="0">
      <selection activeCell="A108" sqref="A108"/>
    </sheetView>
  </sheetViews>
  <sheetFormatPr defaultColWidth="11.42578125" defaultRowHeight="12.75"/>
  <cols>
    <col min="1" max="1" width="69.28515625" style="28" bestFit="1" customWidth="1"/>
    <col min="2" max="3" width="12.7109375" style="61" customWidth="1"/>
    <col min="4" max="7" width="12.7109375" style="28" customWidth="1"/>
    <col min="8" max="16384" width="11.42578125" style="28"/>
  </cols>
  <sheetData>
    <row r="1" spans="1:7" ht="45" customHeight="1">
      <c r="A1" s="63" t="s">
        <v>7537</v>
      </c>
    </row>
    <row r="2" spans="1:7" ht="12.75" customHeight="1"/>
    <row r="3" spans="1:7" ht="12.75" customHeight="1"/>
    <row r="4" spans="1:7" ht="30" customHeight="1">
      <c r="A4" s="72" t="s">
        <v>7538</v>
      </c>
    </row>
    <row r="5" spans="1:7" ht="12.75" customHeight="1"/>
    <row r="6" spans="1:7" ht="27.95" customHeight="1">
      <c r="A6" s="65" t="s">
        <v>7539</v>
      </c>
      <c r="B6" s="65" t="s">
        <v>7540</v>
      </c>
      <c r="C6" s="65" t="s">
        <v>7541</v>
      </c>
      <c r="D6" s="64" t="s">
        <v>487</v>
      </c>
      <c r="E6" s="64" t="s">
        <v>7542</v>
      </c>
    </row>
    <row r="7" spans="1:7" ht="12.75" customHeight="1">
      <c r="A7" s="42" t="s">
        <v>7543</v>
      </c>
      <c r="B7" s="80">
        <f>SUMIFS(Tableau6[Nb Repetition],Tableau6[Pelican Extraction n°],"1",Tableau6[TRANSIT],"N",Tableau6[SODEXI],"N")</f>
        <v>3.5</v>
      </c>
      <c r="C7" s="80">
        <f>SUMIFS(Tableau6[Nb Repetition],Tableau6[Pelican Extraction n°],1,Tableau6[TRANSIT],"Y",Tableau6[SODEXI],"N")</f>
        <v>9.3333333333333321</v>
      </c>
      <c r="D7" s="80">
        <f>SUMIFS(Tableau6[Nb Repetition],Tableau6[Pelican Extraction n°],1,Tableau6[SODEXI],"Y")</f>
        <v>0</v>
      </c>
      <c r="E7" s="108">
        <f>Tableau79[[#This Row],[Export Air France]]+Tableau79[[#This Row],[Transit Air France]]</f>
        <v>12.833333333333332</v>
      </c>
    </row>
    <row r="8" spans="1:7" ht="12.75" customHeight="1">
      <c r="A8" s="70" t="s">
        <v>7544</v>
      </c>
      <c r="B8" s="80">
        <f>SUMIFS(Tableau6[Nb Repetition],Tableau6[Pelican Extraction n°],2,Tableau6[TRANSIT],"N",Tableau6[SODEXI],"N")</f>
        <v>18.857142857142854</v>
      </c>
      <c r="C8" s="80">
        <f>SUMIFS(Tableau6[Nb Repetition],Tableau6[Pelican Extraction n°],2,Tableau6[TRANSIT],"Y",Tableau6[SODEXI],"N")</f>
        <v>294.57777777777773</v>
      </c>
      <c r="D8" s="80">
        <f>SUMIFS(Tableau6[Nb Repetition],Tableau6[Pelican Extraction n°],2,Tableau6[SODEXI],"Y")</f>
        <v>0</v>
      </c>
      <c r="E8" s="108">
        <f>Tableau79[[#This Row],[Export Air France]]+Tableau79[[#This Row],[Transit Air France]]</f>
        <v>313.43492063492056</v>
      </c>
    </row>
    <row r="9" spans="1:7" ht="12.75" customHeight="1">
      <c r="A9" s="69" t="s">
        <v>7545</v>
      </c>
      <c r="B9" s="80">
        <f>B10+B11+B12</f>
        <v>138.64285714285717</v>
      </c>
      <c r="C9" s="80">
        <f t="shared" ref="C9:E9" si="0">C10+C11+C12</f>
        <v>625.08888888888896</v>
      </c>
      <c r="D9" s="80">
        <f t="shared" si="0"/>
        <v>0</v>
      </c>
      <c r="E9" s="80">
        <f t="shared" si="0"/>
        <v>763.73174603174607</v>
      </c>
    </row>
    <row r="10" spans="1:7" ht="12.75" customHeight="1">
      <c r="A10" s="132" t="s">
        <v>7546</v>
      </c>
      <c r="B10" s="134">
        <f>SUMIFS(Tableau6[Nb Repetition],Tableau6[Pelican Extraction n°],"3.1",Tableau6[TRANSIT],"N",Tableau6[SODEXI],"N")</f>
        <v>42.80952380952381</v>
      </c>
      <c r="C10" s="134">
        <f>SUMIFS(Tableau6[Nb Repetition],Tableau6[Pelican Extraction n°],"3.1",Tableau6[TRANSIT],"Y",Tableau6[SODEXI],"N")</f>
        <v>367.8666666666665</v>
      </c>
      <c r="D10" s="134">
        <f>SUMIFS(Tableau6[Nb Repetition],Tableau6[Pelican Extraction n°],"3.1",Tableau6[SODEXI],"Y")</f>
        <v>0</v>
      </c>
      <c r="E10" s="135">
        <f>Tableau79[[#This Row],[Export Air France]]+Tableau79[[#This Row],[Transit Air France]]</f>
        <v>410.6761904761903</v>
      </c>
    </row>
    <row r="11" spans="1:7" ht="12.75" customHeight="1">
      <c r="A11" s="132" t="s">
        <v>7547</v>
      </c>
      <c r="B11" s="134">
        <f>SUMIFS(Tableau6[Nb Repetition],Tableau6[Pelican Extraction n°],"3.2",Tableau6[TRANSIT],"N",Tableau6[SODEXI],"N")</f>
        <v>44.583333333333336</v>
      </c>
      <c r="C11" s="134">
        <f>SUMIFS(Tableau6[Nb Repetition],Tableau6[Pelican Extraction n°],"3.2",Tableau6[TRANSIT],"Y",Tableau6[SODEXI],"N")</f>
        <v>167.85427350427361</v>
      </c>
      <c r="D11" s="134">
        <f>SUMIFS(Tableau6[Nb Repetition],Tableau6[Pelican Extraction n°],"3.2",Tableau6[SODEXI],"Y")</f>
        <v>0</v>
      </c>
      <c r="E11" s="135">
        <f>Tableau79[[#This Row],[Export Air France]]+Tableau79[[#This Row],[Transit Air France]]</f>
        <v>212.43760683760695</v>
      </c>
    </row>
    <row r="12" spans="1:7" ht="12.75" customHeight="1">
      <c r="A12" s="132" t="s">
        <v>7548</v>
      </c>
      <c r="B12" s="134">
        <f>SUMIFS(Tableau6[Nb Repetition],Tableau6[Pelican Extraction n°],"3.3",Tableau6[TRANSIT],"N",Tableau6[SODEXI],"N")</f>
        <v>51.250000000000021</v>
      </c>
      <c r="C12" s="134">
        <f>SUMIFS(Tableau6[Nb Repetition],Tableau6[Pelican Extraction n°],"3.3",Tableau6[TRANSIT],"Y",Tableau6[SODEXI],"N")</f>
        <v>89.367948717948764</v>
      </c>
      <c r="D12" s="134">
        <f>SUMIFS(Tableau6[Nb Repetition],Tableau6[Pelican Extraction n°],"3.3",Tableau6[SODEXI],"Y")</f>
        <v>0</v>
      </c>
      <c r="E12" s="135">
        <f>Tableau79[[#This Row],[Export Air France]]+Tableau79[[#This Row],[Transit Air France]]</f>
        <v>140.61794871794879</v>
      </c>
    </row>
    <row r="13" spans="1:7" ht="12.75" customHeight="1">
      <c r="A13" s="67" t="s">
        <v>7542</v>
      </c>
      <c r="B13" s="97">
        <f>B7+B8+B9</f>
        <v>161.00000000000003</v>
      </c>
      <c r="C13" s="97">
        <f t="shared" ref="C13" si="1">C7+C8+C9</f>
        <v>929</v>
      </c>
      <c r="D13" s="97">
        <f t="shared" ref="D13" si="2">D7+D8+D9</f>
        <v>0</v>
      </c>
      <c r="E13" s="97">
        <f t="shared" ref="E13" si="3">E7+E8+E9</f>
        <v>1090</v>
      </c>
      <c r="G13" s="28" t="s">
        <v>7549</v>
      </c>
    </row>
    <row r="14" spans="1:7" ht="12.75" customHeight="1">
      <c r="B14" s="28"/>
      <c r="C14" s="28"/>
    </row>
    <row r="15" spans="1:7" ht="12.75" customHeight="1">
      <c r="B15" s="107">
        <f>B13/E13</f>
        <v>0.14770642201834866</v>
      </c>
      <c r="C15" s="107">
        <f>C13/E13</f>
        <v>0.8522935779816514</v>
      </c>
    </row>
    <row r="16" spans="1:7" ht="12.75" customHeight="1">
      <c r="B16" s="28"/>
      <c r="C16" s="28"/>
    </row>
    <row r="17" spans="1:9" ht="27.95" customHeight="1">
      <c r="A17" s="65" t="s">
        <v>7550</v>
      </c>
      <c r="B17" s="65" t="s">
        <v>7540</v>
      </c>
      <c r="C17" s="65" t="s">
        <v>7541</v>
      </c>
      <c r="D17" s="64" t="s">
        <v>487</v>
      </c>
      <c r="E17" s="64" t="s">
        <v>7542</v>
      </c>
    </row>
    <row r="18" spans="1:9" ht="12.75" customHeight="1">
      <c r="A18" s="42" t="s">
        <v>7543</v>
      </c>
      <c r="B18" s="61">
        <f>COUNTIFS(Tableau6[Pelican Extraction n°],"1",Tableau6[SODEXI],"N",Tableau6[TRANSIT],"N")</f>
        <v>7</v>
      </c>
      <c r="C18" s="61">
        <f>COUNTIFS(Tableau6[Pelican Extraction n°],"1",Tableau6[SODEXI],"N",Tableau6[TRANSIT],"Y")</f>
        <v>13</v>
      </c>
      <c r="D18" s="61">
        <f>COUNTIFS(Tableau6[Pelican Extraction n°],"1",Tableau6[SODEXI],"Y")</f>
        <v>0</v>
      </c>
      <c r="E18" s="28">
        <f>Tableau7[[#This Row],[Export Air France]]+Tableau7[[#This Row],[Transit Air France]]</f>
        <v>20</v>
      </c>
    </row>
    <row r="19" spans="1:9" ht="12.75" customHeight="1">
      <c r="A19" s="70" t="s">
        <v>7544</v>
      </c>
      <c r="B19" s="61">
        <f>COUNTIFS(Tableau6[Pelican Extraction n°],"2",Tableau6[SODEXI],"N",Tableau6[TRANSIT],"N")</f>
        <v>37</v>
      </c>
      <c r="C19" s="61">
        <f>COUNTIFS(Tableau6[Pelican Extraction n°],"2",Tableau6[SODEXI],"N",Tableau6[TRANSIT],"Y")</f>
        <v>567</v>
      </c>
      <c r="D19" s="61">
        <f>COUNTIFS(Tableau6[Pelican Extraction n°],"2",Tableau6[SODEXI],"Y")</f>
        <v>0</v>
      </c>
      <c r="E19" s="28">
        <f>Tableau7[[#This Row],[Export Air France]]+Tableau7[[#This Row],[Transit Air France]]</f>
        <v>604</v>
      </c>
    </row>
    <row r="20" spans="1:9" ht="12.75" customHeight="1">
      <c r="A20" s="69" t="s">
        <v>7545</v>
      </c>
      <c r="B20" s="61">
        <f>B21+B22+B23</f>
        <v>198</v>
      </c>
      <c r="C20" s="61">
        <f t="shared" ref="C20:D20" si="4">C21+C22+C23</f>
        <v>1136</v>
      </c>
      <c r="D20" s="61">
        <f t="shared" si="4"/>
        <v>0</v>
      </c>
      <c r="E20" s="28">
        <f>Tableau7[[#This Row],[Export Air France]]+Tableau7[[#This Row],[Transit Air France]]</f>
        <v>1334</v>
      </c>
    </row>
    <row r="21" spans="1:9" ht="12.75" customHeight="1">
      <c r="A21" s="132" t="s">
        <v>7546</v>
      </c>
      <c r="B21" s="133">
        <f>COUNTIFS(Tableau6[Pelican Extraction n°],"3.1",Tableau6[SODEXI],"N",Tableau6[TRANSIT],"N")</f>
        <v>66</v>
      </c>
      <c r="C21" s="133">
        <f>COUNTIFS(Tableau6[Pelican Extraction n°],"3.1",Tableau6[SODEXI],"N",Tableau6[TRANSIT],"Y")</f>
        <v>700</v>
      </c>
      <c r="D21" s="133">
        <f>COUNTIFS(Tableau6[Pelican Extraction n°],"3.1",Tableau6[SODEXI],"Y")</f>
        <v>0</v>
      </c>
      <c r="E21" s="132">
        <f>Tableau7[[#This Row],[Export Air France]]+Tableau7[[#This Row],[Transit Air France]]</f>
        <v>766</v>
      </c>
    </row>
    <row r="22" spans="1:9" ht="12.75" customHeight="1">
      <c r="A22" s="132" t="s">
        <v>7547</v>
      </c>
      <c r="B22" s="133">
        <f>COUNTIFS(Tableau6[Pelican Extraction n°],"3.2",Tableau6[SODEXI],"N",Tableau6[TRANSIT],"N")</f>
        <v>53</v>
      </c>
      <c r="C22" s="133">
        <f>COUNTIFS(Tableau6[Pelican Extraction n°],"3.2",Tableau6[SODEXI],"N",Tableau6[TRANSIT],"Y")</f>
        <v>287</v>
      </c>
      <c r="D22" s="133">
        <f>COUNTIFS(Tableau6[Pelican Extraction n°],"3.2",Tableau6[SODEXI],"Y")</f>
        <v>0</v>
      </c>
      <c r="E22" s="132">
        <f>Tableau7[[#This Row],[Export Air France]]+Tableau7[[#This Row],[Transit Air France]]</f>
        <v>340</v>
      </c>
    </row>
    <row r="23" spans="1:9" ht="12.75" customHeight="1">
      <c r="A23" s="132" t="s">
        <v>7548</v>
      </c>
      <c r="B23" s="133">
        <f>COUNTIFS(Tableau6[Pelican Extraction n°],"3.3",Tableau6[SODEXI],"N",Tableau6[TRANSIT],"N")</f>
        <v>79</v>
      </c>
      <c r="C23" s="133">
        <f>COUNTIFS(Tableau6[Pelican Extraction n°],"3.3",Tableau6[SODEXI],"N",Tableau6[TRANSIT],"Y")</f>
        <v>149</v>
      </c>
      <c r="D23" s="133">
        <f>COUNTIFS(Tableau6[Pelican Extraction n°],"3.3",Tableau6[SODEXI],"Y")</f>
        <v>0</v>
      </c>
      <c r="E23" s="132">
        <f>Tableau7[[#This Row],[Export Air France]]+Tableau7[[#This Row],[Transit Air France]]</f>
        <v>228</v>
      </c>
    </row>
    <row r="24" spans="1:9" ht="12.75" customHeight="1">
      <c r="A24" s="67" t="s">
        <v>7542</v>
      </c>
      <c r="B24" s="106">
        <f>B18+B19+B20</f>
        <v>242</v>
      </c>
      <c r="C24" s="106">
        <f>C18+C19+C20</f>
        <v>1716</v>
      </c>
      <c r="D24" s="106">
        <f>D18+D19+D20</f>
        <v>0</v>
      </c>
      <c r="E24" s="106">
        <f>E18+E19+E20</f>
        <v>1958</v>
      </c>
      <c r="G24" s="28" t="s">
        <v>7551</v>
      </c>
    </row>
    <row r="25" spans="1:9" ht="12.75" customHeight="1"/>
    <row r="26" spans="1:9" ht="12.75" customHeight="1">
      <c r="B26" s="136">
        <f>B24/E24</f>
        <v>0.12359550561797752</v>
      </c>
      <c r="C26" s="136">
        <f>C24/E24</f>
        <v>0.8764044943820225</v>
      </c>
    </row>
    <row r="27" spans="1:9" ht="12.75" customHeight="1"/>
    <row r="28" spans="1:9" ht="21.75" customHeight="1">
      <c r="A28" s="159" t="s">
        <v>13</v>
      </c>
      <c r="B28" s="159"/>
      <c r="C28" s="158" t="s">
        <v>7552</v>
      </c>
      <c r="D28" s="158"/>
      <c r="E28" s="158"/>
      <c r="F28" s="158"/>
      <c r="G28" s="158"/>
      <c r="H28" s="158"/>
      <c r="I28" s="158"/>
    </row>
    <row r="30" spans="1:9" ht="39.75" customHeight="1">
      <c r="A30" s="71" t="s">
        <v>7553</v>
      </c>
      <c r="B30" s="71" t="s">
        <v>7554</v>
      </c>
      <c r="C30" s="65" t="s">
        <v>526</v>
      </c>
      <c r="D30" s="65" t="s">
        <v>493</v>
      </c>
      <c r="E30" s="65" t="s">
        <v>563</v>
      </c>
      <c r="F30" s="64" t="s">
        <v>7542</v>
      </c>
      <c r="G30" s="65" t="s">
        <v>7555</v>
      </c>
      <c r="H30" s="65" t="s">
        <v>7556</v>
      </c>
      <c r="I30" s="65" t="s">
        <v>7557</v>
      </c>
    </row>
    <row r="31" spans="1:9">
      <c r="A31" s="42" t="s">
        <v>7558</v>
      </c>
      <c r="B31" s="80">
        <f>SUMIFS(Tableau6[Nb Repetition],Tableau6[Pelican Extraction n°],"1",Tableau6[TRANSIT],"N",Tableau6[IsULD],"N")</f>
        <v>3.5</v>
      </c>
      <c r="C31" s="80">
        <f>SUMIFS(Tableau6[Nb Repetition],Tableau6[Pelican Extraction n°],1,Tableau6[TRANSIT],"N",Tableau6[IsULD],"N",Tableau6[Status],"Passed")</f>
        <v>3.5</v>
      </c>
      <c r="D31" s="80">
        <f>SUMIFS(Tableau6[Nb Repetition],Tableau6[Pelican Extraction n°],1,Tableau6[TRANSIT],"N",Tableau6[IsULD],"N",Tableau6[Status],"Passed",Tableau6[Corrected Manually],"Yes")</f>
        <v>3</v>
      </c>
      <c r="E31" s="80">
        <f>SUMIFS(Tableau6[Nb Repetition],Tableau6[Pelican Extraction n°],1,Tableau6[TRANSIT],"N",Tableau6[IsULD],"N",Tableau6[Status],"Failed")</f>
        <v>0</v>
      </c>
      <c r="F31" s="108">
        <f>Tableau5[[#This Row],[Passed]]+Tableau5[[#This Row],[Failed]]</f>
        <v>3.5</v>
      </c>
      <c r="G31" s="127">
        <f>(Tableau5[[#This Row],[Passed]]-Tableau5[[#This Row],[Corrected Manually]])/Tableau5[[#This Row],[Total]]</f>
        <v>0.14285714285714285</v>
      </c>
      <c r="H31" s="128">
        <f>Tableau5[[#This Row],[Passed]]/Tableau5[[#This Row],[Total]]</f>
        <v>1</v>
      </c>
      <c r="I31" s="129">
        <f>(Tableau5[[#This Row],[Passed]]+Tableau5[[#This Row],[Failed]])/Tableau5[[#This Row],[Received]]</f>
        <v>1</v>
      </c>
    </row>
    <row r="32" spans="1:9">
      <c r="A32" s="42" t="s">
        <v>7559</v>
      </c>
      <c r="B32" s="80">
        <f>SUMIFS(Tableau6[Nb Repetition],Tableau6[Pelican Extraction n°],"1",Tableau6[TRANSIT],"N",Tableau6[IsULD],"Y")</f>
        <v>0</v>
      </c>
      <c r="C32" s="80">
        <f>SUMIFS(Tableau6[Nb Repetition],Tableau6[Pelican Extraction n°],1,Tableau6[TRANSIT],"N",Tableau6[IsULD],"Y",Tableau6[Status],"Passed")</f>
        <v>0</v>
      </c>
      <c r="D32" s="80">
        <f>SUMIFS(Tableau6[Nb Repetition],Tableau6[Pelican Extraction n°],1,Tableau6[TRANSIT],"N",Tableau6[IsULD],"Y",Tableau6[Status],"Passed",Tableau6[Corrected Manually],"Yes")</f>
        <v>0</v>
      </c>
      <c r="E32" s="80">
        <f>SUMIFS(Tableau6[Nb Repetition],Tableau6[Pelican Extraction n°],1,Tableau6[TRANSIT],"N",Tableau6[IsULD],"Y",Tableau6[Status],"Failed")</f>
        <v>0</v>
      </c>
      <c r="F32" s="108">
        <f>Tableau5[[#This Row],[Passed]]+Tableau5[[#This Row],[Failed]]</f>
        <v>0</v>
      </c>
      <c r="G32" s="127"/>
      <c r="H32" s="128"/>
      <c r="I32" s="129"/>
    </row>
    <row r="33" spans="1:9">
      <c r="A33" s="42" t="s">
        <v>7560</v>
      </c>
      <c r="B33" s="80">
        <f>SUMIFS(Tableau6[Nb Repetition],Tableau6[Pelican Extraction n°],1,Tableau6[TRANSIT],"N",Tableau6[SHC Check],"Y")</f>
        <v>0</v>
      </c>
      <c r="C33" s="80">
        <f>SUMIFS(Tableau6[Nb Repetition],Tableau6[Pelican Extraction n°],1,Tableau6[TRANSIT],"N",Tableau6[SHC Check],"Y",Tableau6[Status],"Passed")</f>
        <v>0</v>
      </c>
      <c r="D33" s="80">
        <f>SUMIFS(Tableau6[Nb Repetition],Tableau6[Pelican Extraction n°],1,Tableau6[TRANSIT],"N",Tableau6[SHC Check],"Y",Tableau6[Status],"Passed",Tableau6[Corrected Manually],"Yes")</f>
        <v>0</v>
      </c>
      <c r="E33" s="80">
        <f>SUMIFS(Tableau6[Nb Repetition],Tableau6[Pelican Extraction n°],1,Tableau6[TRANSIT],"N",Tableau6[SHC Check],"Y",Tableau6[Status],"Failed")</f>
        <v>0</v>
      </c>
      <c r="F33" s="108">
        <f>Tableau5[[#This Row],[Passed]]+Tableau5[[#This Row],[Failed]]</f>
        <v>0</v>
      </c>
      <c r="G33" s="127"/>
      <c r="H33" s="128"/>
      <c r="I33" s="129"/>
    </row>
    <row r="34" spans="1:9">
      <c r="A34" s="79" t="s">
        <v>7561</v>
      </c>
      <c r="B34" s="80">
        <f>SUMIFS(Tableau6[Nb Repetition],Tableau6[Pelican Extraction n°],1,Tableau6[TRANSIT],"Y",Tableau6[IsULD],"N",Tableau6[Is ORI =iCargo],"Yes")</f>
        <v>1</v>
      </c>
      <c r="C34" s="80">
        <f>SUMIFS(Tableau6[Nb Repetition],Tableau6[Pelican Extraction n°],1,Tableau6[TRANSIT],"Y",Tableau6[IsULD],"N",Tableau6[Is ORI =iCargo],"Yes",Tableau6[Status],"Passed")</f>
        <v>1</v>
      </c>
      <c r="D34" s="80">
        <f>SUMIFS(Tableau6[Nb Repetition],Tableau6[Pelican Extraction n°],1,Tableau6[TRANSIT],"Y",Tableau6[IsULD],"N",Tableau6[Is ORI =iCargo],"Yes",Tableau6[Status],"Passed",Tableau6[Corrected Manually],"Yes")</f>
        <v>0</v>
      </c>
      <c r="E34" s="80">
        <f>SUMIFS(Tableau6[Nb Repetition],Tableau6[Pelican Extraction n°],1,Tableau6[TRANSIT],"Y",Tableau6[IsULD],"N",Tableau6[Is ORI =iCargo],"Yes",Tableau6[Status],"Failed")</f>
        <v>0</v>
      </c>
      <c r="F34" s="108">
        <f>Tableau5[[#This Row],[Passed]]+Tableau5[[#This Row],[Failed]]</f>
        <v>1</v>
      </c>
      <c r="G34" s="127">
        <f>(Tableau5[[#This Row],[Passed]]-Tableau5[[#This Row],[Corrected Manually]])/Tableau5[[#This Row],[Total]]</f>
        <v>1</v>
      </c>
      <c r="H34" s="128">
        <f>Tableau5[[#This Row],[Passed]]/Tableau5[[#This Row],[Total]]</f>
        <v>1</v>
      </c>
      <c r="I34" s="129">
        <f>(Tableau5[[#This Row],[Passed]]+Tableau5[[#This Row],[Failed]])/Tableau5[[#This Row],[Received]]</f>
        <v>1</v>
      </c>
    </row>
    <row r="35" spans="1:9">
      <c r="A35" s="79" t="s">
        <v>7562</v>
      </c>
      <c r="B35" s="80">
        <f>SUMIFS(Tableau6[Nb Repetition],Tableau6[Pelican Extraction n°],1,Tableau6[TRANSIT],"Y",Tableau6[IsULD],"Y",Tableau6[Is ORI =iCargo],"Yes")</f>
        <v>0</v>
      </c>
      <c r="C35" s="80">
        <f>SUMIFS(Tableau6[Nb Repetition],Tableau6[Pelican Extraction n°],1,Tableau6[TRANSIT],"Y",Tableau6[IsULD],"Y",Tableau6[Is ORI =iCargo],"Yes",Tableau6[Status],"Passed")</f>
        <v>0</v>
      </c>
      <c r="D35" s="80">
        <f>SUMIFS(Tableau6[Nb Repetition],Tableau6[Pelican Extraction n°],1,Tableau6[TRANSIT],"Y",Tableau6[IsULD],"Y",Tableau6[Is ORI =iCargo],"Yes",Tableau6[Status],"Passed",Tableau6[Corrected Manually],"Yes")</f>
        <v>0</v>
      </c>
      <c r="E35" s="80">
        <f>SUMIFS(Tableau6[Nb Repetition],Tableau6[Pelican Extraction n°],1,Tableau6[TRANSIT],"Y",Tableau6[IsULD],"Y",Tableau6[Is ORI =iCargo],"Yes",Tableau6[Status],"Failed")</f>
        <v>0</v>
      </c>
      <c r="F35" s="108">
        <f>Tableau5[[#This Row],[Passed]]+Tableau5[[#This Row],[Failed]]</f>
        <v>0</v>
      </c>
      <c r="G35" s="127"/>
      <c r="H35" s="128"/>
      <c r="I35" s="129"/>
    </row>
    <row r="36" spans="1:9">
      <c r="A36" s="79" t="s">
        <v>7563</v>
      </c>
      <c r="B36" s="80">
        <f>SUMIFS(Tableau6[Nb Repetition],Tableau6[Pelican Extraction n°],1,Tableau6[TRANSIT],"Y",Tableau6[SHC Check],"Y",Tableau6[Is ORI =iCargo],"Yes")</f>
        <v>0</v>
      </c>
      <c r="C36" s="80">
        <f>SUMIFS(Tableau6[Nb Repetition],Tableau6[Pelican Extraction n°],1,Tableau6[TRANSIT],"Y",Tableau6[SHC Check],"Y",Tableau6[Is ORI =iCargo],"Yes",Tableau6[Status],"Passed")</f>
        <v>0</v>
      </c>
      <c r="D36" s="80">
        <f>SUMIFS(Tableau6[Nb Repetition],Tableau6[Pelican Extraction n°],1,Tableau6[TRANSIT],"Y",Tableau6[SHC Check],"Y",Tableau6[Is ORI =iCargo],"Yes",Tableau6[Status],"Passed",Tableau6[Corrected Manually],"Yes")</f>
        <v>0</v>
      </c>
      <c r="E36" s="80">
        <f>SUMIFS(Tableau6[Nb Repetition],Tableau6[Pelican Extraction n°],1,Tableau6[TRANSIT],"Y",Tableau6[SHC Check],"Y",Tableau6[Is ORI =iCargo],"Yes",Tableau6[Status],"Failed")</f>
        <v>0</v>
      </c>
      <c r="F36" s="108">
        <f>Tableau5[[#This Row],[Passed]]+Tableau5[[#This Row],[Failed]]</f>
        <v>0</v>
      </c>
      <c r="G36" s="127"/>
      <c r="H36" s="128"/>
      <c r="I36" s="129"/>
    </row>
    <row r="37" spans="1:9">
      <c r="A37" s="78" t="s">
        <v>7564</v>
      </c>
      <c r="B37" s="80">
        <f>SUMIFS(Tableau6[Nb Repetition],Tableau6[Pelican Extraction n°],1,Tableau6[TRANSIT],"Y",Tableau6[IsULD],"N",Tableau6[Is ORI =iCargo],"No")</f>
        <v>7.9999999999999991</v>
      </c>
      <c r="C37" s="80">
        <f>SUMIFS(Tableau6[Nb Repetition],Tableau6[Pelican Extraction n°],1,Tableau6[TRANSIT],"Y",Tableau6[IsULD],"N",Tableau6[Is ORI =iCargo],"No",Tableau6[Status],"Passed")</f>
        <v>7.9999999999999991</v>
      </c>
      <c r="D37" s="80">
        <f>SUMIFS(Tableau6[Nb Repetition],Tableau6[Pelican Extraction n°],1,Tableau6[TRANSIT],"Y",Tableau6[IsULD],"N",Tableau6[Is ORI =iCargo],"No",Tableau6[Status],"Passed",Tableau6[Corrected Manually],"Yes")</f>
        <v>4.9999999999999991</v>
      </c>
      <c r="E37" s="80">
        <f>SUMIFS(Tableau6[Nb Repetition],Tableau6[Pelican Extraction n°],1,Tableau6[TRANSIT],"Y",Tableau6[IsULD],"N",Tableau6[Is ORI =iCargo],"No",Tableau6[Status],"Failed")</f>
        <v>0</v>
      </c>
      <c r="F37" s="108">
        <f>Tableau5[[#This Row],[Passed]]+Tableau5[[#This Row],[Failed]]</f>
        <v>7.9999999999999991</v>
      </c>
      <c r="G37" s="127">
        <f>(Tableau5[[#This Row],[Passed]]-Tableau5[[#This Row],[Corrected Manually]])/Tableau5[[#This Row],[Total]]</f>
        <v>0.37500000000000006</v>
      </c>
      <c r="H37" s="128">
        <f>Tableau5[[#This Row],[Passed]]/Tableau5[[#This Row],[Total]]</f>
        <v>1</v>
      </c>
      <c r="I37" s="129">
        <f>(Tableau5[[#This Row],[Passed]]+Tableau5[[#This Row],[Failed]])/Tableau5[[#This Row],[Received]]</f>
        <v>1</v>
      </c>
    </row>
    <row r="38" spans="1:9">
      <c r="A38" s="78" t="s">
        <v>7565</v>
      </c>
      <c r="B38" s="80">
        <f>SUMIFS(Tableau6[Nb Repetition],Tableau6[Pelican Extraction n°],1,Tableau6[TRANSIT],"Y",Tableau6[IsULD],"Y",Tableau6[Is ORI =iCargo],"No")</f>
        <v>0.33333333333333331</v>
      </c>
      <c r="C38" s="80">
        <f>SUMIFS(Tableau6[Nb Repetition],Tableau6[Pelican Extraction n°],1,Tableau6[TRANSIT],"Y",Tableau6[IsULD],"Y",Tableau6[Is ORI =iCargo],"No",Tableau6[Status],"Passed")</f>
        <v>0</v>
      </c>
      <c r="D38" s="80">
        <f>SUMIFS(Tableau6[Nb Repetition],Tableau6[Pelican Extraction n°],1,Tableau6[TRANSIT],"Y",Tableau6[IsULD],"Y",Tableau6[Is ORI =iCargo],"No",Tableau6[Status],"Passed",Tableau6[Corrected Manually],"Yes")</f>
        <v>0</v>
      </c>
      <c r="E38" s="80">
        <f>SUMIFS(Tableau6[Nb Repetition],Tableau6[Pelican Extraction n°],1,Tableau6[TRANSIT],"Y",Tableau6[IsULD],"Y",Tableau6[Is ORI =iCargo],"No",Tableau6[Status],"Failed")</f>
        <v>0.33333333333333331</v>
      </c>
      <c r="F38" s="108">
        <f>Tableau5[[#This Row],[Passed]]+Tableau5[[#This Row],[Failed]]</f>
        <v>0.33333333333333331</v>
      </c>
      <c r="G38" s="127">
        <f>(Tableau5[[#This Row],[Passed]]-Tableau5[[#This Row],[Corrected Manually]])/Tableau5[[#This Row],[Total]]</f>
        <v>0</v>
      </c>
      <c r="H38" s="128">
        <f>Tableau5[[#This Row],[Passed]]/Tableau5[[#This Row],[Total]]</f>
        <v>0</v>
      </c>
      <c r="I38" s="129">
        <f>(Tableau5[[#This Row],[Passed]]+Tableau5[[#This Row],[Failed]])/Tableau5[[#This Row],[Received]]</f>
        <v>1</v>
      </c>
    </row>
    <row r="39" spans="1:9">
      <c r="A39" s="78" t="s">
        <v>7566</v>
      </c>
      <c r="B39" s="80">
        <f>SUMIFS(Tableau6[Nb Repetition],Tableau6[Pelican Extraction n°],1,Tableau6[TRANSIT],"Y",Tableau6[SHC Check],"Y",Tableau6[Is ORI =iCargo],"Yes")</f>
        <v>0</v>
      </c>
      <c r="C39" s="80">
        <f>SUMIFS(Tableau6[Nb Repetition],Tableau6[Pelican Extraction n°],1,Tableau6[TRANSIT],"Y",Tableau6[SHC Check],"Y",Tableau6[Is ORI =iCargo],"No",Tableau6[Status],"Passed")</f>
        <v>0</v>
      </c>
      <c r="D39" s="80">
        <f>SUMIFS(Tableau6[Nb Repetition],Tableau6[Pelican Extraction n°],1,Tableau6[TRANSIT],"Y",Tableau6[SHC Check],"Y",Tableau6[Is ORI =iCargo],"No",Tableau6[Status],"Passed",Tableau6[Corrected Manually],"Yes")</f>
        <v>0</v>
      </c>
      <c r="E39" s="80">
        <f>SUMIFS(Tableau6[Nb Repetition],Tableau6[Pelican Extraction n°],1,Tableau6[TRANSIT],"Y",Tableau6[SHC Check],"Y",Tableau6[Is ORI =iCargo],"No",Tableau6[Status],"Failed")</f>
        <v>0</v>
      </c>
      <c r="F39" s="108">
        <f>Tableau5[[#This Row],[Passed]]+Tableau5[[#This Row],[Failed]]</f>
        <v>0</v>
      </c>
      <c r="G39" s="127"/>
      <c r="H39" s="128"/>
      <c r="I39" s="129"/>
    </row>
    <row r="40" spans="1:9">
      <c r="A40" s="67" t="s">
        <v>7542</v>
      </c>
      <c r="B40" s="98">
        <f>SUM(B31:B39)</f>
        <v>12.833333333333334</v>
      </c>
      <c r="C40" s="98">
        <f>SUM(C31:C39)</f>
        <v>12.5</v>
      </c>
      <c r="D40" s="98">
        <f>SUM(D31:D39)</f>
        <v>7.9999999999999991</v>
      </c>
      <c r="E40" s="98">
        <f>SUM(E31:E39)</f>
        <v>0.33333333333333331</v>
      </c>
      <c r="F40" s="98">
        <f>SUM(F31:F39)</f>
        <v>12.833333333333334</v>
      </c>
      <c r="G40" s="130">
        <f>(Tableau5[[#This Row],[Passed]]-Tableau5[[#This Row],[Corrected Manually]])/Tableau5[[#This Row],[Total]]</f>
        <v>0.35064935064935071</v>
      </c>
      <c r="H40" s="130">
        <f>Tableau5[[#This Row],[Passed]]/Tableau5[[#This Row],[Total]]</f>
        <v>0.97402597402597402</v>
      </c>
      <c r="I40" s="130">
        <f>(Tableau5[[#This Row],[Passed]]+Tableau5[[#This Row],[Failed]])/Tableau5[[#This Row],[Received]]</f>
        <v>1</v>
      </c>
    </row>
    <row r="42" spans="1:9" ht="39.75" customHeight="1">
      <c r="A42" s="109" t="s">
        <v>7567</v>
      </c>
      <c r="B42" s="71" t="s">
        <v>7554</v>
      </c>
      <c r="C42" s="65" t="s">
        <v>526</v>
      </c>
      <c r="D42" s="65" t="s">
        <v>493</v>
      </c>
      <c r="E42" s="65" t="s">
        <v>563</v>
      </c>
      <c r="F42" s="64" t="s">
        <v>7542</v>
      </c>
      <c r="G42" s="65" t="s">
        <v>7555</v>
      </c>
      <c r="H42" s="65" t="s">
        <v>7556</v>
      </c>
      <c r="I42" s="65" t="s">
        <v>7557</v>
      </c>
    </row>
    <row r="43" spans="1:9">
      <c r="A43" s="42" t="s">
        <v>7558</v>
      </c>
      <c r="B43" s="80">
        <f>SUMIFS(Tableau6[Nb Repetition],Tableau6[Pelican Extraction n°],2,Tableau6[TRANSIT],"N",Tableau6[IsULD],"N")</f>
        <v>18.857142857142854</v>
      </c>
      <c r="C43" s="80">
        <f>SUMIFS(Tableau6[Nb Repetition],Tableau6[Pelican Extraction n°],2,Tableau6[TRANSIT],"N",Tableau6[IsULD],"N",Tableau6[Status],"Passed")</f>
        <v>18.857142857142854</v>
      </c>
      <c r="D43" s="80">
        <f>SUMIFS(Tableau6[Nb Repetition],Tableau6[Pelican Extraction n°],2,Tableau6[TRANSIT],"N",Tableau6[IsULD],"N",Tableau6[Status],"Passed",Tableau6[Corrected Manually],"Yes")</f>
        <v>15.857142857142856</v>
      </c>
      <c r="E43" s="80">
        <f>SUMIFS(Tableau6[Nb Repetition],Tableau6[Pelican Extraction n°],2,Tableau6[TRANSIT],"N",Tableau6[IsULD],"N",Tableau6[Status],"Failed")</f>
        <v>0</v>
      </c>
      <c r="F43" s="108">
        <f>Tableau510[[#This Row],[Passed]]+Tableau510[[#This Row],[Failed]]</f>
        <v>18.857142857142854</v>
      </c>
      <c r="G43" s="127">
        <f>(Tableau510[[#This Row],[Passed]]-Tableau510[[#This Row],[Corrected Manually]])/Tableau510[[#This Row],[Total]]</f>
        <v>0.15909090909090903</v>
      </c>
      <c r="H43" s="128">
        <f>Tableau510[[#This Row],[Passed]]/Tableau510[[#This Row],[Total]]</f>
        <v>1</v>
      </c>
      <c r="I43" s="128">
        <f>(Tableau510[[#This Row],[Passed]]+Tableau510[[#This Row],[Failed]])/Tableau510[[#This Row],[Received]]</f>
        <v>1</v>
      </c>
    </row>
    <row r="44" spans="1:9">
      <c r="A44" s="42" t="s">
        <v>7559</v>
      </c>
      <c r="B44" s="80">
        <f>SUMIFS(Tableau6[Nb Repetition],Tableau6[Pelican Extraction n°],2,Tableau6[TRANSIT],"N",Tableau6[IsULD],"Y")</f>
        <v>0</v>
      </c>
      <c r="C44" s="80">
        <f>SUMIFS(Tableau6[Nb Repetition],Tableau6[Pelican Extraction n°],2,Tableau6[TRANSIT],"N",Tableau6[IsULD],"Y",Tableau6[Status],"Passed")</f>
        <v>0</v>
      </c>
      <c r="D44" s="80">
        <f>SUMIFS(Tableau6[Nb Repetition],Tableau6[Pelican Extraction n°],2,Tableau6[TRANSIT],"N",Tableau6[IsULD],"Y",Tableau6[Status],"Passed",Tableau6[Corrected Manually],"Yes")</f>
        <v>0</v>
      </c>
      <c r="E44" s="80">
        <f>SUMIFS(Tableau6[Nb Repetition],Tableau6[Pelican Extraction n°],2,Tableau6[TRANSIT],"N",Tableau6[IsULD],"Y",Tableau6[Status],"Failed")</f>
        <v>0</v>
      </c>
      <c r="F44" s="108">
        <f>Tableau510[[#This Row],[Passed]]+Tableau510[[#This Row],[Failed]]</f>
        <v>0</v>
      </c>
      <c r="G44" s="127"/>
      <c r="H44" s="128"/>
      <c r="I44" s="128"/>
    </row>
    <row r="45" spans="1:9">
      <c r="A45" s="42" t="s">
        <v>7560</v>
      </c>
      <c r="B45" s="80">
        <f>SUMIFS(Tableau6[Nb Repetition],Tableau6[Pelican Extraction n°],2,Tableau6[TRANSIT],"N",Tableau6[SHC Check],"Y")</f>
        <v>0</v>
      </c>
      <c r="C45" s="80">
        <f>SUMIFS(Tableau6[Nb Repetition],Tableau6[Pelican Extraction n°],2,Tableau6[TRANSIT],"N",Tableau6[SHC Check],"Y",Tableau6[Status],"Passed")</f>
        <v>0</v>
      </c>
      <c r="D45" s="80">
        <f>SUMIFS(Tableau6[Nb Repetition],Tableau6[Pelican Extraction n°],2,Tableau6[TRANSIT],"N",Tableau6[SHC Check],"Y",Tableau6[Status],"Passed",Tableau6[Corrected Manually],"Yes")</f>
        <v>0</v>
      </c>
      <c r="E45" s="80">
        <f>SUMIFS(Tableau6[Nb Repetition],Tableau6[Pelican Extraction n°],2,Tableau6[TRANSIT],"N",Tableau6[SHC Check],"Y",Tableau6[Status],"Failed")</f>
        <v>0</v>
      </c>
      <c r="F45" s="108">
        <f>Tableau510[[#This Row],[Passed]]+Tableau510[[#This Row],[Failed]]</f>
        <v>0</v>
      </c>
      <c r="G45" s="127"/>
      <c r="H45" s="128"/>
      <c r="I45" s="128"/>
    </row>
    <row r="46" spans="1:9">
      <c r="A46" s="79" t="s">
        <v>7561</v>
      </c>
      <c r="B46" s="80">
        <f>SUMIFS(Tableau6[Nb Repetition],Tableau6[Pelican Extraction n°],2,Tableau6[TRANSIT],"Y",Tableau6[IsULD],"N",Tableau6[Is ORI =iCargo],"Yes")</f>
        <v>26.000000000000007</v>
      </c>
      <c r="C46" s="80">
        <f>SUMIFS(Tableau6[Nb Repetition],Tableau6[Pelican Extraction n°],2,Tableau6[TRANSIT],"Y",Tableau6[IsULD],"N",Tableau6[Is ORI =iCargo],"Yes",Tableau6[Status],"Passed")</f>
        <v>14.499999999999996</v>
      </c>
      <c r="D46" s="80">
        <f>SUMIFS(Tableau6[Nb Repetition],Tableau6[Pelican Extraction n°],2,Tableau6[TRANSIT],"Y",Tableau6[IsULD],"N",Tableau6[Is ORI =iCargo],"Yes",Tableau6[Status],"Passed",Tableau6[Corrected Manually],"Yes")</f>
        <v>0</v>
      </c>
      <c r="E46" s="80">
        <f>SUMIFS(Tableau6[Nb Repetition],Tableau6[Pelican Extraction n°],2,Tableau6[TRANSIT],"Y",Tableau6[IsULD],"N",Tableau6[Is ORI =iCargo],"Yes",Tableau6[Status],"Failed")</f>
        <v>11.5</v>
      </c>
      <c r="F46" s="108">
        <f>Tableau510[[#This Row],[Passed]]+Tableau510[[#This Row],[Failed]]</f>
        <v>25.999999999999996</v>
      </c>
      <c r="G46" s="127">
        <f>(Tableau510[[#This Row],[Passed]]-Tableau510[[#This Row],[Corrected Manually]])/Tableau510[[#This Row],[Total]]</f>
        <v>0.5576923076923076</v>
      </c>
      <c r="H46" s="128">
        <f>Tableau510[[#This Row],[Passed]]/Tableau510[[#This Row],[Total]]</f>
        <v>0.5576923076923076</v>
      </c>
      <c r="I46" s="128">
        <f>(Tableau510[[#This Row],[Passed]]+Tableau510[[#This Row],[Failed]])/Tableau510[[#This Row],[Received]]</f>
        <v>0.99999999999999956</v>
      </c>
    </row>
    <row r="47" spans="1:9">
      <c r="A47" s="79" t="s">
        <v>7562</v>
      </c>
      <c r="B47" s="80">
        <f>SUMIFS(Tableau6[Nb Repetition],Tableau6[Pelican Extraction n°],2,Tableau6[TRANSIT],"Y",Tableau6[IsULD],"Y",Tableau6[Is ORI =iCargo],"Yes")</f>
        <v>0</v>
      </c>
      <c r="C47" s="80">
        <f>SUMIFS(Tableau6[Nb Repetition],Tableau6[Pelican Extraction n°],2,Tableau6[TRANSIT],"Y",Tableau6[IsULD],"Y",Tableau6[Is ORI =iCargo],"Yes",Tableau6[Status],"Passed")</f>
        <v>0</v>
      </c>
      <c r="D47" s="80">
        <f>SUMIFS(Tableau6[Nb Repetition],Tableau6[Pelican Extraction n°],2,Tableau6[TRANSIT],"Y",Tableau6[IsULD],"Y",Tableau6[Is ORI =iCargo],"Yes",Tableau6[Status],"Passed",Tableau6[Corrected Manually],"Yes")</f>
        <v>0</v>
      </c>
      <c r="E47" s="80">
        <f>SUMIFS(Tableau6[Nb Repetition],Tableau6[Pelican Extraction n°],2,Tableau6[TRANSIT],"Y",Tableau6[IsULD],"Y",Tableau6[Is ORI =iCargo],"Yes",Tableau6[Status],"Failed")</f>
        <v>0</v>
      </c>
      <c r="F47" s="108">
        <f>Tableau510[[#This Row],[Passed]]+Tableau510[[#This Row],[Failed]]</f>
        <v>0</v>
      </c>
      <c r="G47" s="127"/>
      <c r="H47" s="128"/>
      <c r="I47" s="128"/>
    </row>
    <row r="48" spans="1:9">
      <c r="A48" s="79" t="s">
        <v>7563</v>
      </c>
      <c r="B48" s="80">
        <f>SUMIFS(Tableau6[Nb Repetition],Tableau6[Pelican Extraction n°],2,Tableau6[TRANSIT],"Y",Tableau6[SHC Check],"Y",Tableau6[Is ORI =iCargo],"Yes")</f>
        <v>0</v>
      </c>
      <c r="C48" s="80">
        <f>SUMIFS(Tableau6[Nb Repetition],Tableau6[Pelican Extraction n°],2,Tableau6[TRANSIT],"Y",Tableau6[SHC Check],"Y",Tableau6[Is ORI =iCargo],"Yes",Tableau6[Status],"Passed")</f>
        <v>0</v>
      </c>
      <c r="D48" s="80">
        <f>SUMIFS(Tableau6[Nb Repetition],Tableau6[Pelican Extraction n°],2,Tableau6[TRANSIT],"Y",Tableau6[SHC Check],"Y",Tableau6[Is ORI =iCargo],"yes",Tableau6[Status],"Passed",Tableau6[Corrected Manually],"Yes")</f>
        <v>0</v>
      </c>
      <c r="E48" s="80">
        <f>SUMIFS(Tableau6[Nb Repetition],Tableau6[Pelican Extraction n°],2,Tableau6[TRANSIT],"Y",Tableau6[SHC Check],"Y",Tableau6[Is ORI =iCargo],"yes",Tableau6[Status],"Failed")</f>
        <v>0</v>
      </c>
      <c r="F48" s="108">
        <f>Tableau510[[#This Row],[Passed]]+Tableau510[[#This Row],[Failed]]</f>
        <v>0</v>
      </c>
      <c r="G48" s="127"/>
      <c r="H48" s="128"/>
      <c r="I48" s="128"/>
    </row>
    <row r="49" spans="1:9">
      <c r="A49" s="78" t="s">
        <v>7564</v>
      </c>
      <c r="B49" s="80">
        <f>SUMIFS(Tableau6[Nb Repetition],Tableau6[Pelican Extraction n°],2,Tableau6[TRANSIT],"Y",Tableau6[IsULD],"N",Tableau6[Is ORI =iCargo],"No")</f>
        <v>268.57777777777778</v>
      </c>
      <c r="C49" s="80">
        <f>SUMIFS(Tableau6[Nb Repetition],Tableau6[Pelican Extraction n°],2,Tableau6[TRANSIT],"Y",Tableau6[IsULD],"N",Tableau6[Is ORI =iCargo],"No",Tableau6[Status],"Passed")</f>
        <v>74.7777777777778</v>
      </c>
      <c r="D49" s="80">
        <f>SUMIFS(Tableau6[Nb Repetition],Tableau6[Pelican Extraction n°],2,Tableau6[TRANSIT],"Y",Tableau6[IsULD],"N",Tableau6[Is ORI =iCargo],"No",Tableau6[Status],"Passed",Tableau6[Corrected Manually],"Yes")</f>
        <v>0</v>
      </c>
      <c r="E49" s="80">
        <f>SUMIFS(Tableau6[Nb Repetition],Tableau6[Pelican Extraction n°],2,Tableau6[TRANSIT],"Y",Tableau6[IsULD],"N",Tableau6[Is ORI =iCargo],"No",Tableau6[Status],"Failed")</f>
        <v>193.79999999999978</v>
      </c>
      <c r="F49" s="108">
        <f>Tableau510[[#This Row],[Passed]]+Tableau510[[#This Row],[Failed]]</f>
        <v>268.57777777777756</v>
      </c>
      <c r="G49" s="127">
        <f>(Tableau510[[#This Row],[Passed]]-Tableau510[[#This Row],[Corrected Manually]])/Tableau510[[#This Row],[Total]]</f>
        <v>0.27842131391692898</v>
      </c>
      <c r="H49" s="128">
        <f>Tableau510[[#This Row],[Passed]]/Tableau510[[#This Row],[Total]]</f>
        <v>0.27842131391692898</v>
      </c>
      <c r="I49" s="128">
        <f>(Tableau510[[#This Row],[Passed]]+Tableau510[[#This Row],[Failed]])/Tableau510[[#This Row],[Received]]</f>
        <v>0.99999999999999911</v>
      </c>
    </row>
    <row r="50" spans="1:9">
      <c r="A50" s="78" t="s">
        <v>7565</v>
      </c>
      <c r="B50" s="80">
        <f>SUMIFS(Tableau6[Nb Repetition],Tableau6[Pelican Extraction n°],2,Tableau6[TRANSIT],"Y",Tableau6[IsULD],"Y",Tableau6[Is ORI =iCargo],"No")</f>
        <v>0</v>
      </c>
      <c r="C50" s="80">
        <f>SUMIFS(Tableau6[Nb Repetition],Tableau6[Pelican Extraction n°],2,Tableau6[TRANSIT],"Y",Tableau6[IsULD],"Y",Tableau6[Is ORI =iCargo],"No",Tableau6[Status],"Passed")</f>
        <v>0</v>
      </c>
      <c r="D50" s="80">
        <f>SUMIFS(Tableau6[Nb Repetition],Tableau6[Pelican Extraction n°],2,Tableau6[TRANSIT],"Y",Tableau6[IsULD],"Y",Tableau6[Is ORI =iCargo],"No",Tableau6[Status],"Passed",Tableau6[Corrected Manually],"Yes")</f>
        <v>0</v>
      </c>
      <c r="E50" s="80">
        <f>SUMIFS(Tableau6[Nb Repetition],Tableau6[Pelican Extraction n°],2,Tableau6[TRANSIT],"Y",Tableau6[IsULD],"Y",Tableau6[Is ORI =iCargo],"No",Tableau6[Status],"Failed")</f>
        <v>0</v>
      </c>
      <c r="F50" s="108">
        <f>Tableau510[[#This Row],[Passed]]+Tableau510[[#This Row],[Failed]]</f>
        <v>0</v>
      </c>
      <c r="G50" s="127"/>
      <c r="H50" s="128"/>
      <c r="I50" s="128"/>
    </row>
    <row r="51" spans="1:9">
      <c r="A51" s="78" t="s">
        <v>7566</v>
      </c>
      <c r="B51" s="80">
        <f>SUMIFS(Tableau6[Nb Repetition],Tableau6[Pelican Extraction n°],2,Tableau6[TRANSIT],"Y",Tableau6[SHC Check],"Y",Tableau6[Is ORI =iCargo],"Yes")</f>
        <v>0</v>
      </c>
      <c r="C51" s="80">
        <f>SUMIFS(Tableau6[Nb Repetition],Tableau6[Pelican Extraction n°],2,Tableau6[TRANSIT],"Y",Tableau6[SHC Check],"Y",Tableau6[Is ORI =iCargo],"No",Tableau6[Status],"Passed")</f>
        <v>0</v>
      </c>
      <c r="D51" s="80">
        <f>SUMIFS(Tableau6[Nb Repetition],Tableau6[Pelican Extraction n°],2,Tableau6[TRANSIT],"Y",Tableau6[SHC Check],"Y",Tableau6[Is ORI =iCargo],"No",Tableau6[Status],"Passed",Tableau6[Corrected Manually],"Yes")</f>
        <v>0</v>
      </c>
      <c r="E51" s="80">
        <f>SUMIFS(Tableau6[Nb Repetition],Tableau6[Pelican Extraction n°],2,Tableau6[TRANSIT],"Y",Tableau6[SHC Check],"Y",Tableau6[Is ORI =iCargo],"No",Tableau6[Status],"Failed")</f>
        <v>0</v>
      </c>
      <c r="F51" s="108">
        <f>Tableau510[[#This Row],[Passed]]+Tableau510[[#This Row],[Failed]]</f>
        <v>0</v>
      </c>
      <c r="G51" s="127"/>
      <c r="H51" s="128"/>
      <c r="I51" s="128"/>
    </row>
    <row r="52" spans="1:9">
      <c r="A52" s="67" t="s">
        <v>7542</v>
      </c>
      <c r="B52" s="98">
        <f>SUM(B43:B51)</f>
        <v>313.43492063492067</v>
      </c>
      <c r="C52" s="98">
        <f>SUM(C43:C51)</f>
        <v>108.13492063492065</v>
      </c>
      <c r="D52" s="98">
        <f>SUM(D43:D51)</f>
        <v>15.857142857142856</v>
      </c>
      <c r="E52" s="98">
        <f>SUM(E43:E51)</f>
        <v>205.29999999999978</v>
      </c>
      <c r="F52" s="98">
        <f>SUM(F43:F51)</f>
        <v>313.43492063492039</v>
      </c>
      <c r="G52" s="130">
        <f>(Tableau510[[#This Row],[Passed]]-Tableau510[[#This Row],[Corrected Manually]])/Tableau510[[#This Row],[Total]]</f>
        <v>0.29440809464003592</v>
      </c>
      <c r="H52" s="131">
        <f>Tableau510[[#This Row],[Passed]]/Tableau510[[#This Row],[Total]]</f>
        <v>0.34499959486286141</v>
      </c>
      <c r="I52" s="131">
        <f>(Tableau510[[#This Row],[Passed]]+Tableau510[[#This Row],[Failed]])/Tableau510[[#This Row],[Received]]</f>
        <v>0.99999999999999922</v>
      </c>
    </row>
    <row r="54" spans="1:9" ht="38.25">
      <c r="A54" s="105" t="s">
        <v>7568</v>
      </c>
      <c r="B54" s="71" t="s">
        <v>7554</v>
      </c>
      <c r="C54" s="65" t="s">
        <v>526</v>
      </c>
      <c r="D54" s="65" t="s">
        <v>493</v>
      </c>
      <c r="E54" s="65" t="s">
        <v>563</v>
      </c>
      <c r="F54" s="64" t="s">
        <v>7542</v>
      </c>
      <c r="G54" s="65" t="s">
        <v>7555</v>
      </c>
      <c r="H54" s="65" t="s">
        <v>7556</v>
      </c>
      <c r="I54" s="65" t="s">
        <v>7557</v>
      </c>
    </row>
    <row r="55" spans="1:9">
      <c r="A55" s="42" t="s">
        <v>7558</v>
      </c>
      <c r="B55" s="80">
        <f>SUMIFS(Tableau6[Nb Repetition],Tableau6[Pelican Extraction n°],"3.1",Tableau6[TRANSIT],"N",Tableau6[IsULD],"N")</f>
        <v>41.80952380952381</v>
      </c>
      <c r="C55" s="80">
        <f>SUMIFS(Tableau6[Nb Repetition],Tableau6[Pelican Extraction n°],"3.1",Tableau6[TRANSIT],"N",Tableau6[IsULD],"N",Tableau6[Status],"Passed")</f>
        <v>4.9761904761904763</v>
      </c>
      <c r="D55" s="80">
        <f>SUMIFS(Tableau6[Nb Repetition],Tableau6[Pelican Extraction n°],"3.1",Tableau6[TRANSIT],"N",Tableau6[IsULD],"N",Tableau6[Status],"Passed",Tableau6[Corrected Manually],"Yes")</f>
        <v>0</v>
      </c>
      <c r="E55" s="80">
        <f>SUMIFS(Tableau6[Nb Repetition],Tableau6[Pelican Extraction n°],"3.1",Tableau6[TRANSIT],"N",Tableau6[IsULD],"N",Tableau6[Status],"Failed")</f>
        <v>36.833333333333336</v>
      </c>
      <c r="F55" s="108">
        <f>Tableau51014[[#This Row],[Passed]]+Tableau51014[[#This Row],[Failed]]</f>
        <v>41.80952380952381</v>
      </c>
      <c r="G55" s="127">
        <f>(Tableau51014[[#This Row],[Passed]]-Tableau51014[[#This Row],[Corrected Manually]])/Tableau51014[[#This Row],[Total]]</f>
        <v>0.11902050113895217</v>
      </c>
      <c r="H55" s="128">
        <f>Tableau51014[[#This Row],[Passed]]/Tableau51014[[#This Row],[Total]]</f>
        <v>0.11902050113895217</v>
      </c>
      <c r="I55" s="128">
        <f>(Tableau51014[[#This Row],[Passed]]+Tableau51014[[#This Row],[Failed]])/Tableau51014[[#This Row],[Received]]</f>
        <v>1</v>
      </c>
    </row>
    <row r="56" spans="1:9">
      <c r="A56" s="42" t="s">
        <v>7559</v>
      </c>
      <c r="B56" s="80">
        <f>SUMIFS(Tableau6[Nb Repetition],Tableau6[Pelican Extraction n°],"3.1",Tableau6[TRANSIT],"N",Tableau6[IsULD],"Y")</f>
        <v>1</v>
      </c>
      <c r="C56" s="80">
        <f>SUMIFS(Tableau6[Nb Repetition],Tableau6[Pelican Extraction n°],"3.1",Tableau6[TRANSIT],"N",Tableau6[IsULD],"Y",Tableau6[Status],"Passed")</f>
        <v>0</v>
      </c>
      <c r="D56" s="80">
        <f>SUMIFS(Tableau6[Nb Repetition],Tableau6[Pelican Extraction n°],"3.1",Tableau6[TRANSIT],"N",Tableau6[IsULD],"Y",Tableau6[Status],"Passed",Tableau6[Corrected Manually],"Yes")</f>
        <v>0</v>
      </c>
      <c r="E56" s="80">
        <f>SUMIFS(Tableau6[Nb Repetition],Tableau6[Pelican Extraction n°],"3.1",Tableau6[TRANSIT],"N",Tableau6[IsULD],"Y",Tableau6[Status],"Failed")</f>
        <v>1</v>
      </c>
      <c r="F56" s="108">
        <f>Tableau51014[[#This Row],[Passed]]+Tableau51014[[#This Row],[Failed]]</f>
        <v>1</v>
      </c>
      <c r="G56" s="127">
        <f>(Tableau51014[[#This Row],[Passed]]-Tableau51014[[#This Row],[Corrected Manually]])/Tableau51014[[#This Row],[Total]]</f>
        <v>0</v>
      </c>
      <c r="H56" s="128">
        <f>Tableau51014[[#This Row],[Passed]]/Tableau51014[[#This Row],[Total]]</f>
        <v>0</v>
      </c>
      <c r="I56" s="128">
        <f>(Tableau51014[[#This Row],[Passed]]+Tableau51014[[#This Row],[Failed]])/Tableau51014[[#This Row],[Received]]</f>
        <v>1</v>
      </c>
    </row>
    <row r="57" spans="1:9">
      <c r="A57" s="42" t="s">
        <v>7560</v>
      </c>
      <c r="B57" s="80">
        <f>SUMIFS(Tableau6[Nb Repetition],Tableau6[Pelican Extraction n°],"3.1",Tableau6[TRANSIT],"N",Tableau6[SHC Check],"Y")</f>
        <v>0</v>
      </c>
      <c r="C57" s="80">
        <f>SUMIFS(Tableau6[Nb Repetition],Tableau6[Pelican Extraction n°],"3.1",Tableau6[TRANSIT],"N",Tableau6[SHC Check],"Y",Tableau6[Status],"Passed")</f>
        <v>0</v>
      </c>
      <c r="D57" s="80">
        <f>SUMIFS(Tableau6[Nb Repetition],Tableau6[Pelican Extraction n°],"3.1",Tableau6[TRANSIT],"N",Tableau6[SHC Check],"Y",Tableau6[Status],"Passed",Tableau6[Corrected Manually],"Yes")</f>
        <v>0</v>
      </c>
      <c r="E57" s="80">
        <f>SUMIFS(Tableau6[Nb Repetition],Tableau6[Pelican Extraction n°],"3.1",Tableau6[TRANSIT],"N",Tableau6[SHC Check],"Y",Tableau6[Status],"Failed")</f>
        <v>0</v>
      </c>
      <c r="F57" s="108">
        <f>Tableau51014[[#This Row],[Passed]]+Tableau51014[[#This Row],[Failed]]</f>
        <v>0</v>
      </c>
      <c r="G57" s="127"/>
      <c r="H57" s="128"/>
      <c r="I57" s="128"/>
    </row>
    <row r="58" spans="1:9">
      <c r="A58" s="79" t="s">
        <v>7561</v>
      </c>
      <c r="B58" s="80">
        <f>SUMIFS(Tableau6[Nb Repetition],Tableau6[Pelican Extraction n°],"3.1",Tableau6[TRANSIT],"Y",Tableau6[IsULD],"N",Tableau6[Is ORI =iCargo],"Yes")</f>
        <v>21</v>
      </c>
      <c r="C58" s="80">
        <f>SUMIFS(Tableau6[Nb Repetition],Tableau6[Pelican Extraction n°],"3.1",Tableau6[TRANSIT],"Y",Tableau6[IsULD],"N",Tableau6[Is ORI =iCargo],"Yes",Tableau6[Status],"Passed")</f>
        <v>11</v>
      </c>
      <c r="D58" s="80">
        <f>SUMIFS(Tableau6[Nb Repetition],Tableau6[Pelican Extraction n°],"3.1",Tableau6[TRANSIT],"Y",Tableau6[IsULD],"N",Tableau6[Is ORI =iCargo],"Yes",Tableau6[Status],"Passed",Tableau6[Corrected Manually],"Yes")</f>
        <v>0</v>
      </c>
      <c r="E58" s="80">
        <f>SUMIFS(Tableau6[Nb Repetition],Tableau6[Pelican Extraction n°],"3.1",Tableau6[TRANSIT],"Y",Tableau6[IsULD],"N",Tableau6[Is ORI =iCargo],"yes",Tableau6[Status],"Failed")</f>
        <v>9.9999999999999982</v>
      </c>
      <c r="F58" s="108">
        <f>Tableau51014[[#This Row],[Passed]]+Tableau51014[[#This Row],[Failed]]</f>
        <v>21</v>
      </c>
      <c r="G58" s="127">
        <f>(Tableau51014[[#This Row],[Passed]]-Tableau51014[[#This Row],[Corrected Manually]])/Tableau51014[[#This Row],[Total]]</f>
        <v>0.52380952380952384</v>
      </c>
      <c r="H58" s="128">
        <f>Tableau51014[[#This Row],[Passed]]/Tableau51014[[#This Row],[Total]]</f>
        <v>0.52380952380952384</v>
      </c>
      <c r="I58" s="128">
        <f>(Tableau51014[[#This Row],[Passed]]+Tableau51014[[#This Row],[Failed]])/Tableau51014[[#This Row],[Received]]</f>
        <v>1</v>
      </c>
    </row>
    <row r="59" spans="1:9">
      <c r="A59" s="79" t="s">
        <v>7562</v>
      </c>
      <c r="B59" s="80">
        <f>SUMIFS(Tableau6[Nb Repetition],Tableau6[Pelican Extraction n°],"3.1",Tableau6[TRANSIT],"Y",Tableau6[IsULD],"Y",Tableau6[Is ORI =iCargo],"Yes")</f>
        <v>0</v>
      </c>
      <c r="C59" s="80">
        <f>SUMIFS(Tableau6[Nb Repetition],Tableau6[Pelican Extraction n°],"3.1",Tableau6[TRANSIT],"Y",Tableau6[IsULD],"Y",Tableau6[Is ORI =iCargo],"Yes",Tableau6[Status],"Passed")</f>
        <v>0</v>
      </c>
      <c r="D59" s="80">
        <f>SUMIFS(Tableau6[Nb Repetition],Tableau6[Pelican Extraction n°],"3.1",Tableau6[TRANSIT],"Y",Tableau6[IsULD],"Y",Tableau6[Is ORI =iCargo],"Yes",Tableau6[Status],"Passed",Tableau6[Corrected Manually],"Yes")</f>
        <v>0</v>
      </c>
      <c r="E59" s="80">
        <f>SUMIFS(Tableau6[Nb Repetition],Tableau6[Pelican Extraction n°],"3.1",Tableau6[TRANSIT],"Y",Tableau6[IsULD],"Y",Tableau6[Is ORI =iCargo],"Yes",Tableau6[Status],"Failed")</f>
        <v>0</v>
      </c>
      <c r="F59" s="108">
        <f>Tableau51014[[#This Row],[Passed]]+Tableau51014[[#This Row],[Failed]]</f>
        <v>0</v>
      </c>
      <c r="G59" s="127"/>
      <c r="H59" s="128"/>
      <c r="I59" s="128"/>
    </row>
    <row r="60" spans="1:9">
      <c r="A60" s="79" t="s">
        <v>7563</v>
      </c>
      <c r="B60" s="80">
        <f>SUMIFS(Tableau6[Nb Repetition],Tableau6[Pelican Extraction n°],"3.1",Tableau6[TRANSIT],"Y",Tableau6[SHC Check],"Y",Tableau6[Is ORI =iCargo],"Yes")</f>
        <v>0</v>
      </c>
      <c r="C60" s="80">
        <f>SUMIFS(Tableau6[Nb Repetition],Tableau6[Pelican Extraction n°],"3.1",Tableau6[TRANSIT],"Y",Tableau6[SHC Check],"Y",Tableau6[Is ORI =iCargo],"Yes",Tableau6[Status],"Passed")</f>
        <v>0</v>
      </c>
      <c r="D60" s="80">
        <f>SUMIFS(Tableau6[Nb Repetition],Tableau6[Pelican Extraction n°],"3.1",Tableau6[TRANSIT],"Y",Tableau6[SHC Check],"Y",Tableau6[Is ORI =iCargo],"yes",Tableau6[Status],"Passed",Tableau6[Corrected Manually],"Yes")</f>
        <v>0</v>
      </c>
      <c r="E60" s="80">
        <f>SUMIFS(Tableau6[Nb Repetition],Tableau6[Pelican Extraction n°],"3.1",Tableau6[TRANSIT],"Y",Tableau6[SHC Check],"Y",Tableau6[Is ORI =iCargo],"Yes",Tableau6[Status],"Failed")</f>
        <v>0</v>
      </c>
      <c r="F60" s="108">
        <f>Tableau51014[[#This Row],[Passed]]+Tableau51014[[#This Row],[Failed]]</f>
        <v>0</v>
      </c>
      <c r="G60" s="127"/>
      <c r="H60" s="128"/>
      <c r="I60" s="128"/>
    </row>
    <row r="61" spans="1:9">
      <c r="A61" s="78" t="s">
        <v>7564</v>
      </c>
      <c r="B61" s="80">
        <f>SUMIFS(Tableau6[Nb Repetition],Tableau6[Pelican Extraction n°],"3.1",Tableau6[TRANSIT],"Y",Tableau6[IsULD],"N",Tableau6[Is ORI =iCargo],"No")</f>
        <v>338.19999999999982</v>
      </c>
      <c r="C61" s="80">
        <f>SUMIFS(Tableau6[Nb Repetition],Tableau6[Pelican Extraction n°],"3.1",Tableau6[TRANSIT],"Y",Tableau6[IsULD],"N",Tableau6[Is ORI =iCargo],"No",Tableau6[Status],"Passed")</f>
        <v>102.83333333333339</v>
      </c>
      <c r="D61" s="80">
        <f>SUMIFS(Tableau6[Nb Repetition],Tableau6[Pelican Extraction n°],"3.1",Tableau6[TRANSIT],"Y",Tableau6[IsULD],"N",Tableau6[Is ORI =iCargo],"No",Tableau6[Status],"Passed",Tableau6[Corrected Manually],"Yes")</f>
        <v>0</v>
      </c>
      <c r="E61" s="80">
        <f>SUMIFS(Tableau6[Nb Repetition],Tableau6[Pelican Extraction n°],"3.1",Tableau6[TRANSIT],"Y",Tableau6[IsULD],"N",Tableau6[Is ORI =iCargo],"No",Tableau6[Status],"Failed")</f>
        <v>234.36666666666659</v>
      </c>
      <c r="F61" s="108">
        <f>Tableau51014[[#This Row],[Passed]]+Tableau51014[[#This Row],[Failed]]</f>
        <v>337.2</v>
      </c>
      <c r="G61" s="127">
        <f>(Tableau51014[[#This Row],[Passed]]-Tableau51014[[#This Row],[Corrected Manually]])/Tableau51014[[#This Row],[Total]]</f>
        <v>0.30496243574535403</v>
      </c>
      <c r="H61" s="128">
        <f>Tableau51014[[#This Row],[Passed]]/Tableau51014[[#This Row],[Total]]</f>
        <v>0.30496243574535403</v>
      </c>
      <c r="I61" s="128">
        <f>(Tableau51014[[#This Row],[Passed]]+Tableau51014[[#This Row],[Failed]])/Tableau51014[[#This Row],[Received]]</f>
        <v>0.99704316972205842</v>
      </c>
    </row>
    <row r="62" spans="1:9">
      <c r="A62" s="78" t="s">
        <v>7565</v>
      </c>
      <c r="B62" s="80">
        <f>SUMIFS(Tableau6[Nb Repetition],Tableau6[Pelican Extraction n°],"3.1",Tableau6[TRANSIT],"Y",Tableau6[IsULD],"Y",Tableau6[Is ORI =iCargo],"No")</f>
        <v>8.6666666666666661</v>
      </c>
      <c r="C62" s="80">
        <f>SUMIFS(Tableau6[Nb Repetition],Tableau6[Pelican Extraction n°],"3.1",Tableau6[TRANSIT],"Y",Tableau6[IsULD],"Y",Tableau6[Is ORI =iCargo],"No",Tableau6[Status],"Passed")</f>
        <v>2.6666666666666665</v>
      </c>
      <c r="D62" s="80">
        <f>SUMIFS(Tableau6[Nb Repetition],Tableau6[Pelican Extraction n°],"3.1",Tableau6[TRANSIT],"Y",Tableau6[IsULD],"Y",Tableau6[Is ORI =iCargo],"No",Tableau6[Status],"Passed",Tableau6[Corrected Manually],"Yes")</f>
        <v>0</v>
      </c>
      <c r="E62" s="80">
        <f>SUMIFS(Tableau6[Nb Repetition],Tableau6[Pelican Extraction n°],"3.1",Tableau6[TRANSIT],"Y",Tableau6[IsULD],"Y",Tableau6[Is ORI =iCargo],"No",Tableau6[Status],"Failed")</f>
        <v>6</v>
      </c>
      <c r="F62" s="108">
        <f>Tableau51014[[#This Row],[Passed]]+Tableau51014[[#This Row],[Failed]]</f>
        <v>8.6666666666666661</v>
      </c>
      <c r="G62" s="127">
        <f>(Tableau51014[[#This Row],[Passed]]-Tableau51014[[#This Row],[Corrected Manually]])/Tableau51014[[#This Row],[Total]]</f>
        <v>0.30769230769230771</v>
      </c>
      <c r="H62" s="128">
        <f>Tableau51014[[#This Row],[Passed]]/Tableau51014[[#This Row],[Total]]</f>
        <v>0.30769230769230771</v>
      </c>
      <c r="I62" s="128">
        <f>(Tableau51014[[#This Row],[Passed]]+Tableau51014[[#This Row],[Failed]])/Tableau51014[[#This Row],[Received]]</f>
        <v>1</v>
      </c>
    </row>
    <row r="63" spans="1:9">
      <c r="A63" s="78" t="s">
        <v>7566</v>
      </c>
      <c r="B63" s="80">
        <f>SUMIFS(Tableau6[Nb Repetition],Tableau6[Pelican Extraction n°],"3.1",Tableau6[TRANSIT],"Y",Tableau6[SHC Check],"Y",Tableau6[Is ORI =iCargo],"Yes")</f>
        <v>0</v>
      </c>
      <c r="C63" s="80">
        <f>SUMIFS(Tableau6[Nb Repetition],Tableau6[Pelican Extraction n°],"3.1",Tableau6[TRANSIT],"Y",Tableau6[SHC Check],"Y",Tableau6[Is ORI =iCargo],"No",Tableau6[Status],"Passed")</f>
        <v>0</v>
      </c>
      <c r="D63" s="80">
        <f>SUMIFS(Tableau6[Nb Repetition],Tableau6[Pelican Extraction n°],"3.1",Tableau6[TRANSIT],"Y",Tableau6[SHC Check],"Y",Tableau6[Is ORI =iCargo],"No",Tableau6[Status],"Passed",Tableau6[Corrected Manually],"Yes")</f>
        <v>0</v>
      </c>
      <c r="E63" s="80">
        <f>SUMIFS(Tableau6[Nb Repetition],Tableau6[Pelican Extraction n°],"3.1",Tableau6[TRANSIT],"Y",Tableau6[SHC Check],"Y",Tableau6[Is ORI =iCargo],"No",Tableau6[Status],"Failed")</f>
        <v>0</v>
      </c>
      <c r="F63" s="108">
        <f>Tableau51014[[#This Row],[Passed]]+Tableau51014[[#This Row],[Failed]]</f>
        <v>0</v>
      </c>
      <c r="G63" s="127"/>
      <c r="H63" s="128"/>
      <c r="I63" s="128"/>
    </row>
    <row r="64" spans="1:9">
      <c r="A64" s="67" t="s">
        <v>7542</v>
      </c>
      <c r="B64" s="98">
        <f>SUM(B55:B63)</f>
        <v>410.6761904761903</v>
      </c>
      <c r="C64" s="98">
        <f>SUM(C55:C63)</f>
        <v>121.47619047619054</v>
      </c>
      <c r="D64" s="98">
        <f>SUM(D55:D63)</f>
        <v>0</v>
      </c>
      <c r="E64" s="98">
        <f>SUM(E55:E63)</f>
        <v>288.19999999999993</v>
      </c>
      <c r="F64" s="98">
        <f>SUM(F55:F63)</f>
        <v>409.67619047619047</v>
      </c>
      <c r="G64" s="130">
        <f>(Tableau51014[[#This Row],[Passed]]-Tableau51014[[#This Row],[Corrected Manually]])/Tableau51014[[#This Row],[Total]]</f>
        <v>0.29651757485586772</v>
      </c>
      <c r="H64" s="131">
        <f>Tableau51014[[#This Row],[Passed]]/Tableau51014[[#This Row],[Total]]</f>
        <v>0.29651757485586772</v>
      </c>
      <c r="I64" s="131">
        <f>(Tableau51014[[#This Row],[Passed]]+Tableau51014[[#This Row],[Failed]])/Tableau51014[[#This Row],[Received]]</f>
        <v>0.9975649915354472</v>
      </c>
    </row>
    <row r="66" spans="1:9" ht="38.25">
      <c r="A66" s="105" t="s">
        <v>7569</v>
      </c>
      <c r="B66" s="71" t="s">
        <v>7554</v>
      </c>
      <c r="C66" s="65" t="s">
        <v>526</v>
      </c>
      <c r="D66" s="65" t="s">
        <v>493</v>
      </c>
      <c r="E66" s="65" t="s">
        <v>563</v>
      </c>
      <c r="F66" s="64" t="s">
        <v>7542</v>
      </c>
      <c r="G66" s="65" t="s">
        <v>7555</v>
      </c>
      <c r="H66" s="65" t="s">
        <v>7556</v>
      </c>
      <c r="I66" s="65" t="s">
        <v>7557</v>
      </c>
    </row>
    <row r="67" spans="1:9">
      <c r="A67" s="42" t="s">
        <v>7558</v>
      </c>
      <c r="B67" s="80">
        <f>SUMIFS(Tableau6[Nb Repetition],Tableau6[Pelican Extraction n°],"3.2",Tableau6[TRANSIT],"N",Tableau6[IsULD],"N")</f>
        <v>44.583333333333336</v>
      </c>
      <c r="C67" s="80">
        <f>SUMIFS(Tableau6[Nb Repetition],Tableau6[Pelican Extraction n°],"3.2",Tableau6[TRANSIT],"N",Tableau6[IsULD],"N",Tableau6[Status],"Passed")</f>
        <v>1</v>
      </c>
      <c r="D67" s="80">
        <f>SUMIFS(Tableau6[Nb Repetition],Tableau6[Pelican Extraction n°],"3.2",Tableau6[TRANSIT],"N",Tableau6[IsULD],"N",Tableau6[Status],"Passed",Tableau6[Corrected Manually],"Yes")</f>
        <v>0</v>
      </c>
      <c r="E67" s="80">
        <f>SUMIFS(Tableau6[Nb Repetition],Tableau6[Pelican Extraction n°],"3.2",Tableau6[TRANSIT],"N",Tableau6[IsULD],"N",Tableau6[Status],"Failed")</f>
        <v>43.583333333333336</v>
      </c>
      <c r="F67" s="108">
        <f>Tableau5101415[[#This Row],[Passed]]+Tableau5101415[[#This Row],[Failed]]</f>
        <v>44.583333333333336</v>
      </c>
      <c r="G67" s="107">
        <f>(Tableau5101415[[#This Row],[Passed]]-Tableau5101415[[#This Row],[Corrected Manually]])/Tableau5101415[[#This Row],[Total]]</f>
        <v>2.2429906542056073E-2</v>
      </c>
      <c r="H67" s="80">
        <f>Tableau5101415[[#This Row],[Passed]]/Tableau5101415[[#This Row],[Total]]</f>
        <v>2.2429906542056073E-2</v>
      </c>
      <c r="I67" s="80">
        <f>(Tableau5101415[[#This Row],[Passed]]+Tableau5101415[[#This Row],[Failed]])/Tableau5101415[[#This Row],[Received]]</f>
        <v>1</v>
      </c>
    </row>
    <row r="68" spans="1:9">
      <c r="A68" s="42" t="s">
        <v>7559</v>
      </c>
      <c r="B68" s="80">
        <f>SUMIFS(Tableau6[Nb Repetition],Tableau6[Pelican Extraction n°],"3.2",Tableau6[TRANSIT],"N",Tableau6[IsULD],"Y")</f>
        <v>0</v>
      </c>
      <c r="C68" s="80">
        <f>SUMIFS(Tableau6[Nb Repetition],Tableau6[Pelican Extraction n°],"3.2",Tableau6[TRANSIT],"N",Tableau6[IsULD],"Y",Tableau6[Status],"Passed")</f>
        <v>0</v>
      </c>
      <c r="D68" s="80">
        <f>SUMIFS(Tableau6[Nb Repetition],Tableau6[Pelican Extraction n°],"3.2",Tableau6[TRANSIT],"N",Tableau6[IsULD],"Y",Tableau6[Status],"Passed",Tableau6[Corrected Manually],"Yes")</f>
        <v>0</v>
      </c>
      <c r="E68" s="80">
        <f>SUMIFS(Tableau6[Nb Repetition],Tableau6[Pelican Extraction n°],"3.2",Tableau6[TRANSIT],"N",Tableau6[IsULD],"Y",Tableau6[Status],"Failed")</f>
        <v>0</v>
      </c>
      <c r="F68" s="108">
        <f>Tableau5101415[[#This Row],[Passed]]+Tableau5101415[[#This Row],[Failed]]</f>
        <v>0</v>
      </c>
      <c r="G68" s="107" t="e">
        <f>(Tableau5101415[[#This Row],[Passed]]-Tableau5101415[[#This Row],[Corrected Manually]])/Tableau5101415[[#This Row],[Total]]</f>
        <v>#DIV/0!</v>
      </c>
      <c r="H68" s="80" t="e">
        <f>Tableau5101415[[#This Row],[Passed]]/Tableau5101415[[#This Row],[Total]]</f>
        <v>#DIV/0!</v>
      </c>
      <c r="I68" s="80" t="e">
        <f>(Tableau5101415[[#This Row],[Passed]]+Tableau5101415[[#This Row],[Failed]])/Tableau5101415[[#This Row],[Received]]</f>
        <v>#DIV/0!</v>
      </c>
    </row>
    <row r="69" spans="1:9">
      <c r="A69" s="42" t="s">
        <v>7560</v>
      </c>
      <c r="B69" s="80">
        <f>SUMIFS(Tableau6[Nb Repetition],Tableau6[Pelican Extraction n°],"3.2",Tableau6[TRANSIT],"N",Tableau6[SHC Check],"Y")</f>
        <v>0</v>
      </c>
      <c r="C69" s="80">
        <f>SUMIFS(Tableau6[Nb Repetition],Tableau6[Pelican Extraction n°],"3.2",Tableau6[TRANSIT],"N",Tableau6[SHC Check],"Y",Tableau6[Status],"Passed")</f>
        <v>0</v>
      </c>
      <c r="D69" s="80">
        <f>SUMIFS(Tableau6[Nb Repetition],Tableau6[Pelican Extraction n°],"3.2",Tableau6[TRANSIT],"N",Tableau6[SHC Check],"Y",Tableau6[Status],"Passed",Tableau6[Corrected Manually],"Yes")</f>
        <v>0</v>
      </c>
      <c r="E69" s="80">
        <f>SUMIFS(Tableau6[Nb Repetition],Tableau6[Pelican Extraction n°],"3.2",Tableau6[TRANSIT],"N",Tableau6[SHC Check],"Y",Tableau6[Status],"Failed")</f>
        <v>0</v>
      </c>
      <c r="F69" s="108">
        <f>Tableau5101415[[#This Row],[Passed]]+Tableau5101415[[#This Row],[Failed]]</f>
        <v>0</v>
      </c>
      <c r="G69" s="107" t="e">
        <f>(Tableau5101415[[#This Row],[Passed]]-Tableau5101415[[#This Row],[Corrected Manually]])/Tableau5101415[[#This Row],[Total]]</f>
        <v>#DIV/0!</v>
      </c>
      <c r="H69" s="80" t="e">
        <f>Tableau5101415[[#This Row],[Passed]]/Tableau5101415[[#This Row],[Total]]</f>
        <v>#DIV/0!</v>
      </c>
      <c r="I69" s="80" t="e">
        <f>(Tableau5101415[[#This Row],[Passed]]+Tableau5101415[[#This Row],[Failed]])/Tableau5101415[[#This Row],[Received]]</f>
        <v>#DIV/0!</v>
      </c>
    </row>
    <row r="70" spans="1:9">
      <c r="A70" s="79" t="s">
        <v>7561</v>
      </c>
      <c r="B70" s="80">
        <f>SUMIFS(Tableau6[Nb Repetition],Tableau6[Pelican Extraction n°],"3.2",Tableau6[TRANSIT],"Y",Tableau6[IsULD],"N",Tableau6[Is ORI =iCargo],"Yes")</f>
        <v>10</v>
      </c>
      <c r="C70" s="80">
        <f>SUMIFS(Tableau6[Nb Repetition],Tableau6[Pelican Extraction n°],"3.2",Tableau6[TRANSIT],"Y",Tableau6[IsULD],"N",Tableau6[Is ORI =iCargo],"Yes",Tableau6[Status],"Passed")</f>
        <v>3</v>
      </c>
      <c r="D70" s="80">
        <f>SUMIFS(Tableau6[Nb Repetition],Tableau6[Pelican Extraction n°],"3.2",Tableau6[TRANSIT],"Y",Tableau6[IsULD],"N",Tableau6[Is ORI =iCargo],"Yes",Tableau6[Status],"Passed",Tableau6[Corrected Manually],"Yes")</f>
        <v>0</v>
      </c>
      <c r="E70" s="80">
        <f>SUMIFS(Tableau6[Nb Repetition],Tableau6[Pelican Extraction n°],"3.2",Tableau6[TRANSIT],"Y",Tableau6[IsULD],"N",Tableau6[Is ORI =iCargo],"no",Tableau6[Status],"Failed")</f>
        <v>117.63205128205124</v>
      </c>
      <c r="F70" s="108">
        <f>Tableau5101415[[#This Row],[Passed]]+Tableau5101415[[#This Row],[Failed]]</f>
        <v>120.63205128205124</v>
      </c>
      <c r="G70" s="107">
        <f>(Tableau5101415[[#This Row],[Passed]]-Tableau5101415[[#This Row],[Corrected Manually]])/Tableau5101415[[#This Row],[Total]]</f>
        <v>2.4869012572667475E-2</v>
      </c>
      <c r="H70" s="80">
        <f>Tableau5101415[[#This Row],[Passed]]/Tableau5101415[[#This Row],[Total]]</f>
        <v>2.4869012572667475E-2</v>
      </c>
      <c r="I70" s="80">
        <f>(Tableau5101415[[#This Row],[Passed]]+Tableau5101415[[#This Row],[Failed]])/Tableau5101415[[#This Row],[Received]]</f>
        <v>12.063205128205123</v>
      </c>
    </row>
    <row r="71" spans="1:9">
      <c r="A71" s="79" t="s">
        <v>7562</v>
      </c>
      <c r="B71" s="80">
        <f>SUMIFS(Tableau6[Nb Repetition],Tableau6[Pelican Extraction n°],"3.2",Tableau6[TRANSIT],"Y",Tableau6[IsULD],"Y",Tableau6[Is ORI =iCargo],"Yes")</f>
        <v>0</v>
      </c>
      <c r="C71" s="80">
        <f>SUMIFS(Tableau6[Nb Repetition],Tableau6[Pelican Extraction n°],"3.2",Tableau6[TRANSIT],"Y",Tableau6[IsULD],"Y",Tableau6[Is ORI =iCargo],"Yes",Tableau6[Status],"Passed")</f>
        <v>0</v>
      </c>
      <c r="D71" s="80">
        <f>SUMIFS(Tableau6[Nb Repetition],Tableau6[Pelican Extraction n°],"3.2",Tableau6[TRANSIT],"Y",Tableau6[IsULD],"Y",Tableau6[Is ORI =iCargo],"Yes",Tableau6[Status],"Passed",Tableau6[Corrected Manually],"Yes")</f>
        <v>0</v>
      </c>
      <c r="E71" s="80">
        <f>SUMIFS(Tableau6[Nb Repetition],Tableau6[Pelican Extraction n°],"3.2",Tableau6[TRANSIT],"Y",Tableau6[IsULD],"Y",Tableau6[Is ORI =iCargo],"Yes",Tableau6[Status],"Failed")</f>
        <v>0</v>
      </c>
      <c r="F71" s="108">
        <f>Tableau5101415[[#This Row],[Passed]]+Tableau5101415[[#This Row],[Failed]]</f>
        <v>0</v>
      </c>
      <c r="G71" s="107" t="e">
        <f>(Tableau5101415[[#This Row],[Passed]]-Tableau5101415[[#This Row],[Corrected Manually]])/Tableau5101415[[#This Row],[Total]]</f>
        <v>#DIV/0!</v>
      </c>
      <c r="H71" s="80" t="e">
        <f>Tableau5101415[[#This Row],[Passed]]/Tableau5101415[[#This Row],[Total]]</f>
        <v>#DIV/0!</v>
      </c>
      <c r="I71" s="80" t="e">
        <f>(Tableau5101415[[#This Row],[Passed]]+Tableau5101415[[#This Row],[Failed]])/Tableau5101415[[#This Row],[Received]]</f>
        <v>#DIV/0!</v>
      </c>
    </row>
    <row r="72" spans="1:9">
      <c r="A72" s="79" t="s">
        <v>7563</v>
      </c>
      <c r="B72" s="80">
        <f>SUMIFS(Tableau6[Nb Repetition],Tableau6[Pelican Extraction n°],"3.2",Tableau6[TRANSIT],"Y",Tableau6[SHC Check],"Y",Tableau6[Is ORI =iCargo],"Yes")</f>
        <v>0</v>
      </c>
      <c r="C72" s="80">
        <f>SUMIFS(Tableau6[Nb Repetition],Tableau6[Pelican Extraction n°],"3.2",Tableau6[TRANSIT],"Y",Tableau6[SHC Check],"Y",Tableau6[Is ORI =iCargo],"Yes",Tableau6[Status],"Passed")</f>
        <v>0</v>
      </c>
      <c r="D72" s="80">
        <f>SUMIFS(Tableau6[Nb Repetition],Tableau6[Pelican Extraction n°],"3.2",Tableau6[TRANSIT],"Y",Tableau6[SHC Check],"Y",Tableau6[Is ORI =iCargo],"yes",Tableau6[Status],"Passed",Tableau6[Corrected Manually],"Yes")</f>
        <v>0</v>
      </c>
      <c r="E72" s="80">
        <f>SUMIFS(Tableau6[Nb Repetition],Tableau6[Pelican Extraction n°],"3.2",Tableau6[TRANSIT],"Y",Tableau6[SHC Check],"Y",Tableau6[Is ORI =iCargo],"Yes",Tableau6[Status],"Failed")</f>
        <v>0</v>
      </c>
      <c r="F72" s="108">
        <f>Tableau5101415[[#This Row],[Passed]]+Tableau5101415[[#This Row],[Failed]]</f>
        <v>0</v>
      </c>
      <c r="G72" s="107" t="e">
        <f>(Tableau5101415[[#This Row],[Passed]]-Tableau5101415[[#This Row],[Corrected Manually]])/Tableau5101415[[#This Row],[Total]]</f>
        <v>#DIV/0!</v>
      </c>
      <c r="H72" s="80" t="e">
        <f>Tableau5101415[[#This Row],[Passed]]/Tableau5101415[[#This Row],[Total]]</f>
        <v>#DIV/0!</v>
      </c>
      <c r="I72" s="80" t="e">
        <f>(Tableau5101415[[#This Row],[Passed]]+Tableau5101415[[#This Row],[Failed]])/Tableau5101415[[#This Row],[Received]]</f>
        <v>#DIV/0!</v>
      </c>
    </row>
    <row r="73" spans="1:9">
      <c r="A73" s="78" t="s">
        <v>7564</v>
      </c>
      <c r="B73" s="80">
        <f>SUMIFS(Tableau6[Nb Repetition],Tableau6[Pelican Extraction n°],"3.2",Tableau6[TRANSIT],"Y",Tableau6[IsULD],"N",Tableau6[Is ORI =iCargo],"No")</f>
        <v>154.85427350427352</v>
      </c>
      <c r="C73" s="80">
        <f>SUMIFS(Tableau6[Nb Repetition],Tableau6[Pelican Extraction n°],"3.2",Tableau6[TRANSIT],"Y",Tableau6[IsULD],"N",Tableau6[Is ORI =iCargo],"No",Tableau6[Status],"Passed")</f>
        <v>37.222222222222221</v>
      </c>
      <c r="D73" s="80">
        <f>SUMIFS(Tableau6[Nb Repetition],Tableau6[Pelican Extraction n°],"3.2",Tableau6[TRANSIT],"Y",Tableau6[IsULD],"N",Tableau6[Is ORI =iCargo],"No",Tableau6[Status],"Passed",Tableau6[Corrected Manually],"Yes")</f>
        <v>0</v>
      </c>
      <c r="E73" s="80">
        <f>SUMIFS(Tableau6[Nb Repetition],Tableau6[Pelican Extraction n°],"3.2",Tableau6[TRANSIT],"Y",Tableau6[IsULD],"N",Tableau6[Is ORI =iCargo],"Yes",Tableau6[Status],"Failed")</f>
        <v>7</v>
      </c>
      <c r="F73" s="108">
        <f>Tableau5101415[[#This Row],[Passed]]+Tableau5101415[[#This Row],[Failed]]</f>
        <v>44.222222222222221</v>
      </c>
      <c r="G73" s="107">
        <f>(Tableau5101415[[#This Row],[Passed]]-Tableau5101415[[#This Row],[Corrected Manually]])/Tableau5101415[[#This Row],[Total]]</f>
        <v>0.84170854271356788</v>
      </c>
      <c r="H73" s="80">
        <f>Tableau5101415[[#This Row],[Passed]]/Tableau5101415[[#This Row],[Total]]</f>
        <v>0.84170854271356788</v>
      </c>
      <c r="I73" s="80">
        <f>(Tableau5101415[[#This Row],[Passed]]+Tableau5101415[[#This Row],[Failed]])/Tableau5101415[[#This Row],[Received]]</f>
        <v>0.28557314707237846</v>
      </c>
    </row>
    <row r="74" spans="1:9">
      <c r="A74" s="78" t="s">
        <v>7565</v>
      </c>
      <c r="B74" s="80">
        <f>SUMIFS(Tableau6[Nb Repetition],Tableau6[Pelican Extraction n°],"3.2",Tableau6[TRANSIT],"Y",Tableau6[IsULD],"Y",Tableau6[Is ORI =iCargo],"No")</f>
        <v>3</v>
      </c>
      <c r="C74" s="80">
        <f>SUMIFS(Tableau6[Nb Repetition],Tableau6[Pelican Extraction n°],"3.2",Tableau6[TRANSIT],"Y",Tableau6[IsULD],"Y",Tableau6[Is ORI =iCargo],"No",Tableau6[Status],"Passed")</f>
        <v>0</v>
      </c>
      <c r="D74" s="80">
        <f>SUMIFS(Tableau6[Nb Repetition],Tableau6[Pelican Extraction n°],"3.2",Tableau6[TRANSIT],"Y",Tableau6[IsULD],"Y",Tableau6[Is ORI =iCargo],"No",Tableau6[Status],"Passed",Tableau6[Corrected Manually],"Yes")</f>
        <v>0</v>
      </c>
      <c r="E74" s="80">
        <f>SUMIFS(Tableau6[Nb Repetition],Tableau6[Pelican Extraction n°],"3.2",Tableau6[TRANSIT],"Y",Tableau6[IsULD],"Y",Tableau6[Is ORI =iCargo],"No",Tableau6[Status],"Failed")</f>
        <v>3</v>
      </c>
      <c r="F74" s="108">
        <f>Tableau5101415[[#This Row],[Passed]]+Tableau5101415[[#This Row],[Failed]]</f>
        <v>3</v>
      </c>
      <c r="G74" s="107">
        <f>(Tableau5101415[[#This Row],[Passed]]-Tableau5101415[[#This Row],[Corrected Manually]])/Tableau5101415[[#This Row],[Total]]</f>
        <v>0</v>
      </c>
      <c r="H74" s="80">
        <f>Tableau5101415[[#This Row],[Passed]]/Tableau5101415[[#This Row],[Total]]</f>
        <v>0</v>
      </c>
      <c r="I74" s="80">
        <f>(Tableau5101415[[#This Row],[Passed]]+Tableau5101415[[#This Row],[Failed]])/Tableau5101415[[#This Row],[Received]]</f>
        <v>1</v>
      </c>
    </row>
    <row r="75" spans="1:9">
      <c r="A75" s="78" t="s">
        <v>7566</v>
      </c>
      <c r="B75" s="80">
        <f>SUMIFS(Tableau6[Nb Repetition],Tableau6[Pelican Extraction n°],"3.2",Tableau6[TRANSIT],"Y",Tableau6[SHC Check],"Y",Tableau6[Is ORI =iCargo],"Yes")</f>
        <v>0</v>
      </c>
      <c r="C75" s="80">
        <f>SUMIFS(Tableau6[Nb Repetition],Tableau6[Pelican Extraction n°],"3.2",Tableau6[TRANSIT],"Y",Tableau6[SHC Check],"Y",Tableau6[Is ORI =iCargo],"No",Tableau6[Status],"Passed")</f>
        <v>0</v>
      </c>
      <c r="D75" s="80">
        <f>SUMIFS(Tableau6[Nb Repetition],Tableau6[Pelican Extraction n°],"3.2",Tableau6[TRANSIT],"Y",Tableau6[SHC Check],"Y",Tableau6[Is ORI =iCargo],"No",Tableau6[Status],"Passed",Tableau6[Corrected Manually],"Yes")</f>
        <v>0</v>
      </c>
      <c r="E75" s="80">
        <f>SUMIFS(Tableau6[Nb Repetition],Tableau6[Pelican Extraction n°],"3.2",Tableau6[TRANSIT],"Y",Tableau6[SHC Check],"Y",Tableau6[Is ORI =iCargo],"No",Tableau6[Status],"Failed")</f>
        <v>0</v>
      </c>
      <c r="F75" s="108">
        <f>Tableau5101415[[#This Row],[Passed]]+Tableau5101415[[#This Row],[Failed]]</f>
        <v>0</v>
      </c>
      <c r="G75" s="107" t="e">
        <f>(Tableau5101415[[#This Row],[Passed]]-Tableau5101415[[#This Row],[Corrected Manually]])/Tableau5101415[[#This Row],[Total]]</f>
        <v>#DIV/0!</v>
      </c>
      <c r="H75" s="80" t="e">
        <f>Tableau5101415[[#This Row],[Passed]]/Tableau5101415[[#This Row],[Total]]</f>
        <v>#DIV/0!</v>
      </c>
      <c r="I75" s="80" t="e">
        <f>(Tableau5101415[[#This Row],[Passed]]+Tableau5101415[[#This Row],[Failed]])/Tableau5101415[[#This Row],[Received]]</f>
        <v>#DIV/0!</v>
      </c>
    </row>
    <row r="76" spans="1:9">
      <c r="A76" s="67" t="s">
        <v>7542</v>
      </c>
      <c r="B76" s="98">
        <f>SUM(B67:B75)</f>
        <v>212.43760683760686</v>
      </c>
      <c r="C76" s="98">
        <f>SUM(C67:C75)</f>
        <v>41.222222222222221</v>
      </c>
      <c r="D76" s="98">
        <f>SUM(D67:D75)</f>
        <v>0</v>
      </c>
      <c r="E76" s="98">
        <f>SUM(E67:E75)</f>
        <v>171.21538461538458</v>
      </c>
      <c r="F76" s="98">
        <f>SUM(F67:F75)</f>
        <v>212.43760683760681</v>
      </c>
      <c r="G76" s="99">
        <f>(Tableau5101415[[#This Row],[Passed]]-Tableau5101415[[#This Row],[Corrected Manually]])/Tableau5101415[[#This Row],[Total]]</f>
        <v>0.19404390228201746</v>
      </c>
      <c r="H76" s="97">
        <f>Tableau5101415[[#This Row],[Passed]]/Tableau5101415[[#This Row],[Total]]</f>
        <v>0.19404390228201746</v>
      </c>
      <c r="I76" s="97">
        <f>(Tableau5101415[[#This Row],[Passed]]+Tableau5101415[[#This Row],[Failed]])/Tableau5101415[[#This Row],[Received]]</f>
        <v>0.99999999999999978</v>
      </c>
    </row>
    <row r="78" spans="1:9" ht="38.25">
      <c r="A78" s="105" t="s">
        <v>7570</v>
      </c>
      <c r="B78" s="71" t="s">
        <v>7554</v>
      </c>
      <c r="C78" s="65" t="s">
        <v>526</v>
      </c>
      <c r="D78" s="65" t="s">
        <v>493</v>
      </c>
      <c r="E78" s="65" t="s">
        <v>563</v>
      </c>
      <c r="F78" s="64" t="s">
        <v>7542</v>
      </c>
      <c r="G78" s="65" t="s">
        <v>7555</v>
      </c>
      <c r="H78" s="65" t="s">
        <v>7556</v>
      </c>
      <c r="I78" s="65" t="s">
        <v>7557</v>
      </c>
    </row>
    <row r="79" spans="1:9">
      <c r="A79" s="42" t="s">
        <v>7558</v>
      </c>
      <c r="B79" s="80">
        <f>SUMIFS(Tableau6[Nb Repetition],Tableau6[Pelican Extraction n°],"3.3",Tableau6[TRANSIT],"N",Tableau6[IsULD],"N")</f>
        <v>50.65000000000002</v>
      </c>
      <c r="C79" s="80">
        <f>SUMIFS(Tableau6[Nb Repetition],Tableau6[Pelican Extraction n°],"3.3",Tableau6[TRANSIT],"N",Tableau6[IsULD],"N",Tableau6[Status],"Passed")</f>
        <v>0</v>
      </c>
      <c r="D79" s="80">
        <f>SUMIFS(Tableau6[Nb Repetition],Tableau6[Pelican Extraction n°],"3.3",Tableau6[TRANSIT],"N",Tableau6[IsULD],"N",Tableau6[Status],"Passed",Tableau6[Corrected Manually],"Yes")</f>
        <v>0</v>
      </c>
      <c r="E79" s="80">
        <f>SUMIFS(Tableau6[Nb Repetition],Tableau6[Pelican Extraction n°],"3.3",Tableau6[TRANSIT],"N",Tableau6[IsULD],"N",Tableau6[Status],"Failed")</f>
        <v>0</v>
      </c>
      <c r="F79" s="108">
        <f>Tableau510141516[[#This Row],[Passed]]+Tableau510141516[[#This Row],[Failed]]</f>
        <v>0</v>
      </c>
      <c r="G79" s="107" t="e">
        <f>(Tableau510141516[[#This Row],[Passed]]-Tableau510141516[[#This Row],[Corrected Manually]])/Tableau510141516[[#This Row],[Total]]</f>
        <v>#DIV/0!</v>
      </c>
      <c r="H79" s="80" t="e">
        <f>Tableau510141516[[#This Row],[Passed]]/Tableau510141516[[#This Row],[Total]]</f>
        <v>#DIV/0!</v>
      </c>
      <c r="I79" s="80">
        <f>(Tableau510141516[[#This Row],[Passed]]+Tableau510141516[[#This Row],[Failed]])/Tableau510141516[[#This Row],[Received]]</f>
        <v>0</v>
      </c>
    </row>
    <row r="80" spans="1:9">
      <c r="A80" s="42" t="s">
        <v>7559</v>
      </c>
      <c r="B80" s="80">
        <f>SUMIFS(Tableau6[Nb Repetition],Tableau6[Pelican Extraction n°],"3.3",Tableau6[TRANSIT],"N",Tableau6[IsULD],"Y")</f>
        <v>0.60000000000000009</v>
      </c>
      <c r="C80" s="80">
        <f>SUMIFS(Tableau6[Nb Repetition],Tableau6[Pelican Extraction n°],"3.3",Tableau6[TRANSIT],"N",Tableau6[IsULD],"Y",Tableau6[Status],"Passed")</f>
        <v>0</v>
      </c>
      <c r="D80" s="80">
        <f>SUMIFS(Tableau6[Nb Repetition],Tableau6[Pelican Extraction n°],"3.3",Tableau6[TRANSIT],"N",Tableau6[IsULD],"Y",Tableau6[Status],"Passed",Tableau6[Corrected Manually],"Yes")</f>
        <v>0</v>
      </c>
      <c r="E80" s="80">
        <f>SUMIFS(Tableau6[Nb Repetition],Tableau6[Pelican Extraction n°],"3.3",Tableau6[TRANSIT],"N",Tableau6[IsULD],"Y",Tableau6[Status],"Failed")</f>
        <v>0</v>
      </c>
      <c r="F80" s="108">
        <f>Tableau510141516[[#This Row],[Passed]]+Tableau510141516[[#This Row],[Failed]]</f>
        <v>0</v>
      </c>
      <c r="G80" s="107" t="e">
        <f>(Tableau510141516[[#This Row],[Passed]]-Tableau510141516[[#This Row],[Corrected Manually]])/Tableau510141516[[#This Row],[Total]]</f>
        <v>#DIV/0!</v>
      </c>
      <c r="H80" s="80" t="e">
        <f>Tableau510141516[[#This Row],[Passed]]/Tableau510141516[[#This Row],[Total]]</f>
        <v>#DIV/0!</v>
      </c>
      <c r="I80" s="80">
        <f>(Tableau510141516[[#This Row],[Passed]]+Tableau510141516[[#This Row],[Failed]])/Tableau510141516[[#This Row],[Received]]</f>
        <v>0</v>
      </c>
    </row>
    <row r="81" spans="1:9">
      <c r="A81" s="42" t="s">
        <v>7560</v>
      </c>
      <c r="B81" s="80">
        <f>SUMIFS(Tableau6[Nb Repetition],Tableau6[Pelican Extraction n°],"3.3",Tableau6[TRANSIT],"N",Tableau6[SHC Check],"Y")</f>
        <v>0</v>
      </c>
      <c r="C81" s="80">
        <f>SUMIFS(Tableau6[Nb Repetition],Tableau6[Pelican Extraction n°],"3.3",Tableau6[TRANSIT],"N",Tableau6[SHC Check],"Y",Tableau6[Status],"Passed")</f>
        <v>0</v>
      </c>
      <c r="D81" s="80">
        <f>SUMIFS(Tableau6[Nb Repetition],Tableau6[Pelican Extraction n°],"3.3",Tableau6[TRANSIT],"N",Tableau6[SHC Check],"Y",Tableau6[Status],"Passed",Tableau6[Corrected Manually],"Yes")</f>
        <v>0</v>
      </c>
      <c r="E81" s="80">
        <f>SUMIFS(Tableau6[Nb Repetition],Tableau6[Pelican Extraction n°],"3.3",Tableau6[TRANSIT],"N",Tableau6[SHC Check],"Y",Tableau6[Status],"Failed")</f>
        <v>0</v>
      </c>
      <c r="F81" s="108">
        <f>Tableau510141516[[#This Row],[Passed]]+Tableau510141516[[#This Row],[Failed]]</f>
        <v>0</v>
      </c>
      <c r="G81" s="107" t="e">
        <f>(Tableau510141516[[#This Row],[Passed]]-Tableau510141516[[#This Row],[Corrected Manually]])/Tableau510141516[[#This Row],[Total]]</f>
        <v>#DIV/0!</v>
      </c>
      <c r="H81" s="80" t="e">
        <f>Tableau510141516[[#This Row],[Passed]]/Tableau510141516[[#This Row],[Total]]</f>
        <v>#DIV/0!</v>
      </c>
      <c r="I81" s="80" t="e">
        <f>(Tableau510141516[[#This Row],[Passed]]+Tableau510141516[[#This Row],[Failed]])/Tableau510141516[[#This Row],[Received]]</f>
        <v>#DIV/0!</v>
      </c>
    </row>
    <row r="82" spans="1:9">
      <c r="A82" s="79" t="s">
        <v>7561</v>
      </c>
      <c r="B82" s="80">
        <f>SUMIFS(Tableau6[Nb Repetition],Tableau6[Pelican Extraction n°],"3.3",Tableau6[TRANSIT],"Y",Tableau6[IsULD],"N",Tableau6[Is ORI =iCargo],"Yes")</f>
        <v>9</v>
      </c>
      <c r="C82" s="80">
        <f>SUMIFS(Tableau6[Nb Repetition],Tableau6[Pelican Extraction n°],"3.3",Tableau6[TRANSIT],"Y",Tableau6[IsULD],"N",Tableau6[Is ORI =iCargo],"Yes",Tableau6[Status],"Passed")</f>
        <v>0</v>
      </c>
      <c r="D82" s="80">
        <f>SUMIFS(Tableau6[Nb Repetition],Tableau6[Pelican Extraction n°],"3.3",Tableau6[TRANSIT],"Y",Tableau6[IsULD],"N",Tableau6[Is ORI =iCargo],"Yes",Tableau6[Status],"Passed",Tableau6[Corrected Manually],"Yes")</f>
        <v>0</v>
      </c>
      <c r="E82" s="80">
        <f>SUMIFS(Tableau6[Nb Repetition],Tableau6[Pelican Extraction n°],"3.3",Tableau6[TRANSIT],"Y",Tableau6[IsULD],"N",Tableau6[Is ORI =iCargo],"yes",Tableau6[Status],"Failed")</f>
        <v>0</v>
      </c>
      <c r="F82" s="108">
        <f>Tableau510141516[[#This Row],[Passed]]+Tableau510141516[[#This Row],[Failed]]</f>
        <v>0</v>
      </c>
      <c r="G82" s="107" t="e">
        <f>(Tableau510141516[[#This Row],[Passed]]-Tableau510141516[[#This Row],[Corrected Manually]])/Tableau510141516[[#This Row],[Total]]</f>
        <v>#DIV/0!</v>
      </c>
      <c r="H82" s="80" t="e">
        <f>Tableau510141516[[#This Row],[Passed]]/Tableau510141516[[#This Row],[Total]]</f>
        <v>#DIV/0!</v>
      </c>
      <c r="I82" s="80">
        <f>(Tableau510141516[[#This Row],[Passed]]+Tableau510141516[[#This Row],[Failed]])/Tableau510141516[[#This Row],[Received]]</f>
        <v>0</v>
      </c>
    </row>
    <row r="83" spans="1:9">
      <c r="A83" s="79" t="s">
        <v>7562</v>
      </c>
      <c r="B83" s="80">
        <f>SUMIFS(Tableau6[Nb Repetition],Tableau6[Pelican Extraction n°],"3.3",Tableau6[TRANSIT],"Y",Tableau6[IsULD],"Y",Tableau6[Is ORI =iCargo],"Yes")</f>
        <v>0</v>
      </c>
      <c r="C83" s="80">
        <f>SUMIFS(Tableau6[Nb Repetition],Tableau6[Pelican Extraction n°],"3.3",Tableau6[TRANSIT],"Y",Tableau6[IsULD],"Y",Tableau6[Is ORI =iCargo],"Yes",Tableau6[Status],"Passed")</f>
        <v>0</v>
      </c>
      <c r="D83" s="80">
        <f>SUMIFS(Tableau6[Nb Repetition],Tableau6[Pelican Extraction n°],"3.3",Tableau6[TRANSIT],"Y",Tableau6[IsULD],"Y",Tableau6[Is ORI =iCargo],"Yes",Tableau6[Status],"Passed",Tableau6[Corrected Manually],"Yes")</f>
        <v>0</v>
      </c>
      <c r="E83" s="80">
        <f>SUMIFS(Tableau6[Nb Repetition],Tableau6[Pelican Extraction n°],"3.3",Tableau6[TRANSIT],"Y",Tableau6[IsULD],"Y",Tableau6[Is ORI =iCargo],"Yes",Tableau6[Status],"Failed")</f>
        <v>0</v>
      </c>
      <c r="F83" s="108">
        <f>Tableau510141516[[#This Row],[Passed]]+Tableau510141516[[#This Row],[Failed]]</f>
        <v>0</v>
      </c>
      <c r="G83" s="107" t="e">
        <f>(Tableau510141516[[#This Row],[Passed]]-Tableau510141516[[#This Row],[Corrected Manually]])/Tableau510141516[[#This Row],[Total]]</f>
        <v>#DIV/0!</v>
      </c>
      <c r="H83" s="80" t="e">
        <f>Tableau510141516[[#This Row],[Passed]]/Tableau510141516[[#This Row],[Total]]</f>
        <v>#DIV/0!</v>
      </c>
      <c r="I83" s="80" t="e">
        <f>(Tableau510141516[[#This Row],[Passed]]+Tableau510141516[[#This Row],[Failed]])/Tableau510141516[[#This Row],[Received]]</f>
        <v>#DIV/0!</v>
      </c>
    </row>
    <row r="84" spans="1:9">
      <c r="A84" s="79" t="s">
        <v>7563</v>
      </c>
      <c r="B84" s="80">
        <f>SUMIFS(Tableau6[Nb Repetition],Tableau6[Pelican Extraction n°],"3.3",Tableau6[TRANSIT],"Y",Tableau6[SHC Check],"Y",Tableau6[Is ORI =iCargo],"Yes")</f>
        <v>0</v>
      </c>
      <c r="C84" s="80">
        <f>SUMIFS(Tableau6[Nb Repetition],Tableau6[Pelican Extraction n°],"3.3",Tableau6[TRANSIT],"Y",Tableau6[SHC Check],"Y",Tableau6[Is ORI =iCargo],"Yes",Tableau6[Status],"Passed")</f>
        <v>0</v>
      </c>
      <c r="D84" s="80">
        <f>SUMIFS(Tableau6[Nb Repetition],Tableau6[Pelican Extraction n°],"3.3",Tableau6[TRANSIT],"Y",Tableau6[SHC Check],"Y",Tableau6[Is ORI =iCargo],"yes",Tableau6[Status],"Passed",Tableau6[Corrected Manually],"Yes")</f>
        <v>0</v>
      </c>
      <c r="E84" s="80">
        <f>SUMIFS(Tableau6[Nb Repetition],Tableau6[Pelican Extraction n°],"3.3",Tableau6[TRANSIT],"Y",Tableau6[SHC Check],"Y",Tableau6[Is ORI =iCargo],"Yes",Tableau6[Status],"Failed")</f>
        <v>0</v>
      </c>
      <c r="F84" s="108">
        <f>Tableau510141516[[#This Row],[Passed]]+Tableau510141516[[#This Row],[Failed]]</f>
        <v>0</v>
      </c>
      <c r="G84" s="107" t="e">
        <f>(Tableau510141516[[#This Row],[Passed]]-Tableau510141516[[#This Row],[Corrected Manually]])/Tableau510141516[[#This Row],[Total]]</f>
        <v>#DIV/0!</v>
      </c>
      <c r="H84" s="80" t="e">
        <f>Tableau510141516[[#This Row],[Passed]]/Tableau510141516[[#This Row],[Total]]</f>
        <v>#DIV/0!</v>
      </c>
      <c r="I84" s="80" t="e">
        <f>(Tableau510141516[[#This Row],[Passed]]+Tableau510141516[[#This Row],[Failed]])/Tableau510141516[[#This Row],[Received]]</f>
        <v>#DIV/0!</v>
      </c>
    </row>
    <row r="85" spans="1:9">
      <c r="A85" s="78" t="s">
        <v>7564</v>
      </c>
      <c r="B85" s="80">
        <f>SUMIFS(Tableau6[Nb Repetition],Tableau6[Pelican Extraction n°],"3.3",Tableau6[TRANSIT],"Y",Tableau6[IsULD],"N",Tableau6[Is ORI =iCargo],"No")</f>
        <v>77.367948717948792</v>
      </c>
      <c r="C85" s="80">
        <f>SUMIFS(Tableau6[Nb Repetition],Tableau6[Pelican Extraction n°],"3.3",Tableau6[TRANSIT],"Y",Tableau6[IsULD],"N",Tableau6[Is ORI =iCargo],"No",Tableau6[Status],"Passed")</f>
        <v>0</v>
      </c>
      <c r="D85" s="80">
        <f>SUMIFS(Tableau6[Nb Repetition],Tableau6[Pelican Extraction n°],"3.3",Tableau6[TRANSIT],"Y",Tableau6[IsULD],"N",Tableau6[Is ORI =iCargo],"No",Tableau6[Status],"Passed",Tableau6[Corrected Manually],"Yes")</f>
        <v>0</v>
      </c>
      <c r="E85" s="80">
        <f>SUMIFS(Tableau6[Nb Repetition],Tableau6[Pelican Extraction n°],"3.3",Tableau6[TRANSIT],"Y",Tableau6[IsULD],"N",Tableau6[Is ORI =iCargo],"No",Tableau6[Status],"Failed")</f>
        <v>0</v>
      </c>
      <c r="F85" s="108">
        <f>Tableau510141516[[#This Row],[Passed]]+Tableau510141516[[#This Row],[Failed]]</f>
        <v>0</v>
      </c>
      <c r="G85" s="107" t="e">
        <f>(Tableau510141516[[#This Row],[Passed]]-Tableau510141516[[#This Row],[Corrected Manually]])/Tableau510141516[[#This Row],[Total]]</f>
        <v>#DIV/0!</v>
      </c>
      <c r="H85" s="80" t="e">
        <f>Tableau510141516[[#This Row],[Passed]]/Tableau510141516[[#This Row],[Total]]</f>
        <v>#DIV/0!</v>
      </c>
      <c r="I85" s="80">
        <f>(Tableau510141516[[#This Row],[Passed]]+Tableau510141516[[#This Row],[Failed]])/Tableau510141516[[#This Row],[Received]]</f>
        <v>0</v>
      </c>
    </row>
    <row r="86" spans="1:9">
      <c r="A86" s="78" t="s">
        <v>7565</v>
      </c>
      <c r="B86" s="80">
        <f>SUMIFS(Tableau6[Nb Repetition],Tableau6[Pelican Extraction n°],"3.3",Tableau6[TRANSIT],"Y",Tableau6[IsULD],"Y",Tableau6[Is ORI =iCargo],"No")</f>
        <v>3</v>
      </c>
      <c r="C86" s="80">
        <f>SUMIFS(Tableau6[Nb Repetition],Tableau6[Pelican Extraction n°],"3.3",Tableau6[TRANSIT],"Y",Tableau6[IsULD],"Y",Tableau6[Is ORI =iCargo],"No",Tableau6[Status],"Passed")</f>
        <v>0</v>
      </c>
      <c r="D86" s="80">
        <f>SUMIFS(Tableau6[Nb Repetition],Tableau6[Pelican Extraction n°],"3.3",Tableau6[TRANSIT],"Y",Tableau6[IsULD],"Y",Tableau6[Is ORI =iCargo],"No",Tableau6[Status],"Passed",Tableau6[Corrected Manually],"Yes")</f>
        <v>0</v>
      </c>
      <c r="E86" s="80">
        <f>SUMIFS(Tableau6[Nb Repetition],Tableau6[Pelican Extraction n°],"3.3",Tableau6[TRANSIT],"Y",Tableau6[IsULD],"Y",Tableau6[Is ORI =iCargo],"No",Tableau6[Status],"Failed")</f>
        <v>0</v>
      </c>
      <c r="F86" s="108">
        <f>Tableau510141516[[#This Row],[Passed]]+Tableau510141516[[#This Row],[Failed]]</f>
        <v>0</v>
      </c>
      <c r="G86" s="107" t="e">
        <f>(Tableau510141516[[#This Row],[Passed]]-Tableau510141516[[#This Row],[Corrected Manually]])/Tableau510141516[[#This Row],[Total]]</f>
        <v>#DIV/0!</v>
      </c>
      <c r="H86" s="80" t="e">
        <f>Tableau510141516[[#This Row],[Passed]]/Tableau510141516[[#This Row],[Total]]</f>
        <v>#DIV/0!</v>
      </c>
      <c r="I86" s="80">
        <f>(Tableau510141516[[#This Row],[Passed]]+Tableau510141516[[#This Row],[Failed]])/Tableau510141516[[#This Row],[Received]]</f>
        <v>0</v>
      </c>
    </row>
    <row r="87" spans="1:9">
      <c r="A87" s="78" t="s">
        <v>7566</v>
      </c>
      <c r="B87" s="80">
        <f>SUMIFS(Tableau6[Nb Repetition],Tableau6[Pelican Extraction n°],"3.3",Tableau6[TRANSIT],"Y",Tableau6[SHC Check],"Y",Tableau6[Is ORI =iCargo],"Yes")</f>
        <v>0</v>
      </c>
      <c r="C87" s="80">
        <f>SUMIFS(Tableau6[Nb Repetition],Tableau6[Pelican Extraction n°],"3.3",Tableau6[TRANSIT],"Y",Tableau6[SHC Check],"Y",Tableau6[Is ORI =iCargo],"No",Tableau6[Status],"Passed")</f>
        <v>0</v>
      </c>
      <c r="D87" s="80">
        <f>SUMIFS(Tableau6[Nb Repetition],Tableau6[Pelican Extraction n°],"3.3",Tableau6[TRANSIT],"Y",Tableau6[SHC Check],"Y",Tableau6[Is ORI =iCargo],"No",Tableau6[Status],"Passed",Tableau6[Corrected Manually],"Yes")</f>
        <v>0</v>
      </c>
      <c r="E87" s="80">
        <f>SUMIFS(Tableau6[Nb Repetition],Tableau6[Pelican Extraction n°],"3.3",Tableau6[TRANSIT],"Y",Tableau6[SHC Check],"Y",Tableau6[Is ORI =iCargo],"No",Tableau6[Status],"Failed")</f>
        <v>0</v>
      </c>
      <c r="F87" s="108">
        <f>Tableau510141516[[#This Row],[Passed]]+Tableau510141516[[#This Row],[Failed]]</f>
        <v>0</v>
      </c>
      <c r="G87" s="107" t="e">
        <f>(Tableau510141516[[#This Row],[Passed]]-Tableau510141516[[#This Row],[Corrected Manually]])/Tableau510141516[[#This Row],[Total]]</f>
        <v>#DIV/0!</v>
      </c>
      <c r="H87" s="80" t="e">
        <f>Tableau510141516[[#This Row],[Passed]]/Tableau510141516[[#This Row],[Total]]</f>
        <v>#DIV/0!</v>
      </c>
      <c r="I87" s="80" t="e">
        <f>(Tableau510141516[[#This Row],[Passed]]+Tableau510141516[[#This Row],[Failed]])/Tableau510141516[[#This Row],[Received]]</f>
        <v>#DIV/0!</v>
      </c>
    </row>
    <row r="88" spans="1:9">
      <c r="A88" s="67" t="s">
        <v>7542</v>
      </c>
      <c r="B88" s="98">
        <f>SUM(B79:B87)</f>
        <v>140.61794871794882</v>
      </c>
      <c r="C88" s="98">
        <f>SUM(C79:C87)</f>
        <v>0</v>
      </c>
      <c r="D88" s="98">
        <f>SUM(D79:D87)</f>
        <v>0</v>
      </c>
      <c r="E88" s="98">
        <f>SUM(E79:E87)</f>
        <v>0</v>
      </c>
      <c r="F88" s="98">
        <f>SUM(F79:F87)</f>
        <v>0</v>
      </c>
      <c r="G88" s="99" t="e">
        <f>(Tableau510141516[[#This Row],[Passed]]-Tableau510141516[[#This Row],[Corrected Manually]])/Tableau510141516[[#This Row],[Total]]</f>
        <v>#DIV/0!</v>
      </c>
      <c r="H88" s="97" t="e">
        <f>Tableau510141516[[#This Row],[Passed]]/Tableau510141516[[#This Row],[Total]]</f>
        <v>#DIV/0!</v>
      </c>
      <c r="I88" s="97">
        <f>(Tableau510141516[[#This Row],[Passed]]+Tableau510141516[[#This Row],[Failed]])/Tableau510141516[[#This Row],[Received]]</f>
        <v>0</v>
      </c>
    </row>
    <row r="90" spans="1:9" ht="38.25">
      <c r="A90" s="110" t="s">
        <v>7571</v>
      </c>
      <c r="B90" s="71" t="s">
        <v>7554</v>
      </c>
      <c r="C90" s="65" t="s">
        <v>526</v>
      </c>
      <c r="D90" s="65" t="s">
        <v>493</v>
      </c>
      <c r="E90" s="65" t="s">
        <v>563</v>
      </c>
      <c r="F90" s="64" t="s">
        <v>7542</v>
      </c>
      <c r="G90" s="65" t="s">
        <v>7555</v>
      </c>
      <c r="H90" s="65" t="s">
        <v>7556</v>
      </c>
      <c r="I90" s="65" t="s">
        <v>7557</v>
      </c>
    </row>
    <row r="91" spans="1:9">
      <c r="A91" s="42" t="s">
        <v>7558</v>
      </c>
      <c r="B91" s="80">
        <f>B31+B43+B55+B67+B79</f>
        <v>159.40000000000003</v>
      </c>
      <c r="C91" s="80">
        <f t="shared" ref="C91:F91" si="5">C31+C43+C55+C67+C79</f>
        <v>28.333333333333329</v>
      </c>
      <c r="D91" s="80">
        <f t="shared" si="5"/>
        <v>18.857142857142854</v>
      </c>
      <c r="E91" s="80">
        <f t="shared" si="5"/>
        <v>80.416666666666671</v>
      </c>
      <c r="F91" s="80">
        <f t="shared" si="5"/>
        <v>108.75</v>
      </c>
      <c r="G91" s="127">
        <f>(Tableau51014151611[[#This Row],[Passed]]-Tableau51014151611[[#This Row],[Corrected Manually]])/Tableau51014151611[[#This Row],[Total]]</f>
        <v>8.7137383689107811E-2</v>
      </c>
      <c r="H91" s="128">
        <f>Tableau51014151611[[#This Row],[Passed]]/Tableau51014151611[[#This Row],[Total]]</f>
        <v>0.26053639846743293</v>
      </c>
      <c r="I91" s="128">
        <f>(Tableau51014151611[[#This Row],[Passed]]+Tableau51014151611[[#This Row],[Failed]])/Tableau51014151611[[#This Row],[Received]]</f>
        <v>0.68224592220828095</v>
      </c>
    </row>
    <row r="92" spans="1:9">
      <c r="A92" s="42" t="s">
        <v>7559</v>
      </c>
      <c r="B92" s="80">
        <f t="shared" ref="B92:F92" si="6">B32+B44+B56+B68+B80</f>
        <v>1.6</v>
      </c>
      <c r="C92" s="80">
        <f t="shared" si="6"/>
        <v>0</v>
      </c>
      <c r="D92" s="80">
        <f t="shared" si="6"/>
        <v>0</v>
      </c>
      <c r="E92" s="80">
        <f t="shared" si="6"/>
        <v>1</v>
      </c>
      <c r="F92" s="80">
        <f t="shared" si="6"/>
        <v>1</v>
      </c>
      <c r="G92" s="127">
        <f>(Tableau51014151611[[#This Row],[Passed]]-Tableau51014151611[[#This Row],[Corrected Manually]])/Tableau51014151611[[#This Row],[Total]]</f>
        <v>0</v>
      </c>
      <c r="H92" s="128">
        <f>Tableau51014151611[[#This Row],[Passed]]/Tableau51014151611[[#This Row],[Total]]</f>
        <v>0</v>
      </c>
      <c r="I92" s="128">
        <f>(Tableau51014151611[[#This Row],[Passed]]+Tableau51014151611[[#This Row],[Failed]])/Tableau51014151611[[#This Row],[Received]]</f>
        <v>0.625</v>
      </c>
    </row>
    <row r="93" spans="1:9">
      <c r="A93" s="42" t="s">
        <v>7560</v>
      </c>
      <c r="B93" s="80">
        <f t="shared" ref="B93:F93" si="7">B33+B45+B57+B69+B81</f>
        <v>0</v>
      </c>
      <c r="C93" s="80">
        <f t="shared" si="7"/>
        <v>0</v>
      </c>
      <c r="D93" s="80">
        <f t="shared" si="7"/>
        <v>0</v>
      </c>
      <c r="E93" s="80">
        <f t="shared" si="7"/>
        <v>0</v>
      </c>
      <c r="F93" s="80">
        <f t="shared" si="7"/>
        <v>0</v>
      </c>
      <c r="G93" s="127" t="e">
        <f>(Tableau51014151611[[#This Row],[Passed]]-Tableau51014151611[[#This Row],[Corrected Manually]])/Tableau51014151611[[#This Row],[Total]]</f>
        <v>#DIV/0!</v>
      </c>
      <c r="H93" s="128" t="e">
        <f>Tableau51014151611[[#This Row],[Passed]]/Tableau51014151611[[#This Row],[Total]]</f>
        <v>#DIV/0!</v>
      </c>
      <c r="I93" s="128" t="e">
        <f>(Tableau51014151611[[#This Row],[Passed]]+Tableau51014151611[[#This Row],[Failed]])/Tableau51014151611[[#This Row],[Received]]</f>
        <v>#DIV/0!</v>
      </c>
    </row>
    <row r="94" spans="1:9">
      <c r="A94" s="79" t="s">
        <v>7561</v>
      </c>
      <c r="B94" s="80">
        <f t="shared" ref="B94:F94" si="8">B34+B46+B58+B70+B82</f>
        <v>67</v>
      </c>
      <c r="C94" s="80">
        <f t="shared" si="8"/>
        <v>29.499999999999996</v>
      </c>
      <c r="D94" s="80">
        <f t="shared" si="8"/>
        <v>0</v>
      </c>
      <c r="E94" s="80">
        <f t="shared" si="8"/>
        <v>139.13205128205124</v>
      </c>
      <c r="F94" s="80">
        <f t="shared" si="8"/>
        <v>168.63205128205124</v>
      </c>
      <c r="G94" s="127">
        <f>(Tableau51014151611[[#This Row],[Passed]]-Tableau51014151611[[#This Row],[Corrected Manually]])/Tableau51014151611[[#This Row],[Total]]</f>
        <v>0.1749370880311405</v>
      </c>
      <c r="H94" s="128">
        <f>Tableau51014151611[[#This Row],[Passed]]/Tableau51014151611[[#This Row],[Total]]</f>
        <v>0.1749370880311405</v>
      </c>
      <c r="I94" s="128">
        <f>(Tableau51014151611[[#This Row],[Passed]]+Tableau51014151611[[#This Row],[Failed]])/Tableau51014151611[[#This Row],[Received]]</f>
        <v>2.5168962877918095</v>
      </c>
    </row>
    <row r="95" spans="1:9">
      <c r="A95" s="79" t="s">
        <v>7562</v>
      </c>
      <c r="B95" s="80">
        <f t="shared" ref="B95:F95" si="9">B35+B47+B59+B71+B83</f>
        <v>0</v>
      </c>
      <c r="C95" s="80">
        <f t="shared" si="9"/>
        <v>0</v>
      </c>
      <c r="D95" s="80">
        <f t="shared" si="9"/>
        <v>0</v>
      </c>
      <c r="E95" s="80">
        <f t="shared" si="9"/>
        <v>0</v>
      </c>
      <c r="F95" s="80">
        <f t="shared" si="9"/>
        <v>0</v>
      </c>
      <c r="G95" s="127" t="e">
        <f>(Tableau51014151611[[#This Row],[Passed]]-Tableau51014151611[[#This Row],[Corrected Manually]])/Tableau51014151611[[#This Row],[Total]]</f>
        <v>#DIV/0!</v>
      </c>
      <c r="H95" s="128" t="e">
        <f>Tableau51014151611[[#This Row],[Passed]]/Tableau51014151611[[#This Row],[Total]]</f>
        <v>#DIV/0!</v>
      </c>
      <c r="I95" s="128" t="e">
        <f>(Tableau51014151611[[#This Row],[Passed]]+Tableau51014151611[[#This Row],[Failed]])/Tableau51014151611[[#This Row],[Received]]</f>
        <v>#DIV/0!</v>
      </c>
    </row>
    <row r="96" spans="1:9">
      <c r="A96" s="79" t="s">
        <v>7563</v>
      </c>
      <c r="B96" s="80">
        <f t="shared" ref="B96:F96" si="10">B36+B48+B60+B72+B84</f>
        <v>0</v>
      </c>
      <c r="C96" s="80">
        <f t="shared" si="10"/>
        <v>0</v>
      </c>
      <c r="D96" s="80">
        <f t="shared" si="10"/>
        <v>0</v>
      </c>
      <c r="E96" s="80">
        <f t="shared" si="10"/>
        <v>0</v>
      </c>
      <c r="F96" s="80">
        <f t="shared" si="10"/>
        <v>0</v>
      </c>
      <c r="G96" s="127" t="e">
        <f>(Tableau51014151611[[#This Row],[Passed]]-Tableau51014151611[[#This Row],[Corrected Manually]])/Tableau51014151611[[#This Row],[Total]]</f>
        <v>#DIV/0!</v>
      </c>
      <c r="H96" s="128" t="e">
        <f>Tableau51014151611[[#This Row],[Passed]]/Tableau51014151611[[#This Row],[Total]]</f>
        <v>#DIV/0!</v>
      </c>
      <c r="I96" s="128" t="e">
        <f>(Tableau51014151611[[#This Row],[Passed]]+Tableau51014151611[[#This Row],[Failed]])/Tableau51014151611[[#This Row],[Received]]</f>
        <v>#DIV/0!</v>
      </c>
    </row>
    <row r="97" spans="1:9">
      <c r="A97" s="78" t="s">
        <v>7564</v>
      </c>
      <c r="B97" s="80">
        <f t="shared" ref="B97:F97" si="11">B37+B49+B61+B73+B85</f>
        <v>847</v>
      </c>
      <c r="C97" s="80">
        <f t="shared" si="11"/>
        <v>222.83333333333343</v>
      </c>
      <c r="D97" s="80">
        <f t="shared" si="11"/>
        <v>4.9999999999999991</v>
      </c>
      <c r="E97" s="80">
        <f t="shared" si="11"/>
        <v>435.1666666666664</v>
      </c>
      <c r="F97" s="80">
        <f t="shared" si="11"/>
        <v>657.99999999999977</v>
      </c>
      <c r="G97" s="127">
        <f>(Tableau51014151611[[#This Row],[Passed]]-Tableau51014151611[[#This Row],[Corrected Manually]])/Tableau51014151611[[#This Row],[Total]]</f>
        <v>0.33105369807497492</v>
      </c>
      <c r="H97" s="128">
        <f>Tableau51014151611[[#This Row],[Passed]]/Tableau51014151611[[#This Row],[Total]]</f>
        <v>0.33865248226950379</v>
      </c>
      <c r="I97" s="128">
        <f>(Tableau51014151611[[#This Row],[Passed]]+Tableau51014151611[[#This Row],[Failed]])/Tableau51014151611[[#This Row],[Received]]</f>
        <v>0.77685950413223115</v>
      </c>
    </row>
    <row r="98" spans="1:9">
      <c r="A98" s="78" t="s">
        <v>7565</v>
      </c>
      <c r="B98" s="80">
        <f t="shared" ref="B98:F98" si="12">B38+B50+B62+B74+B86</f>
        <v>15</v>
      </c>
      <c r="C98" s="80">
        <f t="shared" si="12"/>
        <v>2.6666666666666665</v>
      </c>
      <c r="D98" s="80">
        <f t="shared" si="12"/>
        <v>0</v>
      </c>
      <c r="E98" s="80">
        <f t="shared" si="12"/>
        <v>9.3333333333333321</v>
      </c>
      <c r="F98" s="80">
        <f t="shared" si="12"/>
        <v>12</v>
      </c>
      <c r="G98" s="127">
        <f>(Tableau51014151611[[#This Row],[Passed]]-Tableau51014151611[[#This Row],[Corrected Manually]])/Tableau51014151611[[#This Row],[Total]]</f>
        <v>0.22222222222222221</v>
      </c>
      <c r="H98" s="128">
        <f>Tableau51014151611[[#This Row],[Passed]]/Tableau51014151611[[#This Row],[Total]]</f>
        <v>0.22222222222222221</v>
      </c>
      <c r="I98" s="128">
        <f>(Tableau51014151611[[#This Row],[Passed]]+Tableau51014151611[[#This Row],[Failed]])/Tableau51014151611[[#This Row],[Received]]</f>
        <v>0.79999999999999993</v>
      </c>
    </row>
    <row r="99" spans="1:9">
      <c r="A99" s="78" t="s">
        <v>7566</v>
      </c>
      <c r="B99" s="80">
        <f t="shared" ref="B99:F99" si="13">B39+B51+B63+B75+B87</f>
        <v>0</v>
      </c>
      <c r="C99" s="80">
        <f t="shared" si="13"/>
        <v>0</v>
      </c>
      <c r="D99" s="80">
        <f t="shared" si="13"/>
        <v>0</v>
      </c>
      <c r="E99" s="80">
        <f t="shared" si="13"/>
        <v>0</v>
      </c>
      <c r="F99" s="80">
        <f t="shared" si="13"/>
        <v>0</v>
      </c>
      <c r="G99" s="127" t="e">
        <f>(Tableau51014151611[[#This Row],[Passed]]-Tableau51014151611[[#This Row],[Corrected Manually]])/Tableau51014151611[[#This Row],[Total]]</f>
        <v>#DIV/0!</v>
      </c>
      <c r="H99" s="128" t="e">
        <f>Tableau51014151611[[#This Row],[Passed]]/Tableau51014151611[[#This Row],[Total]]</f>
        <v>#DIV/0!</v>
      </c>
      <c r="I99" s="128" t="e">
        <f>(Tableau51014151611[[#This Row],[Passed]]+Tableau51014151611[[#This Row],[Failed]])/Tableau51014151611[[#This Row],[Received]]</f>
        <v>#DIV/0!</v>
      </c>
    </row>
    <row r="100" spans="1:9">
      <c r="A100" s="67" t="s">
        <v>7542</v>
      </c>
      <c r="B100" s="98">
        <f>SUM(B91:B99)</f>
        <v>1090</v>
      </c>
      <c r="C100" s="98">
        <f>SUM(C91:C99)</f>
        <v>283.33333333333343</v>
      </c>
      <c r="D100" s="98">
        <f>SUM(D91:D99)</f>
        <v>23.857142857142854</v>
      </c>
      <c r="E100" s="98">
        <f>SUM(E91:E99)</f>
        <v>665.04871794871769</v>
      </c>
      <c r="F100" s="98">
        <f>SUM(F91:F99)</f>
        <v>948.38205128205095</v>
      </c>
      <c r="G100" s="130">
        <f>(Tableau51014151611[[#This Row],[Passed]]-Tableau51014151611[[#This Row],[Corrected Manually]])/Tableau51014151611[[#This Row],[Total]]</f>
        <v>0.27359879926599517</v>
      </c>
      <c r="H100" s="131">
        <f>Tableau51014151611[[#This Row],[Passed]]/Tableau51014151611[[#This Row],[Total]]</f>
        <v>0.29875442386358436</v>
      </c>
      <c r="I100" s="131">
        <f>(Tableau51014151611[[#This Row],[Passed]]+Tableau51014151611[[#This Row],[Failed]])/Tableau51014151611[[#This Row],[Received]]</f>
        <v>0.87007527640555149</v>
      </c>
    </row>
    <row r="102" spans="1:9">
      <c r="C102" s="80">
        <f>C100-D100</f>
        <v>259.4761904761906</v>
      </c>
    </row>
    <row r="105" spans="1:9" ht="33" customHeight="1">
      <c r="A105" s="72" t="s">
        <v>7572</v>
      </c>
    </row>
    <row r="107" spans="1:9">
      <c r="A107" s="28" t="s">
        <v>7573</v>
      </c>
    </row>
  </sheetData>
  <mergeCells count="2">
    <mergeCell ref="C28:I28"/>
    <mergeCell ref="A28:B28"/>
  </mergeCells>
  <phoneticPr fontId="20" type="noConversion"/>
  <conditionalFormatting sqref="B7:E13 B18:E24">
    <cfRule type="cellIs" dxfId="133" priority="10" operator="equal">
      <formula>0</formula>
    </cfRule>
  </conditionalFormatting>
  <conditionalFormatting sqref="B31:I39">
    <cfRule type="cellIs" dxfId="132" priority="6" operator="equal">
      <formula>0</formula>
    </cfRule>
  </conditionalFormatting>
  <conditionalFormatting sqref="B43:I51">
    <cfRule type="cellIs" dxfId="131" priority="5" operator="equal">
      <formula>0</formula>
    </cfRule>
  </conditionalFormatting>
  <conditionalFormatting sqref="B55:I63">
    <cfRule type="cellIs" dxfId="130" priority="4" operator="equal">
      <formula>0</formula>
    </cfRule>
  </conditionalFormatting>
  <conditionalFormatting sqref="B67:I76">
    <cfRule type="cellIs" dxfId="129" priority="3" operator="equal">
      <formula>0</formula>
    </cfRule>
  </conditionalFormatting>
  <conditionalFormatting sqref="B79:I88">
    <cfRule type="cellIs" dxfId="128" priority="2" operator="equal">
      <formula>0</formula>
    </cfRule>
  </conditionalFormatting>
  <conditionalFormatting sqref="B91:I100">
    <cfRule type="cellIs" dxfId="127" priority="1" operator="equal">
      <formula>0</formula>
    </cfRule>
  </conditionalFormatting>
  <pageMargins left="0.7" right="0.7" top="0.75" bottom="0.75" header="0.3" footer="0.3"/>
  <pageSetup paperSize="9" orientation="portrait" r:id="rId1"/>
  <tableParts count="8"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4.9989318521683403E-2"/>
  </sheetPr>
  <dimension ref="A1:E30"/>
  <sheetViews>
    <sheetView topLeftCell="A8" zoomScale="115" zoomScaleNormal="115" workbookViewId="0">
      <selection activeCell="D14" sqref="D14"/>
    </sheetView>
  </sheetViews>
  <sheetFormatPr defaultColWidth="11.42578125" defaultRowHeight="12.75"/>
  <cols>
    <col min="1" max="1" width="17.42578125" style="28" bestFit="1" customWidth="1"/>
    <col min="2" max="2" width="42.85546875" style="28" customWidth="1"/>
    <col min="3" max="3" width="14.7109375" style="28" bestFit="1" customWidth="1"/>
    <col min="4" max="4" width="35.85546875" style="28" customWidth="1"/>
    <col min="5" max="16384" width="11.42578125" style="28"/>
  </cols>
  <sheetData>
    <row r="1" spans="1:5" ht="15.75">
      <c r="A1" s="160" t="s">
        <v>7574</v>
      </c>
      <c r="B1" s="160"/>
      <c r="C1" s="160"/>
    </row>
    <row r="2" spans="1:5" ht="15.75">
      <c r="A2" s="82"/>
    </row>
    <row r="3" spans="1:5" ht="15.75">
      <c r="A3" s="82"/>
    </row>
    <row r="4" spans="1:5">
      <c r="A4" s="28" t="s">
        <v>7575</v>
      </c>
      <c r="B4" s="28" t="s">
        <v>7576</v>
      </c>
    </row>
    <row r="5" spans="1:5">
      <c r="A5" s="48">
        <v>1</v>
      </c>
      <c r="B5" s="28" t="s">
        <v>7577</v>
      </c>
    </row>
    <row r="6" spans="1:5">
      <c r="A6" s="48">
        <v>2</v>
      </c>
      <c r="B6" s="28" t="s">
        <v>7578</v>
      </c>
    </row>
    <row r="7" spans="1:5" ht="51">
      <c r="A7" s="83">
        <v>3</v>
      </c>
      <c r="B7" s="49" t="s">
        <v>7579</v>
      </c>
    </row>
    <row r="8" spans="1:5" ht="15.75">
      <c r="A8" s="82"/>
    </row>
    <row r="9" spans="1:5" ht="15.75">
      <c r="A9" s="82"/>
    </row>
    <row r="10" spans="1:5">
      <c r="A10" s="66" t="s">
        <v>7580</v>
      </c>
      <c r="B10" s="66" t="s">
        <v>7581</v>
      </c>
      <c r="C10" s="66" t="s">
        <v>7582</v>
      </c>
      <c r="D10" s="66" t="s">
        <v>13</v>
      </c>
      <c r="E10" s="66" t="s">
        <v>7575</v>
      </c>
    </row>
    <row r="11" spans="1:5">
      <c r="A11" s="81">
        <v>1</v>
      </c>
      <c r="B11" s="28" t="s">
        <v>7583</v>
      </c>
      <c r="C11" s="61" t="s">
        <v>7584</v>
      </c>
      <c r="D11" s="61" t="s">
        <v>7585</v>
      </c>
      <c r="E11" s="61">
        <v>2</v>
      </c>
    </row>
    <row r="12" spans="1:5">
      <c r="A12" s="81"/>
      <c r="C12" s="61" t="s">
        <v>7586</v>
      </c>
      <c r="D12" s="61" t="s">
        <v>7585</v>
      </c>
      <c r="E12" s="61">
        <v>2</v>
      </c>
    </row>
    <row r="13" spans="1:5" ht="63.75">
      <c r="A13" s="81"/>
      <c r="C13" s="61" t="s">
        <v>7587</v>
      </c>
      <c r="D13" s="62" t="s">
        <v>7588</v>
      </c>
      <c r="E13" s="61"/>
    </row>
    <row r="14" spans="1:5">
      <c r="A14" s="81">
        <v>2</v>
      </c>
      <c r="B14" s="28" t="s">
        <v>7589</v>
      </c>
      <c r="C14" s="61" t="s">
        <v>7590</v>
      </c>
      <c r="D14" s="61"/>
      <c r="E14" s="61">
        <v>1</v>
      </c>
    </row>
    <row r="15" spans="1:5" ht="12.75" customHeight="1">
      <c r="A15" s="81">
        <v>3</v>
      </c>
      <c r="B15" s="28" t="s">
        <v>7591</v>
      </c>
      <c r="C15" s="62" t="s">
        <v>7592</v>
      </c>
      <c r="D15" s="61" t="s">
        <v>7585</v>
      </c>
      <c r="E15" s="61">
        <v>3</v>
      </c>
    </row>
    <row r="16" spans="1:5">
      <c r="A16" s="81"/>
      <c r="C16" s="62" t="s">
        <v>7593</v>
      </c>
      <c r="D16" s="61" t="s">
        <v>7585</v>
      </c>
      <c r="E16" s="61">
        <v>3</v>
      </c>
    </row>
    <row r="17" spans="1:5">
      <c r="A17" s="81"/>
      <c r="C17" s="62" t="s">
        <v>7594</v>
      </c>
      <c r="D17" s="61" t="s">
        <v>7585</v>
      </c>
      <c r="E17" s="61">
        <v>3</v>
      </c>
    </row>
    <row r="18" spans="1:5">
      <c r="A18" s="81">
        <v>4</v>
      </c>
      <c r="B18" s="28" t="s">
        <v>431</v>
      </c>
      <c r="C18" s="28" t="s">
        <v>7590</v>
      </c>
      <c r="D18" s="28" t="s">
        <v>7585</v>
      </c>
      <c r="E18" s="28">
        <v>1</v>
      </c>
    </row>
    <row r="19" spans="1:5">
      <c r="A19" s="81"/>
    </row>
    <row r="22" spans="1:5" ht="15">
      <c r="A22"/>
    </row>
    <row r="23" spans="1:5" ht="15">
      <c r="A23"/>
    </row>
    <row r="24" spans="1:5" ht="15">
      <c r="A24"/>
    </row>
    <row r="25" spans="1:5" ht="15">
      <c r="A25"/>
    </row>
    <row r="26" spans="1:5" ht="15">
      <c r="A26"/>
    </row>
    <row r="27" spans="1:5" ht="15">
      <c r="A27"/>
    </row>
    <row r="28" spans="1:5" ht="15">
      <c r="A28"/>
    </row>
    <row r="29" spans="1:5" ht="15">
      <c r="A29"/>
    </row>
    <row r="30" spans="1:5" ht="15">
      <c r="A30"/>
    </row>
  </sheetData>
  <mergeCells count="1">
    <mergeCell ref="A1:C1"/>
  </mergeCells>
  <phoneticPr fontId="20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4.9989318521683403E-2"/>
  </sheetPr>
  <dimension ref="A1:R18"/>
  <sheetViews>
    <sheetView zoomScale="115" zoomScaleNormal="115" workbookViewId="0">
      <selection activeCell="C6" sqref="C6"/>
    </sheetView>
  </sheetViews>
  <sheetFormatPr defaultColWidth="11.42578125" defaultRowHeight="12.75"/>
  <cols>
    <col min="1" max="1" width="12.42578125" style="28" bestFit="1" customWidth="1"/>
    <col min="2" max="3" width="8.7109375" style="28" customWidth="1"/>
    <col min="4" max="4" width="11.5703125" style="28" bestFit="1" customWidth="1"/>
    <col min="5" max="14" width="8.7109375" style="28" customWidth="1"/>
    <col min="15" max="15" width="15.7109375" style="28" customWidth="1"/>
    <col min="16" max="16" width="10.85546875" style="28" customWidth="1"/>
    <col min="17" max="17" width="29.85546875" style="28" customWidth="1"/>
    <col min="18" max="18" width="42.28515625" style="28" bestFit="1" customWidth="1"/>
    <col min="19" max="16384" width="11.42578125" style="28"/>
  </cols>
  <sheetData>
    <row r="1" spans="1:18" ht="39" customHeight="1">
      <c r="A1" s="84" t="s">
        <v>7595</v>
      </c>
      <c r="B1" s="84" t="s">
        <v>7596</v>
      </c>
      <c r="C1" s="84" t="s">
        <v>7597</v>
      </c>
      <c r="D1" s="85" t="s">
        <v>7598</v>
      </c>
      <c r="E1" s="84" t="s">
        <v>7599</v>
      </c>
      <c r="F1" s="84" t="s">
        <v>7600</v>
      </c>
      <c r="G1" s="84" t="s">
        <v>7601</v>
      </c>
      <c r="H1" s="84" t="s">
        <v>7602</v>
      </c>
      <c r="I1" s="84" t="s">
        <v>7603</v>
      </c>
      <c r="J1" s="84" t="s">
        <v>7604</v>
      </c>
      <c r="K1" s="84" t="s">
        <v>484</v>
      </c>
      <c r="L1" s="84" t="s">
        <v>471</v>
      </c>
      <c r="M1" s="84" t="s">
        <v>472</v>
      </c>
      <c r="N1" s="84" t="s">
        <v>7605</v>
      </c>
      <c r="O1" s="84" t="s">
        <v>7606</v>
      </c>
      <c r="P1" s="84" t="s">
        <v>7607</v>
      </c>
      <c r="Q1" s="86" t="s">
        <v>13</v>
      </c>
      <c r="R1" s="84" t="s">
        <v>7608</v>
      </c>
    </row>
    <row r="2" spans="1:18">
      <c r="A2" s="93" t="s">
        <v>551</v>
      </c>
      <c r="B2" s="68" t="s">
        <v>511</v>
      </c>
      <c r="C2" s="68" t="s">
        <v>7609</v>
      </c>
      <c r="D2" s="68">
        <v>231115</v>
      </c>
      <c r="E2" s="68" t="s">
        <v>561</v>
      </c>
      <c r="F2" s="68" t="s">
        <v>557</v>
      </c>
      <c r="G2" s="68" t="s">
        <v>544</v>
      </c>
      <c r="H2" s="68" t="s">
        <v>558</v>
      </c>
      <c r="I2" s="68" t="s">
        <v>559</v>
      </c>
      <c r="J2" s="68"/>
      <c r="K2" s="68" t="s">
        <v>560</v>
      </c>
      <c r="L2" s="68"/>
      <c r="M2" s="68"/>
      <c r="N2" s="68"/>
      <c r="O2" s="94"/>
      <c r="P2" s="94"/>
      <c r="Q2" s="68" t="s">
        <v>7610</v>
      </c>
      <c r="R2" s="68" t="s">
        <v>7611</v>
      </c>
    </row>
    <row r="3" spans="1:18">
      <c r="A3" s="92" t="s">
        <v>654</v>
      </c>
      <c r="B3" s="89" t="s">
        <v>511</v>
      </c>
      <c r="C3" s="89" t="s">
        <v>7612</v>
      </c>
      <c r="D3" s="89">
        <v>231115</v>
      </c>
      <c r="E3" s="89" t="s">
        <v>537</v>
      </c>
      <c r="F3" s="89" t="s">
        <v>521</v>
      </c>
      <c r="G3" s="89" t="s">
        <v>521</v>
      </c>
      <c r="H3" s="89" t="s">
        <v>559</v>
      </c>
      <c r="I3" s="89"/>
      <c r="J3" s="89"/>
      <c r="K3" s="89" t="s">
        <v>659</v>
      </c>
      <c r="L3" s="89"/>
      <c r="M3" s="89"/>
      <c r="N3" s="89"/>
      <c r="O3" s="95"/>
      <c r="P3" s="95"/>
      <c r="Q3" s="89" t="s">
        <v>25</v>
      </c>
      <c r="R3" s="89"/>
    </row>
    <row r="4" spans="1:18">
      <c r="A4" s="93" t="s">
        <v>539</v>
      </c>
      <c r="B4" s="68" t="s">
        <v>548</v>
      </c>
      <c r="C4" s="68" t="s">
        <v>7613</v>
      </c>
      <c r="D4" s="68">
        <v>231115</v>
      </c>
      <c r="E4" s="68" t="s">
        <v>546</v>
      </c>
      <c r="F4" s="68" t="s">
        <v>544</v>
      </c>
      <c r="G4" s="68" t="s">
        <v>522</v>
      </c>
      <c r="H4" s="68"/>
      <c r="I4" s="68"/>
      <c r="J4" s="68"/>
      <c r="K4" s="68" t="s">
        <v>545</v>
      </c>
      <c r="L4" s="68">
        <v>168</v>
      </c>
      <c r="M4" s="68">
        <v>1</v>
      </c>
      <c r="N4" s="68">
        <v>0.83</v>
      </c>
      <c r="O4" s="94"/>
      <c r="P4" s="94"/>
      <c r="Q4" s="68" t="s">
        <v>7614</v>
      </c>
      <c r="R4" s="68"/>
    </row>
    <row r="5" spans="1:18">
      <c r="A5" s="93" t="s">
        <v>539</v>
      </c>
      <c r="B5" s="68" t="s">
        <v>511</v>
      </c>
      <c r="C5" s="68" t="s">
        <v>7613</v>
      </c>
      <c r="D5" s="68">
        <v>231115</v>
      </c>
      <c r="E5" s="68" t="s">
        <v>546</v>
      </c>
      <c r="F5" s="68" t="s">
        <v>544</v>
      </c>
      <c r="G5" s="68" t="s">
        <v>522</v>
      </c>
      <c r="H5" s="68"/>
      <c r="I5" s="68"/>
      <c r="J5" s="68"/>
      <c r="K5" s="68" t="s">
        <v>545</v>
      </c>
      <c r="L5" s="68">
        <v>168</v>
      </c>
      <c r="M5" s="68">
        <v>1</v>
      </c>
      <c r="N5" s="68">
        <v>0.83</v>
      </c>
      <c r="O5" s="94"/>
      <c r="P5" s="94"/>
      <c r="Q5" s="68" t="s">
        <v>7614</v>
      </c>
      <c r="R5" s="68"/>
    </row>
    <row r="6" spans="1:18" ht="38.25">
      <c r="A6" s="92" t="s">
        <v>530</v>
      </c>
      <c r="B6" s="89" t="s">
        <v>511</v>
      </c>
      <c r="C6" s="89" t="s">
        <v>7612</v>
      </c>
      <c r="D6" s="89">
        <v>231115</v>
      </c>
      <c r="E6" s="89" t="s">
        <v>537</v>
      </c>
      <c r="F6" s="89" t="s">
        <v>521</v>
      </c>
      <c r="G6" s="89" t="s">
        <v>522</v>
      </c>
      <c r="H6" s="89"/>
      <c r="I6" s="89"/>
      <c r="J6" s="89"/>
      <c r="K6" s="89" t="s">
        <v>536</v>
      </c>
      <c r="L6" s="89">
        <v>17</v>
      </c>
      <c r="M6" s="89">
        <v>1</v>
      </c>
      <c r="N6" s="89">
        <v>0.26</v>
      </c>
      <c r="O6" s="90">
        <v>5705197080001</v>
      </c>
      <c r="P6" s="90" t="s">
        <v>7615</v>
      </c>
      <c r="Q6" s="89" t="s">
        <v>449</v>
      </c>
      <c r="R6" s="91" t="s">
        <v>7616</v>
      </c>
    </row>
    <row r="7" spans="1:18">
      <c r="A7" s="93" t="s">
        <v>636</v>
      </c>
      <c r="B7" s="68" t="s">
        <v>511</v>
      </c>
      <c r="C7" s="68" t="s">
        <v>7612</v>
      </c>
      <c r="D7" s="68">
        <v>231115</v>
      </c>
      <c r="E7" s="68" t="s">
        <v>537</v>
      </c>
      <c r="F7" s="68" t="s">
        <v>521</v>
      </c>
      <c r="G7" s="68" t="s">
        <v>544</v>
      </c>
      <c r="H7" s="68" t="s">
        <v>626</v>
      </c>
      <c r="I7" s="68" t="s">
        <v>522</v>
      </c>
      <c r="J7" s="68" t="s">
        <v>627</v>
      </c>
      <c r="K7" s="68" t="s">
        <v>573</v>
      </c>
      <c r="L7" s="68">
        <v>191.3</v>
      </c>
      <c r="M7" s="68">
        <v>1</v>
      </c>
      <c r="N7" s="68">
        <v>1.1499999999999999</v>
      </c>
      <c r="O7" s="94"/>
      <c r="P7" s="94"/>
      <c r="Q7" s="68" t="s">
        <v>7617</v>
      </c>
      <c r="R7" s="68" t="s">
        <v>7618</v>
      </c>
    </row>
    <row r="8" spans="1:18">
      <c r="A8" s="93" t="s">
        <v>636</v>
      </c>
      <c r="B8" s="68" t="s">
        <v>548</v>
      </c>
      <c r="C8" s="68" t="s">
        <v>7612</v>
      </c>
      <c r="D8" s="68">
        <v>231115</v>
      </c>
      <c r="E8" s="68" t="s">
        <v>537</v>
      </c>
      <c r="F8" s="68" t="s">
        <v>521</v>
      </c>
      <c r="G8" s="68" t="s">
        <v>544</v>
      </c>
      <c r="H8" s="68" t="s">
        <v>626</v>
      </c>
      <c r="I8" s="68" t="s">
        <v>522</v>
      </c>
      <c r="J8" s="68" t="s">
        <v>627</v>
      </c>
      <c r="K8" s="68" t="s">
        <v>573</v>
      </c>
      <c r="L8" s="68">
        <v>191.2</v>
      </c>
      <c r="M8" s="68">
        <v>1</v>
      </c>
      <c r="N8" s="68">
        <v>1.1499999999999999</v>
      </c>
      <c r="O8" s="94"/>
      <c r="P8" s="94"/>
      <c r="Q8" s="68" t="s">
        <v>7617</v>
      </c>
      <c r="R8" s="68" t="s">
        <v>7618</v>
      </c>
    </row>
    <row r="9" spans="1:18">
      <c r="A9" s="93" t="s">
        <v>621</v>
      </c>
      <c r="B9" s="68" t="s">
        <v>511</v>
      </c>
      <c r="C9" s="68" t="s">
        <v>7619</v>
      </c>
      <c r="D9" s="68">
        <v>231115</v>
      </c>
      <c r="E9" s="68" t="s">
        <v>628</v>
      </c>
      <c r="F9" s="68" t="s">
        <v>521</v>
      </c>
      <c r="G9" s="68" t="s">
        <v>544</v>
      </c>
      <c r="H9" s="68" t="s">
        <v>7620</v>
      </c>
      <c r="I9" s="68" t="s">
        <v>559</v>
      </c>
      <c r="J9" s="68" t="s">
        <v>627</v>
      </c>
      <c r="K9" s="68" t="s">
        <v>573</v>
      </c>
      <c r="L9" s="68">
        <v>161.9</v>
      </c>
      <c r="M9" s="68">
        <v>1</v>
      </c>
      <c r="N9" s="87">
        <v>1</v>
      </c>
      <c r="O9" s="88"/>
      <c r="P9" s="88"/>
      <c r="Q9" s="68" t="s">
        <v>7617</v>
      </c>
      <c r="R9" s="68" t="s">
        <v>7618</v>
      </c>
    </row>
    <row r="10" spans="1:18">
      <c r="A10" s="93" t="s">
        <v>621</v>
      </c>
      <c r="B10" s="68" t="s">
        <v>548</v>
      </c>
      <c r="C10" s="68" t="s">
        <v>7619</v>
      </c>
      <c r="D10" s="68">
        <v>231115</v>
      </c>
      <c r="E10" s="68" t="s">
        <v>628</v>
      </c>
      <c r="F10" s="68" t="s">
        <v>521</v>
      </c>
      <c r="G10" s="68" t="s">
        <v>544</v>
      </c>
      <c r="H10" s="68" t="s">
        <v>7620</v>
      </c>
      <c r="I10" s="68" t="s">
        <v>559</v>
      </c>
      <c r="J10" s="68" t="s">
        <v>627</v>
      </c>
      <c r="K10" s="68" t="s">
        <v>573</v>
      </c>
      <c r="L10" s="68">
        <v>161.9</v>
      </c>
      <c r="M10" s="68">
        <v>1</v>
      </c>
      <c r="N10" s="87">
        <v>1</v>
      </c>
      <c r="O10" s="88"/>
      <c r="P10" s="88"/>
      <c r="Q10" s="68" t="s">
        <v>7617</v>
      </c>
      <c r="R10" s="68" t="s">
        <v>7618</v>
      </c>
    </row>
    <row r="11" spans="1:18">
      <c r="A11" s="93" t="s">
        <v>621</v>
      </c>
      <c r="B11" s="68" t="s">
        <v>612</v>
      </c>
      <c r="C11" s="68" t="s">
        <v>7619</v>
      </c>
      <c r="D11" s="68">
        <v>231115</v>
      </c>
      <c r="E11" s="68" t="s">
        <v>628</v>
      </c>
      <c r="F11" s="68" t="s">
        <v>521</v>
      </c>
      <c r="G11" s="68" t="s">
        <v>544</v>
      </c>
      <c r="H11" s="68" t="s">
        <v>7620</v>
      </c>
      <c r="I11" s="68" t="s">
        <v>559</v>
      </c>
      <c r="J11" s="68" t="s">
        <v>627</v>
      </c>
      <c r="K11" s="68" t="s">
        <v>573</v>
      </c>
      <c r="L11" s="68">
        <v>161.80000000000001</v>
      </c>
      <c r="M11" s="68">
        <v>1</v>
      </c>
      <c r="N11" s="87">
        <v>1</v>
      </c>
      <c r="O11" s="88"/>
      <c r="P11" s="88"/>
      <c r="Q11" s="68" t="s">
        <v>7617</v>
      </c>
      <c r="R11" s="68" t="s">
        <v>7618</v>
      </c>
    </row>
    <row r="12" spans="1:18">
      <c r="A12" s="93" t="s">
        <v>510</v>
      </c>
      <c r="B12" s="68" t="s">
        <v>511</v>
      </c>
      <c r="C12" s="68" t="s">
        <v>7621</v>
      </c>
      <c r="D12" s="68">
        <v>231116</v>
      </c>
      <c r="E12" s="68" t="s">
        <v>524</v>
      </c>
      <c r="F12" s="68" t="s">
        <v>521</v>
      </c>
      <c r="G12" s="68" t="s">
        <v>522</v>
      </c>
      <c r="H12" s="68"/>
      <c r="I12" s="68"/>
      <c r="J12" s="68"/>
      <c r="K12" s="68" t="s">
        <v>523</v>
      </c>
      <c r="L12" s="68"/>
      <c r="M12" s="68"/>
      <c r="N12" s="68"/>
      <c r="O12" s="94"/>
      <c r="P12" s="94"/>
      <c r="Q12" s="68" t="s">
        <v>7614</v>
      </c>
      <c r="R12" s="68"/>
    </row>
    <row r="13" spans="1:18">
      <c r="A13" s="92" t="s">
        <v>576</v>
      </c>
      <c r="B13" s="89" t="s">
        <v>511</v>
      </c>
      <c r="C13" s="89" t="s">
        <v>7622</v>
      </c>
      <c r="D13" s="89">
        <v>231116</v>
      </c>
      <c r="E13" s="89" t="s">
        <v>582</v>
      </c>
      <c r="F13" s="89" t="s">
        <v>582</v>
      </c>
      <c r="G13" s="89" t="s">
        <v>572</v>
      </c>
      <c r="H13" s="89" t="s">
        <v>521</v>
      </c>
      <c r="I13" s="89"/>
      <c r="J13" s="89"/>
      <c r="K13" s="89" t="s">
        <v>581</v>
      </c>
      <c r="L13" s="89"/>
      <c r="M13" s="89"/>
      <c r="N13" s="89"/>
      <c r="O13" s="95"/>
      <c r="P13" s="95"/>
      <c r="Q13" s="89" t="s">
        <v>25</v>
      </c>
      <c r="R13" s="89" t="s">
        <v>431</v>
      </c>
    </row>
    <row r="18" spans="1:1">
      <c r="A18" s="73"/>
    </row>
  </sheetData>
  <phoneticPr fontId="20" type="noConversion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C28"/>
  <sheetViews>
    <sheetView workbookViewId="0">
      <selection activeCell="E46" sqref="E45:E46"/>
    </sheetView>
  </sheetViews>
  <sheetFormatPr defaultColWidth="11.42578125" defaultRowHeight="15"/>
  <cols>
    <col min="1" max="1" width="55" customWidth="1"/>
    <col min="2" max="2" width="26.42578125" customWidth="1"/>
  </cols>
  <sheetData>
    <row r="1" spans="1:2">
      <c r="A1" t="s">
        <v>7623</v>
      </c>
    </row>
    <row r="3" spans="1:2" ht="30">
      <c r="A3" s="23" t="s">
        <v>7624</v>
      </c>
    </row>
    <row r="5" spans="1:2">
      <c r="A5" s="21" t="s">
        <v>7625</v>
      </c>
    </row>
    <row r="6" spans="1:2">
      <c r="A6" t="s">
        <v>526</v>
      </c>
      <c r="B6">
        <v>51</v>
      </c>
    </row>
    <row r="7" spans="1:2">
      <c r="A7" t="s">
        <v>563</v>
      </c>
      <c r="B7">
        <v>1</v>
      </c>
    </row>
    <row r="8" spans="1:2">
      <c r="A8" t="s">
        <v>7626</v>
      </c>
    </row>
    <row r="9" spans="1:2">
      <c r="A9" s="21" t="s">
        <v>7627</v>
      </c>
    </row>
    <row r="10" spans="1:2">
      <c r="B10" s="14"/>
    </row>
    <row r="11" spans="1:2">
      <c r="A11" s="21" t="s">
        <v>7628</v>
      </c>
      <c r="B11" s="14"/>
    </row>
    <row r="12" spans="1:2" ht="45">
      <c r="A12" s="23" t="s">
        <v>7629</v>
      </c>
      <c r="B12" s="14"/>
    </row>
    <row r="15" spans="1:2">
      <c r="A15" s="21" t="s">
        <v>7630</v>
      </c>
      <c r="B15" s="24">
        <f>B16+B20</f>
        <v>52</v>
      </c>
    </row>
    <row r="16" spans="1:2">
      <c r="A16" t="s">
        <v>526</v>
      </c>
      <c r="B16">
        <v>27</v>
      </c>
    </row>
    <row r="17" spans="1:3">
      <c r="A17" t="s">
        <v>7631</v>
      </c>
      <c r="B17">
        <v>15</v>
      </c>
    </row>
    <row r="18" spans="1:3">
      <c r="A18" t="s">
        <v>7632</v>
      </c>
      <c r="B18">
        <v>9</v>
      </c>
    </row>
    <row r="19" spans="1:3">
      <c r="A19" t="s">
        <v>7633</v>
      </c>
      <c r="B19">
        <v>3</v>
      </c>
    </row>
    <row r="20" spans="1:3">
      <c r="A20" s="25" t="s">
        <v>563</v>
      </c>
      <c r="B20" s="25">
        <v>25</v>
      </c>
    </row>
    <row r="21" spans="1:3">
      <c r="A21" s="27" t="s">
        <v>7634</v>
      </c>
      <c r="B21" s="27">
        <v>17</v>
      </c>
    </row>
    <row r="22" spans="1:3">
      <c r="A22" s="26" t="s">
        <v>7635</v>
      </c>
      <c r="B22" s="26">
        <v>4</v>
      </c>
      <c r="C22" t="s">
        <v>7636</v>
      </c>
    </row>
    <row r="23" spans="1:3">
      <c r="A23" t="s">
        <v>7637</v>
      </c>
      <c r="B23">
        <v>3</v>
      </c>
    </row>
    <row r="24" spans="1:3">
      <c r="A24" t="s">
        <v>7638</v>
      </c>
      <c r="B24">
        <v>1</v>
      </c>
    </row>
    <row r="25" spans="1:3">
      <c r="B25" s="22"/>
    </row>
    <row r="26" spans="1:3">
      <c r="B26" s="22"/>
    </row>
    <row r="27" spans="1:3">
      <c r="B27" s="22"/>
    </row>
    <row r="28" spans="1:3">
      <c r="B28" s="22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A1:AD1189"/>
  <sheetViews>
    <sheetView workbookViewId="0">
      <pane ySplit="1" topLeftCell="A9" activePane="bottomLeft" state="frozen"/>
      <selection pane="bottomLeft" activeCell="AD23" sqref="AD23"/>
    </sheetView>
  </sheetViews>
  <sheetFormatPr defaultColWidth="8.85546875" defaultRowHeight="15"/>
  <cols>
    <col min="1" max="1" width="16" style="40" customWidth="1"/>
    <col min="2" max="2" width="17.7109375" style="40" customWidth="1"/>
    <col min="3" max="3" width="12.7109375" style="40" customWidth="1"/>
    <col min="4" max="4" width="29.28515625" style="40" customWidth="1"/>
    <col min="5" max="7" width="12.7109375" style="40" customWidth="1"/>
    <col min="8" max="21" width="12.7109375" style="40" hidden="1" customWidth="1"/>
    <col min="22" max="24" width="12.7109375" style="40" customWidth="1"/>
    <col min="25" max="27" width="8.85546875" style="38"/>
    <col min="28" max="28" width="9.5703125" style="38" bestFit="1" customWidth="1"/>
    <col min="29" max="16384" width="8.85546875" style="38"/>
  </cols>
  <sheetData>
    <row r="1" spans="1:30" ht="50.25" customHeight="1">
      <c r="A1" s="45" t="s">
        <v>7639</v>
      </c>
      <c r="B1" s="45" t="s">
        <v>7640</v>
      </c>
      <c r="C1" s="45" t="s">
        <v>7641</v>
      </c>
      <c r="D1" s="45" t="s">
        <v>7642</v>
      </c>
      <c r="E1" s="45" t="s">
        <v>7643</v>
      </c>
      <c r="F1" s="45" t="s">
        <v>7644</v>
      </c>
      <c r="G1" s="45" t="s">
        <v>7645</v>
      </c>
      <c r="H1" s="37" t="s">
        <v>7646</v>
      </c>
      <c r="I1" s="37" t="s">
        <v>7647</v>
      </c>
      <c r="J1" s="37" t="s">
        <v>7648</v>
      </c>
      <c r="K1" s="37" t="s">
        <v>7649</v>
      </c>
      <c r="L1" s="37" t="s">
        <v>7650</v>
      </c>
      <c r="M1" s="37" t="s">
        <v>7651</v>
      </c>
      <c r="N1" s="37" t="s">
        <v>7652</v>
      </c>
      <c r="O1" s="37" t="s">
        <v>7653</v>
      </c>
      <c r="P1" s="37" t="s">
        <v>7654</v>
      </c>
      <c r="Q1" s="37" t="s">
        <v>7655</v>
      </c>
      <c r="R1" s="37" t="s">
        <v>7656</v>
      </c>
      <c r="S1" s="37" t="s">
        <v>7657</v>
      </c>
      <c r="T1" s="37" t="s">
        <v>7658</v>
      </c>
      <c r="U1" s="37" t="s">
        <v>7659</v>
      </c>
      <c r="V1" s="45" t="s">
        <v>7660</v>
      </c>
      <c r="W1" s="45" t="s">
        <v>7661</v>
      </c>
      <c r="X1" s="45" t="s">
        <v>7662</v>
      </c>
    </row>
    <row r="2" spans="1:30">
      <c r="A2" s="39">
        <v>1852</v>
      </c>
      <c r="B2" s="40" t="s">
        <v>4723</v>
      </c>
      <c r="C2" s="39">
        <v>0</v>
      </c>
      <c r="D2" s="40" t="s">
        <v>7663</v>
      </c>
      <c r="E2" s="39">
        <v>0</v>
      </c>
      <c r="F2" s="39">
        <v>836</v>
      </c>
      <c r="G2" s="39">
        <v>1</v>
      </c>
      <c r="H2" s="39">
        <v>0</v>
      </c>
      <c r="I2" s="39">
        <v>0</v>
      </c>
      <c r="J2" s="39">
        <v>1</v>
      </c>
      <c r="K2" s="39">
        <v>0</v>
      </c>
      <c r="L2" s="39">
        <v>0</v>
      </c>
      <c r="M2" s="39">
        <v>0</v>
      </c>
      <c r="N2" s="39">
        <v>0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1</v>
      </c>
      <c r="V2" s="39">
        <v>1</v>
      </c>
      <c r="W2" s="40" t="s">
        <v>518</v>
      </c>
      <c r="X2" s="39">
        <v>1</v>
      </c>
      <c r="AD2" s="57" t="s">
        <v>7664</v>
      </c>
    </row>
    <row r="3" spans="1:30">
      <c r="A3" s="39">
        <v>1832</v>
      </c>
      <c r="B3" s="40" t="s">
        <v>4723</v>
      </c>
      <c r="C3" s="39">
        <v>0</v>
      </c>
      <c r="D3" s="40" t="s">
        <v>7663</v>
      </c>
      <c r="E3" s="39">
        <v>0</v>
      </c>
      <c r="F3" s="39">
        <v>31</v>
      </c>
      <c r="G3" s="39">
        <v>1</v>
      </c>
      <c r="H3" s="39">
        <v>0</v>
      </c>
      <c r="I3" s="39">
        <v>0</v>
      </c>
      <c r="J3" s="39">
        <v>1</v>
      </c>
      <c r="K3" s="39">
        <v>0</v>
      </c>
      <c r="L3" s="39">
        <v>0</v>
      </c>
      <c r="M3" s="39">
        <v>0</v>
      </c>
      <c r="N3" s="39">
        <v>0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2</v>
      </c>
      <c r="W3" s="40" t="s">
        <v>40</v>
      </c>
      <c r="X3" s="39">
        <v>1</v>
      </c>
      <c r="AD3" s="57" t="s">
        <v>7665</v>
      </c>
    </row>
    <row r="4" spans="1:30">
      <c r="A4" s="39">
        <v>130</v>
      </c>
      <c r="B4" s="40" t="s">
        <v>7444</v>
      </c>
      <c r="C4" s="39">
        <v>0</v>
      </c>
      <c r="E4" s="39">
        <v>1</v>
      </c>
      <c r="F4" s="39">
        <v>836</v>
      </c>
      <c r="G4" s="39">
        <v>1</v>
      </c>
      <c r="H4" s="39">
        <v>1</v>
      </c>
      <c r="I4" s="39">
        <v>0</v>
      </c>
      <c r="J4" s="39">
        <v>1</v>
      </c>
      <c r="K4" s="39">
        <v>0</v>
      </c>
      <c r="L4" s="39">
        <v>0</v>
      </c>
      <c r="M4" s="39">
        <v>0</v>
      </c>
      <c r="N4" s="39">
        <v>0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1</v>
      </c>
      <c r="W4" s="40" t="s">
        <v>518</v>
      </c>
      <c r="X4" s="39">
        <v>1</v>
      </c>
      <c r="AD4" s="57" t="s">
        <v>1414</v>
      </c>
    </row>
    <row r="5" spans="1:30">
      <c r="A5" s="39">
        <v>42</v>
      </c>
      <c r="B5" s="40" t="s">
        <v>7444</v>
      </c>
      <c r="C5" s="39">
        <v>0</v>
      </c>
      <c r="D5" s="40" t="s">
        <v>7666</v>
      </c>
      <c r="E5" s="39">
        <v>1</v>
      </c>
      <c r="F5" s="39">
        <v>31</v>
      </c>
      <c r="G5" s="39">
        <v>1</v>
      </c>
      <c r="H5" s="39">
        <v>1</v>
      </c>
      <c r="I5" s="39">
        <v>1</v>
      </c>
      <c r="J5" s="39">
        <v>1</v>
      </c>
      <c r="K5" s="39">
        <v>0</v>
      </c>
      <c r="L5" s="39">
        <v>0</v>
      </c>
      <c r="M5" s="39">
        <v>0</v>
      </c>
      <c r="N5" s="39">
        <v>0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2</v>
      </c>
      <c r="W5" s="40" t="s">
        <v>40</v>
      </c>
      <c r="X5" s="39">
        <v>1</v>
      </c>
      <c r="AD5" s="57" t="s">
        <v>2617</v>
      </c>
    </row>
    <row r="6" spans="1:30">
      <c r="A6" s="39">
        <v>932</v>
      </c>
      <c r="B6" s="40" t="s">
        <v>7444</v>
      </c>
      <c r="C6" s="39">
        <v>0</v>
      </c>
      <c r="E6" s="39">
        <v>1</v>
      </c>
      <c r="F6" s="39">
        <v>836</v>
      </c>
      <c r="G6" s="39">
        <v>0</v>
      </c>
      <c r="H6" s="39">
        <v>0</v>
      </c>
      <c r="I6" s="39">
        <v>0</v>
      </c>
      <c r="J6" s="39">
        <v>0</v>
      </c>
      <c r="K6" s="39">
        <v>0</v>
      </c>
      <c r="L6" s="39">
        <v>0</v>
      </c>
      <c r="M6" s="39">
        <v>0</v>
      </c>
      <c r="N6" s="39">
        <v>0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158</v>
      </c>
      <c r="W6" s="40" t="s">
        <v>7667</v>
      </c>
      <c r="X6" s="39">
        <v>1</v>
      </c>
      <c r="AA6" s="38" t="s">
        <v>7668</v>
      </c>
      <c r="AB6" s="38" t="b">
        <f>COUNTIF($B$2:$B$30,"*"&amp;AA6&amp;"*")&gt;0</f>
        <v>0</v>
      </c>
      <c r="AD6" s="57" t="s">
        <v>2724</v>
      </c>
    </row>
    <row r="7" spans="1:30">
      <c r="A7" s="39">
        <v>651</v>
      </c>
      <c r="B7" s="40" t="s">
        <v>7444</v>
      </c>
      <c r="C7" s="39">
        <v>0</v>
      </c>
      <c r="E7" s="39">
        <v>1</v>
      </c>
      <c r="F7" s="39">
        <v>836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228</v>
      </c>
      <c r="W7" s="40" t="s">
        <v>7669</v>
      </c>
      <c r="X7" s="39">
        <v>1</v>
      </c>
      <c r="AA7" s="38" t="s">
        <v>7665</v>
      </c>
      <c r="AB7" s="38" t="b">
        <f t="shared" ref="AB7:AB11" si="0">COUNTIF($B$2:$B$30,"*"&amp;AA7&amp;"*")&gt;0</f>
        <v>1</v>
      </c>
      <c r="AD7" s="57" t="s">
        <v>3902</v>
      </c>
    </row>
    <row r="8" spans="1:30">
      <c r="A8" s="39">
        <v>1741</v>
      </c>
      <c r="B8" s="40" t="s">
        <v>7444</v>
      </c>
      <c r="C8" s="39">
        <v>0</v>
      </c>
      <c r="E8" s="39">
        <v>1</v>
      </c>
      <c r="F8" s="39">
        <v>836</v>
      </c>
      <c r="G8" s="39">
        <v>1</v>
      </c>
      <c r="H8" s="39">
        <v>1</v>
      </c>
      <c r="I8" s="39">
        <v>0</v>
      </c>
      <c r="J8" s="39">
        <v>1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244</v>
      </c>
      <c r="W8" s="40" t="s">
        <v>682</v>
      </c>
      <c r="X8" s="39">
        <v>1</v>
      </c>
      <c r="AB8" s="38" t="b">
        <f t="shared" si="0"/>
        <v>1</v>
      </c>
      <c r="AD8" s="57" t="s">
        <v>7670</v>
      </c>
    </row>
    <row r="9" spans="1:30">
      <c r="A9" s="39">
        <v>1192</v>
      </c>
      <c r="B9" s="40" t="s">
        <v>7444</v>
      </c>
      <c r="C9" s="39">
        <v>0</v>
      </c>
      <c r="E9" s="39">
        <v>1</v>
      </c>
      <c r="F9" s="39">
        <v>836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418</v>
      </c>
      <c r="W9" s="40" t="s">
        <v>7671</v>
      </c>
      <c r="X9" s="39">
        <v>1</v>
      </c>
      <c r="AB9" s="38" t="b">
        <f t="shared" si="0"/>
        <v>1</v>
      </c>
      <c r="AD9" s="57" t="s">
        <v>7672</v>
      </c>
    </row>
    <row r="10" spans="1:30">
      <c r="A10" s="39">
        <v>1402</v>
      </c>
      <c r="B10" s="40" t="s">
        <v>7444</v>
      </c>
      <c r="C10" s="39">
        <v>0</v>
      </c>
      <c r="E10" s="39">
        <v>1</v>
      </c>
      <c r="F10" s="39">
        <v>836</v>
      </c>
      <c r="G10" s="39">
        <v>1</v>
      </c>
      <c r="H10" s="39">
        <v>1</v>
      </c>
      <c r="I10" s="39">
        <v>1</v>
      </c>
      <c r="J10" s="39">
        <v>1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456</v>
      </c>
      <c r="W10" s="40" t="s">
        <v>7673</v>
      </c>
      <c r="X10" s="39">
        <v>1</v>
      </c>
      <c r="AB10" s="38" t="b">
        <f t="shared" si="0"/>
        <v>1</v>
      </c>
      <c r="AD10" s="57" t="s">
        <v>4006</v>
      </c>
    </row>
    <row r="11" spans="1:30">
      <c r="A11" s="39">
        <v>1112</v>
      </c>
      <c r="B11" s="40" t="s">
        <v>7444</v>
      </c>
      <c r="C11" s="39">
        <v>0</v>
      </c>
      <c r="E11" s="39">
        <v>1</v>
      </c>
      <c r="F11" s="39">
        <v>836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459</v>
      </c>
      <c r="W11" s="40" t="s">
        <v>7674</v>
      </c>
      <c r="X11" s="39">
        <v>1</v>
      </c>
      <c r="AA11" s="38" t="s">
        <v>7675</v>
      </c>
      <c r="AB11" s="38" t="b">
        <f t="shared" si="0"/>
        <v>0</v>
      </c>
      <c r="AD11" s="57" t="s">
        <v>7676</v>
      </c>
    </row>
    <row r="12" spans="1:30">
      <c r="A12" s="39">
        <v>1311</v>
      </c>
      <c r="B12" s="40" t="s">
        <v>7444</v>
      </c>
      <c r="C12" s="39">
        <v>0</v>
      </c>
      <c r="E12" s="39">
        <v>1</v>
      </c>
      <c r="F12" s="39">
        <v>836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468</v>
      </c>
      <c r="W12" s="40" t="s">
        <v>7677</v>
      </c>
      <c r="X12" s="39">
        <v>1</v>
      </c>
      <c r="AD12" s="57" t="s">
        <v>2616</v>
      </c>
    </row>
    <row r="13" spans="1:30">
      <c r="A13" s="39">
        <v>288</v>
      </c>
      <c r="B13" s="40" t="s">
        <v>7444</v>
      </c>
      <c r="C13" s="39">
        <v>0</v>
      </c>
      <c r="D13" s="40" t="s">
        <v>7678</v>
      </c>
      <c r="E13" s="39">
        <v>1</v>
      </c>
      <c r="F13" s="39">
        <v>836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590</v>
      </c>
      <c r="W13" s="40" t="s">
        <v>7679</v>
      </c>
      <c r="X13" s="39">
        <v>1</v>
      </c>
      <c r="AD13" s="57" t="s">
        <v>1080</v>
      </c>
    </row>
    <row r="14" spans="1:30">
      <c r="A14" s="39">
        <v>819</v>
      </c>
      <c r="B14" s="40" t="s">
        <v>7444</v>
      </c>
      <c r="C14" s="39">
        <v>0</v>
      </c>
      <c r="E14" s="39">
        <v>1</v>
      </c>
      <c r="F14" s="39">
        <v>836</v>
      </c>
      <c r="G14" s="39">
        <v>1</v>
      </c>
      <c r="H14" s="39">
        <v>1</v>
      </c>
      <c r="I14" s="39">
        <v>1</v>
      </c>
      <c r="J14" s="39">
        <v>1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733</v>
      </c>
      <c r="W14" s="40" t="s">
        <v>7680</v>
      </c>
      <c r="X14" s="39">
        <v>1</v>
      </c>
      <c r="AD14" s="57" t="s">
        <v>7681</v>
      </c>
    </row>
    <row r="15" spans="1:30">
      <c r="A15" s="39">
        <v>165</v>
      </c>
      <c r="B15" s="50" t="s">
        <v>7664</v>
      </c>
      <c r="C15" s="39">
        <v>1</v>
      </c>
      <c r="E15" s="39">
        <v>1</v>
      </c>
      <c r="F15" s="39">
        <v>180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1</v>
      </c>
      <c r="W15" s="40" t="s">
        <v>518</v>
      </c>
      <c r="X15" s="39">
        <v>1</v>
      </c>
      <c r="AD15" s="57" t="s">
        <v>4196</v>
      </c>
    </row>
    <row r="16" spans="1:30">
      <c r="A16" s="39">
        <v>1776</v>
      </c>
      <c r="B16" s="40" t="s">
        <v>7664</v>
      </c>
      <c r="C16" s="39">
        <v>1</v>
      </c>
      <c r="E16" s="39">
        <v>1</v>
      </c>
      <c r="F16" s="39">
        <v>180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244</v>
      </c>
      <c r="W16" s="40" t="s">
        <v>682</v>
      </c>
      <c r="X16" s="39">
        <v>1</v>
      </c>
      <c r="AD16" s="57" t="s">
        <v>1415</v>
      </c>
    </row>
    <row r="17" spans="1:30">
      <c r="A17" s="39">
        <v>1437</v>
      </c>
      <c r="B17" s="40" t="s">
        <v>7664</v>
      </c>
      <c r="C17" s="39">
        <v>1</v>
      </c>
      <c r="E17" s="39">
        <v>1</v>
      </c>
      <c r="F17" s="39">
        <v>180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N17" s="39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456</v>
      </c>
      <c r="W17" s="40" t="s">
        <v>7673</v>
      </c>
      <c r="X17" s="39">
        <v>1</v>
      </c>
      <c r="AD17" s="57" t="s">
        <v>7682</v>
      </c>
    </row>
    <row r="18" spans="1:30">
      <c r="A18" s="39">
        <v>820</v>
      </c>
      <c r="B18" s="40" t="s">
        <v>7664</v>
      </c>
      <c r="C18" s="39">
        <v>1</v>
      </c>
      <c r="E18" s="39">
        <v>1</v>
      </c>
      <c r="F18" s="39">
        <v>180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733</v>
      </c>
      <c r="W18" s="40" t="s">
        <v>7680</v>
      </c>
      <c r="X18" s="39">
        <v>1</v>
      </c>
      <c r="AD18" s="57" t="s">
        <v>7683</v>
      </c>
    </row>
    <row r="19" spans="1:30">
      <c r="A19" s="39">
        <v>166</v>
      </c>
      <c r="B19" s="50" t="s">
        <v>7665</v>
      </c>
      <c r="C19" s="39">
        <v>1</v>
      </c>
      <c r="E19" s="39">
        <v>1</v>
      </c>
      <c r="F19" s="39">
        <v>170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1</v>
      </c>
      <c r="W19" s="40" t="s">
        <v>518</v>
      </c>
      <c r="X19" s="39">
        <v>1</v>
      </c>
      <c r="AD19" s="57" t="s">
        <v>7684</v>
      </c>
    </row>
    <row r="20" spans="1:30">
      <c r="A20" s="39">
        <v>1777</v>
      </c>
      <c r="B20" s="40" t="s">
        <v>7665</v>
      </c>
      <c r="C20" s="39">
        <v>1</v>
      </c>
      <c r="E20" s="39">
        <v>1</v>
      </c>
      <c r="F20" s="39">
        <v>170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244</v>
      </c>
      <c r="W20" s="40" t="s">
        <v>682</v>
      </c>
      <c r="X20" s="39">
        <v>1</v>
      </c>
      <c r="AD20" s="57" t="s">
        <v>7685</v>
      </c>
    </row>
    <row r="21" spans="1:30">
      <c r="A21" s="39">
        <v>1438</v>
      </c>
      <c r="B21" s="40" t="s">
        <v>7665</v>
      </c>
      <c r="C21" s="39">
        <v>1</v>
      </c>
      <c r="E21" s="39">
        <v>1</v>
      </c>
      <c r="F21" s="39">
        <v>170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456</v>
      </c>
      <c r="W21" s="40" t="s">
        <v>7673</v>
      </c>
      <c r="X21" s="39">
        <v>1</v>
      </c>
      <c r="AD21" s="57" t="s">
        <v>7686</v>
      </c>
    </row>
    <row r="22" spans="1:30">
      <c r="A22" s="39">
        <v>821</v>
      </c>
      <c r="B22" s="40" t="s">
        <v>7665</v>
      </c>
      <c r="C22" s="39">
        <v>1</v>
      </c>
      <c r="E22" s="39">
        <v>1</v>
      </c>
      <c r="F22" s="39">
        <v>170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733</v>
      </c>
      <c r="W22" s="40" t="s">
        <v>7680</v>
      </c>
      <c r="X22" s="39">
        <v>1</v>
      </c>
      <c r="AD22" s="57" t="s">
        <v>6065</v>
      </c>
    </row>
    <row r="23" spans="1:30">
      <c r="A23" s="39">
        <v>101</v>
      </c>
      <c r="B23" s="40" t="s">
        <v>1139</v>
      </c>
      <c r="C23" s="39">
        <v>0</v>
      </c>
      <c r="E23" s="39">
        <v>1</v>
      </c>
      <c r="F23" s="39">
        <v>190</v>
      </c>
      <c r="G23" s="39">
        <v>1</v>
      </c>
      <c r="H23" s="39">
        <v>1</v>
      </c>
      <c r="I23" s="39">
        <v>0</v>
      </c>
      <c r="J23" s="39">
        <v>1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39">
        <v>0</v>
      </c>
      <c r="Q23" s="39">
        <v>0</v>
      </c>
      <c r="R23" s="39">
        <v>0</v>
      </c>
      <c r="S23" s="39">
        <v>0</v>
      </c>
      <c r="T23" s="39">
        <v>0</v>
      </c>
      <c r="U23" s="39">
        <v>0</v>
      </c>
      <c r="V23" s="39">
        <v>1</v>
      </c>
      <c r="W23" s="40" t="s">
        <v>518</v>
      </c>
      <c r="X23" s="39">
        <v>1</v>
      </c>
      <c r="AD23" s="57" t="s">
        <v>1124</v>
      </c>
    </row>
    <row r="24" spans="1:30">
      <c r="A24" s="39">
        <v>13</v>
      </c>
      <c r="B24" s="40" t="s">
        <v>1139</v>
      </c>
      <c r="C24" s="39">
        <v>0</v>
      </c>
      <c r="D24" s="40" t="s">
        <v>7687</v>
      </c>
      <c r="E24" s="39">
        <v>1</v>
      </c>
      <c r="F24" s="39">
        <v>6</v>
      </c>
      <c r="G24" s="39">
        <v>1</v>
      </c>
      <c r="H24" s="39">
        <v>1</v>
      </c>
      <c r="I24" s="39">
        <v>1</v>
      </c>
      <c r="J24" s="39">
        <v>1</v>
      </c>
      <c r="K24" s="39">
        <v>0</v>
      </c>
      <c r="L24" s="39">
        <v>0</v>
      </c>
      <c r="M24" s="39">
        <v>0</v>
      </c>
      <c r="N24" s="39">
        <v>0</v>
      </c>
      <c r="O24" s="39">
        <v>0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9">
        <v>0</v>
      </c>
      <c r="V24" s="39">
        <v>2</v>
      </c>
      <c r="W24" s="40" t="s">
        <v>40</v>
      </c>
      <c r="X24" s="39">
        <v>1</v>
      </c>
      <c r="AD24" s="57" t="s">
        <v>4124</v>
      </c>
    </row>
    <row r="25" spans="1:30">
      <c r="A25" s="39">
        <v>931</v>
      </c>
      <c r="B25" s="40" t="s">
        <v>1139</v>
      </c>
      <c r="C25" s="39">
        <v>0</v>
      </c>
      <c r="E25" s="39">
        <v>0</v>
      </c>
      <c r="F25" s="39">
        <v>190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158</v>
      </c>
      <c r="W25" s="40" t="s">
        <v>7667</v>
      </c>
      <c r="X25" s="39">
        <v>1</v>
      </c>
      <c r="AD25" s="57" t="s">
        <v>7688</v>
      </c>
    </row>
    <row r="26" spans="1:30">
      <c r="A26" s="39">
        <v>428</v>
      </c>
      <c r="B26" s="40" t="s">
        <v>1139</v>
      </c>
      <c r="C26" s="39">
        <v>0</v>
      </c>
      <c r="E26" s="39">
        <v>1</v>
      </c>
      <c r="F26" s="39">
        <v>190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175</v>
      </c>
      <c r="W26" s="40" t="s">
        <v>7689</v>
      </c>
      <c r="X26" s="39">
        <v>1</v>
      </c>
      <c r="AD26" s="57" t="s">
        <v>7690</v>
      </c>
    </row>
    <row r="27" spans="1:30">
      <c r="A27" s="39">
        <v>285</v>
      </c>
      <c r="B27" s="40" t="s">
        <v>1139</v>
      </c>
      <c r="C27" s="39">
        <v>0</v>
      </c>
      <c r="E27" s="39">
        <v>1</v>
      </c>
      <c r="F27" s="39">
        <v>190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228</v>
      </c>
      <c r="W27" s="40" t="s">
        <v>7669</v>
      </c>
      <c r="X27" s="39">
        <v>1</v>
      </c>
      <c r="AD27" s="57" t="s">
        <v>5841</v>
      </c>
    </row>
    <row r="28" spans="1:30">
      <c r="A28" s="39">
        <v>1712</v>
      </c>
      <c r="B28" s="40" t="s">
        <v>1139</v>
      </c>
      <c r="C28" s="39">
        <v>0</v>
      </c>
      <c r="E28" s="39">
        <v>1</v>
      </c>
      <c r="F28" s="39">
        <v>190</v>
      </c>
      <c r="G28" s="39">
        <v>1</v>
      </c>
      <c r="H28" s="39">
        <v>1</v>
      </c>
      <c r="I28" s="39">
        <v>0</v>
      </c>
      <c r="J28" s="39">
        <v>1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244</v>
      </c>
      <c r="W28" s="40" t="s">
        <v>682</v>
      </c>
      <c r="X28" s="39">
        <v>1</v>
      </c>
      <c r="AD28" s="57" t="s">
        <v>7691</v>
      </c>
    </row>
    <row r="29" spans="1:30">
      <c r="A29" s="39">
        <v>1191</v>
      </c>
      <c r="B29" s="40" t="s">
        <v>1139</v>
      </c>
      <c r="C29" s="39">
        <v>0</v>
      </c>
      <c r="E29" s="39">
        <v>1</v>
      </c>
      <c r="F29" s="39">
        <v>190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N29" s="39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418</v>
      </c>
      <c r="W29" s="40" t="s">
        <v>7671</v>
      </c>
      <c r="X29" s="39">
        <v>1</v>
      </c>
      <c r="AD29" s="57" t="s">
        <v>7692</v>
      </c>
    </row>
    <row r="30" spans="1:30">
      <c r="A30" s="39">
        <v>1373</v>
      </c>
      <c r="B30" s="40" t="s">
        <v>1139</v>
      </c>
      <c r="C30" s="39">
        <v>0</v>
      </c>
      <c r="E30" s="39">
        <v>1</v>
      </c>
      <c r="F30" s="39">
        <v>190</v>
      </c>
      <c r="G30" s="39">
        <v>1</v>
      </c>
      <c r="H30" s="39">
        <v>1</v>
      </c>
      <c r="I30" s="39">
        <v>0</v>
      </c>
      <c r="J30" s="39">
        <v>1</v>
      </c>
      <c r="K30" s="39">
        <v>0</v>
      </c>
      <c r="L30" s="39">
        <v>0</v>
      </c>
      <c r="M30" s="39">
        <v>0</v>
      </c>
      <c r="N30" s="39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456</v>
      </c>
      <c r="W30" s="40" t="s">
        <v>7673</v>
      </c>
      <c r="X30" s="39">
        <v>1</v>
      </c>
      <c r="AD30" s="57" t="s">
        <v>7693</v>
      </c>
    </row>
    <row r="31" spans="1:30">
      <c r="A31" s="39">
        <v>879</v>
      </c>
      <c r="B31" s="40" t="s">
        <v>1139</v>
      </c>
      <c r="C31" s="39">
        <v>0</v>
      </c>
      <c r="E31" s="39">
        <v>0</v>
      </c>
      <c r="F31" s="39">
        <v>190</v>
      </c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9">
        <v>0</v>
      </c>
      <c r="V31" s="39">
        <v>458</v>
      </c>
      <c r="W31" s="40" t="s">
        <v>7694</v>
      </c>
      <c r="X31" s="39">
        <v>1</v>
      </c>
      <c r="AD31" s="57" t="s">
        <v>7038</v>
      </c>
    </row>
    <row r="32" spans="1:30">
      <c r="A32" s="39">
        <v>1111</v>
      </c>
      <c r="B32" s="40" t="s">
        <v>1139</v>
      </c>
      <c r="C32" s="39">
        <v>0</v>
      </c>
      <c r="E32" s="39">
        <v>0</v>
      </c>
      <c r="F32" s="39">
        <v>190</v>
      </c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39">
        <v>0</v>
      </c>
      <c r="Q32" s="39">
        <v>0</v>
      </c>
      <c r="R32" s="39">
        <v>0</v>
      </c>
      <c r="S32" s="39">
        <v>0</v>
      </c>
      <c r="T32" s="39">
        <v>0</v>
      </c>
      <c r="U32" s="39">
        <v>0</v>
      </c>
      <c r="V32" s="39">
        <v>459</v>
      </c>
      <c r="W32" s="40" t="s">
        <v>7674</v>
      </c>
      <c r="X32" s="39">
        <v>1</v>
      </c>
      <c r="AD32" s="57" t="s">
        <v>7695</v>
      </c>
    </row>
    <row r="33" spans="1:30">
      <c r="A33" s="39">
        <v>586</v>
      </c>
      <c r="B33" s="40" t="s">
        <v>1139</v>
      </c>
      <c r="C33" s="39">
        <v>0</v>
      </c>
      <c r="D33" s="40" t="s">
        <v>7696</v>
      </c>
      <c r="E33" s="39">
        <v>0</v>
      </c>
      <c r="F33" s="39">
        <v>6</v>
      </c>
      <c r="G33" s="39">
        <v>1</v>
      </c>
      <c r="H33" s="39">
        <v>1</v>
      </c>
      <c r="I33" s="39">
        <v>1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468</v>
      </c>
      <c r="W33" s="40" t="s">
        <v>7677</v>
      </c>
      <c r="X33" s="39">
        <v>1</v>
      </c>
      <c r="AD33" s="57" t="s">
        <v>6261</v>
      </c>
    </row>
    <row r="34" spans="1:30">
      <c r="A34" s="39">
        <v>1011</v>
      </c>
      <c r="B34" s="40" t="s">
        <v>1139</v>
      </c>
      <c r="C34" s="39">
        <v>0</v>
      </c>
      <c r="E34" s="39">
        <v>0</v>
      </c>
      <c r="F34" s="39">
        <v>190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477</v>
      </c>
      <c r="W34" s="40" t="s">
        <v>7697</v>
      </c>
      <c r="X34" s="39">
        <v>1</v>
      </c>
      <c r="AD34" s="57" t="s">
        <v>7698</v>
      </c>
    </row>
    <row r="35" spans="1:30">
      <c r="A35" s="39">
        <v>202</v>
      </c>
      <c r="B35" s="40" t="s">
        <v>1139</v>
      </c>
      <c r="C35" s="39">
        <v>0</v>
      </c>
      <c r="E35" s="39">
        <v>1</v>
      </c>
      <c r="F35" s="39">
        <v>190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39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590</v>
      </c>
      <c r="W35" s="40" t="s">
        <v>7679</v>
      </c>
      <c r="X35" s="39">
        <v>1</v>
      </c>
      <c r="AD35" s="57" t="s">
        <v>7699</v>
      </c>
    </row>
    <row r="36" spans="1:30">
      <c r="A36" s="39">
        <v>751</v>
      </c>
      <c r="B36" s="40" t="s">
        <v>1139</v>
      </c>
      <c r="C36" s="39">
        <v>0</v>
      </c>
      <c r="E36" s="39">
        <v>1</v>
      </c>
      <c r="F36" s="39">
        <v>190</v>
      </c>
      <c r="G36" s="39">
        <v>1</v>
      </c>
      <c r="H36" s="39">
        <v>1</v>
      </c>
      <c r="I36" s="39">
        <v>0</v>
      </c>
      <c r="J36" s="39">
        <v>1</v>
      </c>
      <c r="K36" s="39">
        <v>0</v>
      </c>
      <c r="L36" s="39">
        <v>0</v>
      </c>
      <c r="M36" s="39">
        <v>0</v>
      </c>
      <c r="N36" s="39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733</v>
      </c>
      <c r="W36" s="40" t="s">
        <v>7680</v>
      </c>
      <c r="X36" s="39">
        <v>1</v>
      </c>
      <c r="AD36" s="57" t="s">
        <v>7700</v>
      </c>
    </row>
    <row r="37" spans="1:30">
      <c r="A37" s="39">
        <v>140</v>
      </c>
      <c r="B37" s="40" t="s">
        <v>7701</v>
      </c>
      <c r="C37" s="39">
        <v>0</v>
      </c>
      <c r="E37" s="39">
        <v>0</v>
      </c>
      <c r="F37" s="39">
        <v>970</v>
      </c>
      <c r="G37" s="39">
        <v>0</v>
      </c>
      <c r="H37" s="39">
        <v>0</v>
      </c>
      <c r="I37" s="39">
        <v>0</v>
      </c>
      <c r="J37" s="39">
        <v>0</v>
      </c>
      <c r="K37" s="39">
        <v>0</v>
      </c>
      <c r="L37" s="39">
        <v>0</v>
      </c>
      <c r="M37" s="39">
        <v>0</v>
      </c>
      <c r="N37" s="39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1</v>
      </c>
      <c r="W37" s="40" t="s">
        <v>518</v>
      </c>
      <c r="X37" s="39">
        <v>1</v>
      </c>
      <c r="AD37" s="57" t="s">
        <v>7702</v>
      </c>
    </row>
    <row r="38" spans="1:30">
      <c r="A38" s="39">
        <v>1751</v>
      </c>
      <c r="B38" s="40" t="s">
        <v>7701</v>
      </c>
      <c r="C38" s="39">
        <v>0</v>
      </c>
      <c r="E38" s="39">
        <v>0</v>
      </c>
      <c r="F38" s="39">
        <v>970</v>
      </c>
      <c r="G38" s="39">
        <v>0</v>
      </c>
      <c r="H38" s="39">
        <v>0</v>
      </c>
      <c r="I38" s="39">
        <v>0</v>
      </c>
      <c r="J38" s="39">
        <v>0</v>
      </c>
      <c r="K38" s="39">
        <v>0</v>
      </c>
      <c r="L38" s="39">
        <v>0</v>
      </c>
      <c r="M38" s="39">
        <v>0</v>
      </c>
      <c r="N38" s="39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244</v>
      </c>
      <c r="W38" s="40" t="s">
        <v>682</v>
      </c>
      <c r="X38" s="39">
        <v>1</v>
      </c>
      <c r="AD38" s="57" t="s">
        <v>7703</v>
      </c>
    </row>
    <row r="39" spans="1:30">
      <c r="A39" s="39">
        <v>1412</v>
      </c>
      <c r="B39" s="40" t="s">
        <v>7701</v>
      </c>
      <c r="C39" s="39">
        <v>0</v>
      </c>
      <c r="E39" s="39">
        <v>0</v>
      </c>
      <c r="F39" s="39">
        <v>970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39">
        <v>0</v>
      </c>
      <c r="M39" s="39">
        <v>0</v>
      </c>
      <c r="N39" s="39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456</v>
      </c>
      <c r="W39" s="40" t="s">
        <v>7673</v>
      </c>
      <c r="X39" s="39">
        <v>1</v>
      </c>
      <c r="AD39" s="58" t="s">
        <v>7704</v>
      </c>
    </row>
    <row r="40" spans="1:30">
      <c r="A40" s="39">
        <v>822</v>
      </c>
      <c r="B40" s="40" t="s">
        <v>7701</v>
      </c>
      <c r="C40" s="39">
        <v>0</v>
      </c>
      <c r="E40" s="39">
        <v>0</v>
      </c>
      <c r="F40" s="39">
        <v>970</v>
      </c>
      <c r="G40" s="39">
        <v>0</v>
      </c>
      <c r="H40" s="39">
        <v>0</v>
      </c>
      <c r="I40" s="39">
        <v>0</v>
      </c>
      <c r="J40" s="39">
        <v>0</v>
      </c>
      <c r="K40" s="39">
        <v>0</v>
      </c>
      <c r="L40" s="39">
        <v>0</v>
      </c>
      <c r="M40" s="39">
        <v>0</v>
      </c>
      <c r="N40" s="39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733</v>
      </c>
      <c r="W40" s="40" t="s">
        <v>7680</v>
      </c>
      <c r="X40" s="39">
        <v>1</v>
      </c>
    </row>
    <row r="41" spans="1:30">
      <c r="A41" s="39">
        <v>154</v>
      </c>
      <c r="B41" s="40" t="s">
        <v>7705</v>
      </c>
      <c r="C41" s="39">
        <v>0</v>
      </c>
      <c r="E41" s="39">
        <v>0</v>
      </c>
      <c r="F41" s="39">
        <v>1160</v>
      </c>
      <c r="G41" s="39">
        <v>0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1</v>
      </c>
      <c r="W41" s="40" t="s">
        <v>518</v>
      </c>
      <c r="X41" s="39">
        <v>1</v>
      </c>
    </row>
    <row r="42" spans="1:30">
      <c r="A42" s="39">
        <v>65</v>
      </c>
      <c r="B42" s="40" t="s">
        <v>7705</v>
      </c>
      <c r="C42" s="39">
        <v>0</v>
      </c>
      <c r="E42" s="39">
        <v>0</v>
      </c>
      <c r="F42" s="39">
        <v>49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2</v>
      </c>
      <c r="W42" s="40" t="s">
        <v>40</v>
      </c>
      <c r="X42" s="39">
        <v>1</v>
      </c>
    </row>
    <row r="43" spans="1:30">
      <c r="A43" s="39">
        <v>1765</v>
      </c>
      <c r="B43" s="40" t="s">
        <v>7705</v>
      </c>
      <c r="C43" s="39">
        <v>0</v>
      </c>
      <c r="E43" s="39">
        <v>0</v>
      </c>
      <c r="F43" s="39">
        <v>1160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244</v>
      </c>
      <c r="W43" s="40" t="s">
        <v>682</v>
      </c>
      <c r="X43" s="39">
        <v>1</v>
      </c>
    </row>
    <row r="44" spans="1:30">
      <c r="A44" s="39">
        <v>1426</v>
      </c>
      <c r="B44" s="40" t="s">
        <v>7705</v>
      </c>
      <c r="C44" s="39">
        <v>0</v>
      </c>
      <c r="E44" s="39">
        <v>0</v>
      </c>
      <c r="F44" s="39">
        <v>1160</v>
      </c>
      <c r="G44" s="39">
        <v>0</v>
      </c>
      <c r="H44" s="39">
        <v>0</v>
      </c>
      <c r="I44" s="39">
        <v>0</v>
      </c>
      <c r="J44" s="39">
        <v>0</v>
      </c>
      <c r="K44" s="39">
        <v>0</v>
      </c>
      <c r="L44" s="39">
        <v>0</v>
      </c>
      <c r="M44" s="39">
        <v>0</v>
      </c>
      <c r="N44" s="39">
        <v>0</v>
      </c>
      <c r="O44" s="39">
        <v>0</v>
      </c>
      <c r="P44" s="39">
        <v>0</v>
      </c>
      <c r="Q44" s="39">
        <v>0</v>
      </c>
      <c r="R44" s="39">
        <v>0</v>
      </c>
      <c r="S44" s="39">
        <v>0</v>
      </c>
      <c r="T44" s="39">
        <v>0</v>
      </c>
      <c r="U44" s="39">
        <v>0</v>
      </c>
      <c r="V44" s="39">
        <v>456</v>
      </c>
      <c r="W44" s="40" t="s">
        <v>7673</v>
      </c>
      <c r="X44" s="39">
        <v>1</v>
      </c>
    </row>
    <row r="45" spans="1:30">
      <c r="A45" s="39">
        <v>823</v>
      </c>
      <c r="B45" s="40" t="s">
        <v>7705</v>
      </c>
      <c r="C45" s="39">
        <v>0</v>
      </c>
      <c r="E45" s="39">
        <v>0</v>
      </c>
      <c r="F45" s="39">
        <v>1160</v>
      </c>
      <c r="G45" s="39">
        <v>0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39">
        <v>0</v>
      </c>
      <c r="Q45" s="39">
        <v>0</v>
      </c>
      <c r="R45" s="39">
        <v>0</v>
      </c>
      <c r="S45" s="39">
        <v>0</v>
      </c>
      <c r="T45" s="39">
        <v>0</v>
      </c>
      <c r="U45" s="39">
        <v>0</v>
      </c>
      <c r="V45" s="39">
        <v>733</v>
      </c>
      <c r="W45" s="40" t="s">
        <v>7680</v>
      </c>
      <c r="X45" s="39">
        <v>1</v>
      </c>
    </row>
    <row r="46" spans="1:30">
      <c r="A46" s="39">
        <v>652</v>
      </c>
      <c r="B46" s="40" t="s">
        <v>7706</v>
      </c>
      <c r="C46" s="39">
        <v>0</v>
      </c>
      <c r="D46" s="40" t="s">
        <v>7707</v>
      </c>
      <c r="E46" s="39">
        <v>0</v>
      </c>
      <c r="F46" s="39">
        <v>2068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228</v>
      </c>
      <c r="W46" s="40" t="s">
        <v>7669</v>
      </c>
      <c r="X46" s="39">
        <v>1</v>
      </c>
    </row>
    <row r="47" spans="1:30">
      <c r="A47" s="39">
        <v>160</v>
      </c>
      <c r="B47" s="40" t="s">
        <v>7708</v>
      </c>
      <c r="C47" s="39">
        <v>0</v>
      </c>
      <c r="E47" s="39">
        <v>1</v>
      </c>
      <c r="F47" s="39">
        <v>124</v>
      </c>
      <c r="G47" s="39">
        <v>1</v>
      </c>
      <c r="H47" s="39">
        <v>1</v>
      </c>
      <c r="I47" s="39">
        <v>1</v>
      </c>
      <c r="J47" s="39">
        <v>1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1</v>
      </c>
      <c r="W47" s="40" t="s">
        <v>518</v>
      </c>
      <c r="X47" s="39">
        <v>1</v>
      </c>
    </row>
    <row r="48" spans="1:30">
      <c r="A48" s="39">
        <v>1771</v>
      </c>
      <c r="B48" s="40" t="s">
        <v>7708</v>
      </c>
      <c r="C48" s="39">
        <v>0</v>
      </c>
      <c r="E48" s="39">
        <v>1</v>
      </c>
      <c r="F48" s="39">
        <v>124</v>
      </c>
      <c r="G48" s="39">
        <v>1</v>
      </c>
      <c r="H48" s="39">
        <v>1</v>
      </c>
      <c r="I48" s="39">
        <v>1</v>
      </c>
      <c r="J48" s="39">
        <v>1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244</v>
      </c>
      <c r="W48" s="40" t="s">
        <v>682</v>
      </c>
      <c r="X48" s="39">
        <v>1</v>
      </c>
    </row>
    <row r="49" spans="1:24">
      <c r="A49" s="39">
        <v>1432</v>
      </c>
      <c r="B49" s="40" t="s">
        <v>7708</v>
      </c>
      <c r="C49" s="39">
        <v>0</v>
      </c>
      <c r="E49" s="39">
        <v>1</v>
      </c>
      <c r="F49" s="39">
        <v>124</v>
      </c>
      <c r="G49" s="39">
        <v>1</v>
      </c>
      <c r="H49" s="39">
        <v>1</v>
      </c>
      <c r="I49" s="39">
        <v>1</v>
      </c>
      <c r="J49" s="39">
        <v>1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456</v>
      </c>
      <c r="W49" s="40" t="s">
        <v>7673</v>
      </c>
      <c r="X49" s="39">
        <v>1</v>
      </c>
    </row>
    <row r="50" spans="1:24">
      <c r="A50" s="39">
        <v>1078</v>
      </c>
      <c r="B50" s="40" t="s">
        <v>7708</v>
      </c>
      <c r="C50" s="39">
        <v>0</v>
      </c>
      <c r="E50" s="39">
        <v>1</v>
      </c>
      <c r="F50" s="39">
        <v>124</v>
      </c>
      <c r="G50" s="39">
        <v>1</v>
      </c>
      <c r="H50" s="39">
        <v>1</v>
      </c>
      <c r="I50" s="39">
        <v>1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477</v>
      </c>
      <c r="W50" s="40" t="s">
        <v>7697</v>
      </c>
      <c r="X50" s="39">
        <v>1</v>
      </c>
    </row>
    <row r="51" spans="1:24">
      <c r="A51" s="39">
        <v>492</v>
      </c>
      <c r="B51" s="40" t="s">
        <v>7708</v>
      </c>
      <c r="C51" s="39">
        <v>0</v>
      </c>
      <c r="E51" s="39">
        <v>1</v>
      </c>
      <c r="F51" s="39">
        <v>124</v>
      </c>
      <c r="G51" s="39">
        <v>0</v>
      </c>
      <c r="H51" s="39">
        <v>1</v>
      </c>
      <c r="I51" s="39">
        <v>1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590</v>
      </c>
      <c r="W51" s="40" t="s">
        <v>7679</v>
      </c>
      <c r="X51" s="39">
        <v>1</v>
      </c>
    </row>
    <row r="52" spans="1:24">
      <c r="A52" s="39">
        <v>824</v>
      </c>
      <c r="B52" s="40" t="s">
        <v>7708</v>
      </c>
      <c r="C52" s="39">
        <v>0</v>
      </c>
      <c r="E52" s="39">
        <v>1</v>
      </c>
      <c r="F52" s="39">
        <v>124</v>
      </c>
      <c r="G52" s="39">
        <v>1</v>
      </c>
      <c r="H52" s="39">
        <v>1</v>
      </c>
      <c r="I52" s="39">
        <v>1</v>
      </c>
      <c r="J52" s="39">
        <v>1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733</v>
      </c>
      <c r="W52" s="40" t="s">
        <v>7680</v>
      </c>
      <c r="X52" s="39">
        <v>1</v>
      </c>
    </row>
    <row r="53" spans="1:24">
      <c r="A53" s="39">
        <v>163</v>
      </c>
      <c r="B53" s="40" t="s">
        <v>7709</v>
      </c>
      <c r="C53" s="39">
        <v>0</v>
      </c>
      <c r="E53" s="39">
        <v>1</v>
      </c>
      <c r="F53" s="39">
        <v>128</v>
      </c>
      <c r="G53" s="39">
        <v>1</v>
      </c>
      <c r="H53" s="39">
        <v>1</v>
      </c>
      <c r="I53" s="39">
        <v>1</v>
      </c>
      <c r="J53" s="39">
        <v>1</v>
      </c>
      <c r="K53" s="39">
        <v>0</v>
      </c>
      <c r="L53" s="39">
        <v>0</v>
      </c>
      <c r="M53" s="39">
        <v>0</v>
      </c>
      <c r="N53" s="39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1</v>
      </c>
      <c r="W53" s="40" t="s">
        <v>518</v>
      </c>
      <c r="X53" s="39">
        <v>1</v>
      </c>
    </row>
    <row r="54" spans="1:24">
      <c r="A54" s="39">
        <v>1774</v>
      </c>
      <c r="B54" s="40" t="s">
        <v>7709</v>
      </c>
      <c r="C54" s="39">
        <v>0</v>
      </c>
      <c r="E54" s="39">
        <v>1</v>
      </c>
      <c r="F54" s="39">
        <v>128</v>
      </c>
      <c r="G54" s="39">
        <v>1</v>
      </c>
      <c r="H54" s="39">
        <v>1</v>
      </c>
      <c r="I54" s="39">
        <v>1</v>
      </c>
      <c r="J54" s="39">
        <v>1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244</v>
      </c>
      <c r="W54" s="40" t="s">
        <v>682</v>
      </c>
      <c r="X54" s="39">
        <v>1</v>
      </c>
    </row>
    <row r="55" spans="1:24">
      <c r="A55" s="39">
        <v>1193</v>
      </c>
      <c r="B55" s="40" t="s">
        <v>7709</v>
      </c>
      <c r="C55" s="39">
        <v>0</v>
      </c>
      <c r="E55" s="39">
        <v>1</v>
      </c>
      <c r="F55" s="39">
        <v>128</v>
      </c>
      <c r="G55" s="39">
        <v>0</v>
      </c>
      <c r="H55" s="39">
        <v>1</v>
      </c>
      <c r="I55" s="39">
        <v>1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418</v>
      </c>
      <c r="W55" s="40" t="s">
        <v>7671</v>
      </c>
      <c r="X55" s="39">
        <v>1</v>
      </c>
    </row>
    <row r="56" spans="1:24">
      <c r="A56" s="39">
        <v>1435</v>
      </c>
      <c r="B56" s="40" t="s">
        <v>7709</v>
      </c>
      <c r="C56" s="39">
        <v>0</v>
      </c>
      <c r="E56" s="39">
        <v>1</v>
      </c>
      <c r="F56" s="39">
        <v>128</v>
      </c>
      <c r="G56" s="39">
        <v>1</v>
      </c>
      <c r="H56" s="39">
        <v>1</v>
      </c>
      <c r="I56" s="39">
        <v>1</v>
      </c>
      <c r="J56" s="39">
        <v>1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456</v>
      </c>
      <c r="W56" s="40" t="s">
        <v>7673</v>
      </c>
      <c r="X56" s="39">
        <v>1</v>
      </c>
    </row>
    <row r="57" spans="1:24">
      <c r="A57" s="39">
        <v>1079</v>
      </c>
      <c r="B57" s="40" t="s">
        <v>7709</v>
      </c>
      <c r="C57" s="39">
        <v>0</v>
      </c>
      <c r="E57" s="39">
        <v>1</v>
      </c>
      <c r="F57" s="39">
        <v>128</v>
      </c>
      <c r="G57" s="39">
        <v>1</v>
      </c>
      <c r="H57" s="39">
        <v>1</v>
      </c>
      <c r="I57" s="39">
        <v>1</v>
      </c>
      <c r="J57" s="39">
        <v>0</v>
      </c>
      <c r="K57" s="39">
        <v>0</v>
      </c>
      <c r="L57" s="39">
        <v>0</v>
      </c>
      <c r="M57" s="39">
        <v>0</v>
      </c>
      <c r="N57" s="39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477</v>
      </c>
      <c r="W57" s="40" t="s">
        <v>7697</v>
      </c>
      <c r="X57" s="39">
        <v>1</v>
      </c>
    </row>
    <row r="58" spans="1:24">
      <c r="A58" s="39">
        <v>493</v>
      </c>
      <c r="B58" s="40" t="s">
        <v>7709</v>
      </c>
      <c r="C58" s="39">
        <v>0</v>
      </c>
      <c r="E58" s="39">
        <v>1</v>
      </c>
      <c r="F58" s="39">
        <v>33</v>
      </c>
      <c r="G58" s="39">
        <v>0</v>
      </c>
      <c r="H58" s="39">
        <v>1</v>
      </c>
      <c r="I58" s="39">
        <v>1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590</v>
      </c>
      <c r="W58" s="40" t="s">
        <v>7679</v>
      </c>
      <c r="X58" s="39">
        <v>1</v>
      </c>
    </row>
    <row r="59" spans="1:24">
      <c r="A59" s="39">
        <v>825</v>
      </c>
      <c r="B59" s="40" t="s">
        <v>7709</v>
      </c>
      <c r="C59" s="39">
        <v>0</v>
      </c>
      <c r="E59" s="39">
        <v>1</v>
      </c>
      <c r="F59" s="39">
        <v>128</v>
      </c>
      <c r="G59" s="39">
        <v>1</v>
      </c>
      <c r="H59" s="39">
        <v>1</v>
      </c>
      <c r="I59" s="39">
        <v>1</v>
      </c>
      <c r="J59" s="39">
        <v>1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733</v>
      </c>
      <c r="W59" s="40" t="s">
        <v>7680</v>
      </c>
      <c r="X59" s="39">
        <v>1</v>
      </c>
    </row>
    <row r="60" spans="1:24">
      <c r="A60" s="39">
        <v>161</v>
      </c>
      <c r="B60" s="40" t="s">
        <v>7710</v>
      </c>
      <c r="C60" s="39">
        <v>0</v>
      </c>
      <c r="E60" s="39">
        <v>1</v>
      </c>
      <c r="F60" s="39">
        <v>132</v>
      </c>
      <c r="G60" s="39">
        <v>1</v>
      </c>
      <c r="H60" s="39">
        <v>1</v>
      </c>
      <c r="I60" s="39">
        <v>1</v>
      </c>
      <c r="J60" s="39">
        <v>1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1</v>
      </c>
      <c r="W60" s="40" t="s">
        <v>518</v>
      </c>
      <c r="X60" s="39">
        <v>1</v>
      </c>
    </row>
    <row r="61" spans="1:24">
      <c r="A61" s="39">
        <v>933</v>
      </c>
      <c r="B61" s="40" t="s">
        <v>7710</v>
      </c>
      <c r="C61" s="39">
        <v>0</v>
      </c>
      <c r="E61" s="39">
        <v>1</v>
      </c>
      <c r="F61" s="39">
        <v>132</v>
      </c>
      <c r="G61" s="39">
        <v>1</v>
      </c>
      <c r="H61" s="39">
        <v>0</v>
      </c>
      <c r="I61" s="39">
        <v>0</v>
      </c>
      <c r="J61" s="39">
        <v>0</v>
      </c>
      <c r="K61" s="39">
        <v>0</v>
      </c>
      <c r="L61" s="39">
        <v>0</v>
      </c>
      <c r="M61" s="39">
        <v>0</v>
      </c>
      <c r="N61" s="39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158</v>
      </c>
      <c r="W61" s="40" t="s">
        <v>7667</v>
      </c>
      <c r="X61" s="39">
        <v>1</v>
      </c>
    </row>
    <row r="62" spans="1:24">
      <c r="A62" s="39">
        <v>429</v>
      </c>
      <c r="B62" s="40" t="s">
        <v>7710</v>
      </c>
      <c r="C62" s="39">
        <v>0</v>
      </c>
      <c r="E62" s="39">
        <v>1</v>
      </c>
      <c r="F62" s="39">
        <v>132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175</v>
      </c>
      <c r="W62" s="40" t="s">
        <v>7689</v>
      </c>
      <c r="X62" s="39">
        <v>1</v>
      </c>
    </row>
    <row r="63" spans="1:24">
      <c r="A63" s="39">
        <v>321</v>
      </c>
      <c r="B63" s="40" t="s">
        <v>7710</v>
      </c>
      <c r="C63" s="39">
        <v>0</v>
      </c>
      <c r="E63" s="39">
        <v>1</v>
      </c>
      <c r="F63" s="39">
        <v>132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228</v>
      </c>
      <c r="W63" s="40" t="s">
        <v>7669</v>
      </c>
      <c r="X63" s="39">
        <v>1</v>
      </c>
    </row>
    <row r="64" spans="1:24">
      <c r="A64" s="39">
        <v>1772</v>
      </c>
      <c r="B64" s="40" t="s">
        <v>7710</v>
      </c>
      <c r="C64" s="39">
        <v>0</v>
      </c>
      <c r="E64" s="39">
        <v>1</v>
      </c>
      <c r="F64" s="39">
        <v>132</v>
      </c>
      <c r="G64" s="39">
        <v>1</v>
      </c>
      <c r="H64" s="39">
        <v>1</v>
      </c>
      <c r="I64" s="39">
        <v>1</v>
      </c>
      <c r="J64" s="39">
        <v>1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244</v>
      </c>
      <c r="W64" s="40" t="s">
        <v>682</v>
      </c>
      <c r="X64" s="39">
        <v>1</v>
      </c>
    </row>
    <row r="65" spans="1:24">
      <c r="A65" s="39">
        <v>1194</v>
      </c>
      <c r="B65" s="40" t="s">
        <v>7710</v>
      </c>
      <c r="C65" s="39">
        <v>0</v>
      </c>
      <c r="E65" s="39">
        <v>1</v>
      </c>
      <c r="F65" s="39">
        <v>132</v>
      </c>
      <c r="G65" s="39">
        <v>0</v>
      </c>
      <c r="H65" s="39">
        <v>1</v>
      </c>
      <c r="I65" s="39">
        <v>1</v>
      </c>
      <c r="J65" s="39">
        <v>0</v>
      </c>
      <c r="K65" s="39">
        <v>0</v>
      </c>
      <c r="L65" s="39">
        <v>0</v>
      </c>
      <c r="M65" s="39">
        <v>0</v>
      </c>
      <c r="N65" s="39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418</v>
      </c>
      <c r="W65" s="40" t="s">
        <v>7671</v>
      </c>
      <c r="X65" s="39">
        <v>1</v>
      </c>
    </row>
    <row r="66" spans="1:24">
      <c r="A66" s="39">
        <v>1433</v>
      </c>
      <c r="B66" s="40" t="s">
        <v>7710</v>
      </c>
      <c r="C66" s="39">
        <v>0</v>
      </c>
      <c r="E66" s="39">
        <v>1</v>
      </c>
      <c r="F66" s="39">
        <v>132</v>
      </c>
      <c r="G66" s="39">
        <v>1</v>
      </c>
      <c r="H66" s="39">
        <v>1</v>
      </c>
      <c r="I66" s="39">
        <v>1</v>
      </c>
      <c r="J66" s="39">
        <v>1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456</v>
      </c>
      <c r="W66" s="40" t="s">
        <v>7673</v>
      </c>
      <c r="X66" s="39">
        <v>1</v>
      </c>
    </row>
    <row r="67" spans="1:24">
      <c r="A67" s="39">
        <v>880</v>
      </c>
      <c r="B67" s="40" t="s">
        <v>7710</v>
      </c>
      <c r="C67" s="39">
        <v>0</v>
      </c>
      <c r="E67" s="39">
        <v>1</v>
      </c>
      <c r="F67" s="39">
        <v>132</v>
      </c>
      <c r="G67" s="39">
        <v>1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458</v>
      </c>
      <c r="W67" s="40" t="s">
        <v>7694</v>
      </c>
      <c r="X67" s="39">
        <v>1</v>
      </c>
    </row>
    <row r="68" spans="1:24">
      <c r="A68" s="39">
        <v>1113</v>
      </c>
      <c r="B68" s="40" t="s">
        <v>7710</v>
      </c>
      <c r="C68" s="39">
        <v>0</v>
      </c>
      <c r="E68" s="39">
        <v>1</v>
      </c>
      <c r="F68" s="39">
        <v>132</v>
      </c>
      <c r="G68" s="39">
        <v>0</v>
      </c>
      <c r="H68" s="39">
        <v>1</v>
      </c>
      <c r="I68" s="39">
        <v>1</v>
      </c>
      <c r="J68" s="39">
        <v>0</v>
      </c>
      <c r="K68" s="39">
        <v>0</v>
      </c>
      <c r="L68" s="39">
        <v>0</v>
      </c>
      <c r="M68" s="39">
        <v>0</v>
      </c>
      <c r="N68" s="39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459</v>
      </c>
      <c r="W68" s="40" t="s">
        <v>7674</v>
      </c>
      <c r="X68" s="39">
        <v>1</v>
      </c>
    </row>
    <row r="69" spans="1:24">
      <c r="A69" s="39">
        <v>587</v>
      </c>
      <c r="B69" s="40" t="s">
        <v>7710</v>
      </c>
      <c r="C69" s="39">
        <v>0</v>
      </c>
      <c r="E69" s="39">
        <v>1</v>
      </c>
      <c r="F69" s="39">
        <v>132</v>
      </c>
      <c r="G69" s="39">
        <v>1</v>
      </c>
      <c r="H69" s="39">
        <v>1</v>
      </c>
      <c r="I69" s="39">
        <v>1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468</v>
      </c>
      <c r="W69" s="40" t="s">
        <v>7677</v>
      </c>
      <c r="X69" s="39">
        <v>1</v>
      </c>
    </row>
    <row r="70" spans="1:24">
      <c r="A70" s="39">
        <v>1016</v>
      </c>
      <c r="B70" s="40" t="s">
        <v>7710</v>
      </c>
      <c r="C70" s="39">
        <v>0</v>
      </c>
      <c r="E70" s="39">
        <v>1</v>
      </c>
      <c r="F70" s="39">
        <v>132</v>
      </c>
      <c r="G70" s="39">
        <v>1</v>
      </c>
      <c r="H70" s="39">
        <v>1</v>
      </c>
      <c r="I70" s="39">
        <v>1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477</v>
      </c>
      <c r="W70" s="40" t="s">
        <v>7697</v>
      </c>
      <c r="X70" s="39">
        <v>1</v>
      </c>
    </row>
    <row r="71" spans="1:24">
      <c r="A71" s="39">
        <v>203</v>
      </c>
      <c r="B71" s="40" t="s">
        <v>7710</v>
      </c>
      <c r="C71" s="39">
        <v>0</v>
      </c>
      <c r="E71" s="39">
        <v>1</v>
      </c>
      <c r="F71" s="39">
        <v>132</v>
      </c>
      <c r="G71" s="39">
        <v>0</v>
      </c>
      <c r="H71" s="39">
        <v>1</v>
      </c>
      <c r="I71" s="39">
        <v>1</v>
      </c>
      <c r="J71" s="39">
        <v>0</v>
      </c>
      <c r="K71" s="39">
        <v>0</v>
      </c>
      <c r="L71" s="39">
        <v>0</v>
      </c>
      <c r="M71" s="39">
        <v>0</v>
      </c>
      <c r="N71" s="39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590</v>
      </c>
      <c r="W71" s="40" t="s">
        <v>7679</v>
      </c>
      <c r="X71" s="39">
        <v>1</v>
      </c>
    </row>
    <row r="72" spans="1:24">
      <c r="A72" s="39">
        <v>752</v>
      </c>
      <c r="B72" s="40" t="s">
        <v>7710</v>
      </c>
      <c r="C72" s="39">
        <v>0</v>
      </c>
      <c r="E72" s="39">
        <v>1</v>
      </c>
      <c r="F72" s="39">
        <v>132</v>
      </c>
      <c r="G72" s="39">
        <v>1</v>
      </c>
      <c r="H72" s="39">
        <v>1</v>
      </c>
      <c r="I72" s="39">
        <v>1</v>
      </c>
      <c r="J72" s="39">
        <v>1</v>
      </c>
      <c r="K72" s="39">
        <v>0</v>
      </c>
      <c r="L72" s="39">
        <v>0</v>
      </c>
      <c r="M72" s="39">
        <v>0</v>
      </c>
      <c r="N72" s="39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733</v>
      </c>
      <c r="W72" s="40" t="s">
        <v>7680</v>
      </c>
      <c r="X72" s="39">
        <v>1</v>
      </c>
    </row>
    <row r="73" spans="1:24">
      <c r="A73" s="39">
        <v>1784</v>
      </c>
      <c r="B73" s="40" t="s">
        <v>7711</v>
      </c>
      <c r="C73" s="39">
        <v>0</v>
      </c>
      <c r="E73" s="39">
        <v>1</v>
      </c>
      <c r="F73" s="39">
        <v>136</v>
      </c>
      <c r="G73" s="39">
        <v>1</v>
      </c>
      <c r="H73" s="39">
        <v>1</v>
      </c>
      <c r="I73" s="39">
        <v>1</v>
      </c>
      <c r="J73" s="39">
        <v>1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1</v>
      </c>
      <c r="W73" s="40" t="s">
        <v>518</v>
      </c>
      <c r="X73" s="39">
        <v>1</v>
      </c>
    </row>
    <row r="74" spans="1:24">
      <c r="A74" s="39">
        <v>1195</v>
      </c>
      <c r="B74" s="40" t="s">
        <v>7711</v>
      </c>
      <c r="C74" s="39">
        <v>0</v>
      </c>
      <c r="E74" s="39">
        <v>1</v>
      </c>
      <c r="F74" s="39">
        <v>136</v>
      </c>
      <c r="G74" s="39">
        <v>0</v>
      </c>
      <c r="H74" s="39">
        <v>1</v>
      </c>
      <c r="I74" s="39">
        <v>1</v>
      </c>
      <c r="J74" s="39">
        <v>0</v>
      </c>
      <c r="K74" s="39">
        <v>0</v>
      </c>
      <c r="L74" s="39">
        <v>0</v>
      </c>
      <c r="M74" s="39">
        <v>0</v>
      </c>
      <c r="N74" s="39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418</v>
      </c>
      <c r="W74" s="40" t="s">
        <v>7671</v>
      </c>
      <c r="X74" s="39">
        <v>1</v>
      </c>
    </row>
    <row r="75" spans="1:24">
      <c r="A75" s="39">
        <v>1431</v>
      </c>
      <c r="B75" s="40" t="s">
        <v>7711</v>
      </c>
      <c r="C75" s="39">
        <v>0</v>
      </c>
      <c r="E75" s="39">
        <v>1</v>
      </c>
      <c r="F75" s="39">
        <v>136</v>
      </c>
      <c r="G75" s="39">
        <v>1</v>
      </c>
      <c r="H75" s="39">
        <v>1</v>
      </c>
      <c r="I75" s="39">
        <v>1</v>
      </c>
      <c r="J75" s="39">
        <v>1</v>
      </c>
      <c r="K75" s="39">
        <v>0</v>
      </c>
      <c r="L75" s="39">
        <v>0</v>
      </c>
      <c r="M75" s="39">
        <v>1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456</v>
      </c>
      <c r="W75" s="40" t="s">
        <v>7673</v>
      </c>
      <c r="X75" s="39">
        <v>1</v>
      </c>
    </row>
    <row r="76" spans="1:24">
      <c r="A76" s="39">
        <v>1080</v>
      </c>
      <c r="B76" s="40" t="s">
        <v>7711</v>
      </c>
      <c r="C76" s="39">
        <v>0</v>
      </c>
      <c r="E76" s="39">
        <v>1</v>
      </c>
      <c r="F76" s="39">
        <v>136</v>
      </c>
      <c r="G76" s="39">
        <v>1</v>
      </c>
      <c r="H76" s="39">
        <v>1</v>
      </c>
      <c r="I76" s="39">
        <v>1</v>
      </c>
      <c r="J76" s="39">
        <v>0</v>
      </c>
      <c r="K76" s="39">
        <v>0</v>
      </c>
      <c r="L76" s="39">
        <v>0</v>
      </c>
      <c r="M76" s="39">
        <v>0</v>
      </c>
      <c r="N76" s="39">
        <v>0</v>
      </c>
      <c r="O76" s="39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9">
        <v>0</v>
      </c>
      <c r="V76" s="39">
        <v>477</v>
      </c>
      <c r="W76" s="40" t="s">
        <v>7697</v>
      </c>
      <c r="X76" s="39">
        <v>1</v>
      </c>
    </row>
    <row r="77" spans="1:24">
      <c r="A77" s="39">
        <v>494</v>
      </c>
      <c r="B77" s="40" t="s">
        <v>7711</v>
      </c>
      <c r="C77" s="39">
        <v>0</v>
      </c>
      <c r="E77" s="39">
        <v>1</v>
      </c>
      <c r="F77" s="39">
        <v>136</v>
      </c>
      <c r="G77" s="39">
        <v>0</v>
      </c>
      <c r="H77" s="39">
        <v>1</v>
      </c>
      <c r="I77" s="39">
        <v>1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39">
        <v>0</v>
      </c>
      <c r="Q77" s="39">
        <v>0</v>
      </c>
      <c r="R77" s="39">
        <v>0</v>
      </c>
      <c r="S77" s="39">
        <v>0</v>
      </c>
      <c r="T77" s="39">
        <v>0</v>
      </c>
      <c r="U77" s="39">
        <v>0</v>
      </c>
      <c r="V77" s="39">
        <v>590</v>
      </c>
      <c r="W77" s="40" t="s">
        <v>7679</v>
      </c>
      <c r="X77" s="39">
        <v>1</v>
      </c>
    </row>
    <row r="78" spans="1:24">
      <c r="A78" s="39">
        <v>826</v>
      </c>
      <c r="B78" s="40" t="s">
        <v>7711</v>
      </c>
      <c r="C78" s="39">
        <v>0</v>
      </c>
      <c r="E78" s="39">
        <v>1</v>
      </c>
      <c r="F78" s="39">
        <v>136</v>
      </c>
      <c r="G78" s="39">
        <v>1</v>
      </c>
      <c r="H78" s="39">
        <v>1</v>
      </c>
      <c r="I78" s="39">
        <v>1</v>
      </c>
      <c r="J78" s="39">
        <v>1</v>
      </c>
      <c r="K78" s="39">
        <v>0</v>
      </c>
      <c r="L78" s="39">
        <v>0</v>
      </c>
      <c r="M78" s="39">
        <v>0</v>
      </c>
      <c r="N78" s="39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733</v>
      </c>
      <c r="W78" s="40" t="s">
        <v>7680</v>
      </c>
      <c r="X78" s="39">
        <v>1</v>
      </c>
    </row>
    <row r="79" spans="1:24">
      <c r="A79" s="39">
        <v>1785</v>
      </c>
      <c r="B79" s="40" t="s">
        <v>7712</v>
      </c>
      <c r="C79" s="39">
        <v>0</v>
      </c>
      <c r="E79" s="39">
        <v>1</v>
      </c>
      <c r="F79" s="39">
        <v>140</v>
      </c>
      <c r="G79" s="39">
        <v>1</v>
      </c>
      <c r="H79" s="39">
        <v>1</v>
      </c>
      <c r="I79" s="39">
        <v>1</v>
      </c>
      <c r="J79" s="39">
        <v>1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1</v>
      </c>
      <c r="W79" s="40" t="s">
        <v>518</v>
      </c>
      <c r="X79" s="39">
        <v>1</v>
      </c>
    </row>
    <row r="80" spans="1:24">
      <c r="A80" s="39">
        <v>1511</v>
      </c>
      <c r="B80" s="40" t="s">
        <v>7712</v>
      </c>
      <c r="C80" s="39">
        <v>0</v>
      </c>
      <c r="D80" s="40" t="s">
        <v>7713</v>
      </c>
      <c r="E80" s="39">
        <v>1</v>
      </c>
      <c r="F80" s="39">
        <v>32</v>
      </c>
      <c r="G80" s="39">
        <v>1</v>
      </c>
      <c r="H80" s="39">
        <v>1</v>
      </c>
      <c r="I80" s="39">
        <v>1</v>
      </c>
      <c r="J80" s="39">
        <v>1</v>
      </c>
      <c r="K80" s="39">
        <v>0</v>
      </c>
      <c r="L80" s="39">
        <v>0</v>
      </c>
      <c r="M80" s="39">
        <v>0</v>
      </c>
      <c r="N80" s="39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2</v>
      </c>
      <c r="W80" s="40" t="s">
        <v>40</v>
      </c>
      <c r="X80" s="39">
        <v>1</v>
      </c>
    </row>
    <row r="81" spans="1:24">
      <c r="A81" s="39">
        <v>1434</v>
      </c>
      <c r="B81" s="40" t="s">
        <v>7712</v>
      </c>
      <c r="C81" s="39">
        <v>0</v>
      </c>
      <c r="E81" s="39">
        <v>1</v>
      </c>
      <c r="F81" s="39">
        <v>140</v>
      </c>
      <c r="G81" s="39">
        <v>1</v>
      </c>
      <c r="H81" s="39">
        <v>1</v>
      </c>
      <c r="I81" s="39">
        <v>1</v>
      </c>
      <c r="J81" s="39">
        <v>1</v>
      </c>
      <c r="K81" s="39">
        <v>0</v>
      </c>
      <c r="L81" s="39">
        <v>0</v>
      </c>
      <c r="M81" s="39">
        <v>0</v>
      </c>
      <c r="N81" s="39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456</v>
      </c>
      <c r="W81" s="40" t="s">
        <v>7673</v>
      </c>
      <c r="X81" s="39">
        <v>1</v>
      </c>
    </row>
    <row r="82" spans="1:24">
      <c r="A82" s="39">
        <v>1081</v>
      </c>
      <c r="B82" s="40" t="s">
        <v>7712</v>
      </c>
      <c r="C82" s="39">
        <v>0</v>
      </c>
      <c r="E82" s="39">
        <v>1</v>
      </c>
      <c r="F82" s="39">
        <v>140</v>
      </c>
      <c r="G82" s="39">
        <v>1</v>
      </c>
      <c r="H82" s="39">
        <v>1</v>
      </c>
      <c r="I82" s="39">
        <v>1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477</v>
      </c>
      <c r="W82" s="40" t="s">
        <v>7697</v>
      </c>
      <c r="X82" s="39">
        <v>1</v>
      </c>
    </row>
    <row r="83" spans="1:24">
      <c r="A83" s="39">
        <v>495</v>
      </c>
      <c r="B83" s="40" t="s">
        <v>7712</v>
      </c>
      <c r="C83" s="39">
        <v>0</v>
      </c>
      <c r="E83" s="39">
        <v>1</v>
      </c>
      <c r="F83" s="39">
        <v>140</v>
      </c>
      <c r="G83" s="39">
        <v>0</v>
      </c>
      <c r="H83" s="39">
        <v>1</v>
      </c>
      <c r="I83" s="39">
        <v>1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590</v>
      </c>
      <c r="W83" s="40" t="s">
        <v>7679</v>
      </c>
      <c r="X83" s="39">
        <v>1</v>
      </c>
    </row>
    <row r="84" spans="1:24">
      <c r="A84" s="39">
        <v>827</v>
      </c>
      <c r="B84" s="40" t="s">
        <v>7712</v>
      </c>
      <c r="C84" s="39">
        <v>0</v>
      </c>
      <c r="E84" s="39">
        <v>1</v>
      </c>
      <c r="F84" s="39">
        <v>140</v>
      </c>
      <c r="G84" s="39">
        <v>1</v>
      </c>
      <c r="H84" s="39">
        <v>1</v>
      </c>
      <c r="I84" s="39">
        <v>1</v>
      </c>
      <c r="J84" s="39">
        <v>1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733</v>
      </c>
      <c r="W84" s="40" t="s">
        <v>7680</v>
      </c>
      <c r="X84" s="39">
        <v>1</v>
      </c>
    </row>
    <row r="85" spans="1:24">
      <c r="A85" s="39">
        <v>164</v>
      </c>
      <c r="B85" s="40" t="s">
        <v>7714</v>
      </c>
      <c r="C85" s="39">
        <v>0</v>
      </c>
      <c r="E85" s="39">
        <v>1</v>
      </c>
      <c r="F85" s="39">
        <v>144</v>
      </c>
      <c r="G85" s="39">
        <v>1</v>
      </c>
      <c r="H85" s="39">
        <v>1</v>
      </c>
      <c r="I85" s="39">
        <v>1</v>
      </c>
      <c r="J85" s="39">
        <v>1</v>
      </c>
      <c r="K85" s="39">
        <v>0</v>
      </c>
      <c r="L85" s="39">
        <v>0</v>
      </c>
      <c r="M85" s="39">
        <v>0</v>
      </c>
      <c r="N85" s="39">
        <v>0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1</v>
      </c>
      <c r="W85" s="40" t="s">
        <v>518</v>
      </c>
      <c r="X85" s="39">
        <v>1</v>
      </c>
    </row>
    <row r="86" spans="1:24">
      <c r="A86" s="39">
        <v>4</v>
      </c>
      <c r="B86" s="40" t="s">
        <v>7714</v>
      </c>
      <c r="C86" s="39">
        <v>0</v>
      </c>
      <c r="D86" s="40" t="s">
        <v>7715</v>
      </c>
      <c r="E86" s="39">
        <v>1</v>
      </c>
      <c r="F86" s="39">
        <v>32</v>
      </c>
      <c r="G86" s="39">
        <v>1</v>
      </c>
      <c r="H86" s="39">
        <v>1</v>
      </c>
      <c r="I86" s="39">
        <v>1</v>
      </c>
      <c r="J86" s="39">
        <v>1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2</v>
      </c>
      <c r="W86" s="40" t="s">
        <v>40</v>
      </c>
      <c r="X86" s="39">
        <v>1</v>
      </c>
    </row>
    <row r="87" spans="1:24">
      <c r="A87" s="39">
        <v>1775</v>
      </c>
      <c r="B87" s="40" t="s">
        <v>7714</v>
      </c>
      <c r="C87" s="39">
        <v>0</v>
      </c>
      <c r="E87" s="39">
        <v>1</v>
      </c>
      <c r="F87" s="39">
        <v>144</v>
      </c>
      <c r="G87" s="39">
        <v>1</v>
      </c>
      <c r="H87" s="39">
        <v>1</v>
      </c>
      <c r="I87" s="39">
        <v>1</v>
      </c>
      <c r="J87" s="39">
        <v>1</v>
      </c>
      <c r="K87" s="39">
        <v>0</v>
      </c>
      <c r="L87" s="39">
        <v>0</v>
      </c>
      <c r="M87" s="39">
        <v>0</v>
      </c>
      <c r="N87" s="39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244</v>
      </c>
      <c r="W87" s="40" t="s">
        <v>682</v>
      </c>
      <c r="X87" s="39">
        <v>1</v>
      </c>
    </row>
    <row r="88" spans="1:24">
      <c r="A88" s="39">
        <v>1196</v>
      </c>
      <c r="B88" s="40" t="s">
        <v>7714</v>
      </c>
      <c r="C88" s="39">
        <v>0</v>
      </c>
      <c r="E88" s="39">
        <v>1</v>
      </c>
      <c r="F88" s="39">
        <v>144</v>
      </c>
      <c r="G88" s="39">
        <v>0</v>
      </c>
      <c r="H88" s="39">
        <v>1</v>
      </c>
      <c r="I88" s="39">
        <v>1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418</v>
      </c>
      <c r="W88" s="40" t="s">
        <v>7671</v>
      </c>
      <c r="X88" s="39">
        <v>1</v>
      </c>
    </row>
    <row r="89" spans="1:24">
      <c r="A89" s="39">
        <v>1436</v>
      </c>
      <c r="B89" s="40" t="s">
        <v>7714</v>
      </c>
      <c r="C89" s="39">
        <v>0</v>
      </c>
      <c r="E89" s="39">
        <v>1</v>
      </c>
      <c r="F89" s="39">
        <v>144</v>
      </c>
      <c r="G89" s="39">
        <v>1</v>
      </c>
      <c r="H89" s="39">
        <v>1</v>
      </c>
      <c r="I89" s="39">
        <v>1</v>
      </c>
      <c r="J89" s="39">
        <v>1</v>
      </c>
      <c r="K89" s="39">
        <v>0</v>
      </c>
      <c r="L89" s="39">
        <v>0</v>
      </c>
      <c r="M89" s="39">
        <v>0</v>
      </c>
      <c r="N89" s="39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456</v>
      </c>
      <c r="W89" s="40" t="s">
        <v>7673</v>
      </c>
      <c r="X89" s="39">
        <v>1</v>
      </c>
    </row>
    <row r="90" spans="1:24">
      <c r="A90" s="39">
        <v>1082</v>
      </c>
      <c r="B90" s="40" t="s">
        <v>7714</v>
      </c>
      <c r="C90" s="39">
        <v>0</v>
      </c>
      <c r="E90" s="39">
        <v>1</v>
      </c>
      <c r="F90" s="39">
        <v>144</v>
      </c>
      <c r="G90" s="39">
        <v>1</v>
      </c>
      <c r="H90" s="39">
        <v>1</v>
      </c>
      <c r="I90" s="39">
        <v>1</v>
      </c>
      <c r="J90" s="39">
        <v>0</v>
      </c>
      <c r="K90" s="39">
        <v>0</v>
      </c>
      <c r="L90" s="39">
        <v>0</v>
      </c>
      <c r="M90" s="39">
        <v>0</v>
      </c>
      <c r="N90" s="39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477</v>
      </c>
      <c r="W90" s="40" t="s">
        <v>7697</v>
      </c>
      <c r="X90" s="39">
        <v>1</v>
      </c>
    </row>
    <row r="91" spans="1:24">
      <c r="A91" s="39">
        <v>496</v>
      </c>
      <c r="B91" s="40" t="s">
        <v>7714</v>
      </c>
      <c r="C91" s="39">
        <v>0</v>
      </c>
      <c r="E91" s="39">
        <v>1</v>
      </c>
      <c r="F91" s="39">
        <v>144</v>
      </c>
      <c r="G91" s="39">
        <v>0</v>
      </c>
      <c r="H91" s="39">
        <v>1</v>
      </c>
      <c r="I91" s="39">
        <v>1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590</v>
      </c>
      <c r="W91" s="40" t="s">
        <v>7679</v>
      </c>
      <c r="X91" s="39">
        <v>1</v>
      </c>
    </row>
    <row r="92" spans="1:24">
      <c r="A92" s="39">
        <v>828</v>
      </c>
      <c r="B92" s="40" t="s">
        <v>7714</v>
      </c>
      <c r="C92" s="39">
        <v>0</v>
      </c>
      <c r="E92" s="39">
        <v>1</v>
      </c>
      <c r="F92" s="39">
        <v>144</v>
      </c>
      <c r="G92" s="39">
        <v>1</v>
      </c>
      <c r="H92" s="39">
        <v>1</v>
      </c>
      <c r="I92" s="39">
        <v>1</v>
      </c>
      <c r="J92" s="39">
        <v>1</v>
      </c>
      <c r="K92" s="39">
        <v>0</v>
      </c>
      <c r="L92" s="39">
        <v>0</v>
      </c>
      <c r="M92" s="39">
        <v>0</v>
      </c>
      <c r="N92" s="39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733</v>
      </c>
      <c r="W92" s="40" t="s">
        <v>7680</v>
      </c>
      <c r="X92" s="39">
        <v>1</v>
      </c>
    </row>
    <row r="93" spans="1:24">
      <c r="A93" s="39">
        <v>1531</v>
      </c>
      <c r="B93" s="40" t="s">
        <v>7716</v>
      </c>
      <c r="C93" s="39">
        <v>0</v>
      </c>
      <c r="D93" s="40" t="s">
        <v>7717</v>
      </c>
      <c r="E93" s="39">
        <v>1</v>
      </c>
      <c r="F93" s="39">
        <v>32</v>
      </c>
      <c r="G93" s="39">
        <v>1</v>
      </c>
      <c r="H93" s="39">
        <v>1</v>
      </c>
      <c r="I93" s="39">
        <v>1</v>
      </c>
      <c r="J93" s="39">
        <v>1</v>
      </c>
      <c r="K93" s="39">
        <v>0</v>
      </c>
      <c r="L93" s="39">
        <v>0</v>
      </c>
      <c r="M93" s="39">
        <v>0</v>
      </c>
      <c r="N93" s="39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2</v>
      </c>
      <c r="W93" s="40" t="s">
        <v>40</v>
      </c>
      <c r="X93" s="39">
        <v>1</v>
      </c>
    </row>
    <row r="94" spans="1:24">
      <c r="A94" s="39">
        <v>1812</v>
      </c>
      <c r="B94" s="40" t="s">
        <v>6777</v>
      </c>
      <c r="C94" s="39">
        <v>0</v>
      </c>
      <c r="E94" s="39">
        <v>1</v>
      </c>
      <c r="F94" s="39">
        <v>120</v>
      </c>
      <c r="G94" s="39">
        <v>1</v>
      </c>
      <c r="H94" s="39">
        <v>1</v>
      </c>
      <c r="I94" s="39">
        <v>1</v>
      </c>
      <c r="J94" s="39">
        <v>1</v>
      </c>
      <c r="K94" s="39">
        <v>0</v>
      </c>
      <c r="L94" s="39">
        <v>0</v>
      </c>
      <c r="M94" s="39">
        <v>0</v>
      </c>
      <c r="N94" s="39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1</v>
      </c>
      <c r="W94" s="40" t="s">
        <v>518</v>
      </c>
      <c r="X94" s="39">
        <v>1</v>
      </c>
    </row>
    <row r="95" spans="1:24">
      <c r="A95" s="39">
        <v>934</v>
      </c>
      <c r="B95" s="40" t="s">
        <v>6777</v>
      </c>
      <c r="C95" s="39">
        <v>0</v>
      </c>
      <c r="E95" s="39">
        <v>1</v>
      </c>
      <c r="F95" s="39">
        <v>120</v>
      </c>
      <c r="G95" s="39">
        <v>1</v>
      </c>
      <c r="H95" s="39">
        <v>0</v>
      </c>
      <c r="I95" s="39">
        <v>0</v>
      </c>
      <c r="J95" s="39">
        <v>0</v>
      </c>
      <c r="K95" s="39">
        <v>0</v>
      </c>
      <c r="L95" s="39">
        <v>0</v>
      </c>
      <c r="M95" s="39">
        <v>0</v>
      </c>
      <c r="N95" s="39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158</v>
      </c>
      <c r="W95" s="40" t="s">
        <v>7667</v>
      </c>
      <c r="X95" s="39">
        <v>1</v>
      </c>
    </row>
    <row r="96" spans="1:24">
      <c r="A96" s="39">
        <v>430</v>
      </c>
      <c r="B96" s="40" t="s">
        <v>6777</v>
      </c>
      <c r="C96" s="39">
        <v>0</v>
      </c>
      <c r="E96" s="39">
        <v>1</v>
      </c>
      <c r="F96" s="39">
        <v>120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39">
        <v>0</v>
      </c>
      <c r="M96" s="39">
        <v>0</v>
      </c>
      <c r="N96" s="39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175</v>
      </c>
      <c r="W96" s="40" t="s">
        <v>7689</v>
      </c>
      <c r="X96" s="39">
        <v>1</v>
      </c>
    </row>
    <row r="97" spans="1:24">
      <c r="A97" s="39">
        <v>322</v>
      </c>
      <c r="B97" s="40" t="s">
        <v>6777</v>
      </c>
      <c r="C97" s="39">
        <v>0</v>
      </c>
      <c r="E97" s="39">
        <v>1</v>
      </c>
      <c r="F97" s="39">
        <v>120</v>
      </c>
      <c r="G97" s="39">
        <v>0</v>
      </c>
      <c r="H97" s="39">
        <v>0</v>
      </c>
      <c r="I97" s="39">
        <v>0</v>
      </c>
      <c r="J97" s="39">
        <v>0</v>
      </c>
      <c r="K97" s="39">
        <v>0</v>
      </c>
      <c r="L97" s="39">
        <v>0</v>
      </c>
      <c r="M97" s="39">
        <v>0</v>
      </c>
      <c r="N97" s="39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228</v>
      </c>
      <c r="W97" s="40" t="s">
        <v>7669</v>
      </c>
      <c r="X97" s="39">
        <v>1</v>
      </c>
    </row>
    <row r="98" spans="1:24">
      <c r="A98" s="39">
        <v>1782</v>
      </c>
      <c r="B98" s="40" t="s">
        <v>6777</v>
      </c>
      <c r="C98" s="39">
        <v>0</v>
      </c>
      <c r="E98" s="39">
        <v>1</v>
      </c>
      <c r="F98" s="39">
        <v>136</v>
      </c>
      <c r="G98" s="39">
        <v>1</v>
      </c>
      <c r="H98" s="39">
        <v>1</v>
      </c>
      <c r="I98" s="39">
        <v>1</v>
      </c>
      <c r="J98" s="39">
        <v>1</v>
      </c>
      <c r="K98" s="39">
        <v>0</v>
      </c>
      <c r="L98" s="39">
        <v>0</v>
      </c>
      <c r="M98" s="39">
        <v>0</v>
      </c>
      <c r="N98" s="39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244</v>
      </c>
      <c r="W98" s="40" t="s">
        <v>682</v>
      </c>
      <c r="X98" s="39">
        <v>1</v>
      </c>
    </row>
    <row r="99" spans="1:24">
      <c r="A99" s="39">
        <v>1197</v>
      </c>
      <c r="B99" s="40" t="s">
        <v>6777</v>
      </c>
      <c r="C99" s="39">
        <v>0</v>
      </c>
      <c r="E99" s="39">
        <v>1</v>
      </c>
      <c r="F99" s="39">
        <v>120</v>
      </c>
      <c r="G99" s="39">
        <v>0</v>
      </c>
      <c r="H99" s="39">
        <v>1</v>
      </c>
      <c r="I99" s="39">
        <v>1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418</v>
      </c>
      <c r="W99" s="40" t="s">
        <v>7671</v>
      </c>
      <c r="X99" s="39">
        <v>1</v>
      </c>
    </row>
    <row r="100" spans="1:24">
      <c r="A100" s="39">
        <v>881</v>
      </c>
      <c r="B100" s="40" t="s">
        <v>6777</v>
      </c>
      <c r="C100" s="39">
        <v>0</v>
      </c>
      <c r="E100" s="39">
        <v>1</v>
      </c>
      <c r="F100" s="39">
        <v>120</v>
      </c>
      <c r="G100" s="39">
        <v>1</v>
      </c>
      <c r="H100" s="39">
        <v>0</v>
      </c>
      <c r="I100" s="39">
        <v>0</v>
      </c>
      <c r="J100" s="39">
        <v>0</v>
      </c>
      <c r="K100" s="39">
        <v>0</v>
      </c>
      <c r="L100" s="39">
        <v>0</v>
      </c>
      <c r="M100" s="39">
        <v>0</v>
      </c>
      <c r="N100" s="39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458</v>
      </c>
      <c r="W100" s="40" t="s">
        <v>7694</v>
      </c>
      <c r="X100" s="39">
        <v>1</v>
      </c>
    </row>
    <row r="101" spans="1:24">
      <c r="A101" s="39">
        <v>588</v>
      </c>
      <c r="B101" s="40" t="s">
        <v>6777</v>
      </c>
      <c r="C101" s="39">
        <v>0</v>
      </c>
      <c r="E101" s="39">
        <v>1</v>
      </c>
      <c r="F101" s="39">
        <v>120</v>
      </c>
      <c r="G101" s="39">
        <v>1</v>
      </c>
      <c r="H101" s="39">
        <v>1</v>
      </c>
      <c r="I101" s="39">
        <v>1</v>
      </c>
      <c r="J101" s="39">
        <v>0</v>
      </c>
      <c r="K101" s="39">
        <v>0</v>
      </c>
      <c r="L101" s="39">
        <v>0</v>
      </c>
      <c r="M101" s="39">
        <v>0</v>
      </c>
      <c r="N101" s="39">
        <v>0</v>
      </c>
      <c r="O101" s="39">
        <v>0</v>
      </c>
      <c r="P101" s="39">
        <v>0</v>
      </c>
      <c r="Q101" s="39">
        <v>0</v>
      </c>
      <c r="R101" s="39">
        <v>0</v>
      </c>
      <c r="S101" s="39">
        <v>0</v>
      </c>
      <c r="T101" s="39">
        <v>0</v>
      </c>
      <c r="U101" s="39">
        <v>0</v>
      </c>
      <c r="V101" s="39">
        <v>468</v>
      </c>
      <c r="W101" s="40" t="s">
        <v>7677</v>
      </c>
      <c r="X101" s="39">
        <v>1</v>
      </c>
    </row>
    <row r="102" spans="1:24">
      <c r="A102" s="39">
        <v>1017</v>
      </c>
      <c r="B102" s="40" t="s">
        <v>6777</v>
      </c>
      <c r="C102" s="39">
        <v>0</v>
      </c>
      <c r="E102" s="39">
        <v>1</v>
      </c>
      <c r="F102" s="39">
        <v>120</v>
      </c>
      <c r="G102" s="39">
        <v>1</v>
      </c>
      <c r="H102" s="39">
        <v>1</v>
      </c>
      <c r="I102" s="39">
        <v>1</v>
      </c>
      <c r="J102" s="39">
        <v>0</v>
      </c>
      <c r="K102" s="39">
        <v>0</v>
      </c>
      <c r="L102" s="39">
        <v>0</v>
      </c>
      <c r="M102" s="39">
        <v>0</v>
      </c>
      <c r="N102" s="39">
        <v>0</v>
      </c>
      <c r="O102" s="39">
        <v>0</v>
      </c>
      <c r="P102" s="39">
        <v>0</v>
      </c>
      <c r="Q102" s="39">
        <v>0</v>
      </c>
      <c r="R102" s="39">
        <v>0</v>
      </c>
      <c r="S102" s="39">
        <v>0</v>
      </c>
      <c r="T102" s="39">
        <v>0</v>
      </c>
      <c r="U102" s="39">
        <v>0</v>
      </c>
      <c r="V102" s="39">
        <v>477</v>
      </c>
      <c r="W102" s="40" t="s">
        <v>7697</v>
      </c>
      <c r="X102" s="39">
        <v>1</v>
      </c>
    </row>
    <row r="103" spans="1:24">
      <c r="A103" s="39">
        <v>204</v>
      </c>
      <c r="B103" s="40" t="s">
        <v>6777</v>
      </c>
      <c r="C103" s="39">
        <v>0</v>
      </c>
      <c r="E103" s="39">
        <v>1</v>
      </c>
      <c r="F103" s="39">
        <v>120</v>
      </c>
      <c r="G103" s="39">
        <v>0</v>
      </c>
      <c r="H103" s="39">
        <v>1</v>
      </c>
      <c r="I103" s="39">
        <v>1</v>
      </c>
      <c r="J103" s="39">
        <v>0</v>
      </c>
      <c r="K103" s="39">
        <v>0</v>
      </c>
      <c r="L103" s="39">
        <v>0</v>
      </c>
      <c r="M103" s="39">
        <v>0</v>
      </c>
      <c r="N103" s="39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590</v>
      </c>
      <c r="W103" s="40" t="s">
        <v>7679</v>
      </c>
      <c r="X103" s="39">
        <v>1</v>
      </c>
    </row>
    <row r="104" spans="1:24">
      <c r="A104" s="39">
        <v>753</v>
      </c>
      <c r="B104" s="40" t="s">
        <v>6777</v>
      </c>
      <c r="C104" s="39">
        <v>0</v>
      </c>
      <c r="E104" s="39">
        <v>1</v>
      </c>
      <c r="F104" s="39">
        <v>120</v>
      </c>
      <c r="G104" s="39">
        <v>1</v>
      </c>
      <c r="H104" s="39">
        <v>1</v>
      </c>
      <c r="I104" s="39">
        <v>1</v>
      </c>
      <c r="J104" s="39">
        <v>1</v>
      </c>
      <c r="K104" s="39">
        <v>0</v>
      </c>
      <c r="L104" s="39">
        <v>0</v>
      </c>
      <c r="M104" s="39">
        <v>0</v>
      </c>
      <c r="N104" s="39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733</v>
      </c>
      <c r="W104" s="40" t="s">
        <v>7680</v>
      </c>
      <c r="X104" s="39">
        <v>1</v>
      </c>
    </row>
    <row r="105" spans="1:24">
      <c r="A105" s="39">
        <v>1513</v>
      </c>
      <c r="B105" s="40" t="s">
        <v>7718</v>
      </c>
      <c r="C105" s="39">
        <v>0</v>
      </c>
      <c r="D105" s="40" t="s">
        <v>7719</v>
      </c>
      <c r="E105" s="39">
        <v>1</v>
      </c>
      <c r="F105" s="39">
        <v>32</v>
      </c>
      <c r="G105" s="39">
        <v>1</v>
      </c>
      <c r="H105" s="39">
        <v>1</v>
      </c>
      <c r="I105" s="39">
        <v>1</v>
      </c>
      <c r="J105" s="39">
        <v>1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2</v>
      </c>
      <c r="W105" s="40" t="s">
        <v>40</v>
      </c>
      <c r="X105" s="39">
        <v>1</v>
      </c>
    </row>
    <row r="106" spans="1:24">
      <c r="A106" s="39">
        <v>1514</v>
      </c>
      <c r="B106" s="40" t="s">
        <v>7720</v>
      </c>
      <c r="C106" s="39">
        <v>0</v>
      </c>
      <c r="D106" s="40" t="s">
        <v>7721</v>
      </c>
      <c r="E106" s="39">
        <v>1</v>
      </c>
      <c r="F106" s="39">
        <v>32</v>
      </c>
      <c r="G106" s="39">
        <v>1</v>
      </c>
      <c r="H106" s="39">
        <v>1</v>
      </c>
      <c r="I106" s="39">
        <v>1</v>
      </c>
      <c r="J106" s="39">
        <v>1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2</v>
      </c>
      <c r="W106" s="40" t="s">
        <v>40</v>
      </c>
      <c r="X106" s="39">
        <v>1</v>
      </c>
    </row>
    <row r="107" spans="1:24">
      <c r="A107" s="39">
        <v>1515</v>
      </c>
      <c r="B107" s="40" t="s">
        <v>7722</v>
      </c>
      <c r="C107" s="39">
        <v>0</v>
      </c>
      <c r="D107" s="40" t="s">
        <v>7723</v>
      </c>
      <c r="E107" s="39">
        <v>1</v>
      </c>
      <c r="F107" s="39">
        <v>32</v>
      </c>
      <c r="G107" s="39">
        <v>1</v>
      </c>
      <c r="H107" s="39">
        <v>1</v>
      </c>
      <c r="I107" s="39">
        <v>1</v>
      </c>
      <c r="J107" s="39">
        <v>1</v>
      </c>
      <c r="K107" s="39">
        <v>0</v>
      </c>
      <c r="L107" s="39">
        <v>0</v>
      </c>
      <c r="M107" s="39">
        <v>0</v>
      </c>
      <c r="N107" s="39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2</v>
      </c>
      <c r="W107" s="40" t="s">
        <v>40</v>
      </c>
      <c r="X107" s="39">
        <v>1</v>
      </c>
    </row>
    <row r="108" spans="1:24">
      <c r="A108" s="39">
        <v>935</v>
      </c>
      <c r="B108" s="40" t="s">
        <v>7724</v>
      </c>
      <c r="C108" s="39">
        <v>0</v>
      </c>
      <c r="E108" s="39">
        <v>1</v>
      </c>
      <c r="F108" s="39">
        <v>146</v>
      </c>
      <c r="G108" s="39">
        <v>1</v>
      </c>
      <c r="H108" s="39">
        <v>0</v>
      </c>
      <c r="I108" s="39">
        <v>0</v>
      </c>
      <c r="J108" s="39">
        <v>0</v>
      </c>
      <c r="K108" s="39">
        <v>0</v>
      </c>
      <c r="L108" s="39">
        <v>0</v>
      </c>
      <c r="M108" s="39">
        <v>0</v>
      </c>
      <c r="N108" s="39">
        <v>0</v>
      </c>
      <c r="O108" s="39">
        <v>0</v>
      </c>
      <c r="P108" s="39">
        <v>0</v>
      </c>
      <c r="Q108" s="39">
        <v>0</v>
      </c>
      <c r="R108" s="39">
        <v>0</v>
      </c>
      <c r="S108" s="39">
        <v>0</v>
      </c>
      <c r="T108" s="39">
        <v>0</v>
      </c>
      <c r="U108" s="39">
        <v>0</v>
      </c>
      <c r="V108" s="39">
        <v>158</v>
      </c>
      <c r="W108" s="40" t="s">
        <v>7667</v>
      </c>
      <c r="X108" s="39">
        <v>1</v>
      </c>
    </row>
    <row r="109" spans="1:24">
      <c r="A109" s="39">
        <v>431</v>
      </c>
      <c r="B109" s="40" t="s">
        <v>7724</v>
      </c>
      <c r="C109" s="39">
        <v>0</v>
      </c>
      <c r="E109" s="39">
        <v>1</v>
      </c>
      <c r="F109" s="39">
        <v>146</v>
      </c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39">
        <v>0</v>
      </c>
      <c r="Q109" s="39">
        <v>0</v>
      </c>
      <c r="R109" s="39">
        <v>0</v>
      </c>
      <c r="S109" s="39">
        <v>0</v>
      </c>
      <c r="T109" s="39">
        <v>0</v>
      </c>
      <c r="U109" s="39">
        <v>0</v>
      </c>
      <c r="V109" s="39">
        <v>175</v>
      </c>
      <c r="W109" s="40" t="s">
        <v>7689</v>
      </c>
      <c r="X109" s="39">
        <v>1</v>
      </c>
    </row>
    <row r="110" spans="1:24">
      <c r="A110" s="39">
        <v>323</v>
      </c>
      <c r="B110" s="40" t="s">
        <v>7724</v>
      </c>
      <c r="C110" s="39">
        <v>0</v>
      </c>
      <c r="E110" s="39">
        <v>1</v>
      </c>
      <c r="F110" s="39">
        <v>146</v>
      </c>
      <c r="G110" s="39">
        <v>0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228</v>
      </c>
      <c r="W110" s="40" t="s">
        <v>7669</v>
      </c>
      <c r="X110" s="39">
        <v>1</v>
      </c>
    </row>
    <row r="111" spans="1:24">
      <c r="A111" s="39">
        <v>1198</v>
      </c>
      <c r="B111" s="40" t="s">
        <v>7724</v>
      </c>
      <c r="C111" s="39">
        <v>0</v>
      </c>
      <c r="E111" s="39">
        <v>1</v>
      </c>
      <c r="F111" s="39">
        <v>146</v>
      </c>
      <c r="G111" s="39">
        <v>0</v>
      </c>
      <c r="H111" s="39">
        <v>1</v>
      </c>
      <c r="I111" s="39">
        <v>1</v>
      </c>
      <c r="J111" s="39">
        <v>0</v>
      </c>
      <c r="K111" s="39">
        <v>0</v>
      </c>
      <c r="L111" s="39">
        <v>0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418</v>
      </c>
      <c r="W111" s="40" t="s">
        <v>7671</v>
      </c>
      <c r="X111" s="39">
        <v>1</v>
      </c>
    </row>
    <row r="112" spans="1:24">
      <c r="A112" s="39">
        <v>882</v>
      </c>
      <c r="B112" s="40" t="s">
        <v>7724</v>
      </c>
      <c r="C112" s="39">
        <v>0</v>
      </c>
      <c r="E112" s="39">
        <v>1</v>
      </c>
      <c r="F112" s="39">
        <v>146</v>
      </c>
      <c r="G112" s="39">
        <v>1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458</v>
      </c>
      <c r="W112" s="40" t="s">
        <v>7694</v>
      </c>
      <c r="X112" s="39">
        <v>1</v>
      </c>
    </row>
    <row r="113" spans="1:24">
      <c r="A113" s="39">
        <v>589</v>
      </c>
      <c r="B113" s="40" t="s">
        <v>7724</v>
      </c>
      <c r="C113" s="39">
        <v>0</v>
      </c>
      <c r="E113" s="39">
        <v>1</v>
      </c>
      <c r="F113" s="39">
        <v>146</v>
      </c>
      <c r="G113" s="39">
        <v>1</v>
      </c>
      <c r="H113" s="39">
        <v>1</v>
      </c>
      <c r="I113" s="39">
        <v>1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468</v>
      </c>
      <c r="W113" s="40" t="s">
        <v>7677</v>
      </c>
      <c r="X113" s="39">
        <v>1</v>
      </c>
    </row>
    <row r="114" spans="1:24">
      <c r="A114" s="39">
        <v>1018</v>
      </c>
      <c r="B114" s="40" t="s">
        <v>7724</v>
      </c>
      <c r="C114" s="39">
        <v>0</v>
      </c>
      <c r="E114" s="39">
        <v>1</v>
      </c>
      <c r="F114" s="39">
        <v>146</v>
      </c>
      <c r="G114" s="39">
        <v>1</v>
      </c>
      <c r="H114" s="39">
        <v>1</v>
      </c>
      <c r="I114" s="39">
        <v>1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477</v>
      </c>
      <c r="W114" s="40" t="s">
        <v>7697</v>
      </c>
      <c r="X114" s="39">
        <v>1</v>
      </c>
    </row>
    <row r="115" spans="1:24">
      <c r="A115" s="39">
        <v>205</v>
      </c>
      <c r="B115" s="40" t="s">
        <v>7724</v>
      </c>
      <c r="C115" s="39">
        <v>0</v>
      </c>
      <c r="E115" s="39">
        <v>1</v>
      </c>
      <c r="F115" s="39">
        <v>146</v>
      </c>
      <c r="G115" s="39">
        <v>0</v>
      </c>
      <c r="H115" s="39">
        <v>1</v>
      </c>
      <c r="I115" s="39">
        <v>1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590</v>
      </c>
      <c r="W115" s="40" t="s">
        <v>7679</v>
      </c>
      <c r="X115" s="39">
        <v>1</v>
      </c>
    </row>
    <row r="116" spans="1:24">
      <c r="A116" s="39">
        <v>754</v>
      </c>
      <c r="B116" s="40" t="s">
        <v>7724</v>
      </c>
      <c r="C116" s="39">
        <v>0</v>
      </c>
      <c r="E116" s="39">
        <v>1</v>
      </c>
      <c r="F116" s="39">
        <v>146</v>
      </c>
      <c r="G116" s="39">
        <v>1</v>
      </c>
      <c r="H116" s="39">
        <v>1</v>
      </c>
      <c r="I116" s="39">
        <v>1</v>
      </c>
      <c r="J116" s="39">
        <v>1</v>
      </c>
      <c r="K116" s="39">
        <v>0</v>
      </c>
      <c r="L116" s="39">
        <v>0</v>
      </c>
      <c r="M116" s="39">
        <v>0</v>
      </c>
      <c r="N116" s="39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733</v>
      </c>
      <c r="W116" s="40" t="s">
        <v>7680</v>
      </c>
      <c r="X116" s="39">
        <v>1</v>
      </c>
    </row>
    <row r="117" spans="1:24">
      <c r="A117" s="39">
        <v>5</v>
      </c>
      <c r="B117" s="40" t="s">
        <v>7725</v>
      </c>
      <c r="C117" s="39">
        <v>0</v>
      </c>
      <c r="D117" s="40" t="s">
        <v>7726</v>
      </c>
      <c r="E117" s="39">
        <v>1</v>
      </c>
      <c r="F117" s="39">
        <v>32</v>
      </c>
      <c r="G117" s="39">
        <v>1</v>
      </c>
      <c r="H117" s="39">
        <v>1</v>
      </c>
      <c r="I117" s="39">
        <v>1</v>
      </c>
      <c r="J117" s="39">
        <v>1</v>
      </c>
      <c r="K117" s="39">
        <v>0</v>
      </c>
      <c r="L117" s="39">
        <v>0</v>
      </c>
      <c r="M117" s="39">
        <v>0</v>
      </c>
      <c r="N117" s="39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2</v>
      </c>
      <c r="W117" s="40" t="s">
        <v>40</v>
      </c>
      <c r="X117" s="39">
        <v>1</v>
      </c>
    </row>
    <row r="118" spans="1:24">
      <c r="A118" s="39">
        <v>1783</v>
      </c>
      <c r="B118" s="40" t="s">
        <v>7725</v>
      </c>
      <c r="C118" s="39">
        <v>0</v>
      </c>
      <c r="E118" s="39">
        <v>1</v>
      </c>
      <c r="F118" s="39">
        <v>140</v>
      </c>
      <c r="G118" s="39">
        <v>1</v>
      </c>
      <c r="H118" s="39">
        <v>1</v>
      </c>
      <c r="I118" s="39">
        <v>1</v>
      </c>
      <c r="J118" s="39">
        <v>1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39">
        <v>0</v>
      </c>
      <c r="Q118" s="39">
        <v>0</v>
      </c>
      <c r="R118" s="39">
        <v>0</v>
      </c>
      <c r="S118" s="39">
        <v>0</v>
      </c>
      <c r="T118" s="39">
        <v>0</v>
      </c>
      <c r="U118" s="39">
        <v>0</v>
      </c>
      <c r="V118" s="39">
        <v>244</v>
      </c>
      <c r="W118" s="40" t="s">
        <v>682</v>
      </c>
      <c r="X118" s="39">
        <v>1</v>
      </c>
    </row>
    <row r="119" spans="1:24">
      <c r="A119" s="39">
        <v>1199</v>
      </c>
      <c r="B119" s="40" t="s">
        <v>7725</v>
      </c>
      <c r="C119" s="39">
        <v>0</v>
      </c>
      <c r="E119" s="39">
        <v>1</v>
      </c>
      <c r="F119" s="39">
        <v>2067</v>
      </c>
      <c r="G119" s="39">
        <v>0</v>
      </c>
      <c r="H119" s="39">
        <v>1</v>
      </c>
      <c r="I119" s="39">
        <v>1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39">
        <v>0</v>
      </c>
      <c r="Q119" s="39">
        <v>0</v>
      </c>
      <c r="R119" s="39">
        <v>0</v>
      </c>
      <c r="S119" s="39">
        <v>0</v>
      </c>
      <c r="T119" s="39">
        <v>0</v>
      </c>
      <c r="U119" s="39">
        <v>0</v>
      </c>
      <c r="V119" s="39">
        <v>418</v>
      </c>
      <c r="W119" s="40" t="s">
        <v>7671</v>
      </c>
      <c r="X119" s="39">
        <v>1</v>
      </c>
    </row>
    <row r="120" spans="1:24">
      <c r="A120" s="39">
        <v>936</v>
      </c>
      <c r="B120" s="40" t="s">
        <v>7727</v>
      </c>
      <c r="C120" s="39">
        <v>0</v>
      </c>
      <c r="E120" s="39">
        <v>0</v>
      </c>
      <c r="F120" s="39">
        <v>2064</v>
      </c>
      <c r="G120" s="39">
        <v>0</v>
      </c>
      <c r="H120" s="39">
        <v>0</v>
      </c>
      <c r="I120" s="39">
        <v>0</v>
      </c>
      <c r="J120" s="39">
        <v>0</v>
      </c>
      <c r="K120" s="39">
        <v>0</v>
      </c>
      <c r="L120" s="39">
        <v>0</v>
      </c>
      <c r="M120" s="39">
        <v>0</v>
      </c>
      <c r="N120" s="39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158</v>
      </c>
      <c r="W120" s="40" t="s">
        <v>7667</v>
      </c>
      <c r="X120" s="39">
        <v>1</v>
      </c>
    </row>
    <row r="121" spans="1:24">
      <c r="A121" s="39">
        <v>421</v>
      </c>
      <c r="B121" s="40" t="s">
        <v>7727</v>
      </c>
      <c r="C121" s="39">
        <v>0</v>
      </c>
      <c r="E121" s="39">
        <v>0</v>
      </c>
      <c r="F121" s="39">
        <v>2064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175</v>
      </c>
      <c r="W121" s="40" t="s">
        <v>7689</v>
      </c>
      <c r="X121" s="39">
        <v>1</v>
      </c>
    </row>
    <row r="122" spans="1:24">
      <c r="A122" s="39">
        <v>324</v>
      </c>
      <c r="B122" s="40" t="s">
        <v>7727</v>
      </c>
      <c r="C122" s="39">
        <v>0</v>
      </c>
      <c r="E122" s="39">
        <v>0</v>
      </c>
      <c r="F122" s="39">
        <v>2064</v>
      </c>
      <c r="G122" s="39">
        <v>1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228</v>
      </c>
      <c r="W122" s="40" t="s">
        <v>7669</v>
      </c>
      <c r="X122" s="39">
        <v>1</v>
      </c>
    </row>
    <row r="123" spans="1:24">
      <c r="A123" s="39">
        <v>1200</v>
      </c>
      <c r="B123" s="40" t="s">
        <v>7727</v>
      </c>
      <c r="C123" s="39">
        <v>0</v>
      </c>
      <c r="E123" s="39">
        <v>0</v>
      </c>
      <c r="F123" s="39">
        <v>2064</v>
      </c>
      <c r="G123" s="39">
        <v>0</v>
      </c>
      <c r="H123" s="39">
        <v>0</v>
      </c>
      <c r="I123" s="39">
        <v>0</v>
      </c>
      <c r="J123" s="39">
        <v>0</v>
      </c>
      <c r="K123" s="39">
        <v>0</v>
      </c>
      <c r="L123" s="39">
        <v>0</v>
      </c>
      <c r="M123" s="39">
        <v>0</v>
      </c>
      <c r="N123" s="39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418</v>
      </c>
      <c r="W123" s="40" t="s">
        <v>7671</v>
      </c>
      <c r="X123" s="39">
        <v>1</v>
      </c>
    </row>
    <row r="124" spans="1:24">
      <c r="A124" s="39">
        <v>883</v>
      </c>
      <c r="B124" s="40" t="s">
        <v>7727</v>
      </c>
      <c r="C124" s="39">
        <v>0</v>
      </c>
      <c r="E124" s="39">
        <v>0</v>
      </c>
      <c r="F124" s="39">
        <v>2064</v>
      </c>
      <c r="G124" s="39">
        <v>0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458</v>
      </c>
      <c r="W124" s="40" t="s">
        <v>7694</v>
      </c>
      <c r="X124" s="39">
        <v>1</v>
      </c>
    </row>
    <row r="125" spans="1:24">
      <c r="A125" s="39">
        <v>1114</v>
      </c>
      <c r="B125" s="40" t="s">
        <v>7727</v>
      </c>
      <c r="C125" s="39">
        <v>0</v>
      </c>
      <c r="E125" s="39">
        <v>0</v>
      </c>
      <c r="F125" s="39">
        <v>2064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459</v>
      </c>
      <c r="W125" s="40" t="s">
        <v>7674</v>
      </c>
      <c r="X125" s="39">
        <v>1</v>
      </c>
    </row>
    <row r="126" spans="1:24">
      <c r="A126" s="39">
        <v>1019</v>
      </c>
      <c r="B126" s="40" t="s">
        <v>7727</v>
      </c>
      <c r="C126" s="39">
        <v>0</v>
      </c>
      <c r="E126" s="39">
        <v>0</v>
      </c>
      <c r="F126" s="39">
        <v>2064</v>
      </c>
      <c r="G126" s="39">
        <v>0</v>
      </c>
      <c r="H126" s="39">
        <v>0</v>
      </c>
      <c r="I126" s="39">
        <v>0</v>
      </c>
      <c r="J126" s="39">
        <v>0</v>
      </c>
      <c r="K126" s="39">
        <v>0</v>
      </c>
      <c r="L126" s="39">
        <v>0</v>
      </c>
      <c r="M126" s="39">
        <v>0</v>
      </c>
      <c r="N126" s="39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477</v>
      </c>
      <c r="W126" s="40" t="s">
        <v>7697</v>
      </c>
      <c r="X126" s="39">
        <v>1</v>
      </c>
    </row>
    <row r="127" spans="1:24">
      <c r="A127" s="39">
        <v>206</v>
      </c>
      <c r="B127" s="40" t="s">
        <v>7727</v>
      </c>
      <c r="C127" s="39">
        <v>0</v>
      </c>
      <c r="E127" s="39">
        <v>0</v>
      </c>
      <c r="F127" s="39">
        <v>2064</v>
      </c>
      <c r="G127" s="39">
        <v>1</v>
      </c>
      <c r="H127" s="39">
        <v>0</v>
      </c>
      <c r="I127" s="39">
        <v>0</v>
      </c>
      <c r="J127" s="39">
        <v>0</v>
      </c>
      <c r="K127" s="39">
        <v>0</v>
      </c>
      <c r="L127" s="39">
        <v>0</v>
      </c>
      <c r="M127" s="39">
        <v>0</v>
      </c>
      <c r="N127" s="39">
        <v>0</v>
      </c>
      <c r="O127" s="39">
        <v>0</v>
      </c>
      <c r="P127" s="39">
        <v>0</v>
      </c>
      <c r="Q127" s="39">
        <v>0</v>
      </c>
      <c r="R127" s="39">
        <v>0</v>
      </c>
      <c r="S127" s="39">
        <v>0</v>
      </c>
      <c r="T127" s="39">
        <v>0</v>
      </c>
      <c r="U127" s="39">
        <v>0</v>
      </c>
      <c r="V127" s="39">
        <v>590</v>
      </c>
      <c r="W127" s="40" t="s">
        <v>7679</v>
      </c>
      <c r="X127" s="39">
        <v>1</v>
      </c>
    </row>
    <row r="128" spans="1:24">
      <c r="A128" s="39">
        <v>755</v>
      </c>
      <c r="B128" s="40" t="s">
        <v>7727</v>
      </c>
      <c r="C128" s="39">
        <v>0</v>
      </c>
      <c r="E128" s="39">
        <v>0</v>
      </c>
      <c r="F128" s="39">
        <v>2064</v>
      </c>
      <c r="G128" s="39">
        <v>0</v>
      </c>
      <c r="H128" s="39">
        <v>0</v>
      </c>
      <c r="I128" s="39">
        <v>0</v>
      </c>
      <c r="J128" s="39">
        <v>0</v>
      </c>
      <c r="K128" s="39">
        <v>0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39">
        <v>0</v>
      </c>
      <c r="S128" s="39">
        <v>0</v>
      </c>
      <c r="T128" s="39">
        <v>0</v>
      </c>
      <c r="U128" s="39">
        <v>0</v>
      </c>
      <c r="V128" s="39">
        <v>733</v>
      </c>
      <c r="W128" s="40" t="s">
        <v>7680</v>
      </c>
      <c r="X128" s="39">
        <v>1</v>
      </c>
    </row>
    <row r="129" spans="1:24">
      <c r="A129" s="39">
        <v>937</v>
      </c>
      <c r="B129" s="40" t="s">
        <v>7728</v>
      </c>
      <c r="C129" s="39">
        <v>0</v>
      </c>
      <c r="E129" s="39">
        <v>0</v>
      </c>
      <c r="F129" s="39">
        <v>2063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158</v>
      </c>
      <c r="W129" s="40" t="s">
        <v>7667</v>
      </c>
      <c r="X129" s="39">
        <v>1</v>
      </c>
    </row>
    <row r="130" spans="1:24">
      <c r="A130" s="39">
        <v>432</v>
      </c>
      <c r="B130" s="40" t="s">
        <v>7728</v>
      </c>
      <c r="C130" s="39">
        <v>0</v>
      </c>
      <c r="E130" s="39">
        <v>0</v>
      </c>
      <c r="F130" s="39">
        <v>2063</v>
      </c>
      <c r="G130" s="39">
        <v>1</v>
      </c>
      <c r="H130" s="39">
        <v>0</v>
      </c>
      <c r="I130" s="39">
        <v>0</v>
      </c>
      <c r="J130" s="39">
        <v>0</v>
      </c>
      <c r="K130" s="39">
        <v>0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175</v>
      </c>
      <c r="W130" s="40" t="s">
        <v>7689</v>
      </c>
      <c r="X130" s="39">
        <v>1</v>
      </c>
    </row>
    <row r="131" spans="1:24">
      <c r="A131" s="39">
        <v>325</v>
      </c>
      <c r="B131" s="40" t="s">
        <v>7728</v>
      </c>
      <c r="C131" s="39">
        <v>0</v>
      </c>
      <c r="E131" s="39">
        <v>0</v>
      </c>
      <c r="F131" s="39">
        <v>2063</v>
      </c>
      <c r="G131" s="39">
        <v>1</v>
      </c>
      <c r="H131" s="39">
        <v>0</v>
      </c>
      <c r="I131" s="39">
        <v>0</v>
      </c>
      <c r="J131" s="39">
        <v>0</v>
      </c>
      <c r="K131" s="39">
        <v>0</v>
      </c>
      <c r="L131" s="39">
        <v>0</v>
      </c>
      <c r="M131" s="39">
        <v>0</v>
      </c>
      <c r="N131" s="39">
        <v>0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228</v>
      </c>
      <c r="W131" s="40" t="s">
        <v>7669</v>
      </c>
      <c r="X131" s="39">
        <v>1</v>
      </c>
    </row>
    <row r="132" spans="1:24">
      <c r="A132" s="39">
        <v>1201</v>
      </c>
      <c r="B132" s="40" t="s">
        <v>7728</v>
      </c>
      <c r="C132" s="39">
        <v>0</v>
      </c>
      <c r="E132" s="39">
        <v>0</v>
      </c>
      <c r="F132" s="39">
        <v>2063</v>
      </c>
      <c r="G132" s="39">
        <v>0</v>
      </c>
      <c r="H132" s="39">
        <v>0</v>
      </c>
      <c r="I132" s="39">
        <v>0</v>
      </c>
      <c r="J132" s="39">
        <v>0</v>
      </c>
      <c r="K132" s="39">
        <v>0</v>
      </c>
      <c r="L132" s="39">
        <v>0</v>
      </c>
      <c r="M132" s="39">
        <v>0</v>
      </c>
      <c r="N132" s="39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418</v>
      </c>
      <c r="W132" s="40" t="s">
        <v>7671</v>
      </c>
      <c r="X132" s="39">
        <v>1</v>
      </c>
    </row>
    <row r="133" spans="1:24">
      <c r="A133" s="39">
        <v>884</v>
      </c>
      <c r="B133" s="40" t="s">
        <v>7728</v>
      </c>
      <c r="C133" s="39">
        <v>0</v>
      </c>
      <c r="E133" s="39">
        <v>0</v>
      </c>
      <c r="F133" s="39">
        <v>2063</v>
      </c>
      <c r="G133" s="39">
        <v>0</v>
      </c>
      <c r="H133" s="39">
        <v>0</v>
      </c>
      <c r="I133" s="39">
        <v>0</v>
      </c>
      <c r="J133" s="39">
        <v>0</v>
      </c>
      <c r="K133" s="39">
        <v>0</v>
      </c>
      <c r="L133" s="39">
        <v>0</v>
      </c>
      <c r="M133" s="39">
        <v>0</v>
      </c>
      <c r="N133" s="39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458</v>
      </c>
      <c r="W133" s="40" t="s">
        <v>7694</v>
      </c>
      <c r="X133" s="39">
        <v>1</v>
      </c>
    </row>
    <row r="134" spans="1:24">
      <c r="A134" s="39">
        <v>1115</v>
      </c>
      <c r="B134" s="40" t="s">
        <v>7728</v>
      </c>
      <c r="C134" s="39">
        <v>0</v>
      </c>
      <c r="E134" s="39">
        <v>0</v>
      </c>
      <c r="F134" s="39">
        <v>2063</v>
      </c>
      <c r="G134" s="39">
        <v>0</v>
      </c>
      <c r="H134" s="39">
        <v>0</v>
      </c>
      <c r="I134" s="39">
        <v>0</v>
      </c>
      <c r="J134" s="39">
        <v>0</v>
      </c>
      <c r="K134" s="39">
        <v>0</v>
      </c>
      <c r="L134" s="39">
        <v>0</v>
      </c>
      <c r="M134" s="39">
        <v>0</v>
      </c>
      <c r="N134" s="39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459</v>
      </c>
      <c r="W134" s="40" t="s">
        <v>7674</v>
      </c>
      <c r="X134" s="39">
        <v>1</v>
      </c>
    </row>
    <row r="135" spans="1:24">
      <c r="A135" s="39">
        <v>1020</v>
      </c>
      <c r="B135" s="40" t="s">
        <v>7728</v>
      </c>
      <c r="C135" s="39">
        <v>0</v>
      </c>
      <c r="E135" s="39">
        <v>0</v>
      </c>
      <c r="F135" s="39">
        <v>2063</v>
      </c>
      <c r="G135" s="39">
        <v>0</v>
      </c>
      <c r="H135" s="39">
        <v>0</v>
      </c>
      <c r="I135" s="39">
        <v>0</v>
      </c>
      <c r="J135" s="39">
        <v>0</v>
      </c>
      <c r="K135" s="39">
        <v>0</v>
      </c>
      <c r="L135" s="39">
        <v>0</v>
      </c>
      <c r="M135" s="39">
        <v>0</v>
      </c>
      <c r="N135" s="39">
        <v>0</v>
      </c>
      <c r="O135" s="39">
        <v>0</v>
      </c>
      <c r="P135" s="39">
        <v>0</v>
      </c>
      <c r="Q135" s="39">
        <v>0</v>
      </c>
      <c r="R135" s="39">
        <v>0</v>
      </c>
      <c r="S135" s="39">
        <v>0</v>
      </c>
      <c r="T135" s="39">
        <v>0</v>
      </c>
      <c r="U135" s="39">
        <v>0</v>
      </c>
      <c r="V135" s="39">
        <v>477</v>
      </c>
      <c r="W135" s="40" t="s">
        <v>7697</v>
      </c>
      <c r="X135" s="39">
        <v>1</v>
      </c>
    </row>
    <row r="136" spans="1:24">
      <c r="A136" s="39">
        <v>207</v>
      </c>
      <c r="B136" s="40" t="s">
        <v>7728</v>
      </c>
      <c r="C136" s="39">
        <v>0</v>
      </c>
      <c r="E136" s="39">
        <v>0</v>
      </c>
      <c r="F136" s="39">
        <v>2063</v>
      </c>
      <c r="G136" s="39">
        <v>1</v>
      </c>
      <c r="H136" s="39">
        <v>0</v>
      </c>
      <c r="I136" s="39">
        <v>0</v>
      </c>
      <c r="J136" s="39">
        <v>0</v>
      </c>
      <c r="K136" s="39">
        <v>0</v>
      </c>
      <c r="L136" s="39">
        <v>0</v>
      </c>
      <c r="M136" s="39">
        <v>0</v>
      </c>
      <c r="N136" s="39">
        <v>0</v>
      </c>
      <c r="O136" s="39">
        <v>0</v>
      </c>
      <c r="P136" s="39">
        <v>0</v>
      </c>
      <c r="Q136" s="39">
        <v>0</v>
      </c>
      <c r="R136" s="39">
        <v>0</v>
      </c>
      <c r="S136" s="39">
        <v>0</v>
      </c>
      <c r="T136" s="39">
        <v>0</v>
      </c>
      <c r="U136" s="39">
        <v>0</v>
      </c>
      <c r="V136" s="39">
        <v>590</v>
      </c>
      <c r="W136" s="40" t="s">
        <v>7679</v>
      </c>
      <c r="X136" s="39">
        <v>1</v>
      </c>
    </row>
    <row r="137" spans="1:24">
      <c r="A137" s="39">
        <v>756</v>
      </c>
      <c r="B137" s="40" t="s">
        <v>7728</v>
      </c>
      <c r="C137" s="39">
        <v>0</v>
      </c>
      <c r="E137" s="39">
        <v>0</v>
      </c>
      <c r="F137" s="39">
        <v>2063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733</v>
      </c>
      <c r="W137" s="40" t="s">
        <v>7680</v>
      </c>
      <c r="X137" s="39">
        <v>1</v>
      </c>
    </row>
    <row r="138" spans="1:24">
      <c r="A138" s="39">
        <v>938</v>
      </c>
      <c r="B138" s="40" t="s">
        <v>7729</v>
      </c>
      <c r="C138" s="39">
        <v>0</v>
      </c>
      <c r="E138" s="39">
        <v>0</v>
      </c>
      <c r="F138" s="39">
        <v>2062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158</v>
      </c>
      <c r="W138" s="40" t="s">
        <v>7667</v>
      </c>
      <c r="X138" s="39">
        <v>1</v>
      </c>
    </row>
    <row r="139" spans="1:24">
      <c r="A139" s="39">
        <v>433</v>
      </c>
      <c r="B139" s="40" t="s">
        <v>7729</v>
      </c>
      <c r="C139" s="39">
        <v>0</v>
      </c>
      <c r="E139" s="39">
        <v>0</v>
      </c>
      <c r="F139" s="39">
        <v>2062</v>
      </c>
      <c r="G139" s="39">
        <v>1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175</v>
      </c>
      <c r="W139" s="40" t="s">
        <v>7689</v>
      </c>
      <c r="X139" s="39">
        <v>1</v>
      </c>
    </row>
    <row r="140" spans="1:24">
      <c r="A140" s="39">
        <v>326</v>
      </c>
      <c r="B140" s="40" t="s">
        <v>7729</v>
      </c>
      <c r="C140" s="39">
        <v>0</v>
      </c>
      <c r="E140" s="39">
        <v>0</v>
      </c>
      <c r="F140" s="39">
        <v>2062</v>
      </c>
      <c r="G140" s="39">
        <v>1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228</v>
      </c>
      <c r="W140" s="40" t="s">
        <v>7669</v>
      </c>
      <c r="X140" s="39">
        <v>1</v>
      </c>
    </row>
    <row r="141" spans="1:24">
      <c r="A141" s="39">
        <v>1202</v>
      </c>
      <c r="B141" s="40" t="s">
        <v>7729</v>
      </c>
      <c r="C141" s="39">
        <v>0</v>
      </c>
      <c r="E141" s="39">
        <v>0</v>
      </c>
      <c r="F141" s="39">
        <v>2062</v>
      </c>
      <c r="G141" s="39">
        <v>0</v>
      </c>
      <c r="H141" s="39">
        <v>0</v>
      </c>
      <c r="I141" s="39">
        <v>0</v>
      </c>
      <c r="J141" s="39">
        <v>0</v>
      </c>
      <c r="K141" s="39">
        <v>0</v>
      </c>
      <c r="L141" s="39">
        <v>0</v>
      </c>
      <c r="M141" s="39">
        <v>0</v>
      </c>
      <c r="N141" s="39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418</v>
      </c>
      <c r="W141" s="40" t="s">
        <v>7671</v>
      </c>
      <c r="X141" s="39">
        <v>1</v>
      </c>
    </row>
    <row r="142" spans="1:24">
      <c r="A142" s="39">
        <v>885</v>
      </c>
      <c r="B142" s="40" t="s">
        <v>7729</v>
      </c>
      <c r="C142" s="39">
        <v>0</v>
      </c>
      <c r="E142" s="39">
        <v>0</v>
      </c>
      <c r="F142" s="39">
        <v>2062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458</v>
      </c>
      <c r="W142" s="40" t="s">
        <v>7694</v>
      </c>
      <c r="X142" s="39">
        <v>1</v>
      </c>
    </row>
    <row r="143" spans="1:24">
      <c r="A143" s="39">
        <v>1116</v>
      </c>
      <c r="B143" s="40" t="s">
        <v>7729</v>
      </c>
      <c r="C143" s="39">
        <v>0</v>
      </c>
      <c r="E143" s="39">
        <v>0</v>
      </c>
      <c r="F143" s="39">
        <v>2062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459</v>
      </c>
      <c r="W143" s="40" t="s">
        <v>7674</v>
      </c>
      <c r="X143" s="39">
        <v>1</v>
      </c>
    </row>
    <row r="144" spans="1:24">
      <c r="A144" s="39">
        <v>1021</v>
      </c>
      <c r="B144" s="40" t="s">
        <v>7729</v>
      </c>
      <c r="C144" s="39">
        <v>0</v>
      </c>
      <c r="E144" s="39">
        <v>0</v>
      </c>
      <c r="F144" s="39">
        <v>2062</v>
      </c>
      <c r="G144" s="39">
        <v>0</v>
      </c>
      <c r="H144" s="39">
        <v>0</v>
      </c>
      <c r="I144" s="39">
        <v>0</v>
      </c>
      <c r="J144" s="39">
        <v>0</v>
      </c>
      <c r="K144" s="39">
        <v>0</v>
      </c>
      <c r="L144" s="39">
        <v>0</v>
      </c>
      <c r="M144" s="39">
        <v>0</v>
      </c>
      <c r="N144" s="39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477</v>
      </c>
      <c r="W144" s="40" t="s">
        <v>7697</v>
      </c>
      <c r="X144" s="39">
        <v>1</v>
      </c>
    </row>
    <row r="145" spans="1:24">
      <c r="A145" s="39">
        <v>208</v>
      </c>
      <c r="B145" s="40" t="s">
        <v>7729</v>
      </c>
      <c r="C145" s="39">
        <v>0</v>
      </c>
      <c r="E145" s="39">
        <v>0</v>
      </c>
      <c r="F145" s="39">
        <v>2062</v>
      </c>
      <c r="G145" s="39">
        <v>1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590</v>
      </c>
      <c r="W145" s="40" t="s">
        <v>7679</v>
      </c>
      <c r="X145" s="39">
        <v>1</v>
      </c>
    </row>
    <row r="146" spans="1:24">
      <c r="A146" s="39">
        <v>757</v>
      </c>
      <c r="B146" s="40" t="s">
        <v>7729</v>
      </c>
      <c r="C146" s="39">
        <v>0</v>
      </c>
      <c r="E146" s="39">
        <v>1</v>
      </c>
      <c r="F146" s="39">
        <v>2062</v>
      </c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9">
        <v>0</v>
      </c>
      <c r="V146" s="39">
        <v>733</v>
      </c>
      <c r="W146" s="40" t="s">
        <v>7680</v>
      </c>
      <c r="X146" s="39">
        <v>1</v>
      </c>
    </row>
    <row r="147" spans="1:24">
      <c r="A147" s="39">
        <v>141</v>
      </c>
      <c r="B147" s="40" t="s">
        <v>1430</v>
      </c>
      <c r="C147" s="39">
        <v>0</v>
      </c>
      <c r="E147" s="39">
        <v>1</v>
      </c>
      <c r="F147" s="39">
        <v>850</v>
      </c>
      <c r="G147" s="39">
        <v>1</v>
      </c>
      <c r="H147" s="39">
        <v>1</v>
      </c>
      <c r="I147" s="39">
        <v>1</v>
      </c>
      <c r="J147" s="39">
        <v>1</v>
      </c>
      <c r="K147" s="39">
        <v>0</v>
      </c>
      <c r="L147" s="39">
        <v>1</v>
      </c>
      <c r="M147" s="39">
        <v>0</v>
      </c>
      <c r="N147" s="39">
        <v>0</v>
      </c>
      <c r="O147" s="39">
        <v>0</v>
      </c>
      <c r="P147" s="39">
        <v>0</v>
      </c>
      <c r="Q147" s="39">
        <v>0</v>
      </c>
      <c r="R147" s="39">
        <v>1</v>
      </c>
      <c r="S147" s="39">
        <v>1</v>
      </c>
      <c r="T147" s="39">
        <v>0</v>
      </c>
      <c r="U147" s="39">
        <v>0</v>
      </c>
      <c r="V147" s="39">
        <v>1</v>
      </c>
      <c r="W147" s="40" t="s">
        <v>518</v>
      </c>
      <c r="X147" s="39">
        <v>1</v>
      </c>
    </row>
    <row r="148" spans="1:24">
      <c r="A148" s="39">
        <v>51</v>
      </c>
      <c r="B148" s="40" t="s">
        <v>1430</v>
      </c>
      <c r="C148" s="39">
        <v>0</v>
      </c>
      <c r="E148" s="39">
        <v>0</v>
      </c>
      <c r="F148" s="39">
        <v>38</v>
      </c>
      <c r="G148" s="39">
        <v>1</v>
      </c>
      <c r="H148" s="39">
        <v>1</v>
      </c>
      <c r="I148" s="39">
        <v>1</v>
      </c>
      <c r="J148" s="39">
        <v>1</v>
      </c>
      <c r="K148" s="39">
        <v>0</v>
      </c>
      <c r="L148" s="39">
        <v>1</v>
      </c>
      <c r="M148" s="39">
        <v>0</v>
      </c>
      <c r="N148" s="39">
        <v>0</v>
      </c>
      <c r="O148" s="39">
        <v>0</v>
      </c>
      <c r="P148" s="39">
        <v>0</v>
      </c>
      <c r="Q148" s="39">
        <v>0</v>
      </c>
      <c r="R148" s="39">
        <v>1</v>
      </c>
      <c r="S148" s="39">
        <v>1</v>
      </c>
      <c r="T148" s="39">
        <v>0</v>
      </c>
      <c r="U148" s="39">
        <v>0</v>
      </c>
      <c r="V148" s="39">
        <v>2</v>
      </c>
      <c r="W148" s="40" t="s">
        <v>40</v>
      </c>
      <c r="X148" s="39">
        <v>1</v>
      </c>
    </row>
    <row r="149" spans="1:24">
      <c r="A149" s="39">
        <v>939</v>
      </c>
      <c r="B149" s="40" t="s">
        <v>1430</v>
      </c>
      <c r="C149" s="39">
        <v>0</v>
      </c>
      <c r="E149" s="39">
        <v>1</v>
      </c>
      <c r="F149" s="39">
        <v>850</v>
      </c>
      <c r="G149" s="39">
        <v>1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1</v>
      </c>
      <c r="S149" s="39">
        <v>1</v>
      </c>
      <c r="T149" s="39">
        <v>0</v>
      </c>
      <c r="U149" s="39">
        <v>0</v>
      </c>
      <c r="V149" s="39">
        <v>158</v>
      </c>
      <c r="W149" s="40" t="s">
        <v>7667</v>
      </c>
      <c r="X149" s="39">
        <v>1</v>
      </c>
    </row>
    <row r="150" spans="1:24">
      <c r="A150" s="39">
        <v>434</v>
      </c>
      <c r="B150" s="40" t="s">
        <v>1430</v>
      </c>
      <c r="C150" s="39">
        <v>0</v>
      </c>
      <c r="E150" s="39">
        <v>1</v>
      </c>
      <c r="F150" s="39">
        <v>850</v>
      </c>
      <c r="G150" s="39">
        <v>1</v>
      </c>
      <c r="H150" s="39">
        <v>0</v>
      </c>
      <c r="I150" s="39">
        <v>0</v>
      </c>
      <c r="J150" s="39">
        <v>0</v>
      </c>
      <c r="K150" s="39">
        <v>0</v>
      </c>
      <c r="L150" s="39">
        <v>0</v>
      </c>
      <c r="M150" s="39">
        <v>0</v>
      </c>
      <c r="N150" s="39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175</v>
      </c>
      <c r="W150" s="40" t="s">
        <v>7689</v>
      </c>
      <c r="X150" s="39">
        <v>1</v>
      </c>
    </row>
    <row r="151" spans="1:24">
      <c r="A151" s="39">
        <v>327</v>
      </c>
      <c r="B151" s="40" t="s">
        <v>1430</v>
      </c>
      <c r="C151" s="39">
        <v>0</v>
      </c>
      <c r="E151" s="39">
        <v>1</v>
      </c>
      <c r="F151" s="39">
        <v>850</v>
      </c>
      <c r="G151" s="39">
        <v>1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228</v>
      </c>
      <c r="W151" s="40" t="s">
        <v>7669</v>
      </c>
      <c r="X151" s="39">
        <v>1</v>
      </c>
    </row>
    <row r="152" spans="1:24">
      <c r="A152" s="39">
        <v>1752</v>
      </c>
      <c r="B152" s="40" t="s">
        <v>1430</v>
      </c>
      <c r="C152" s="39">
        <v>0</v>
      </c>
      <c r="E152" s="39">
        <v>1</v>
      </c>
      <c r="F152" s="39">
        <v>850</v>
      </c>
      <c r="G152" s="39">
        <v>1</v>
      </c>
      <c r="H152" s="39">
        <v>1</v>
      </c>
      <c r="I152" s="39">
        <v>1</v>
      </c>
      <c r="J152" s="39">
        <v>1</v>
      </c>
      <c r="K152" s="39">
        <v>0</v>
      </c>
      <c r="L152" s="39">
        <v>1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1</v>
      </c>
      <c r="S152" s="39">
        <v>1</v>
      </c>
      <c r="T152" s="39">
        <v>0</v>
      </c>
      <c r="U152" s="39">
        <v>0</v>
      </c>
      <c r="V152" s="39">
        <v>244</v>
      </c>
      <c r="W152" s="40" t="s">
        <v>682</v>
      </c>
      <c r="X152" s="39">
        <v>1</v>
      </c>
    </row>
    <row r="153" spans="1:24">
      <c r="A153" s="39">
        <v>1203</v>
      </c>
      <c r="B153" s="40" t="s">
        <v>1430</v>
      </c>
      <c r="C153" s="39">
        <v>0</v>
      </c>
      <c r="E153" s="39">
        <v>0</v>
      </c>
      <c r="F153" s="39">
        <v>850</v>
      </c>
      <c r="G153" s="39">
        <v>1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1</v>
      </c>
      <c r="S153" s="39">
        <v>1</v>
      </c>
      <c r="T153" s="39">
        <v>0</v>
      </c>
      <c r="U153" s="39">
        <v>0</v>
      </c>
      <c r="V153" s="39">
        <v>418</v>
      </c>
      <c r="W153" s="40" t="s">
        <v>7671</v>
      </c>
      <c r="X153" s="39">
        <v>1</v>
      </c>
    </row>
    <row r="154" spans="1:24">
      <c r="A154" s="39">
        <v>1413</v>
      </c>
      <c r="B154" s="40" t="s">
        <v>1430</v>
      </c>
      <c r="C154" s="39">
        <v>0</v>
      </c>
      <c r="E154" s="39">
        <v>1</v>
      </c>
      <c r="F154" s="39">
        <v>850</v>
      </c>
      <c r="G154" s="39">
        <v>1</v>
      </c>
      <c r="H154" s="39">
        <v>1</v>
      </c>
      <c r="I154" s="39">
        <v>1</v>
      </c>
      <c r="J154" s="39">
        <v>1</v>
      </c>
      <c r="K154" s="39">
        <v>0</v>
      </c>
      <c r="L154" s="39">
        <v>1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39">
        <v>1</v>
      </c>
      <c r="S154" s="39">
        <v>1</v>
      </c>
      <c r="T154" s="39">
        <v>0</v>
      </c>
      <c r="U154" s="39">
        <v>0</v>
      </c>
      <c r="V154" s="39">
        <v>456</v>
      </c>
      <c r="W154" s="40" t="s">
        <v>7673</v>
      </c>
      <c r="X154" s="39">
        <v>1</v>
      </c>
    </row>
    <row r="155" spans="1:24">
      <c r="A155" s="39">
        <v>886</v>
      </c>
      <c r="B155" s="40" t="s">
        <v>1430</v>
      </c>
      <c r="C155" s="39">
        <v>0</v>
      </c>
      <c r="E155" s="39">
        <v>1</v>
      </c>
      <c r="F155" s="39">
        <v>850</v>
      </c>
      <c r="G155" s="39">
        <v>1</v>
      </c>
      <c r="H155" s="39">
        <v>0</v>
      </c>
      <c r="I155" s="39">
        <v>0</v>
      </c>
      <c r="J155" s="39">
        <v>0</v>
      </c>
      <c r="K155" s="39">
        <v>0</v>
      </c>
      <c r="L155" s="39">
        <v>0</v>
      </c>
      <c r="M155" s="39">
        <v>0</v>
      </c>
      <c r="N155" s="39">
        <v>0</v>
      </c>
      <c r="O155" s="39">
        <v>0</v>
      </c>
      <c r="P155" s="39">
        <v>0</v>
      </c>
      <c r="Q155" s="39">
        <v>0</v>
      </c>
      <c r="R155" s="39">
        <v>1</v>
      </c>
      <c r="S155" s="39">
        <v>1</v>
      </c>
      <c r="T155" s="39">
        <v>0</v>
      </c>
      <c r="U155" s="39">
        <v>0</v>
      </c>
      <c r="V155" s="39">
        <v>458</v>
      </c>
      <c r="W155" s="40" t="s">
        <v>7694</v>
      </c>
      <c r="X155" s="39">
        <v>1</v>
      </c>
    </row>
    <row r="156" spans="1:24">
      <c r="A156" s="39">
        <v>1117</v>
      </c>
      <c r="B156" s="40" t="s">
        <v>1430</v>
      </c>
      <c r="C156" s="39">
        <v>0</v>
      </c>
      <c r="E156" s="39">
        <v>0</v>
      </c>
      <c r="F156" s="39">
        <v>850</v>
      </c>
      <c r="G156" s="39">
        <v>1</v>
      </c>
      <c r="H156" s="39">
        <v>0</v>
      </c>
      <c r="I156" s="39">
        <v>0</v>
      </c>
      <c r="J156" s="39">
        <v>0</v>
      </c>
      <c r="K156" s="39">
        <v>0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39">
        <v>1</v>
      </c>
      <c r="S156" s="39">
        <v>1</v>
      </c>
      <c r="T156" s="39">
        <v>0</v>
      </c>
      <c r="U156" s="39">
        <v>0</v>
      </c>
      <c r="V156" s="39">
        <v>459</v>
      </c>
      <c r="W156" s="40" t="s">
        <v>7674</v>
      </c>
      <c r="X156" s="39">
        <v>1</v>
      </c>
    </row>
    <row r="157" spans="1:24">
      <c r="A157" s="39">
        <v>590</v>
      </c>
      <c r="B157" s="40" t="s">
        <v>1430</v>
      </c>
      <c r="C157" s="39">
        <v>0</v>
      </c>
      <c r="E157" s="39">
        <v>0</v>
      </c>
      <c r="F157" s="39">
        <v>850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468</v>
      </c>
      <c r="W157" s="40" t="s">
        <v>7677</v>
      </c>
      <c r="X157" s="39">
        <v>1</v>
      </c>
    </row>
    <row r="158" spans="1:24">
      <c r="A158" s="39">
        <v>1022</v>
      </c>
      <c r="B158" s="40" t="s">
        <v>1430</v>
      </c>
      <c r="C158" s="39">
        <v>0</v>
      </c>
      <c r="E158" s="39">
        <v>1</v>
      </c>
      <c r="F158" s="39">
        <v>850</v>
      </c>
      <c r="G158" s="39">
        <v>1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1</v>
      </c>
      <c r="S158" s="39">
        <v>1</v>
      </c>
      <c r="T158" s="39">
        <v>0</v>
      </c>
      <c r="U158" s="39">
        <v>0</v>
      </c>
      <c r="V158" s="39">
        <v>477</v>
      </c>
      <c r="W158" s="40" t="s">
        <v>7697</v>
      </c>
      <c r="X158" s="39">
        <v>1</v>
      </c>
    </row>
    <row r="159" spans="1:24">
      <c r="A159" s="39">
        <v>209</v>
      </c>
      <c r="B159" s="40" t="s">
        <v>1430</v>
      </c>
      <c r="C159" s="39">
        <v>0</v>
      </c>
      <c r="E159" s="39">
        <v>1</v>
      </c>
      <c r="F159" s="39">
        <v>850</v>
      </c>
      <c r="G159" s="39">
        <v>1</v>
      </c>
      <c r="H159" s="39">
        <v>0</v>
      </c>
      <c r="I159" s="39">
        <v>0</v>
      </c>
      <c r="J159" s="39">
        <v>0</v>
      </c>
      <c r="K159" s="39">
        <v>0</v>
      </c>
      <c r="L159" s="39">
        <v>0</v>
      </c>
      <c r="M159" s="39">
        <v>0</v>
      </c>
      <c r="N159" s="39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590</v>
      </c>
      <c r="W159" s="40" t="s">
        <v>7679</v>
      </c>
      <c r="X159" s="39">
        <v>1</v>
      </c>
    </row>
    <row r="160" spans="1:24">
      <c r="A160" s="39">
        <v>758</v>
      </c>
      <c r="B160" s="40" t="s">
        <v>1430</v>
      </c>
      <c r="C160" s="39">
        <v>0</v>
      </c>
      <c r="E160" s="39">
        <v>1</v>
      </c>
      <c r="F160" s="39">
        <v>850</v>
      </c>
      <c r="G160" s="39">
        <v>0</v>
      </c>
      <c r="H160" s="39">
        <v>1</v>
      </c>
      <c r="I160" s="39">
        <v>1</v>
      </c>
      <c r="J160" s="39">
        <v>1</v>
      </c>
      <c r="K160" s="39">
        <v>0</v>
      </c>
      <c r="L160" s="39">
        <v>1</v>
      </c>
      <c r="M160" s="39">
        <v>0</v>
      </c>
      <c r="N160" s="39">
        <v>0</v>
      </c>
      <c r="O160" s="39">
        <v>0</v>
      </c>
      <c r="P160" s="39">
        <v>0</v>
      </c>
      <c r="Q160" s="39">
        <v>0</v>
      </c>
      <c r="R160" s="39">
        <v>1</v>
      </c>
      <c r="S160" s="39">
        <v>1</v>
      </c>
      <c r="T160" s="39">
        <v>0</v>
      </c>
      <c r="U160" s="39">
        <v>0</v>
      </c>
      <c r="V160" s="39">
        <v>733</v>
      </c>
      <c r="W160" s="40" t="s">
        <v>7680</v>
      </c>
      <c r="X160" s="39">
        <v>1</v>
      </c>
    </row>
    <row r="161" spans="1:24">
      <c r="A161" s="39">
        <v>289</v>
      </c>
      <c r="B161" s="40" t="s">
        <v>7730</v>
      </c>
      <c r="C161" s="39">
        <v>0</v>
      </c>
      <c r="D161" s="40" t="s">
        <v>7731</v>
      </c>
      <c r="E161" s="39">
        <v>0</v>
      </c>
      <c r="F161" s="39">
        <v>2061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590</v>
      </c>
      <c r="W161" s="40" t="s">
        <v>7679</v>
      </c>
      <c r="X161" s="39">
        <v>1</v>
      </c>
    </row>
    <row r="162" spans="1:24">
      <c r="A162" s="39">
        <v>653</v>
      </c>
      <c r="B162" s="40" t="s">
        <v>558</v>
      </c>
      <c r="C162" s="39">
        <v>0</v>
      </c>
      <c r="E162" s="39">
        <v>0</v>
      </c>
      <c r="F162" s="39">
        <v>2060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228</v>
      </c>
      <c r="W162" s="40" t="s">
        <v>7669</v>
      </c>
      <c r="X162" s="39">
        <v>1</v>
      </c>
    </row>
    <row r="163" spans="1:24">
      <c r="A163" s="39">
        <v>996</v>
      </c>
      <c r="B163" s="40" t="s">
        <v>558</v>
      </c>
      <c r="C163" s="39">
        <v>0</v>
      </c>
      <c r="E163" s="39">
        <v>0</v>
      </c>
      <c r="F163" s="39">
        <v>2060</v>
      </c>
      <c r="G163" s="39">
        <v>0</v>
      </c>
      <c r="H163" s="39">
        <v>0</v>
      </c>
      <c r="I163" s="39">
        <v>0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458</v>
      </c>
      <c r="W163" s="40" t="s">
        <v>7694</v>
      </c>
      <c r="X163" s="39">
        <v>1</v>
      </c>
    </row>
    <row r="164" spans="1:24">
      <c r="A164" s="39">
        <v>290</v>
      </c>
      <c r="B164" s="40" t="s">
        <v>558</v>
      </c>
      <c r="C164" s="39">
        <v>0</v>
      </c>
      <c r="D164" s="40" t="s">
        <v>7732</v>
      </c>
      <c r="E164" s="39">
        <v>0</v>
      </c>
      <c r="F164" s="39">
        <v>2060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590</v>
      </c>
      <c r="W164" s="40" t="s">
        <v>7679</v>
      </c>
      <c r="X164" s="39">
        <v>1</v>
      </c>
    </row>
    <row r="165" spans="1:24">
      <c r="A165" s="39">
        <v>92</v>
      </c>
      <c r="B165" s="50" t="s">
        <v>1414</v>
      </c>
      <c r="C165" s="39">
        <v>1</v>
      </c>
      <c r="E165" s="39">
        <v>1</v>
      </c>
      <c r="F165" s="39">
        <v>20</v>
      </c>
      <c r="G165" s="39">
        <v>0</v>
      </c>
      <c r="H165" s="39">
        <v>0</v>
      </c>
      <c r="I165" s="39">
        <v>0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1</v>
      </c>
      <c r="W165" s="40" t="s">
        <v>518</v>
      </c>
      <c r="X165" s="39">
        <v>1</v>
      </c>
    </row>
    <row r="166" spans="1:24">
      <c r="A166" s="39">
        <v>2</v>
      </c>
      <c r="B166" s="40" t="s">
        <v>1414</v>
      </c>
      <c r="C166" s="39">
        <v>1</v>
      </c>
      <c r="D166" s="40" t="s">
        <v>7733</v>
      </c>
      <c r="E166" s="39">
        <v>1</v>
      </c>
      <c r="F166" s="39">
        <v>5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2</v>
      </c>
      <c r="W166" s="40" t="s">
        <v>40</v>
      </c>
      <c r="X166" s="39">
        <v>1</v>
      </c>
    </row>
    <row r="167" spans="1:24">
      <c r="A167" s="39">
        <v>940</v>
      </c>
      <c r="B167" s="40" t="s">
        <v>1414</v>
      </c>
      <c r="C167" s="39">
        <v>0</v>
      </c>
      <c r="E167" s="39">
        <v>1</v>
      </c>
      <c r="F167" s="39">
        <v>20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0</v>
      </c>
      <c r="M167" s="39">
        <v>0</v>
      </c>
      <c r="N167" s="39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158</v>
      </c>
      <c r="W167" s="40" t="s">
        <v>7667</v>
      </c>
      <c r="X167" s="39">
        <v>1</v>
      </c>
    </row>
    <row r="168" spans="1:24">
      <c r="A168" s="39">
        <v>435</v>
      </c>
      <c r="B168" s="40" t="s">
        <v>1414</v>
      </c>
      <c r="C168" s="39">
        <v>1</v>
      </c>
      <c r="E168" s="39">
        <v>1</v>
      </c>
      <c r="F168" s="39">
        <v>20</v>
      </c>
      <c r="G168" s="39">
        <v>1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175</v>
      </c>
      <c r="W168" s="40" t="s">
        <v>7689</v>
      </c>
      <c r="X168" s="39">
        <v>1</v>
      </c>
    </row>
    <row r="169" spans="1:24">
      <c r="A169" s="39">
        <v>320</v>
      </c>
      <c r="B169" s="40" t="s">
        <v>1414</v>
      </c>
      <c r="C169" s="39">
        <v>1</v>
      </c>
      <c r="E169" s="39">
        <v>1</v>
      </c>
      <c r="F169" s="39">
        <v>20</v>
      </c>
      <c r="G169" s="39">
        <v>1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228</v>
      </c>
      <c r="W169" s="40" t="s">
        <v>7669</v>
      </c>
      <c r="X169" s="39">
        <v>1</v>
      </c>
    </row>
    <row r="170" spans="1:24">
      <c r="A170" s="39">
        <v>1704</v>
      </c>
      <c r="B170" s="40" t="s">
        <v>1414</v>
      </c>
      <c r="C170" s="39">
        <v>1</v>
      </c>
      <c r="E170" s="39">
        <v>1</v>
      </c>
      <c r="F170" s="39">
        <v>20</v>
      </c>
      <c r="G170" s="39">
        <v>0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39">
        <v>0</v>
      </c>
      <c r="Q170" s="39">
        <v>0</v>
      </c>
      <c r="R170" s="39">
        <v>0</v>
      </c>
      <c r="S170" s="39">
        <v>0</v>
      </c>
      <c r="T170" s="39">
        <v>0</v>
      </c>
      <c r="U170" s="39">
        <v>0</v>
      </c>
      <c r="V170" s="39">
        <v>244</v>
      </c>
      <c r="W170" s="40" t="s">
        <v>682</v>
      </c>
      <c r="X170" s="39">
        <v>1</v>
      </c>
    </row>
    <row r="171" spans="1:24">
      <c r="A171" s="39">
        <v>1204</v>
      </c>
      <c r="B171" s="40" t="s">
        <v>1414</v>
      </c>
      <c r="C171" s="39">
        <v>1</v>
      </c>
      <c r="E171" s="39">
        <v>1</v>
      </c>
      <c r="F171" s="39">
        <v>20</v>
      </c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9">
        <v>0</v>
      </c>
      <c r="V171" s="39">
        <v>418</v>
      </c>
      <c r="W171" s="40" t="s">
        <v>7671</v>
      </c>
      <c r="X171" s="39">
        <v>1</v>
      </c>
    </row>
    <row r="172" spans="1:24">
      <c r="A172" s="39">
        <v>1365</v>
      </c>
      <c r="B172" s="40" t="s">
        <v>1414</v>
      </c>
      <c r="C172" s="39">
        <v>1</v>
      </c>
      <c r="E172" s="39">
        <v>1</v>
      </c>
      <c r="F172" s="39">
        <v>20</v>
      </c>
      <c r="G172" s="39">
        <v>0</v>
      </c>
      <c r="H172" s="39">
        <v>0</v>
      </c>
      <c r="I172" s="39">
        <v>0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456</v>
      </c>
      <c r="W172" s="40" t="s">
        <v>7673</v>
      </c>
      <c r="X172" s="39">
        <v>1</v>
      </c>
    </row>
    <row r="173" spans="1:24">
      <c r="A173" s="39">
        <v>851</v>
      </c>
      <c r="B173" s="40" t="s">
        <v>1414</v>
      </c>
      <c r="C173" s="39">
        <v>1</v>
      </c>
      <c r="E173" s="39">
        <v>1</v>
      </c>
      <c r="F173" s="39">
        <v>20</v>
      </c>
      <c r="G173" s="39">
        <v>1</v>
      </c>
      <c r="H173" s="39">
        <v>0</v>
      </c>
      <c r="I173" s="39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458</v>
      </c>
      <c r="W173" s="40" t="s">
        <v>7694</v>
      </c>
      <c r="X173" s="39">
        <v>1</v>
      </c>
    </row>
    <row r="174" spans="1:24">
      <c r="A174" s="39">
        <v>1118</v>
      </c>
      <c r="B174" s="40" t="s">
        <v>1414</v>
      </c>
      <c r="C174" s="39">
        <v>1</v>
      </c>
      <c r="E174" s="39">
        <v>1</v>
      </c>
      <c r="F174" s="39">
        <v>20</v>
      </c>
      <c r="G174" s="39">
        <v>1</v>
      </c>
      <c r="H174" s="39">
        <v>0</v>
      </c>
      <c r="I174" s="39">
        <v>0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459</v>
      </c>
      <c r="W174" s="40" t="s">
        <v>7674</v>
      </c>
      <c r="X174" s="39">
        <v>1</v>
      </c>
    </row>
    <row r="175" spans="1:24">
      <c r="A175" s="39">
        <v>591</v>
      </c>
      <c r="B175" s="40" t="s">
        <v>1414</v>
      </c>
      <c r="C175" s="39">
        <v>1</v>
      </c>
      <c r="E175" s="39">
        <v>1</v>
      </c>
      <c r="F175" s="39">
        <v>20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468</v>
      </c>
      <c r="W175" s="40" t="s">
        <v>7677</v>
      </c>
      <c r="X175" s="39">
        <v>1</v>
      </c>
    </row>
    <row r="176" spans="1:24">
      <c r="A176" s="39">
        <v>1012</v>
      </c>
      <c r="B176" s="40" t="s">
        <v>1414</v>
      </c>
      <c r="C176" s="39">
        <v>1</v>
      </c>
      <c r="E176" s="39">
        <v>1</v>
      </c>
      <c r="F176" s="39">
        <v>20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477</v>
      </c>
      <c r="W176" s="40" t="s">
        <v>7697</v>
      </c>
      <c r="X176" s="39">
        <v>1</v>
      </c>
    </row>
    <row r="177" spans="1:24">
      <c r="A177" s="39">
        <v>491</v>
      </c>
      <c r="B177" s="40" t="s">
        <v>1414</v>
      </c>
      <c r="C177" s="39">
        <v>1</v>
      </c>
      <c r="E177" s="39">
        <v>1</v>
      </c>
      <c r="F177" s="39">
        <v>20</v>
      </c>
      <c r="G177" s="39">
        <v>1</v>
      </c>
      <c r="H177" s="39">
        <v>0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39">
        <v>0</v>
      </c>
      <c r="Q177" s="39">
        <v>0</v>
      </c>
      <c r="R177" s="39">
        <v>0</v>
      </c>
      <c r="S177" s="39">
        <v>0</v>
      </c>
      <c r="T177" s="39">
        <v>0</v>
      </c>
      <c r="U177" s="39">
        <v>0</v>
      </c>
      <c r="V177" s="39">
        <v>590</v>
      </c>
      <c r="W177" s="40" t="s">
        <v>7679</v>
      </c>
      <c r="X177" s="39">
        <v>1</v>
      </c>
    </row>
    <row r="178" spans="1:24">
      <c r="A178" s="39">
        <v>759</v>
      </c>
      <c r="B178" s="40" t="s">
        <v>1414</v>
      </c>
      <c r="C178" s="39">
        <v>1</v>
      </c>
      <c r="E178" s="39">
        <v>1</v>
      </c>
      <c r="F178" s="39">
        <v>20</v>
      </c>
      <c r="G178" s="39">
        <v>1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39">
        <v>0</v>
      </c>
      <c r="Q178" s="39">
        <v>0</v>
      </c>
      <c r="R178" s="39">
        <v>0</v>
      </c>
      <c r="S178" s="39">
        <v>0</v>
      </c>
      <c r="T178" s="39">
        <v>0</v>
      </c>
      <c r="U178" s="39">
        <v>0</v>
      </c>
      <c r="V178" s="39">
        <v>733</v>
      </c>
      <c r="W178" s="40" t="s">
        <v>7680</v>
      </c>
      <c r="X178" s="39">
        <v>1</v>
      </c>
    </row>
    <row r="179" spans="1:24">
      <c r="A179" s="39">
        <v>712</v>
      </c>
      <c r="B179" s="40" t="s">
        <v>1414</v>
      </c>
      <c r="C179" s="39">
        <v>1</v>
      </c>
      <c r="E179" s="39">
        <v>1</v>
      </c>
      <c r="F179" s="39">
        <v>20</v>
      </c>
      <c r="G179" s="39">
        <v>1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802</v>
      </c>
      <c r="W179" s="40" t="s">
        <v>7734</v>
      </c>
      <c r="X179" s="39">
        <v>1</v>
      </c>
    </row>
    <row r="180" spans="1:24">
      <c r="A180" s="39">
        <v>291</v>
      </c>
      <c r="B180" s="40" t="s">
        <v>7735</v>
      </c>
      <c r="C180" s="39">
        <v>0</v>
      </c>
      <c r="D180" s="40" t="s">
        <v>7736</v>
      </c>
      <c r="E180" s="39">
        <v>1</v>
      </c>
      <c r="F180" s="39">
        <v>2059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590</v>
      </c>
      <c r="W180" s="40" t="s">
        <v>7679</v>
      </c>
      <c r="X180" s="39">
        <v>1</v>
      </c>
    </row>
    <row r="181" spans="1:24">
      <c r="A181" s="39">
        <v>1206</v>
      </c>
      <c r="B181" s="40" t="s">
        <v>7737</v>
      </c>
      <c r="C181" s="39">
        <v>0</v>
      </c>
      <c r="E181" s="39">
        <v>0</v>
      </c>
      <c r="F181" s="39">
        <v>2068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418</v>
      </c>
      <c r="W181" s="40" t="s">
        <v>7671</v>
      </c>
      <c r="X181" s="39">
        <v>1</v>
      </c>
    </row>
    <row r="182" spans="1:24">
      <c r="A182" s="39">
        <v>1992</v>
      </c>
      <c r="B182" s="40" t="s">
        <v>7738</v>
      </c>
      <c r="C182" s="39">
        <v>0</v>
      </c>
      <c r="D182" s="40" t="s">
        <v>7739</v>
      </c>
      <c r="E182" s="39">
        <v>0</v>
      </c>
      <c r="F182" s="39">
        <v>56</v>
      </c>
      <c r="G182" s="39">
        <v>0</v>
      </c>
      <c r="H182" s="39">
        <v>1</v>
      </c>
      <c r="I182" s="39">
        <v>1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1</v>
      </c>
      <c r="W182" s="40" t="s">
        <v>518</v>
      </c>
      <c r="X182" s="39">
        <v>1</v>
      </c>
    </row>
    <row r="183" spans="1:24">
      <c r="A183" s="39">
        <v>1972</v>
      </c>
      <c r="B183" s="40" t="s">
        <v>7738</v>
      </c>
      <c r="C183" s="39">
        <v>0</v>
      </c>
      <c r="D183" s="40" t="s">
        <v>7739</v>
      </c>
      <c r="E183" s="39">
        <v>0</v>
      </c>
      <c r="F183" s="39">
        <v>11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2</v>
      </c>
      <c r="W183" s="40" t="s">
        <v>40</v>
      </c>
      <c r="X183" s="39">
        <v>1</v>
      </c>
    </row>
    <row r="184" spans="1:24">
      <c r="A184" s="39">
        <v>2112</v>
      </c>
      <c r="B184" s="40" t="s">
        <v>7740</v>
      </c>
      <c r="C184" s="39">
        <v>0</v>
      </c>
      <c r="E184" s="39">
        <v>1</v>
      </c>
      <c r="F184" s="39">
        <v>840</v>
      </c>
      <c r="G184" s="39">
        <v>1</v>
      </c>
      <c r="H184" s="39">
        <v>1</v>
      </c>
      <c r="I184" s="39">
        <v>0</v>
      </c>
      <c r="J184" s="39">
        <v>1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9">
        <v>0</v>
      </c>
      <c r="V184" s="39">
        <v>1</v>
      </c>
      <c r="W184" s="40" t="s">
        <v>518</v>
      </c>
      <c r="X184" s="39">
        <v>1</v>
      </c>
    </row>
    <row r="185" spans="1:24">
      <c r="A185" s="39">
        <v>2092</v>
      </c>
      <c r="B185" s="40" t="s">
        <v>7740</v>
      </c>
      <c r="C185" s="39">
        <v>0</v>
      </c>
      <c r="D185" s="40" t="s">
        <v>7741</v>
      </c>
      <c r="E185" s="39">
        <v>1</v>
      </c>
      <c r="F185" s="39">
        <v>43</v>
      </c>
      <c r="G185" s="39">
        <v>0</v>
      </c>
      <c r="H185" s="39">
        <v>1</v>
      </c>
      <c r="I185" s="39">
        <v>1</v>
      </c>
      <c r="J185" s="39">
        <v>1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39">
        <v>0</v>
      </c>
      <c r="Q185" s="39">
        <v>0</v>
      </c>
      <c r="R185" s="39">
        <v>0</v>
      </c>
      <c r="S185" s="39">
        <v>0</v>
      </c>
      <c r="T185" s="39">
        <v>0</v>
      </c>
      <c r="U185" s="39">
        <v>0</v>
      </c>
      <c r="V185" s="39">
        <v>2</v>
      </c>
      <c r="W185" s="40" t="s">
        <v>40</v>
      </c>
      <c r="X185" s="39">
        <v>1</v>
      </c>
    </row>
    <row r="186" spans="1:24">
      <c r="A186" s="39">
        <v>1912</v>
      </c>
      <c r="B186" s="40" t="s">
        <v>7742</v>
      </c>
      <c r="C186" s="39">
        <v>0</v>
      </c>
      <c r="D186" s="40" t="s">
        <v>7743</v>
      </c>
      <c r="E186" s="39">
        <v>1</v>
      </c>
      <c r="F186" s="39">
        <v>43</v>
      </c>
      <c r="G186" s="39">
        <v>0</v>
      </c>
      <c r="H186" s="39">
        <v>1</v>
      </c>
      <c r="I186" s="39">
        <v>1</v>
      </c>
      <c r="J186" s="39">
        <v>1</v>
      </c>
      <c r="K186" s="39">
        <v>0</v>
      </c>
      <c r="L186" s="39">
        <v>0</v>
      </c>
      <c r="M186" s="39">
        <v>0</v>
      </c>
      <c r="N186" s="39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2</v>
      </c>
      <c r="W186" s="40" t="s">
        <v>40</v>
      </c>
      <c r="X186" s="39">
        <v>1</v>
      </c>
    </row>
    <row r="187" spans="1:24">
      <c r="A187" s="39">
        <v>156</v>
      </c>
      <c r="B187" s="40" t="s">
        <v>810</v>
      </c>
      <c r="C187" s="39">
        <v>0</v>
      </c>
      <c r="E187" s="39">
        <v>1</v>
      </c>
      <c r="F187" s="39">
        <v>840</v>
      </c>
      <c r="G187" s="39">
        <v>1</v>
      </c>
      <c r="H187" s="39">
        <v>1</v>
      </c>
      <c r="I187" s="39">
        <v>0</v>
      </c>
      <c r="J187" s="39">
        <v>1</v>
      </c>
      <c r="K187" s="39">
        <v>0</v>
      </c>
      <c r="L187" s="39">
        <v>0</v>
      </c>
      <c r="M187" s="39">
        <v>0</v>
      </c>
      <c r="N187" s="39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1</v>
      </c>
      <c r="W187" s="40" t="s">
        <v>518</v>
      </c>
      <c r="X187" s="39">
        <v>1</v>
      </c>
    </row>
    <row r="188" spans="1:24">
      <c r="A188" s="39">
        <v>66</v>
      </c>
      <c r="B188" s="40" t="s">
        <v>810</v>
      </c>
      <c r="C188" s="39">
        <v>0</v>
      </c>
      <c r="D188" s="40" t="s">
        <v>7744</v>
      </c>
      <c r="E188" s="39">
        <v>1</v>
      </c>
      <c r="F188" s="39">
        <v>43</v>
      </c>
      <c r="G188" s="39">
        <v>0</v>
      </c>
      <c r="H188" s="39">
        <v>1</v>
      </c>
      <c r="I188" s="39">
        <v>1</v>
      </c>
      <c r="J188" s="39">
        <v>1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2</v>
      </c>
      <c r="W188" s="40" t="s">
        <v>40</v>
      </c>
      <c r="X188" s="39">
        <v>1</v>
      </c>
    </row>
    <row r="189" spans="1:24">
      <c r="A189" s="39">
        <v>942</v>
      </c>
      <c r="B189" s="40" t="s">
        <v>810</v>
      </c>
      <c r="C189" s="39">
        <v>0</v>
      </c>
      <c r="E189" s="39">
        <v>1</v>
      </c>
      <c r="F189" s="39">
        <v>990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158</v>
      </c>
      <c r="W189" s="40" t="s">
        <v>7667</v>
      </c>
      <c r="X189" s="39">
        <v>1</v>
      </c>
    </row>
    <row r="190" spans="1:24">
      <c r="A190" s="39">
        <v>654</v>
      </c>
      <c r="B190" s="40" t="s">
        <v>810</v>
      </c>
      <c r="C190" s="39">
        <v>0</v>
      </c>
      <c r="E190" s="39">
        <v>1</v>
      </c>
      <c r="F190" s="39">
        <v>990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228</v>
      </c>
      <c r="W190" s="40" t="s">
        <v>7669</v>
      </c>
      <c r="X190" s="39">
        <v>1</v>
      </c>
    </row>
    <row r="191" spans="1:24">
      <c r="A191" s="39">
        <v>1767</v>
      </c>
      <c r="B191" s="40" t="s">
        <v>810</v>
      </c>
      <c r="C191" s="39">
        <v>0</v>
      </c>
      <c r="E191" s="39">
        <v>1</v>
      </c>
      <c r="F191" s="39">
        <v>840</v>
      </c>
      <c r="G191" s="39">
        <v>1</v>
      </c>
      <c r="H191" s="39">
        <v>1</v>
      </c>
      <c r="I191" s="39">
        <v>0</v>
      </c>
      <c r="J191" s="39">
        <v>1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9">
        <v>0</v>
      </c>
      <c r="V191" s="39">
        <v>244</v>
      </c>
      <c r="W191" s="40" t="s">
        <v>682</v>
      </c>
      <c r="X191" s="39">
        <v>1</v>
      </c>
    </row>
    <row r="192" spans="1:24">
      <c r="A192" s="39">
        <v>1208</v>
      </c>
      <c r="B192" s="40" t="s">
        <v>810</v>
      </c>
      <c r="C192" s="39">
        <v>0</v>
      </c>
      <c r="E192" s="39">
        <v>1</v>
      </c>
      <c r="F192" s="39">
        <v>990</v>
      </c>
      <c r="G192" s="39">
        <v>0</v>
      </c>
      <c r="H192" s="39">
        <v>0</v>
      </c>
      <c r="I192" s="39">
        <v>0</v>
      </c>
      <c r="J192" s="39">
        <v>0</v>
      </c>
      <c r="K192" s="39">
        <v>0</v>
      </c>
      <c r="L192" s="39">
        <v>0</v>
      </c>
      <c r="M192" s="39">
        <v>0</v>
      </c>
      <c r="N192" s="39">
        <v>0</v>
      </c>
      <c r="O192" s="39">
        <v>0</v>
      </c>
      <c r="P192" s="39">
        <v>0</v>
      </c>
      <c r="Q192" s="39">
        <v>0</v>
      </c>
      <c r="R192" s="39">
        <v>0</v>
      </c>
      <c r="S192" s="39">
        <v>0</v>
      </c>
      <c r="T192" s="39">
        <v>0</v>
      </c>
      <c r="U192" s="39">
        <v>0</v>
      </c>
      <c r="V192" s="39">
        <v>418</v>
      </c>
      <c r="W192" s="40" t="s">
        <v>7671</v>
      </c>
      <c r="X192" s="39">
        <v>1</v>
      </c>
    </row>
    <row r="193" spans="1:24">
      <c r="A193" s="39">
        <v>1428</v>
      </c>
      <c r="B193" s="40" t="s">
        <v>810</v>
      </c>
      <c r="C193" s="39">
        <v>0</v>
      </c>
      <c r="E193" s="39">
        <v>1</v>
      </c>
      <c r="F193" s="39">
        <v>840</v>
      </c>
      <c r="G193" s="39">
        <v>1</v>
      </c>
      <c r="H193" s="39">
        <v>1</v>
      </c>
      <c r="I193" s="39">
        <v>1</v>
      </c>
      <c r="J193" s="39">
        <v>1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39">
        <v>0</v>
      </c>
      <c r="Q193" s="39">
        <v>0</v>
      </c>
      <c r="R193" s="39">
        <v>0</v>
      </c>
      <c r="S193" s="39">
        <v>0</v>
      </c>
      <c r="T193" s="39">
        <v>0</v>
      </c>
      <c r="U193" s="39">
        <v>0</v>
      </c>
      <c r="V193" s="39">
        <v>456</v>
      </c>
      <c r="W193" s="40" t="s">
        <v>7673</v>
      </c>
      <c r="X193" s="39">
        <v>1</v>
      </c>
    </row>
    <row r="194" spans="1:24">
      <c r="A194" s="39">
        <v>1120</v>
      </c>
      <c r="B194" s="40" t="s">
        <v>810</v>
      </c>
      <c r="C194" s="39">
        <v>0</v>
      </c>
      <c r="E194" s="39">
        <v>0</v>
      </c>
      <c r="F194" s="39">
        <v>990</v>
      </c>
      <c r="G194" s="39">
        <v>0</v>
      </c>
      <c r="H194" s="39">
        <v>0</v>
      </c>
      <c r="I194" s="39">
        <v>0</v>
      </c>
      <c r="J194" s="39">
        <v>0</v>
      </c>
      <c r="K194" s="39">
        <v>0</v>
      </c>
      <c r="L194" s="39">
        <v>0</v>
      </c>
      <c r="M194" s="39">
        <v>0</v>
      </c>
      <c r="N194" s="39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459</v>
      </c>
      <c r="W194" s="40" t="s">
        <v>7674</v>
      </c>
      <c r="X194" s="39">
        <v>1</v>
      </c>
    </row>
    <row r="195" spans="1:24">
      <c r="A195" s="39">
        <v>1312</v>
      </c>
      <c r="B195" s="40" t="s">
        <v>810</v>
      </c>
      <c r="C195" s="39">
        <v>0</v>
      </c>
      <c r="E195" s="39">
        <v>1</v>
      </c>
      <c r="F195" s="39">
        <v>840</v>
      </c>
      <c r="G195" s="39">
        <v>0</v>
      </c>
      <c r="H195" s="39">
        <v>0</v>
      </c>
      <c r="I195" s="39">
        <v>1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468</v>
      </c>
      <c r="W195" s="40" t="s">
        <v>7677</v>
      </c>
      <c r="X195" s="39">
        <v>1</v>
      </c>
    </row>
    <row r="196" spans="1:24">
      <c r="A196" s="39">
        <v>1024</v>
      </c>
      <c r="B196" s="40" t="s">
        <v>810</v>
      </c>
      <c r="C196" s="39">
        <v>0</v>
      </c>
      <c r="E196" s="39">
        <v>1</v>
      </c>
      <c r="F196" s="39">
        <v>990</v>
      </c>
      <c r="G196" s="39">
        <v>0</v>
      </c>
      <c r="H196" s="39">
        <v>0</v>
      </c>
      <c r="I196" s="39">
        <v>0</v>
      </c>
      <c r="J196" s="39">
        <v>0</v>
      </c>
      <c r="K196" s="39">
        <v>0</v>
      </c>
      <c r="L196" s="39">
        <v>0</v>
      </c>
      <c r="M196" s="39">
        <v>0</v>
      </c>
      <c r="N196" s="39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477</v>
      </c>
      <c r="W196" s="40" t="s">
        <v>7697</v>
      </c>
      <c r="X196" s="39">
        <v>1</v>
      </c>
    </row>
    <row r="197" spans="1:24">
      <c r="A197" s="39">
        <v>292</v>
      </c>
      <c r="B197" s="40" t="s">
        <v>810</v>
      </c>
      <c r="C197" s="39">
        <v>0</v>
      </c>
      <c r="D197" s="40" t="s">
        <v>7745</v>
      </c>
      <c r="E197" s="39">
        <v>1</v>
      </c>
      <c r="F197" s="39">
        <v>840</v>
      </c>
      <c r="G197" s="39">
        <v>1</v>
      </c>
      <c r="H197" s="39">
        <v>0</v>
      </c>
      <c r="I197" s="39">
        <v>0</v>
      </c>
      <c r="J197" s="39">
        <v>0</v>
      </c>
      <c r="K197" s="39">
        <v>0</v>
      </c>
      <c r="L197" s="39">
        <v>0</v>
      </c>
      <c r="M197" s="39">
        <v>0</v>
      </c>
      <c r="N197" s="39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590</v>
      </c>
      <c r="W197" s="40" t="s">
        <v>7679</v>
      </c>
      <c r="X197" s="39">
        <v>1</v>
      </c>
    </row>
    <row r="198" spans="1:24">
      <c r="A198" s="39">
        <v>829</v>
      </c>
      <c r="B198" s="40" t="s">
        <v>810</v>
      </c>
      <c r="C198" s="39">
        <v>0</v>
      </c>
      <c r="E198" s="39">
        <v>1</v>
      </c>
      <c r="F198" s="39">
        <v>840</v>
      </c>
      <c r="G198" s="39">
        <v>1</v>
      </c>
      <c r="H198" s="39">
        <v>1</v>
      </c>
      <c r="I198" s="39">
        <v>1</v>
      </c>
      <c r="J198" s="39">
        <v>1</v>
      </c>
      <c r="K198" s="39">
        <v>0</v>
      </c>
      <c r="L198" s="39">
        <v>0</v>
      </c>
      <c r="M198" s="39">
        <v>0</v>
      </c>
      <c r="N198" s="39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733</v>
      </c>
      <c r="W198" s="40" t="s">
        <v>7680</v>
      </c>
      <c r="X198" s="39">
        <v>1</v>
      </c>
    </row>
    <row r="199" spans="1:24">
      <c r="A199" s="39">
        <v>941</v>
      </c>
      <c r="B199" s="40" t="s">
        <v>7746</v>
      </c>
      <c r="C199" s="39">
        <v>0</v>
      </c>
      <c r="E199" s="39">
        <v>0</v>
      </c>
      <c r="F199" s="39">
        <v>2058</v>
      </c>
      <c r="G199" s="39">
        <v>0</v>
      </c>
      <c r="H199" s="39">
        <v>0</v>
      </c>
      <c r="I199" s="39">
        <v>0</v>
      </c>
      <c r="J199" s="39">
        <v>0</v>
      </c>
      <c r="K199" s="39">
        <v>0</v>
      </c>
      <c r="L199" s="39">
        <v>0</v>
      </c>
      <c r="M199" s="39">
        <v>0</v>
      </c>
      <c r="N199" s="39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158</v>
      </c>
      <c r="W199" s="40" t="s">
        <v>7667</v>
      </c>
      <c r="X199" s="39">
        <v>1</v>
      </c>
    </row>
    <row r="200" spans="1:24">
      <c r="A200" s="39">
        <v>422</v>
      </c>
      <c r="B200" s="40" t="s">
        <v>7746</v>
      </c>
      <c r="C200" s="39">
        <v>0</v>
      </c>
      <c r="E200" s="39">
        <v>0</v>
      </c>
      <c r="F200" s="39">
        <v>2058</v>
      </c>
      <c r="G200" s="39">
        <v>1</v>
      </c>
      <c r="H200" s="39">
        <v>0</v>
      </c>
      <c r="I200" s="39">
        <v>0</v>
      </c>
      <c r="J200" s="39">
        <v>0</v>
      </c>
      <c r="K200" s="39">
        <v>0</v>
      </c>
      <c r="L200" s="39">
        <v>0</v>
      </c>
      <c r="M200" s="39">
        <v>0</v>
      </c>
      <c r="N200" s="39">
        <v>0</v>
      </c>
      <c r="O200" s="39">
        <v>0</v>
      </c>
      <c r="P200" s="39">
        <v>0</v>
      </c>
      <c r="Q200" s="39">
        <v>0</v>
      </c>
      <c r="R200" s="39">
        <v>0</v>
      </c>
      <c r="S200" s="39">
        <v>0</v>
      </c>
      <c r="T200" s="39">
        <v>0</v>
      </c>
      <c r="U200" s="39">
        <v>0</v>
      </c>
      <c r="V200" s="39">
        <v>175</v>
      </c>
      <c r="W200" s="40" t="s">
        <v>7689</v>
      </c>
      <c r="X200" s="39">
        <v>1</v>
      </c>
    </row>
    <row r="201" spans="1:24">
      <c r="A201" s="39">
        <v>328</v>
      </c>
      <c r="B201" s="40" t="s">
        <v>7746</v>
      </c>
      <c r="C201" s="39">
        <v>0</v>
      </c>
      <c r="E201" s="39">
        <v>0</v>
      </c>
      <c r="F201" s="39">
        <v>2058</v>
      </c>
      <c r="G201" s="39">
        <v>1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39">
        <v>0</v>
      </c>
      <c r="Q201" s="39">
        <v>0</v>
      </c>
      <c r="R201" s="39">
        <v>0</v>
      </c>
      <c r="S201" s="39">
        <v>0</v>
      </c>
      <c r="T201" s="39">
        <v>0</v>
      </c>
      <c r="U201" s="39">
        <v>0</v>
      </c>
      <c r="V201" s="39">
        <v>228</v>
      </c>
      <c r="W201" s="40" t="s">
        <v>7669</v>
      </c>
      <c r="X201" s="39">
        <v>1</v>
      </c>
    </row>
    <row r="202" spans="1:24">
      <c r="A202" s="39">
        <v>1207</v>
      </c>
      <c r="B202" s="40" t="s">
        <v>7746</v>
      </c>
      <c r="C202" s="39">
        <v>0</v>
      </c>
      <c r="E202" s="39">
        <v>0</v>
      </c>
      <c r="F202" s="39">
        <v>2058</v>
      </c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39">
        <v>0</v>
      </c>
      <c r="Q202" s="39">
        <v>0</v>
      </c>
      <c r="R202" s="39">
        <v>0</v>
      </c>
      <c r="S202" s="39">
        <v>0</v>
      </c>
      <c r="T202" s="39">
        <v>0</v>
      </c>
      <c r="U202" s="39">
        <v>0</v>
      </c>
      <c r="V202" s="39">
        <v>418</v>
      </c>
      <c r="W202" s="40" t="s">
        <v>7671</v>
      </c>
      <c r="X202" s="39">
        <v>1</v>
      </c>
    </row>
    <row r="203" spans="1:24">
      <c r="A203" s="39">
        <v>887</v>
      </c>
      <c r="B203" s="40" t="s">
        <v>7746</v>
      </c>
      <c r="C203" s="39">
        <v>0</v>
      </c>
      <c r="E203" s="39">
        <v>0</v>
      </c>
      <c r="F203" s="39">
        <v>2058</v>
      </c>
      <c r="G203" s="39">
        <v>0</v>
      </c>
      <c r="H203" s="39">
        <v>0</v>
      </c>
      <c r="I203" s="39">
        <v>0</v>
      </c>
      <c r="J203" s="39">
        <v>0</v>
      </c>
      <c r="K203" s="39">
        <v>0</v>
      </c>
      <c r="L203" s="39">
        <v>0</v>
      </c>
      <c r="M203" s="39">
        <v>0</v>
      </c>
      <c r="N203" s="39">
        <v>0</v>
      </c>
      <c r="O203" s="39">
        <v>0</v>
      </c>
      <c r="P203" s="39">
        <v>0</v>
      </c>
      <c r="Q203" s="39">
        <v>0</v>
      </c>
      <c r="R203" s="39">
        <v>0</v>
      </c>
      <c r="S203" s="39">
        <v>0</v>
      </c>
      <c r="T203" s="39">
        <v>0</v>
      </c>
      <c r="U203" s="39">
        <v>0</v>
      </c>
      <c r="V203" s="39">
        <v>458</v>
      </c>
      <c r="W203" s="40" t="s">
        <v>7694</v>
      </c>
      <c r="X203" s="39">
        <v>1</v>
      </c>
    </row>
    <row r="204" spans="1:24">
      <c r="A204" s="39">
        <v>1119</v>
      </c>
      <c r="B204" s="40" t="s">
        <v>7746</v>
      </c>
      <c r="C204" s="39">
        <v>0</v>
      </c>
      <c r="E204" s="39">
        <v>0</v>
      </c>
      <c r="F204" s="39">
        <v>2058</v>
      </c>
      <c r="G204" s="39">
        <v>0</v>
      </c>
      <c r="H204" s="39">
        <v>0</v>
      </c>
      <c r="I204" s="39">
        <v>0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39">
        <v>0</v>
      </c>
      <c r="Q204" s="39">
        <v>0</v>
      </c>
      <c r="R204" s="39">
        <v>0</v>
      </c>
      <c r="S204" s="39">
        <v>0</v>
      </c>
      <c r="T204" s="39">
        <v>0</v>
      </c>
      <c r="U204" s="39">
        <v>0</v>
      </c>
      <c r="V204" s="39">
        <v>459</v>
      </c>
      <c r="W204" s="40" t="s">
        <v>7674</v>
      </c>
      <c r="X204" s="39">
        <v>1</v>
      </c>
    </row>
    <row r="205" spans="1:24">
      <c r="A205" s="39">
        <v>592</v>
      </c>
      <c r="B205" s="40" t="s">
        <v>7746</v>
      </c>
      <c r="C205" s="39">
        <v>0</v>
      </c>
      <c r="E205" s="39">
        <v>0</v>
      </c>
      <c r="F205" s="39">
        <v>2058</v>
      </c>
      <c r="G205" s="39">
        <v>0</v>
      </c>
      <c r="H205" s="39">
        <v>0</v>
      </c>
      <c r="I205" s="39">
        <v>0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39">
        <v>0</v>
      </c>
      <c r="Q205" s="39">
        <v>0</v>
      </c>
      <c r="R205" s="39">
        <v>0</v>
      </c>
      <c r="S205" s="39">
        <v>0</v>
      </c>
      <c r="T205" s="39">
        <v>0</v>
      </c>
      <c r="U205" s="39">
        <v>0</v>
      </c>
      <c r="V205" s="39">
        <v>468</v>
      </c>
      <c r="W205" s="40" t="s">
        <v>7677</v>
      </c>
      <c r="X205" s="39">
        <v>1</v>
      </c>
    </row>
    <row r="206" spans="1:24">
      <c r="A206" s="39">
        <v>1023</v>
      </c>
      <c r="B206" s="40" t="s">
        <v>7746</v>
      </c>
      <c r="C206" s="39">
        <v>0</v>
      </c>
      <c r="E206" s="39">
        <v>0</v>
      </c>
      <c r="F206" s="39">
        <v>2058</v>
      </c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39">
        <v>0</v>
      </c>
      <c r="S206" s="39">
        <v>0</v>
      </c>
      <c r="T206" s="39">
        <v>0</v>
      </c>
      <c r="U206" s="39">
        <v>0</v>
      </c>
      <c r="V206" s="39">
        <v>477</v>
      </c>
      <c r="W206" s="40" t="s">
        <v>7697</v>
      </c>
      <c r="X206" s="39">
        <v>1</v>
      </c>
    </row>
    <row r="207" spans="1:24">
      <c r="A207" s="39">
        <v>211</v>
      </c>
      <c r="B207" s="40" t="s">
        <v>7746</v>
      </c>
      <c r="C207" s="39">
        <v>0</v>
      </c>
      <c r="E207" s="39">
        <v>0</v>
      </c>
      <c r="F207" s="39">
        <v>2058</v>
      </c>
      <c r="G207" s="39">
        <v>1</v>
      </c>
      <c r="H207" s="39">
        <v>0</v>
      </c>
      <c r="I207" s="39">
        <v>0</v>
      </c>
      <c r="J207" s="39">
        <v>0</v>
      </c>
      <c r="K207" s="39">
        <v>0</v>
      </c>
      <c r="L207" s="39">
        <v>0</v>
      </c>
      <c r="M207" s="39">
        <v>0</v>
      </c>
      <c r="N207" s="39">
        <v>0</v>
      </c>
      <c r="O207" s="39">
        <v>0</v>
      </c>
      <c r="P207" s="39">
        <v>0</v>
      </c>
      <c r="Q207" s="39">
        <v>0</v>
      </c>
      <c r="R207" s="39">
        <v>0</v>
      </c>
      <c r="S207" s="39">
        <v>0</v>
      </c>
      <c r="T207" s="39">
        <v>0</v>
      </c>
      <c r="U207" s="39">
        <v>0</v>
      </c>
      <c r="V207" s="39">
        <v>590</v>
      </c>
      <c r="W207" s="40" t="s">
        <v>7679</v>
      </c>
      <c r="X207" s="39">
        <v>1</v>
      </c>
    </row>
    <row r="208" spans="1:24">
      <c r="A208" s="39">
        <v>760</v>
      </c>
      <c r="B208" s="40" t="s">
        <v>7746</v>
      </c>
      <c r="C208" s="39">
        <v>0</v>
      </c>
      <c r="E208" s="39">
        <v>0</v>
      </c>
      <c r="F208" s="39">
        <v>2058</v>
      </c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39">
        <v>0</v>
      </c>
      <c r="S208" s="39">
        <v>0</v>
      </c>
      <c r="T208" s="39">
        <v>0</v>
      </c>
      <c r="U208" s="39">
        <v>0</v>
      </c>
      <c r="V208" s="39">
        <v>733</v>
      </c>
      <c r="W208" s="40" t="s">
        <v>7680</v>
      </c>
      <c r="X208" s="39">
        <v>1</v>
      </c>
    </row>
    <row r="209" spans="1:24">
      <c r="A209" s="39">
        <v>593</v>
      </c>
      <c r="B209" s="40" t="s">
        <v>7747</v>
      </c>
      <c r="C209" s="39">
        <v>0</v>
      </c>
      <c r="E209" s="39">
        <v>0</v>
      </c>
      <c r="F209" s="39">
        <v>2057</v>
      </c>
      <c r="G209" s="39">
        <v>0</v>
      </c>
      <c r="H209" s="39">
        <v>1</v>
      </c>
      <c r="I209" s="39">
        <v>1</v>
      </c>
      <c r="J209" s="39">
        <v>0</v>
      </c>
      <c r="K209" s="39">
        <v>0</v>
      </c>
      <c r="L209" s="39">
        <v>0</v>
      </c>
      <c r="M209" s="39">
        <v>0</v>
      </c>
      <c r="N209" s="39">
        <v>0</v>
      </c>
      <c r="O209" s="39">
        <v>0</v>
      </c>
      <c r="P209" s="39">
        <v>0</v>
      </c>
      <c r="Q209" s="39">
        <v>0</v>
      </c>
      <c r="R209" s="39">
        <v>0</v>
      </c>
      <c r="S209" s="39">
        <v>0</v>
      </c>
      <c r="T209" s="39">
        <v>0</v>
      </c>
      <c r="U209" s="39">
        <v>0</v>
      </c>
      <c r="V209" s="39">
        <v>468</v>
      </c>
      <c r="W209" s="40" t="s">
        <v>7677</v>
      </c>
      <c r="X209" s="39">
        <v>1</v>
      </c>
    </row>
    <row r="210" spans="1:24">
      <c r="A210" s="39">
        <v>293</v>
      </c>
      <c r="B210" s="40" t="s">
        <v>7747</v>
      </c>
      <c r="C210" s="39">
        <v>0</v>
      </c>
      <c r="D210" s="40" t="s">
        <v>7748</v>
      </c>
      <c r="E210" s="39">
        <v>0</v>
      </c>
      <c r="F210" s="39">
        <v>2057</v>
      </c>
      <c r="G210" s="39">
        <v>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39">
        <v>0</v>
      </c>
      <c r="Q210" s="39">
        <v>0</v>
      </c>
      <c r="R210" s="39">
        <v>0</v>
      </c>
      <c r="S210" s="39">
        <v>0</v>
      </c>
      <c r="T210" s="39">
        <v>0</v>
      </c>
      <c r="U210" s="39">
        <v>0</v>
      </c>
      <c r="V210" s="39">
        <v>590</v>
      </c>
      <c r="W210" s="40" t="s">
        <v>7679</v>
      </c>
      <c r="X210" s="39">
        <v>1</v>
      </c>
    </row>
    <row r="211" spans="1:24">
      <c r="A211" s="39">
        <v>1913</v>
      </c>
      <c r="B211" s="40" t="s">
        <v>7749</v>
      </c>
      <c r="C211" s="39">
        <v>0</v>
      </c>
      <c r="D211" s="40" t="s">
        <v>7750</v>
      </c>
      <c r="E211" s="39">
        <v>1</v>
      </c>
      <c r="F211" s="39">
        <v>44</v>
      </c>
      <c r="G211" s="39">
        <v>0</v>
      </c>
      <c r="H211" s="39">
        <v>1</v>
      </c>
      <c r="I211" s="39">
        <v>1</v>
      </c>
      <c r="J211" s="39">
        <v>1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39">
        <v>0</v>
      </c>
      <c r="Q211" s="39">
        <v>0</v>
      </c>
      <c r="R211" s="39">
        <v>0</v>
      </c>
      <c r="S211" s="39">
        <v>0</v>
      </c>
      <c r="T211" s="39">
        <v>0</v>
      </c>
      <c r="U211" s="39">
        <v>0</v>
      </c>
      <c r="V211" s="39">
        <v>2</v>
      </c>
      <c r="W211" s="40" t="s">
        <v>40</v>
      </c>
      <c r="X211" s="39">
        <v>1</v>
      </c>
    </row>
    <row r="212" spans="1:24">
      <c r="A212" s="39">
        <v>91</v>
      </c>
      <c r="B212" s="40" t="s">
        <v>1382</v>
      </c>
      <c r="C212" s="39">
        <v>0</v>
      </c>
      <c r="E212" s="39">
        <v>1</v>
      </c>
      <c r="F212" s="39">
        <v>847</v>
      </c>
      <c r="G212" s="39">
        <v>1</v>
      </c>
      <c r="H212" s="39">
        <v>1</v>
      </c>
      <c r="I212" s="39">
        <v>0</v>
      </c>
      <c r="J212" s="39">
        <v>1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39">
        <v>0</v>
      </c>
      <c r="Q212" s="39">
        <v>0</v>
      </c>
      <c r="R212" s="39">
        <v>0</v>
      </c>
      <c r="S212" s="39">
        <v>0</v>
      </c>
      <c r="T212" s="39">
        <v>0</v>
      </c>
      <c r="U212" s="39">
        <v>0</v>
      </c>
      <c r="V212" s="39">
        <v>1</v>
      </c>
      <c r="W212" s="40" t="s">
        <v>518</v>
      </c>
      <c r="X212" s="39">
        <v>1</v>
      </c>
    </row>
    <row r="213" spans="1:24">
      <c r="A213" s="39">
        <v>78</v>
      </c>
      <c r="B213" s="40" t="s">
        <v>1382</v>
      </c>
      <c r="C213" s="39">
        <v>0</v>
      </c>
      <c r="E213" s="39">
        <v>1</v>
      </c>
      <c r="F213" s="39">
        <v>44</v>
      </c>
      <c r="G213" s="39">
        <v>0</v>
      </c>
      <c r="H213" s="39">
        <v>1</v>
      </c>
      <c r="I213" s="39">
        <v>1</v>
      </c>
      <c r="J213" s="39">
        <v>1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39">
        <v>0</v>
      </c>
      <c r="Q213" s="39">
        <v>0</v>
      </c>
      <c r="R213" s="39">
        <v>0</v>
      </c>
      <c r="S213" s="39">
        <v>0</v>
      </c>
      <c r="T213" s="39">
        <v>0</v>
      </c>
      <c r="U213" s="39">
        <v>0</v>
      </c>
      <c r="V213" s="39">
        <v>2</v>
      </c>
      <c r="W213" s="40" t="s">
        <v>40</v>
      </c>
      <c r="X213" s="39">
        <v>1</v>
      </c>
    </row>
    <row r="214" spans="1:24">
      <c r="A214" s="39">
        <v>943</v>
      </c>
      <c r="B214" s="40" t="s">
        <v>1382</v>
      </c>
      <c r="C214" s="39">
        <v>0</v>
      </c>
      <c r="E214" s="39">
        <v>1</v>
      </c>
      <c r="F214" s="39">
        <v>847</v>
      </c>
      <c r="G214" s="39">
        <v>0</v>
      </c>
      <c r="H214" s="39">
        <v>0</v>
      </c>
      <c r="I214" s="39">
        <v>0</v>
      </c>
      <c r="J214" s="39">
        <v>0</v>
      </c>
      <c r="K214" s="39">
        <v>0</v>
      </c>
      <c r="L214" s="39">
        <v>0</v>
      </c>
      <c r="M214" s="39">
        <v>0</v>
      </c>
      <c r="N214" s="39">
        <v>0</v>
      </c>
      <c r="O214" s="39">
        <v>0</v>
      </c>
      <c r="P214" s="39">
        <v>0</v>
      </c>
      <c r="Q214" s="39">
        <v>0</v>
      </c>
      <c r="R214" s="39">
        <v>0</v>
      </c>
      <c r="S214" s="39">
        <v>0</v>
      </c>
      <c r="T214" s="39">
        <v>0</v>
      </c>
      <c r="U214" s="39">
        <v>0</v>
      </c>
      <c r="V214" s="39">
        <v>158</v>
      </c>
      <c r="W214" s="40" t="s">
        <v>7667</v>
      </c>
      <c r="X214" s="39">
        <v>1</v>
      </c>
    </row>
    <row r="215" spans="1:24">
      <c r="A215" s="39">
        <v>658</v>
      </c>
      <c r="B215" s="40" t="s">
        <v>1382</v>
      </c>
      <c r="C215" s="39">
        <v>0</v>
      </c>
      <c r="E215" s="39">
        <v>1</v>
      </c>
      <c r="F215" s="39">
        <v>847</v>
      </c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39">
        <v>0</v>
      </c>
      <c r="S215" s="39">
        <v>0</v>
      </c>
      <c r="T215" s="39">
        <v>0</v>
      </c>
      <c r="U215" s="39">
        <v>0</v>
      </c>
      <c r="V215" s="39">
        <v>228</v>
      </c>
      <c r="W215" s="40" t="s">
        <v>7669</v>
      </c>
      <c r="X215" s="39">
        <v>1</v>
      </c>
    </row>
    <row r="216" spans="1:24">
      <c r="A216" s="39">
        <v>1703</v>
      </c>
      <c r="B216" s="40" t="s">
        <v>1382</v>
      </c>
      <c r="C216" s="39">
        <v>0</v>
      </c>
      <c r="E216" s="39">
        <v>1</v>
      </c>
      <c r="F216" s="39">
        <v>847</v>
      </c>
      <c r="G216" s="39">
        <v>1</v>
      </c>
      <c r="H216" s="39">
        <v>1</v>
      </c>
      <c r="I216" s="39">
        <v>0</v>
      </c>
      <c r="J216" s="39">
        <v>1</v>
      </c>
      <c r="K216" s="39">
        <v>0</v>
      </c>
      <c r="L216" s="39">
        <v>0</v>
      </c>
      <c r="M216" s="39">
        <v>0</v>
      </c>
      <c r="N216" s="39">
        <v>0</v>
      </c>
      <c r="O216" s="39">
        <v>0</v>
      </c>
      <c r="P216" s="39">
        <v>0</v>
      </c>
      <c r="Q216" s="39">
        <v>0</v>
      </c>
      <c r="R216" s="39">
        <v>0</v>
      </c>
      <c r="S216" s="39">
        <v>0</v>
      </c>
      <c r="T216" s="39">
        <v>0</v>
      </c>
      <c r="U216" s="39">
        <v>0</v>
      </c>
      <c r="V216" s="39">
        <v>244</v>
      </c>
      <c r="W216" s="40" t="s">
        <v>682</v>
      </c>
      <c r="X216" s="39">
        <v>1</v>
      </c>
    </row>
    <row r="217" spans="1:24">
      <c r="A217" s="39">
        <v>1471</v>
      </c>
      <c r="B217" s="40" t="s">
        <v>1382</v>
      </c>
      <c r="C217" s="39">
        <v>0</v>
      </c>
      <c r="E217" s="39">
        <v>1</v>
      </c>
      <c r="F217" s="39">
        <v>44</v>
      </c>
      <c r="G217" s="39">
        <v>1</v>
      </c>
      <c r="H217" s="39">
        <v>1</v>
      </c>
      <c r="I217" s="39">
        <v>1</v>
      </c>
      <c r="J217" s="39">
        <v>1</v>
      </c>
      <c r="K217" s="39">
        <v>0</v>
      </c>
      <c r="L217" s="39">
        <v>0</v>
      </c>
      <c r="M217" s="39">
        <v>0</v>
      </c>
      <c r="N217" s="39">
        <v>0</v>
      </c>
      <c r="O217" s="39">
        <v>0</v>
      </c>
      <c r="P217" s="39">
        <v>0</v>
      </c>
      <c r="Q217" s="39">
        <v>0</v>
      </c>
      <c r="R217" s="39">
        <v>0</v>
      </c>
      <c r="S217" s="39">
        <v>0</v>
      </c>
      <c r="T217" s="39">
        <v>0</v>
      </c>
      <c r="U217" s="39">
        <v>0</v>
      </c>
      <c r="V217" s="39">
        <v>418</v>
      </c>
      <c r="W217" s="40" t="s">
        <v>7671</v>
      </c>
      <c r="X217" s="39">
        <v>1</v>
      </c>
    </row>
    <row r="218" spans="1:24">
      <c r="A218" s="39">
        <v>1364</v>
      </c>
      <c r="B218" s="40" t="s">
        <v>1382</v>
      </c>
      <c r="C218" s="39">
        <v>0</v>
      </c>
      <c r="E218" s="39">
        <v>1</v>
      </c>
      <c r="F218" s="39">
        <v>847</v>
      </c>
      <c r="G218" s="39">
        <v>1</v>
      </c>
      <c r="H218" s="39">
        <v>1</v>
      </c>
      <c r="I218" s="39">
        <v>1</v>
      </c>
      <c r="J218" s="39">
        <v>1</v>
      </c>
      <c r="K218" s="39">
        <v>0</v>
      </c>
      <c r="L218" s="39">
        <v>0</v>
      </c>
      <c r="M218" s="39">
        <v>0</v>
      </c>
      <c r="N218" s="39">
        <v>0</v>
      </c>
      <c r="O218" s="39">
        <v>0</v>
      </c>
      <c r="P218" s="39">
        <v>0</v>
      </c>
      <c r="Q218" s="39">
        <v>0</v>
      </c>
      <c r="R218" s="39">
        <v>0</v>
      </c>
      <c r="S218" s="39">
        <v>0</v>
      </c>
      <c r="T218" s="39">
        <v>0</v>
      </c>
      <c r="U218" s="39">
        <v>0</v>
      </c>
      <c r="V218" s="39">
        <v>456</v>
      </c>
      <c r="W218" s="40" t="s">
        <v>7673</v>
      </c>
      <c r="X218" s="39">
        <v>1</v>
      </c>
    </row>
    <row r="219" spans="1:24">
      <c r="A219" s="39">
        <v>1121</v>
      </c>
      <c r="B219" s="40" t="s">
        <v>1382</v>
      </c>
      <c r="C219" s="39">
        <v>0</v>
      </c>
      <c r="E219" s="39">
        <v>1</v>
      </c>
      <c r="F219" s="39">
        <v>847</v>
      </c>
      <c r="G219" s="39">
        <v>0</v>
      </c>
      <c r="H219" s="39">
        <v>0</v>
      </c>
      <c r="I219" s="39">
        <v>0</v>
      </c>
      <c r="J219" s="39">
        <v>0</v>
      </c>
      <c r="K219" s="39">
        <v>0</v>
      </c>
      <c r="L219" s="39">
        <v>0</v>
      </c>
      <c r="M219" s="39">
        <v>0</v>
      </c>
      <c r="N219" s="39">
        <v>0</v>
      </c>
      <c r="O219" s="39">
        <v>0</v>
      </c>
      <c r="P219" s="39">
        <v>0</v>
      </c>
      <c r="Q219" s="39">
        <v>0</v>
      </c>
      <c r="R219" s="39">
        <v>0</v>
      </c>
      <c r="S219" s="39">
        <v>0</v>
      </c>
      <c r="T219" s="39">
        <v>0</v>
      </c>
      <c r="U219" s="39">
        <v>0</v>
      </c>
      <c r="V219" s="39">
        <v>459</v>
      </c>
      <c r="W219" s="40" t="s">
        <v>7674</v>
      </c>
      <c r="X219" s="39">
        <v>1</v>
      </c>
    </row>
    <row r="220" spans="1:24">
      <c r="A220" s="39">
        <v>1025</v>
      </c>
      <c r="B220" s="40" t="s">
        <v>1382</v>
      </c>
      <c r="C220" s="39">
        <v>0</v>
      </c>
      <c r="E220" s="39">
        <v>1</v>
      </c>
      <c r="F220" s="39">
        <v>847</v>
      </c>
      <c r="G220" s="39">
        <v>0</v>
      </c>
      <c r="H220" s="39">
        <v>0</v>
      </c>
      <c r="I220" s="39">
        <v>0</v>
      </c>
      <c r="J220" s="39">
        <v>0</v>
      </c>
      <c r="K220" s="39">
        <v>0</v>
      </c>
      <c r="L220" s="39">
        <v>0</v>
      </c>
      <c r="M220" s="39">
        <v>0</v>
      </c>
      <c r="N220" s="39">
        <v>0</v>
      </c>
      <c r="O220" s="39">
        <v>0</v>
      </c>
      <c r="P220" s="39">
        <v>0</v>
      </c>
      <c r="Q220" s="39">
        <v>0</v>
      </c>
      <c r="R220" s="39">
        <v>0</v>
      </c>
      <c r="S220" s="39">
        <v>0</v>
      </c>
      <c r="T220" s="39">
        <v>0</v>
      </c>
      <c r="U220" s="39">
        <v>0</v>
      </c>
      <c r="V220" s="39">
        <v>477</v>
      </c>
      <c r="W220" s="40" t="s">
        <v>7697</v>
      </c>
      <c r="X220" s="39">
        <v>1</v>
      </c>
    </row>
    <row r="221" spans="1:24">
      <c r="A221" s="39">
        <v>944</v>
      </c>
      <c r="B221" s="40" t="s">
        <v>7751</v>
      </c>
      <c r="C221" s="39">
        <v>0</v>
      </c>
      <c r="E221" s="39">
        <v>0</v>
      </c>
      <c r="F221" s="39">
        <v>2056</v>
      </c>
      <c r="G221" s="39">
        <v>0</v>
      </c>
      <c r="H221" s="39">
        <v>0</v>
      </c>
      <c r="I221" s="39">
        <v>0</v>
      </c>
      <c r="J221" s="39">
        <v>0</v>
      </c>
      <c r="K221" s="39">
        <v>0</v>
      </c>
      <c r="L221" s="39">
        <v>0</v>
      </c>
      <c r="M221" s="39">
        <v>0</v>
      </c>
      <c r="N221" s="39">
        <v>0</v>
      </c>
      <c r="O221" s="39">
        <v>0</v>
      </c>
      <c r="P221" s="39">
        <v>0</v>
      </c>
      <c r="Q221" s="39">
        <v>0</v>
      </c>
      <c r="R221" s="39">
        <v>0</v>
      </c>
      <c r="S221" s="39">
        <v>0</v>
      </c>
      <c r="T221" s="39">
        <v>0</v>
      </c>
      <c r="U221" s="39">
        <v>0</v>
      </c>
      <c r="V221" s="39">
        <v>158</v>
      </c>
      <c r="W221" s="40" t="s">
        <v>7667</v>
      </c>
      <c r="X221" s="39">
        <v>1</v>
      </c>
    </row>
    <row r="222" spans="1:24">
      <c r="A222" s="39">
        <v>436</v>
      </c>
      <c r="B222" s="40" t="s">
        <v>7751</v>
      </c>
      <c r="C222" s="39">
        <v>0</v>
      </c>
      <c r="E222" s="39">
        <v>0</v>
      </c>
      <c r="F222" s="39">
        <v>2056</v>
      </c>
      <c r="G222" s="39">
        <v>1</v>
      </c>
      <c r="H222" s="39">
        <v>0</v>
      </c>
      <c r="I222" s="39">
        <v>0</v>
      </c>
      <c r="J222" s="39">
        <v>0</v>
      </c>
      <c r="K222" s="39">
        <v>0</v>
      </c>
      <c r="L222" s="39">
        <v>0</v>
      </c>
      <c r="M222" s="39">
        <v>0</v>
      </c>
      <c r="N222" s="39">
        <v>0</v>
      </c>
      <c r="O222" s="39">
        <v>0</v>
      </c>
      <c r="P222" s="39">
        <v>0</v>
      </c>
      <c r="Q222" s="39">
        <v>0</v>
      </c>
      <c r="R222" s="39">
        <v>0</v>
      </c>
      <c r="S222" s="39">
        <v>0</v>
      </c>
      <c r="T222" s="39">
        <v>0</v>
      </c>
      <c r="U222" s="39">
        <v>0</v>
      </c>
      <c r="V222" s="39">
        <v>175</v>
      </c>
      <c r="W222" s="40" t="s">
        <v>7689</v>
      </c>
      <c r="X222" s="39">
        <v>1</v>
      </c>
    </row>
    <row r="223" spans="1:24">
      <c r="A223" s="39">
        <v>329</v>
      </c>
      <c r="B223" s="40" t="s">
        <v>7751</v>
      </c>
      <c r="C223" s="39">
        <v>0</v>
      </c>
      <c r="E223" s="39">
        <v>0</v>
      </c>
      <c r="F223" s="39">
        <v>2056</v>
      </c>
      <c r="G223" s="39">
        <v>1</v>
      </c>
      <c r="H223" s="39">
        <v>0</v>
      </c>
      <c r="I223" s="39">
        <v>0</v>
      </c>
      <c r="J223" s="39">
        <v>0</v>
      </c>
      <c r="K223" s="39">
        <v>0</v>
      </c>
      <c r="L223" s="39">
        <v>0</v>
      </c>
      <c r="M223" s="39">
        <v>0</v>
      </c>
      <c r="N223" s="39">
        <v>0</v>
      </c>
      <c r="O223" s="39">
        <v>0</v>
      </c>
      <c r="P223" s="39">
        <v>0</v>
      </c>
      <c r="Q223" s="39">
        <v>0</v>
      </c>
      <c r="R223" s="39">
        <v>0</v>
      </c>
      <c r="S223" s="39">
        <v>0</v>
      </c>
      <c r="T223" s="39">
        <v>0</v>
      </c>
      <c r="U223" s="39">
        <v>0</v>
      </c>
      <c r="V223" s="39">
        <v>228</v>
      </c>
      <c r="W223" s="40" t="s">
        <v>7669</v>
      </c>
      <c r="X223" s="39">
        <v>1</v>
      </c>
    </row>
    <row r="224" spans="1:24">
      <c r="A224" s="39">
        <v>1209</v>
      </c>
      <c r="B224" s="40" t="s">
        <v>7751</v>
      </c>
      <c r="C224" s="39">
        <v>0</v>
      </c>
      <c r="E224" s="39">
        <v>0</v>
      </c>
      <c r="F224" s="39">
        <v>2056</v>
      </c>
      <c r="G224" s="39">
        <v>0</v>
      </c>
      <c r="H224" s="39">
        <v>0</v>
      </c>
      <c r="I224" s="39">
        <v>0</v>
      </c>
      <c r="J224" s="39">
        <v>0</v>
      </c>
      <c r="K224" s="39">
        <v>0</v>
      </c>
      <c r="L224" s="39">
        <v>0</v>
      </c>
      <c r="M224" s="39">
        <v>0</v>
      </c>
      <c r="N224" s="39">
        <v>0</v>
      </c>
      <c r="O224" s="39">
        <v>0</v>
      </c>
      <c r="P224" s="39">
        <v>0</v>
      </c>
      <c r="Q224" s="39">
        <v>0</v>
      </c>
      <c r="R224" s="39">
        <v>0</v>
      </c>
      <c r="S224" s="39">
        <v>0</v>
      </c>
      <c r="T224" s="39">
        <v>0</v>
      </c>
      <c r="U224" s="39">
        <v>0</v>
      </c>
      <c r="V224" s="39">
        <v>418</v>
      </c>
      <c r="W224" s="40" t="s">
        <v>7671</v>
      </c>
      <c r="X224" s="39">
        <v>1</v>
      </c>
    </row>
    <row r="225" spans="1:24">
      <c r="A225" s="39">
        <v>888</v>
      </c>
      <c r="B225" s="40" t="s">
        <v>7751</v>
      </c>
      <c r="C225" s="39">
        <v>0</v>
      </c>
      <c r="E225" s="39">
        <v>0</v>
      </c>
      <c r="F225" s="39">
        <v>2056</v>
      </c>
      <c r="G225" s="39">
        <v>0</v>
      </c>
      <c r="H225" s="39">
        <v>0</v>
      </c>
      <c r="I225" s="39">
        <v>0</v>
      </c>
      <c r="J225" s="39">
        <v>0</v>
      </c>
      <c r="K225" s="39">
        <v>0</v>
      </c>
      <c r="L225" s="39">
        <v>0</v>
      </c>
      <c r="M225" s="39">
        <v>0</v>
      </c>
      <c r="N225" s="39">
        <v>0</v>
      </c>
      <c r="O225" s="39">
        <v>0</v>
      </c>
      <c r="P225" s="39">
        <v>0</v>
      </c>
      <c r="Q225" s="39">
        <v>0</v>
      </c>
      <c r="R225" s="39">
        <v>0</v>
      </c>
      <c r="S225" s="39">
        <v>0</v>
      </c>
      <c r="T225" s="39">
        <v>0</v>
      </c>
      <c r="U225" s="39">
        <v>0</v>
      </c>
      <c r="V225" s="39">
        <v>458</v>
      </c>
      <c r="W225" s="40" t="s">
        <v>7694</v>
      </c>
      <c r="X225" s="39">
        <v>1</v>
      </c>
    </row>
    <row r="226" spans="1:24">
      <c r="A226" s="39">
        <v>1122</v>
      </c>
      <c r="B226" s="40" t="s">
        <v>7751</v>
      </c>
      <c r="C226" s="39">
        <v>0</v>
      </c>
      <c r="E226" s="39">
        <v>0</v>
      </c>
      <c r="F226" s="39">
        <v>2056</v>
      </c>
      <c r="G226" s="39">
        <v>0</v>
      </c>
      <c r="H226" s="39">
        <v>0</v>
      </c>
      <c r="I226" s="39">
        <v>0</v>
      </c>
      <c r="J226" s="39">
        <v>0</v>
      </c>
      <c r="K226" s="39">
        <v>0</v>
      </c>
      <c r="L226" s="39">
        <v>0</v>
      </c>
      <c r="M226" s="39">
        <v>0</v>
      </c>
      <c r="N226" s="39">
        <v>0</v>
      </c>
      <c r="O226" s="39">
        <v>0</v>
      </c>
      <c r="P226" s="39">
        <v>0</v>
      </c>
      <c r="Q226" s="39">
        <v>0</v>
      </c>
      <c r="R226" s="39">
        <v>0</v>
      </c>
      <c r="S226" s="39">
        <v>0</v>
      </c>
      <c r="T226" s="39">
        <v>0</v>
      </c>
      <c r="U226" s="39">
        <v>0</v>
      </c>
      <c r="V226" s="39">
        <v>459</v>
      </c>
      <c r="W226" s="40" t="s">
        <v>7674</v>
      </c>
      <c r="X226" s="39">
        <v>1</v>
      </c>
    </row>
    <row r="227" spans="1:24">
      <c r="A227" s="39">
        <v>1026</v>
      </c>
      <c r="B227" s="40" t="s">
        <v>7751</v>
      </c>
      <c r="C227" s="39">
        <v>0</v>
      </c>
      <c r="E227" s="39">
        <v>0</v>
      </c>
      <c r="F227" s="39">
        <v>2056</v>
      </c>
      <c r="G227" s="39">
        <v>0</v>
      </c>
      <c r="H227" s="39">
        <v>0</v>
      </c>
      <c r="I227" s="39">
        <v>0</v>
      </c>
      <c r="J227" s="39">
        <v>0</v>
      </c>
      <c r="K227" s="39">
        <v>0</v>
      </c>
      <c r="L227" s="39">
        <v>0</v>
      </c>
      <c r="M227" s="39">
        <v>0</v>
      </c>
      <c r="N227" s="39">
        <v>0</v>
      </c>
      <c r="O227" s="39">
        <v>0</v>
      </c>
      <c r="P227" s="39">
        <v>0</v>
      </c>
      <c r="Q227" s="39">
        <v>0</v>
      </c>
      <c r="R227" s="39">
        <v>0</v>
      </c>
      <c r="S227" s="39">
        <v>0</v>
      </c>
      <c r="T227" s="39">
        <v>0</v>
      </c>
      <c r="U227" s="39">
        <v>0</v>
      </c>
      <c r="V227" s="39">
        <v>477</v>
      </c>
      <c r="W227" s="40" t="s">
        <v>7697</v>
      </c>
      <c r="X227" s="39">
        <v>1</v>
      </c>
    </row>
    <row r="228" spans="1:24">
      <c r="A228" s="39">
        <v>212</v>
      </c>
      <c r="B228" s="40" t="s">
        <v>7751</v>
      </c>
      <c r="C228" s="39">
        <v>0</v>
      </c>
      <c r="E228" s="39">
        <v>0</v>
      </c>
      <c r="F228" s="39">
        <v>2056</v>
      </c>
      <c r="G228" s="39">
        <v>1</v>
      </c>
      <c r="H228" s="39">
        <v>0</v>
      </c>
      <c r="I228" s="39">
        <v>0</v>
      </c>
      <c r="J228" s="39">
        <v>0</v>
      </c>
      <c r="K228" s="39">
        <v>0</v>
      </c>
      <c r="L228" s="39">
        <v>0</v>
      </c>
      <c r="M228" s="39">
        <v>0</v>
      </c>
      <c r="N228" s="39">
        <v>0</v>
      </c>
      <c r="O228" s="39">
        <v>0</v>
      </c>
      <c r="P228" s="39">
        <v>0</v>
      </c>
      <c r="Q228" s="39">
        <v>0</v>
      </c>
      <c r="R228" s="39">
        <v>0</v>
      </c>
      <c r="S228" s="39">
        <v>0</v>
      </c>
      <c r="T228" s="39">
        <v>0</v>
      </c>
      <c r="U228" s="39">
        <v>0</v>
      </c>
      <c r="V228" s="39">
        <v>590</v>
      </c>
      <c r="W228" s="40" t="s">
        <v>7679</v>
      </c>
      <c r="X228" s="39">
        <v>1</v>
      </c>
    </row>
    <row r="229" spans="1:24">
      <c r="A229" s="39">
        <v>761</v>
      </c>
      <c r="B229" s="40" t="s">
        <v>7751</v>
      </c>
      <c r="C229" s="39">
        <v>0</v>
      </c>
      <c r="E229" s="39">
        <v>0</v>
      </c>
      <c r="F229" s="39">
        <v>2056</v>
      </c>
      <c r="G229" s="39">
        <v>0</v>
      </c>
      <c r="H229" s="39">
        <v>0</v>
      </c>
      <c r="I229" s="39">
        <v>0</v>
      </c>
      <c r="J229" s="39">
        <v>0</v>
      </c>
      <c r="K229" s="39">
        <v>0</v>
      </c>
      <c r="L229" s="39">
        <v>0</v>
      </c>
      <c r="M229" s="39">
        <v>0</v>
      </c>
      <c r="N229" s="39">
        <v>0</v>
      </c>
      <c r="O229" s="39">
        <v>0</v>
      </c>
      <c r="P229" s="39">
        <v>0</v>
      </c>
      <c r="Q229" s="39">
        <v>0</v>
      </c>
      <c r="R229" s="39">
        <v>0</v>
      </c>
      <c r="S229" s="39">
        <v>0</v>
      </c>
      <c r="T229" s="39">
        <v>0</v>
      </c>
      <c r="U229" s="39">
        <v>0</v>
      </c>
      <c r="V229" s="39">
        <v>733</v>
      </c>
      <c r="W229" s="40" t="s">
        <v>7680</v>
      </c>
      <c r="X229" s="39">
        <v>1</v>
      </c>
    </row>
    <row r="230" spans="1:24">
      <c r="A230" s="39">
        <v>1085</v>
      </c>
      <c r="B230" s="40" t="s">
        <v>7752</v>
      </c>
      <c r="C230" s="39">
        <v>0</v>
      </c>
      <c r="E230" s="39">
        <v>0</v>
      </c>
      <c r="F230" s="39">
        <v>2071</v>
      </c>
      <c r="G230" s="39">
        <v>0</v>
      </c>
      <c r="H230" s="39">
        <v>0</v>
      </c>
      <c r="I230" s="39">
        <v>0</v>
      </c>
      <c r="J230" s="39">
        <v>0</v>
      </c>
      <c r="K230" s="39">
        <v>0</v>
      </c>
      <c r="L230" s="39">
        <v>0</v>
      </c>
      <c r="M230" s="39">
        <v>0</v>
      </c>
      <c r="N230" s="39">
        <v>0</v>
      </c>
      <c r="O230" s="39">
        <v>0</v>
      </c>
      <c r="P230" s="39">
        <v>0</v>
      </c>
      <c r="Q230" s="39">
        <v>0</v>
      </c>
      <c r="R230" s="39">
        <v>0</v>
      </c>
      <c r="S230" s="39">
        <v>0</v>
      </c>
      <c r="T230" s="39">
        <v>0</v>
      </c>
      <c r="U230" s="39">
        <v>0</v>
      </c>
      <c r="V230" s="39">
        <v>477</v>
      </c>
      <c r="W230" s="40" t="s">
        <v>7697</v>
      </c>
      <c r="X230" s="39">
        <v>1</v>
      </c>
    </row>
    <row r="231" spans="1:24">
      <c r="A231" s="39">
        <v>143</v>
      </c>
      <c r="B231" s="40" t="s">
        <v>6039</v>
      </c>
      <c r="C231" s="39">
        <v>0</v>
      </c>
      <c r="E231" s="39">
        <v>0</v>
      </c>
      <c r="F231" s="39">
        <v>1140</v>
      </c>
      <c r="G231" s="39">
        <v>0</v>
      </c>
      <c r="H231" s="39">
        <v>0</v>
      </c>
      <c r="I231" s="39">
        <v>0</v>
      </c>
      <c r="J231" s="39">
        <v>0</v>
      </c>
      <c r="K231" s="39">
        <v>0</v>
      </c>
      <c r="L231" s="39">
        <v>0</v>
      </c>
      <c r="M231" s="39">
        <v>0</v>
      </c>
      <c r="N231" s="39">
        <v>0</v>
      </c>
      <c r="O231" s="39">
        <v>0</v>
      </c>
      <c r="P231" s="39">
        <v>0</v>
      </c>
      <c r="Q231" s="39">
        <v>0</v>
      </c>
      <c r="R231" s="39">
        <v>0</v>
      </c>
      <c r="S231" s="39">
        <v>0</v>
      </c>
      <c r="T231" s="39">
        <v>0</v>
      </c>
      <c r="U231" s="39">
        <v>0</v>
      </c>
      <c r="V231" s="39">
        <v>1</v>
      </c>
      <c r="W231" s="40" t="s">
        <v>518</v>
      </c>
      <c r="X231" s="39">
        <v>1</v>
      </c>
    </row>
    <row r="232" spans="1:24">
      <c r="A232" s="39">
        <v>53</v>
      </c>
      <c r="B232" s="40" t="s">
        <v>6039</v>
      </c>
      <c r="C232" s="39">
        <v>0</v>
      </c>
      <c r="E232" s="39">
        <v>0</v>
      </c>
      <c r="F232" s="39">
        <v>45</v>
      </c>
      <c r="G232" s="39">
        <v>0</v>
      </c>
      <c r="H232" s="39">
        <v>0</v>
      </c>
      <c r="I232" s="39">
        <v>0</v>
      </c>
      <c r="J232" s="39">
        <v>0</v>
      </c>
      <c r="K232" s="39">
        <v>0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39">
        <v>0</v>
      </c>
      <c r="S232" s="39">
        <v>0</v>
      </c>
      <c r="T232" s="39">
        <v>0</v>
      </c>
      <c r="U232" s="39">
        <v>0</v>
      </c>
      <c r="V232" s="39">
        <v>2</v>
      </c>
      <c r="W232" s="40" t="s">
        <v>40</v>
      </c>
      <c r="X232" s="39">
        <v>1</v>
      </c>
    </row>
    <row r="233" spans="1:24">
      <c r="A233" s="39">
        <v>945</v>
      </c>
      <c r="B233" s="40" t="s">
        <v>6039</v>
      </c>
      <c r="C233" s="39">
        <v>0</v>
      </c>
      <c r="E233" s="39">
        <v>0</v>
      </c>
      <c r="F233" s="39">
        <v>1140</v>
      </c>
      <c r="G233" s="39">
        <v>0</v>
      </c>
      <c r="H233" s="39">
        <v>0</v>
      </c>
      <c r="I233" s="39">
        <v>0</v>
      </c>
      <c r="J233" s="39">
        <v>0</v>
      </c>
      <c r="K233" s="39">
        <v>0</v>
      </c>
      <c r="L233" s="39">
        <v>0</v>
      </c>
      <c r="M233" s="39">
        <v>0</v>
      </c>
      <c r="N233" s="39">
        <v>0</v>
      </c>
      <c r="O233" s="39">
        <v>0</v>
      </c>
      <c r="P233" s="39">
        <v>0</v>
      </c>
      <c r="Q233" s="39">
        <v>0</v>
      </c>
      <c r="R233" s="39">
        <v>0</v>
      </c>
      <c r="S233" s="39">
        <v>0</v>
      </c>
      <c r="T233" s="39">
        <v>0</v>
      </c>
      <c r="U233" s="39">
        <v>0</v>
      </c>
      <c r="V233" s="39">
        <v>158</v>
      </c>
      <c r="W233" s="40" t="s">
        <v>7667</v>
      </c>
      <c r="X233" s="39">
        <v>1</v>
      </c>
    </row>
    <row r="234" spans="1:24">
      <c r="A234" s="39">
        <v>437</v>
      </c>
      <c r="B234" s="40" t="s">
        <v>6039</v>
      </c>
      <c r="C234" s="39">
        <v>0</v>
      </c>
      <c r="E234" s="39">
        <v>0</v>
      </c>
      <c r="F234" s="39">
        <v>1140</v>
      </c>
      <c r="G234" s="39">
        <v>1</v>
      </c>
      <c r="H234" s="39">
        <v>0</v>
      </c>
      <c r="I234" s="39">
        <v>0</v>
      </c>
      <c r="J234" s="39">
        <v>0</v>
      </c>
      <c r="K234" s="39">
        <v>0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39">
        <v>0</v>
      </c>
      <c r="S234" s="39">
        <v>0</v>
      </c>
      <c r="T234" s="39">
        <v>0</v>
      </c>
      <c r="U234" s="39">
        <v>0</v>
      </c>
      <c r="V234" s="39">
        <v>175</v>
      </c>
      <c r="W234" s="40" t="s">
        <v>7689</v>
      </c>
      <c r="X234" s="39">
        <v>1</v>
      </c>
    </row>
    <row r="235" spans="1:24">
      <c r="A235" s="39">
        <v>330</v>
      </c>
      <c r="B235" s="40" t="s">
        <v>6039</v>
      </c>
      <c r="C235" s="39">
        <v>0</v>
      </c>
      <c r="E235" s="39">
        <v>1</v>
      </c>
      <c r="F235" s="39">
        <v>1140</v>
      </c>
      <c r="G235" s="39">
        <v>1</v>
      </c>
      <c r="H235" s="39">
        <v>0</v>
      </c>
      <c r="I235" s="39">
        <v>0</v>
      </c>
      <c r="J235" s="39">
        <v>0</v>
      </c>
      <c r="K235" s="39">
        <v>0</v>
      </c>
      <c r="L235" s="39">
        <v>0</v>
      </c>
      <c r="M235" s="39">
        <v>0</v>
      </c>
      <c r="N235" s="39">
        <v>0</v>
      </c>
      <c r="O235" s="39">
        <v>0</v>
      </c>
      <c r="P235" s="39">
        <v>0</v>
      </c>
      <c r="Q235" s="39">
        <v>0</v>
      </c>
      <c r="R235" s="39">
        <v>0</v>
      </c>
      <c r="S235" s="39">
        <v>0</v>
      </c>
      <c r="T235" s="39">
        <v>0</v>
      </c>
      <c r="U235" s="39">
        <v>0</v>
      </c>
      <c r="V235" s="39">
        <v>228</v>
      </c>
      <c r="W235" s="40" t="s">
        <v>7669</v>
      </c>
      <c r="X235" s="39">
        <v>1</v>
      </c>
    </row>
    <row r="236" spans="1:24">
      <c r="A236" s="39">
        <v>1754</v>
      </c>
      <c r="B236" s="40" t="s">
        <v>6039</v>
      </c>
      <c r="C236" s="39">
        <v>0</v>
      </c>
      <c r="E236" s="39">
        <v>0</v>
      </c>
      <c r="F236" s="39">
        <v>1140</v>
      </c>
      <c r="G236" s="39">
        <v>0</v>
      </c>
      <c r="H236" s="39">
        <v>0</v>
      </c>
      <c r="I236" s="39">
        <v>0</v>
      </c>
      <c r="J236" s="39">
        <v>0</v>
      </c>
      <c r="K236" s="39">
        <v>0</v>
      </c>
      <c r="L236" s="39">
        <v>0</v>
      </c>
      <c r="M236" s="39">
        <v>0</v>
      </c>
      <c r="N236" s="39">
        <v>0</v>
      </c>
      <c r="O236" s="39">
        <v>0</v>
      </c>
      <c r="P236" s="39">
        <v>0</v>
      </c>
      <c r="Q236" s="39">
        <v>0</v>
      </c>
      <c r="R236" s="39">
        <v>0</v>
      </c>
      <c r="S236" s="39">
        <v>0</v>
      </c>
      <c r="T236" s="39">
        <v>0</v>
      </c>
      <c r="U236" s="39">
        <v>0</v>
      </c>
      <c r="V236" s="39">
        <v>244</v>
      </c>
      <c r="W236" s="40" t="s">
        <v>682</v>
      </c>
      <c r="X236" s="39">
        <v>1</v>
      </c>
    </row>
    <row r="237" spans="1:24">
      <c r="A237" s="39">
        <v>1210</v>
      </c>
      <c r="B237" s="40" t="s">
        <v>6039</v>
      </c>
      <c r="C237" s="39">
        <v>0</v>
      </c>
      <c r="E237" s="39">
        <v>0</v>
      </c>
      <c r="F237" s="39">
        <v>1140</v>
      </c>
      <c r="G237" s="39">
        <v>0</v>
      </c>
      <c r="H237" s="39">
        <v>0</v>
      </c>
      <c r="I237" s="39">
        <v>0</v>
      </c>
      <c r="J237" s="39">
        <v>0</v>
      </c>
      <c r="K237" s="39">
        <v>0</v>
      </c>
      <c r="L237" s="39">
        <v>0</v>
      </c>
      <c r="M237" s="39">
        <v>0</v>
      </c>
      <c r="N237" s="39">
        <v>0</v>
      </c>
      <c r="O237" s="39">
        <v>0</v>
      </c>
      <c r="P237" s="39">
        <v>0</v>
      </c>
      <c r="Q237" s="39">
        <v>0</v>
      </c>
      <c r="R237" s="39">
        <v>0</v>
      </c>
      <c r="S237" s="39">
        <v>0</v>
      </c>
      <c r="T237" s="39">
        <v>0</v>
      </c>
      <c r="U237" s="39">
        <v>0</v>
      </c>
      <c r="V237" s="39">
        <v>418</v>
      </c>
      <c r="W237" s="40" t="s">
        <v>7671</v>
      </c>
      <c r="X237" s="39">
        <v>1</v>
      </c>
    </row>
    <row r="238" spans="1:24">
      <c r="A238" s="39">
        <v>1415</v>
      </c>
      <c r="B238" s="40" t="s">
        <v>6039</v>
      </c>
      <c r="C238" s="39">
        <v>0</v>
      </c>
      <c r="E238" s="39">
        <v>0</v>
      </c>
      <c r="F238" s="39">
        <v>1140</v>
      </c>
      <c r="G238" s="39">
        <v>0</v>
      </c>
      <c r="H238" s="39">
        <v>0</v>
      </c>
      <c r="I238" s="39">
        <v>0</v>
      </c>
      <c r="J238" s="39">
        <v>0</v>
      </c>
      <c r="K238" s="39">
        <v>0</v>
      </c>
      <c r="L238" s="39">
        <v>0</v>
      </c>
      <c r="M238" s="39">
        <v>0</v>
      </c>
      <c r="N238" s="39">
        <v>0</v>
      </c>
      <c r="O238" s="39">
        <v>0</v>
      </c>
      <c r="P238" s="39">
        <v>0</v>
      </c>
      <c r="Q238" s="39">
        <v>0</v>
      </c>
      <c r="R238" s="39">
        <v>0</v>
      </c>
      <c r="S238" s="39">
        <v>0</v>
      </c>
      <c r="T238" s="39">
        <v>0</v>
      </c>
      <c r="U238" s="39">
        <v>0</v>
      </c>
      <c r="V238" s="39">
        <v>456</v>
      </c>
      <c r="W238" s="40" t="s">
        <v>7673</v>
      </c>
      <c r="X238" s="39">
        <v>1</v>
      </c>
    </row>
    <row r="239" spans="1:24">
      <c r="A239" s="39">
        <v>889</v>
      </c>
      <c r="B239" s="40" t="s">
        <v>6039</v>
      </c>
      <c r="C239" s="39">
        <v>0</v>
      </c>
      <c r="E239" s="39">
        <v>0</v>
      </c>
      <c r="F239" s="39">
        <v>1140</v>
      </c>
      <c r="G239" s="39">
        <v>0</v>
      </c>
      <c r="H239" s="39">
        <v>0</v>
      </c>
      <c r="I239" s="39">
        <v>0</v>
      </c>
      <c r="J239" s="39">
        <v>0</v>
      </c>
      <c r="K239" s="39">
        <v>0</v>
      </c>
      <c r="L239" s="39">
        <v>0</v>
      </c>
      <c r="M239" s="39">
        <v>0</v>
      </c>
      <c r="N239" s="39">
        <v>0</v>
      </c>
      <c r="O239" s="39">
        <v>0</v>
      </c>
      <c r="P239" s="39">
        <v>0</v>
      </c>
      <c r="Q239" s="39">
        <v>0</v>
      </c>
      <c r="R239" s="39">
        <v>0</v>
      </c>
      <c r="S239" s="39">
        <v>0</v>
      </c>
      <c r="T239" s="39">
        <v>0</v>
      </c>
      <c r="U239" s="39">
        <v>0</v>
      </c>
      <c r="V239" s="39">
        <v>458</v>
      </c>
      <c r="W239" s="40" t="s">
        <v>7694</v>
      </c>
      <c r="X239" s="39">
        <v>1</v>
      </c>
    </row>
    <row r="240" spans="1:24">
      <c r="A240" s="39">
        <v>1123</v>
      </c>
      <c r="B240" s="40" t="s">
        <v>6039</v>
      </c>
      <c r="C240" s="39">
        <v>0</v>
      </c>
      <c r="E240" s="39">
        <v>0</v>
      </c>
      <c r="F240" s="39">
        <v>1140</v>
      </c>
      <c r="G240" s="39">
        <v>0</v>
      </c>
      <c r="H240" s="39">
        <v>0</v>
      </c>
      <c r="I240" s="39">
        <v>0</v>
      </c>
      <c r="J240" s="39">
        <v>0</v>
      </c>
      <c r="K240" s="39">
        <v>0</v>
      </c>
      <c r="L240" s="39">
        <v>0</v>
      </c>
      <c r="M240" s="39">
        <v>0</v>
      </c>
      <c r="N240" s="39">
        <v>0</v>
      </c>
      <c r="O240" s="39">
        <v>0</v>
      </c>
      <c r="P240" s="39">
        <v>0</v>
      </c>
      <c r="Q240" s="39">
        <v>0</v>
      </c>
      <c r="R240" s="39">
        <v>0</v>
      </c>
      <c r="S240" s="39">
        <v>0</v>
      </c>
      <c r="T240" s="39">
        <v>0</v>
      </c>
      <c r="U240" s="39">
        <v>0</v>
      </c>
      <c r="V240" s="39">
        <v>459</v>
      </c>
      <c r="W240" s="40" t="s">
        <v>7674</v>
      </c>
      <c r="X240" s="39">
        <v>1</v>
      </c>
    </row>
    <row r="241" spans="1:24">
      <c r="A241" s="39">
        <v>594</v>
      </c>
      <c r="B241" s="40" t="s">
        <v>6039</v>
      </c>
      <c r="C241" s="39">
        <v>0</v>
      </c>
      <c r="E241" s="39">
        <v>0</v>
      </c>
      <c r="F241" s="39">
        <v>1140</v>
      </c>
      <c r="G241" s="39">
        <v>0</v>
      </c>
      <c r="H241" s="39">
        <v>1</v>
      </c>
      <c r="I241" s="39">
        <v>1</v>
      </c>
      <c r="J241" s="39">
        <v>0</v>
      </c>
      <c r="K241" s="39">
        <v>0</v>
      </c>
      <c r="L241" s="39">
        <v>0</v>
      </c>
      <c r="M241" s="39">
        <v>0</v>
      </c>
      <c r="N241" s="39">
        <v>0</v>
      </c>
      <c r="O241" s="39">
        <v>0</v>
      </c>
      <c r="P241" s="39">
        <v>0</v>
      </c>
      <c r="Q241" s="39">
        <v>0</v>
      </c>
      <c r="R241" s="39">
        <v>0</v>
      </c>
      <c r="S241" s="39">
        <v>0</v>
      </c>
      <c r="T241" s="39">
        <v>0</v>
      </c>
      <c r="U241" s="39">
        <v>0</v>
      </c>
      <c r="V241" s="39">
        <v>468</v>
      </c>
      <c r="W241" s="40" t="s">
        <v>7677</v>
      </c>
      <c r="X241" s="39">
        <v>1</v>
      </c>
    </row>
    <row r="242" spans="1:24">
      <c r="A242" s="39">
        <v>1027</v>
      </c>
      <c r="B242" s="40" t="s">
        <v>6039</v>
      </c>
      <c r="C242" s="39">
        <v>0</v>
      </c>
      <c r="E242" s="39">
        <v>1</v>
      </c>
      <c r="F242" s="39">
        <v>1140</v>
      </c>
      <c r="G242" s="39">
        <v>0</v>
      </c>
      <c r="H242" s="39">
        <v>0</v>
      </c>
      <c r="I242" s="39">
        <v>0</v>
      </c>
      <c r="J242" s="39">
        <v>0</v>
      </c>
      <c r="K242" s="39">
        <v>0</v>
      </c>
      <c r="L242" s="39">
        <v>0</v>
      </c>
      <c r="M242" s="39">
        <v>0</v>
      </c>
      <c r="N242" s="39">
        <v>0</v>
      </c>
      <c r="O242" s="39">
        <v>0</v>
      </c>
      <c r="P242" s="39">
        <v>0</v>
      </c>
      <c r="Q242" s="39">
        <v>0</v>
      </c>
      <c r="R242" s="39">
        <v>0</v>
      </c>
      <c r="S242" s="39">
        <v>0</v>
      </c>
      <c r="T242" s="39">
        <v>0</v>
      </c>
      <c r="U242" s="39">
        <v>0</v>
      </c>
      <c r="V242" s="39">
        <v>477</v>
      </c>
      <c r="W242" s="40" t="s">
        <v>7697</v>
      </c>
      <c r="X242" s="39">
        <v>1</v>
      </c>
    </row>
    <row r="243" spans="1:24">
      <c r="A243" s="39">
        <v>213</v>
      </c>
      <c r="B243" s="40" t="s">
        <v>6039</v>
      </c>
      <c r="C243" s="39">
        <v>0</v>
      </c>
      <c r="E243" s="39">
        <v>1</v>
      </c>
      <c r="F243" s="39">
        <v>1140</v>
      </c>
      <c r="G243" s="39">
        <v>1</v>
      </c>
      <c r="H243" s="39">
        <v>0</v>
      </c>
      <c r="I243" s="39">
        <v>0</v>
      </c>
      <c r="J243" s="39">
        <v>0</v>
      </c>
      <c r="K243" s="39">
        <v>0</v>
      </c>
      <c r="L243" s="39">
        <v>0</v>
      </c>
      <c r="M243" s="39">
        <v>0</v>
      </c>
      <c r="N243" s="39">
        <v>0</v>
      </c>
      <c r="O243" s="39">
        <v>0</v>
      </c>
      <c r="P243" s="39">
        <v>0</v>
      </c>
      <c r="Q243" s="39">
        <v>0</v>
      </c>
      <c r="R243" s="39">
        <v>0</v>
      </c>
      <c r="S243" s="39">
        <v>0</v>
      </c>
      <c r="T243" s="39">
        <v>0</v>
      </c>
      <c r="U243" s="39">
        <v>0</v>
      </c>
      <c r="V243" s="39">
        <v>590</v>
      </c>
      <c r="W243" s="40" t="s">
        <v>7679</v>
      </c>
      <c r="X243" s="39">
        <v>1</v>
      </c>
    </row>
    <row r="244" spans="1:24">
      <c r="A244" s="39">
        <v>762</v>
      </c>
      <c r="B244" s="40" t="s">
        <v>6039</v>
      </c>
      <c r="C244" s="39">
        <v>0</v>
      </c>
      <c r="E244" s="39">
        <v>0</v>
      </c>
      <c r="F244" s="39">
        <v>1140</v>
      </c>
      <c r="G244" s="39">
        <v>0</v>
      </c>
      <c r="H244" s="39">
        <v>0</v>
      </c>
      <c r="I244" s="39">
        <v>0</v>
      </c>
      <c r="J244" s="39">
        <v>0</v>
      </c>
      <c r="K244" s="39">
        <v>0</v>
      </c>
      <c r="L244" s="39">
        <v>0</v>
      </c>
      <c r="M244" s="39">
        <v>0</v>
      </c>
      <c r="N244" s="39">
        <v>0</v>
      </c>
      <c r="O244" s="39">
        <v>0</v>
      </c>
      <c r="P244" s="39">
        <v>0</v>
      </c>
      <c r="Q244" s="39">
        <v>0</v>
      </c>
      <c r="R244" s="39">
        <v>0</v>
      </c>
      <c r="S244" s="39">
        <v>0</v>
      </c>
      <c r="T244" s="39">
        <v>0</v>
      </c>
      <c r="U244" s="39">
        <v>0</v>
      </c>
      <c r="V244" s="39">
        <v>733</v>
      </c>
      <c r="W244" s="40" t="s">
        <v>7680</v>
      </c>
      <c r="X244" s="39">
        <v>1</v>
      </c>
    </row>
    <row r="245" spans="1:24">
      <c r="A245" s="39">
        <v>82</v>
      </c>
      <c r="B245" s="40" t="s">
        <v>7753</v>
      </c>
      <c r="C245" s="39">
        <v>0</v>
      </c>
      <c r="E245" s="39">
        <v>0</v>
      </c>
      <c r="F245" s="39">
        <v>2066</v>
      </c>
      <c r="G245" s="39">
        <v>0</v>
      </c>
      <c r="H245" s="39">
        <v>0</v>
      </c>
      <c r="I245" s="39">
        <v>0</v>
      </c>
      <c r="J245" s="39">
        <v>0</v>
      </c>
      <c r="K245" s="39">
        <v>0</v>
      </c>
      <c r="L245" s="39">
        <v>0</v>
      </c>
      <c r="M245" s="39">
        <v>0</v>
      </c>
      <c r="N245" s="39">
        <v>0</v>
      </c>
      <c r="O245" s="39">
        <v>0</v>
      </c>
      <c r="P245" s="39">
        <v>0</v>
      </c>
      <c r="Q245" s="39">
        <v>0</v>
      </c>
      <c r="R245" s="39">
        <v>0</v>
      </c>
      <c r="S245" s="39">
        <v>0</v>
      </c>
      <c r="T245" s="39">
        <v>0</v>
      </c>
      <c r="U245" s="39">
        <v>0</v>
      </c>
      <c r="V245" s="39">
        <v>1</v>
      </c>
      <c r="W245" s="40" t="s">
        <v>518</v>
      </c>
      <c r="X245" s="39">
        <v>1</v>
      </c>
    </row>
    <row r="246" spans="1:24">
      <c r="A246" s="39">
        <v>946</v>
      </c>
      <c r="B246" s="40" t="s">
        <v>7753</v>
      </c>
      <c r="C246" s="39">
        <v>0</v>
      </c>
      <c r="E246" s="39">
        <v>0</v>
      </c>
      <c r="F246" s="39">
        <v>2066</v>
      </c>
      <c r="G246" s="39">
        <v>0</v>
      </c>
      <c r="H246" s="39">
        <v>0</v>
      </c>
      <c r="I246" s="39">
        <v>0</v>
      </c>
      <c r="J246" s="39">
        <v>0</v>
      </c>
      <c r="K246" s="39">
        <v>0</v>
      </c>
      <c r="L246" s="39">
        <v>0</v>
      </c>
      <c r="M246" s="39">
        <v>0</v>
      </c>
      <c r="N246" s="39">
        <v>0</v>
      </c>
      <c r="O246" s="39">
        <v>0</v>
      </c>
      <c r="P246" s="39">
        <v>0</v>
      </c>
      <c r="Q246" s="39">
        <v>0</v>
      </c>
      <c r="R246" s="39">
        <v>0</v>
      </c>
      <c r="S246" s="39">
        <v>0</v>
      </c>
      <c r="T246" s="39">
        <v>0</v>
      </c>
      <c r="U246" s="39">
        <v>0</v>
      </c>
      <c r="V246" s="39">
        <v>158</v>
      </c>
      <c r="W246" s="40" t="s">
        <v>7667</v>
      </c>
      <c r="X246" s="39">
        <v>1</v>
      </c>
    </row>
    <row r="247" spans="1:24">
      <c r="A247" s="39">
        <v>1695</v>
      </c>
      <c r="B247" s="40" t="s">
        <v>7753</v>
      </c>
      <c r="C247" s="39">
        <v>0</v>
      </c>
      <c r="E247" s="39">
        <v>0</v>
      </c>
      <c r="F247" s="39">
        <v>2066</v>
      </c>
      <c r="G247" s="39">
        <v>0</v>
      </c>
      <c r="H247" s="39">
        <v>0</v>
      </c>
      <c r="I247" s="39">
        <v>0</v>
      </c>
      <c r="J247" s="39">
        <v>0</v>
      </c>
      <c r="K247" s="39">
        <v>0</v>
      </c>
      <c r="L247" s="39">
        <v>0</v>
      </c>
      <c r="M247" s="39">
        <v>0</v>
      </c>
      <c r="N247" s="39">
        <v>0</v>
      </c>
      <c r="O247" s="39">
        <v>0</v>
      </c>
      <c r="P247" s="39">
        <v>0</v>
      </c>
      <c r="Q247" s="39">
        <v>0</v>
      </c>
      <c r="R247" s="39">
        <v>0</v>
      </c>
      <c r="S247" s="39">
        <v>0</v>
      </c>
      <c r="T247" s="39">
        <v>0</v>
      </c>
      <c r="U247" s="39">
        <v>0</v>
      </c>
      <c r="V247" s="39">
        <v>244</v>
      </c>
      <c r="W247" s="40" t="s">
        <v>682</v>
      </c>
      <c r="X247" s="39">
        <v>1</v>
      </c>
    </row>
    <row r="248" spans="1:24">
      <c r="A248" s="39">
        <v>1355</v>
      </c>
      <c r="B248" s="40" t="s">
        <v>7753</v>
      </c>
      <c r="C248" s="39">
        <v>0</v>
      </c>
      <c r="E248" s="39">
        <v>0</v>
      </c>
      <c r="F248" s="39">
        <v>2066</v>
      </c>
      <c r="G248" s="39">
        <v>0</v>
      </c>
      <c r="H248" s="39">
        <v>0</v>
      </c>
      <c r="I248" s="39">
        <v>0</v>
      </c>
      <c r="J248" s="39">
        <v>0</v>
      </c>
      <c r="K248" s="39">
        <v>0</v>
      </c>
      <c r="L248" s="39">
        <v>0</v>
      </c>
      <c r="M248" s="39">
        <v>0</v>
      </c>
      <c r="N248" s="39">
        <v>0</v>
      </c>
      <c r="O248" s="39">
        <v>0</v>
      </c>
      <c r="P248" s="39">
        <v>0</v>
      </c>
      <c r="Q248" s="39">
        <v>0</v>
      </c>
      <c r="R248" s="39">
        <v>0</v>
      </c>
      <c r="S248" s="39">
        <v>0</v>
      </c>
      <c r="T248" s="39">
        <v>0</v>
      </c>
      <c r="U248" s="39">
        <v>0</v>
      </c>
      <c r="V248" s="39">
        <v>456</v>
      </c>
      <c r="W248" s="40" t="s">
        <v>7673</v>
      </c>
      <c r="X248" s="39">
        <v>1</v>
      </c>
    </row>
    <row r="249" spans="1:24">
      <c r="A249" s="39">
        <v>1124</v>
      </c>
      <c r="B249" s="40" t="s">
        <v>7753</v>
      </c>
      <c r="C249" s="39">
        <v>0</v>
      </c>
      <c r="E249" s="39">
        <v>0</v>
      </c>
      <c r="F249" s="39">
        <v>2066</v>
      </c>
      <c r="G249" s="39">
        <v>0</v>
      </c>
      <c r="H249" s="39">
        <v>0</v>
      </c>
      <c r="I249" s="39">
        <v>0</v>
      </c>
      <c r="J249" s="39">
        <v>0</v>
      </c>
      <c r="K249" s="39">
        <v>0</v>
      </c>
      <c r="L249" s="39">
        <v>0</v>
      </c>
      <c r="M249" s="39">
        <v>0</v>
      </c>
      <c r="N249" s="39">
        <v>0</v>
      </c>
      <c r="O249" s="39">
        <v>0</v>
      </c>
      <c r="P249" s="39">
        <v>0</v>
      </c>
      <c r="Q249" s="39">
        <v>0</v>
      </c>
      <c r="R249" s="39">
        <v>0</v>
      </c>
      <c r="S249" s="39">
        <v>0</v>
      </c>
      <c r="T249" s="39">
        <v>0</v>
      </c>
      <c r="U249" s="39">
        <v>0</v>
      </c>
      <c r="V249" s="39">
        <v>459</v>
      </c>
      <c r="W249" s="40" t="s">
        <v>7674</v>
      </c>
      <c r="X249" s="39">
        <v>1</v>
      </c>
    </row>
    <row r="250" spans="1:24">
      <c r="A250" s="39">
        <v>1028</v>
      </c>
      <c r="B250" s="40" t="s">
        <v>7753</v>
      </c>
      <c r="C250" s="39">
        <v>0</v>
      </c>
      <c r="E250" s="39">
        <v>0</v>
      </c>
      <c r="F250" s="39">
        <v>2066</v>
      </c>
      <c r="G250" s="39">
        <v>0</v>
      </c>
      <c r="H250" s="39">
        <v>0</v>
      </c>
      <c r="I250" s="39">
        <v>0</v>
      </c>
      <c r="J250" s="39">
        <v>0</v>
      </c>
      <c r="K250" s="39">
        <v>0</v>
      </c>
      <c r="L250" s="39">
        <v>0</v>
      </c>
      <c r="M250" s="39">
        <v>0</v>
      </c>
      <c r="N250" s="39">
        <v>0</v>
      </c>
      <c r="O250" s="39">
        <v>0</v>
      </c>
      <c r="P250" s="39">
        <v>0</v>
      </c>
      <c r="Q250" s="39">
        <v>0</v>
      </c>
      <c r="R250" s="39">
        <v>0</v>
      </c>
      <c r="S250" s="39">
        <v>0</v>
      </c>
      <c r="T250" s="39">
        <v>0</v>
      </c>
      <c r="U250" s="39">
        <v>0</v>
      </c>
      <c r="V250" s="39">
        <v>477</v>
      </c>
      <c r="W250" s="40" t="s">
        <v>7697</v>
      </c>
      <c r="X250" s="39">
        <v>1</v>
      </c>
    </row>
    <row r="251" spans="1:24">
      <c r="A251" s="39">
        <v>830</v>
      </c>
      <c r="B251" s="40" t="s">
        <v>7753</v>
      </c>
      <c r="C251" s="39">
        <v>0</v>
      </c>
      <c r="E251" s="39">
        <v>0</v>
      </c>
      <c r="F251" s="39">
        <v>2066</v>
      </c>
      <c r="G251" s="39">
        <v>0</v>
      </c>
      <c r="H251" s="39">
        <v>0</v>
      </c>
      <c r="I251" s="39">
        <v>0</v>
      </c>
      <c r="J251" s="39">
        <v>0</v>
      </c>
      <c r="K251" s="39">
        <v>0</v>
      </c>
      <c r="L251" s="39">
        <v>0</v>
      </c>
      <c r="M251" s="39">
        <v>0</v>
      </c>
      <c r="N251" s="39">
        <v>0</v>
      </c>
      <c r="O251" s="39">
        <v>0</v>
      </c>
      <c r="P251" s="39">
        <v>0</v>
      </c>
      <c r="Q251" s="39">
        <v>0</v>
      </c>
      <c r="R251" s="39">
        <v>0</v>
      </c>
      <c r="S251" s="39">
        <v>0</v>
      </c>
      <c r="T251" s="39">
        <v>0</v>
      </c>
      <c r="U251" s="39">
        <v>0</v>
      </c>
      <c r="V251" s="39">
        <v>733</v>
      </c>
      <c r="W251" s="40" t="s">
        <v>7680</v>
      </c>
      <c r="X251" s="39">
        <v>1</v>
      </c>
    </row>
    <row r="252" spans="1:24">
      <c r="A252" s="39">
        <v>158</v>
      </c>
      <c r="B252" s="40" t="s">
        <v>7754</v>
      </c>
      <c r="C252" s="39">
        <v>0</v>
      </c>
      <c r="E252" s="39">
        <v>0</v>
      </c>
      <c r="F252" s="39">
        <v>1830</v>
      </c>
      <c r="G252" s="39">
        <v>0</v>
      </c>
      <c r="H252" s="39">
        <v>0</v>
      </c>
      <c r="I252" s="39">
        <v>0</v>
      </c>
      <c r="J252" s="39">
        <v>0</v>
      </c>
      <c r="K252" s="39">
        <v>0</v>
      </c>
      <c r="L252" s="39">
        <v>0</v>
      </c>
      <c r="M252" s="39">
        <v>0</v>
      </c>
      <c r="N252" s="39">
        <v>0</v>
      </c>
      <c r="O252" s="39">
        <v>0</v>
      </c>
      <c r="P252" s="39">
        <v>0</v>
      </c>
      <c r="Q252" s="39">
        <v>0</v>
      </c>
      <c r="R252" s="39">
        <v>0</v>
      </c>
      <c r="S252" s="39">
        <v>0</v>
      </c>
      <c r="T252" s="39">
        <v>0</v>
      </c>
      <c r="U252" s="39">
        <v>0</v>
      </c>
      <c r="V252" s="39">
        <v>1</v>
      </c>
      <c r="W252" s="40" t="s">
        <v>518</v>
      </c>
      <c r="X252" s="39">
        <v>1</v>
      </c>
    </row>
    <row r="253" spans="1:24">
      <c r="A253" s="39">
        <v>1769</v>
      </c>
      <c r="B253" s="40" t="s">
        <v>7754</v>
      </c>
      <c r="C253" s="39">
        <v>0</v>
      </c>
      <c r="E253" s="39">
        <v>0</v>
      </c>
      <c r="F253" s="39">
        <v>1830</v>
      </c>
      <c r="G253" s="39">
        <v>0</v>
      </c>
      <c r="H253" s="39">
        <v>0</v>
      </c>
      <c r="I253" s="39">
        <v>0</v>
      </c>
      <c r="J253" s="39">
        <v>0</v>
      </c>
      <c r="K253" s="39">
        <v>0</v>
      </c>
      <c r="L253" s="39">
        <v>0</v>
      </c>
      <c r="M253" s="39">
        <v>0</v>
      </c>
      <c r="N253" s="39">
        <v>0</v>
      </c>
      <c r="O253" s="39">
        <v>0</v>
      </c>
      <c r="P253" s="39">
        <v>0</v>
      </c>
      <c r="Q253" s="39">
        <v>0</v>
      </c>
      <c r="R253" s="39">
        <v>0</v>
      </c>
      <c r="S253" s="39">
        <v>0</v>
      </c>
      <c r="T253" s="39">
        <v>0</v>
      </c>
      <c r="U253" s="39">
        <v>0</v>
      </c>
      <c r="V253" s="39">
        <v>244</v>
      </c>
      <c r="W253" s="40" t="s">
        <v>682</v>
      </c>
      <c r="X253" s="39">
        <v>1</v>
      </c>
    </row>
    <row r="254" spans="1:24">
      <c r="A254" s="39">
        <v>1430</v>
      </c>
      <c r="B254" s="40" t="s">
        <v>7754</v>
      </c>
      <c r="C254" s="39">
        <v>0</v>
      </c>
      <c r="E254" s="39">
        <v>0</v>
      </c>
      <c r="F254" s="39">
        <v>1830</v>
      </c>
      <c r="G254" s="39">
        <v>0</v>
      </c>
      <c r="H254" s="39">
        <v>0</v>
      </c>
      <c r="I254" s="39">
        <v>0</v>
      </c>
      <c r="J254" s="39">
        <v>0</v>
      </c>
      <c r="K254" s="39">
        <v>0</v>
      </c>
      <c r="L254" s="39">
        <v>0</v>
      </c>
      <c r="M254" s="39">
        <v>0</v>
      </c>
      <c r="N254" s="39">
        <v>0</v>
      </c>
      <c r="O254" s="39">
        <v>0</v>
      </c>
      <c r="P254" s="39">
        <v>0</v>
      </c>
      <c r="Q254" s="39">
        <v>0</v>
      </c>
      <c r="R254" s="39">
        <v>0</v>
      </c>
      <c r="S254" s="39">
        <v>0</v>
      </c>
      <c r="T254" s="39">
        <v>0</v>
      </c>
      <c r="U254" s="39">
        <v>0</v>
      </c>
      <c r="V254" s="39">
        <v>456</v>
      </c>
      <c r="W254" s="40" t="s">
        <v>7673</v>
      </c>
      <c r="X254" s="39">
        <v>1</v>
      </c>
    </row>
    <row r="255" spans="1:24">
      <c r="A255" s="39">
        <v>655</v>
      </c>
      <c r="B255" s="40" t="s">
        <v>522</v>
      </c>
      <c r="C255" s="39">
        <v>0</v>
      </c>
      <c r="D255" s="40" t="s">
        <v>7755</v>
      </c>
      <c r="E255" s="39">
        <v>0</v>
      </c>
      <c r="F255" s="39">
        <v>2055</v>
      </c>
      <c r="G255" s="39">
        <v>0</v>
      </c>
      <c r="H255" s="39">
        <v>0</v>
      </c>
      <c r="I255" s="39">
        <v>0</v>
      </c>
      <c r="J255" s="39">
        <v>0</v>
      </c>
      <c r="K255" s="39">
        <v>0</v>
      </c>
      <c r="L255" s="39">
        <v>0</v>
      </c>
      <c r="M255" s="39">
        <v>0</v>
      </c>
      <c r="N255" s="39">
        <v>0</v>
      </c>
      <c r="O255" s="39">
        <v>0</v>
      </c>
      <c r="P255" s="39">
        <v>0</v>
      </c>
      <c r="Q255" s="39">
        <v>0</v>
      </c>
      <c r="R255" s="39">
        <v>0</v>
      </c>
      <c r="S255" s="39">
        <v>0</v>
      </c>
      <c r="T255" s="39">
        <v>0</v>
      </c>
      <c r="U255" s="39">
        <v>0</v>
      </c>
      <c r="V255" s="39">
        <v>228</v>
      </c>
      <c r="W255" s="40" t="s">
        <v>7669</v>
      </c>
      <c r="X255" s="39">
        <v>1</v>
      </c>
    </row>
    <row r="256" spans="1:24">
      <c r="A256" s="39">
        <v>294</v>
      </c>
      <c r="B256" s="40" t="s">
        <v>522</v>
      </c>
      <c r="C256" s="39">
        <v>0</v>
      </c>
      <c r="D256" s="40" t="s">
        <v>7756</v>
      </c>
      <c r="E256" s="39">
        <v>0</v>
      </c>
      <c r="F256" s="39">
        <v>2055</v>
      </c>
      <c r="G256" s="39">
        <v>0</v>
      </c>
      <c r="H256" s="39">
        <v>0</v>
      </c>
      <c r="I256" s="39">
        <v>0</v>
      </c>
      <c r="J256" s="39">
        <v>0</v>
      </c>
      <c r="K256" s="39">
        <v>0</v>
      </c>
      <c r="L256" s="39">
        <v>0</v>
      </c>
      <c r="M256" s="39">
        <v>0</v>
      </c>
      <c r="N256" s="39">
        <v>0</v>
      </c>
      <c r="O256" s="39">
        <v>0</v>
      </c>
      <c r="P256" s="39">
        <v>0</v>
      </c>
      <c r="Q256" s="39">
        <v>0</v>
      </c>
      <c r="R256" s="39">
        <v>0</v>
      </c>
      <c r="S256" s="39">
        <v>0</v>
      </c>
      <c r="T256" s="39">
        <v>0</v>
      </c>
      <c r="U256" s="39">
        <v>0</v>
      </c>
      <c r="V256" s="39">
        <v>590</v>
      </c>
      <c r="W256" s="40" t="s">
        <v>7679</v>
      </c>
      <c r="X256" s="39">
        <v>1</v>
      </c>
    </row>
    <row r="257" spans="1:24">
      <c r="A257" s="39">
        <v>136</v>
      </c>
      <c r="B257" s="40" t="s">
        <v>2412</v>
      </c>
      <c r="C257" s="39">
        <v>0</v>
      </c>
      <c r="E257" s="39">
        <v>1</v>
      </c>
      <c r="F257" s="39">
        <v>845</v>
      </c>
      <c r="G257" s="39">
        <v>1</v>
      </c>
      <c r="H257" s="39">
        <v>1</v>
      </c>
      <c r="I257" s="39">
        <v>1</v>
      </c>
      <c r="J257" s="39">
        <v>1</v>
      </c>
      <c r="K257" s="39">
        <v>0</v>
      </c>
      <c r="L257" s="39">
        <v>0</v>
      </c>
      <c r="M257" s="39">
        <v>0</v>
      </c>
      <c r="N257" s="39">
        <v>0</v>
      </c>
      <c r="O257" s="39">
        <v>0</v>
      </c>
      <c r="P257" s="39">
        <v>0</v>
      </c>
      <c r="Q257" s="39">
        <v>0</v>
      </c>
      <c r="R257" s="39">
        <v>0</v>
      </c>
      <c r="S257" s="39">
        <v>0</v>
      </c>
      <c r="T257" s="39">
        <v>0</v>
      </c>
      <c r="U257" s="39">
        <v>0</v>
      </c>
      <c r="V257" s="39">
        <v>1</v>
      </c>
      <c r="W257" s="40" t="s">
        <v>518</v>
      </c>
      <c r="X257" s="39">
        <v>1</v>
      </c>
    </row>
    <row r="258" spans="1:24">
      <c r="A258" s="39">
        <v>48</v>
      </c>
      <c r="B258" s="40" t="s">
        <v>2412</v>
      </c>
      <c r="C258" s="39">
        <v>0</v>
      </c>
      <c r="D258" s="40" t="s">
        <v>7757</v>
      </c>
      <c r="E258" s="39">
        <v>1</v>
      </c>
      <c r="F258" s="39">
        <v>80</v>
      </c>
      <c r="G258" s="39">
        <v>0</v>
      </c>
      <c r="H258" s="39">
        <v>1</v>
      </c>
      <c r="I258" s="39">
        <v>1</v>
      </c>
      <c r="J258" s="39">
        <v>1</v>
      </c>
      <c r="K258" s="39">
        <v>0</v>
      </c>
      <c r="L258" s="39">
        <v>0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39">
        <v>0</v>
      </c>
      <c r="S258" s="39">
        <v>0</v>
      </c>
      <c r="T258" s="39">
        <v>0</v>
      </c>
      <c r="U258" s="39">
        <v>0</v>
      </c>
      <c r="V258" s="39">
        <v>2</v>
      </c>
      <c r="W258" s="40" t="s">
        <v>40</v>
      </c>
      <c r="X258" s="39">
        <v>1</v>
      </c>
    </row>
    <row r="259" spans="1:24">
      <c r="A259" s="39">
        <v>947</v>
      </c>
      <c r="B259" s="40" t="s">
        <v>2412</v>
      </c>
      <c r="C259" s="39">
        <v>0</v>
      </c>
      <c r="E259" s="39">
        <v>1</v>
      </c>
      <c r="F259" s="39">
        <v>840</v>
      </c>
      <c r="G259" s="39">
        <v>1</v>
      </c>
      <c r="H259" s="39">
        <v>0</v>
      </c>
      <c r="I259" s="39">
        <v>0</v>
      </c>
      <c r="J259" s="39">
        <v>0</v>
      </c>
      <c r="K259" s="39">
        <v>0</v>
      </c>
      <c r="L259" s="39">
        <v>0</v>
      </c>
      <c r="M259" s="39">
        <v>0</v>
      </c>
      <c r="N259" s="39">
        <v>0</v>
      </c>
      <c r="O259" s="39">
        <v>0</v>
      </c>
      <c r="P259" s="39">
        <v>0</v>
      </c>
      <c r="Q259" s="39">
        <v>0</v>
      </c>
      <c r="R259" s="39">
        <v>0</v>
      </c>
      <c r="S259" s="39">
        <v>0</v>
      </c>
      <c r="T259" s="39">
        <v>0</v>
      </c>
      <c r="U259" s="39">
        <v>0</v>
      </c>
      <c r="V259" s="39">
        <v>158</v>
      </c>
      <c r="W259" s="40" t="s">
        <v>7667</v>
      </c>
      <c r="X259" s="39">
        <v>1</v>
      </c>
    </row>
    <row r="260" spans="1:24">
      <c r="A260" s="39">
        <v>438</v>
      </c>
      <c r="B260" s="40" t="s">
        <v>2412</v>
      </c>
      <c r="C260" s="39">
        <v>0</v>
      </c>
      <c r="E260" s="39">
        <v>1</v>
      </c>
      <c r="F260" s="39">
        <v>840</v>
      </c>
      <c r="G260" s="39">
        <v>0</v>
      </c>
      <c r="H260" s="39">
        <v>0</v>
      </c>
      <c r="I260" s="39">
        <v>0</v>
      </c>
      <c r="J260" s="39">
        <v>0</v>
      </c>
      <c r="K260" s="39">
        <v>0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39">
        <v>0</v>
      </c>
      <c r="S260" s="39">
        <v>0</v>
      </c>
      <c r="T260" s="39">
        <v>0</v>
      </c>
      <c r="U260" s="39">
        <v>0</v>
      </c>
      <c r="V260" s="39">
        <v>175</v>
      </c>
      <c r="W260" s="40" t="s">
        <v>7689</v>
      </c>
      <c r="X260" s="39">
        <v>1</v>
      </c>
    </row>
    <row r="261" spans="1:24">
      <c r="A261" s="39">
        <v>331</v>
      </c>
      <c r="B261" s="40" t="s">
        <v>2412</v>
      </c>
      <c r="C261" s="39">
        <v>0</v>
      </c>
      <c r="E261" s="39">
        <v>1</v>
      </c>
      <c r="F261" s="39">
        <v>840</v>
      </c>
      <c r="G261" s="39">
        <v>0</v>
      </c>
      <c r="H261" s="39">
        <v>0</v>
      </c>
      <c r="I261" s="39">
        <v>0</v>
      </c>
      <c r="J261" s="39">
        <v>0</v>
      </c>
      <c r="K261" s="39">
        <v>0</v>
      </c>
      <c r="L261" s="39">
        <v>0</v>
      </c>
      <c r="M261" s="39">
        <v>0</v>
      </c>
      <c r="N261" s="39">
        <v>0</v>
      </c>
      <c r="O261" s="39">
        <v>0</v>
      </c>
      <c r="P261" s="39">
        <v>0</v>
      </c>
      <c r="Q261" s="39">
        <v>0</v>
      </c>
      <c r="R261" s="39">
        <v>0</v>
      </c>
      <c r="S261" s="39">
        <v>0</v>
      </c>
      <c r="T261" s="39">
        <v>0</v>
      </c>
      <c r="U261" s="39">
        <v>0</v>
      </c>
      <c r="V261" s="39">
        <v>228</v>
      </c>
      <c r="W261" s="40" t="s">
        <v>7669</v>
      </c>
      <c r="X261" s="39">
        <v>1</v>
      </c>
    </row>
    <row r="262" spans="1:24">
      <c r="A262" s="39">
        <v>1747</v>
      </c>
      <c r="B262" s="40" t="s">
        <v>2412</v>
      </c>
      <c r="C262" s="39">
        <v>0</v>
      </c>
      <c r="E262" s="39">
        <v>1</v>
      </c>
      <c r="F262" s="39">
        <v>845</v>
      </c>
      <c r="G262" s="39">
        <v>1</v>
      </c>
      <c r="H262" s="39">
        <v>1</v>
      </c>
      <c r="I262" s="39">
        <v>1</v>
      </c>
      <c r="J262" s="39">
        <v>1</v>
      </c>
      <c r="K262" s="39">
        <v>0</v>
      </c>
      <c r="L262" s="39">
        <v>0</v>
      </c>
      <c r="M262" s="39">
        <v>0</v>
      </c>
      <c r="N262" s="39">
        <v>0</v>
      </c>
      <c r="O262" s="39">
        <v>0</v>
      </c>
      <c r="P262" s="39">
        <v>0</v>
      </c>
      <c r="Q262" s="39">
        <v>0</v>
      </c>
      <c r="R262" s="39">
        <v>0</v>
      </c>
      <c r="S262" s="39">
        <v>0</v>
      </c>
      <c r="T262" s="39">
        <v>0</v>
      </c>
      <c r="U262" s="39">
        <v>0</v>
      </c>
      <c r="V262" s="39">
        <v>244</v>
      </c>
      <c r="W262" s="40" t="s">
        <v>682</v>
      </c>
      <c r="X262" s="39">
        <v>1</v>
      </c>
    </row>
    <row r="263" spans="1:24">
      <c r="A263" s="39">
        <v>1211</v>
      </c>
      <c r="B263" s="40" t="s">
        <v>2412</v>
      </c>
      <c r="C263" s="39">
        <v>0</v>
      </c>
      <c r="E263" s="39">
        <v>1</v>
      </c>
      <c r="F263" s="39">
        <v>840</v>
      </c>
      <c r="G263" s="39">
        <v>1</v>
      </c>
      <c r="H263" s="39">
        <v>1</v>
      </c>
      <c r="I263" s="39">
        <v>1</v>
      </c>
      <c r="J263" s="39">
        <v>0</v>
      </c>
      <c r="K263" s="39">
        <v>0</v>
      </c>
      <c r="L263" s="39">
        <v>0</v>
      </c>
      <c r="M263" s="39">
        <v>0</v>
      </c>
      <c r="N263" s="39">
        <v>0</v>
      </c>
      <c r="O263" s="39">
        <v>0</v>
      </c>
      <c r="P263" s="39">
        <v>0</v>
      </c>
      <c r="Q263" s="39">
        <v>0</v>
      </c>
      <c r="R263" s="39">
        <v>0</v>
      </c>
      <c r="S263" s="39">
        <v>0</v>
      </c>
      <c r="T263" s="39">
        <v>0</v>
      </c>
      <c r="U263" s="39">
        <v>0</v>
      </c>
      <c r="V263" s="39">
        <v>418</v>
      </c>
      <c r="W263" s="40" t="s">
        <v>7671</v>
      </c>
      <c r="X263" s="39">
        <v>1</v>
      </c>
    </row>
    <row r="264" spans="1:24">
      <c r="A264" s="39">
        <v>1408</v>
      </c>
      <c r="B264" s="40" t="s">
        <v>2412</v>
      </c>
      <c r="C264" s="39">
        <v>0</v>
      </c>
      <c r="E264" s="39">
        <v>1</v>
      </c>
      <c r="F264" s="39">
        <v>845</v>
      </c>
      <c r="G264" s="39">
        <v>1</v>
      </c>
      <c r="H264" s="39">
        <v>1</v>
      </c>
      <c r="I264" s="39">
        <v>1</v>
      </c>
      <c r="J264" s="39">
        <v>1</v>
      </c>
      <c r="K264" s="39">
        <v>0</v>
      </c>
      <c r="L264" s="39">
        <v>0</v>
      </c>
      <c r="M264" s="39">
        <v>0</v>
      </c>
      <c r="N264" s="39">
        <v>0</v>
      </c>
      <c r="O264" s="39">
        <v>0</v>
      </c>
      <c r="P264" s="39">
        <v>0</v>
      </c>
      <c r="Q264" s="39">
        <v>0</v>
      </c>
      <c r="R264" s="39">
        <v>0</v>
      </c>
      <c r="S264" s="39">
        <v>0</v>
      </c>
      <c r="T264" s="39">
        <v>0</v>
      </c>
      <c r="U264" s="39">
        <v>0</v>
      </c>
      <c r="V264" s="39">
        <v>456</v>
      </c>
      <c r="W264" s="40" t="s">
        <v>7673</v>
      </c>
      <c r="X264" s="39">
        <v>1</v>
      </c>
    </row>
    <row r="265" spans="1:24">
      <c r="A265" s="39">
        <v>890</v>
      </c>
      <c r="B265" s="40" t="s">
        <v>2412</v>
      </c>
      <c r="C265" s="39">
        <v>0</v>
      </c>
      <c r="E265" s="39">
        <v>1</v>
      </c>
      <c r="F265" s="39">
        <v>840</v>
      </c>
      <c r="G265" s="39">
        <v>1</v>
      </c>
      <c r="H265" s="39">
        <v>0</v>
      </c>
      <c r="I265" s="39">
        <v>0</v>
      </c>
      <c r="J265" s="39">
        <v>1</v>
      </c>
      <c r="K265" s="39">
        <v>0</v>
      </c>
      <c r="L265" s="39">
        <v>0</v>
      </c>
      <c r="M265" s="39">
        <v>0</v>
      </c>
      <c r="N265" s="39">
        <v>0</v>
      </c>
      <c r="O265" s="39">
        <v>0</v>
      </c>
      <c r="P265" s="39">
        <v>0</v>
      </c>
      <c r="Q265" s="39">
        <v>0</v>
      </c>
      <c r="R265" s="39">
        <v>0</v>
      </c>
      <c r="S265" s="39">
        <v>0</v>
      </c>
      <c r="T265" s="39">
        <v>0</v>
      </c>
      <c r="U265" s="39">
        <v>0</v>
      </c>
      <c r="V265" s="39">
        <v>458</v>
      </c>
      <c r="W265" s="40" t="s">
        <v>7694</v>
      </c>
      <c r="X265" s="39">
        <v>1</v>
      </c>
    </row>
    <row r="266" spans="1:24">
      <c r="A266" s="39">
        <v>1125</v>
      </c>
      <c r="B266" s="40" t="s">
        <v>2412</v>
      </c>
      <c r="C266" s="39">
        <v>0</v>
      </c>
      <c r="E266" s="39">
        <v>1</v>
      </c>
      <c r="F266" s="39">
        <v>840</v>
      </c>
      <c r="G266" s="39">
        <v>0</v>
      </c>
      <c r="H266" s="39">
        <v>0</v>
      </c>
      <c r="I266" s="39">
        <v>0</v>
      </c>
      <c r="J266" s="39">
        <v>0</v>
      </c>
      <c r="K266" s="39">
        <v>0</v>
      </c>
      <c r="L266" s="39">
        <v>0</v>
      </c>
      <c r="M266" s="39">
        <v>0</v>
      </c>
      <c r="N266" s="39">
        <v>0</v>
      </c>
      <c r="O266" s="39">
        <v>0</v>
      </c>
      <c r="P266" s="39">
        <v>0</v>
      </c>
      <c r="Q266" s="39">
        <v>0</v>
      </c>
      <c r="R266" s="39">
        <v>0</v>
      </c>
      <c r="S266" s="39">
        <v>0</v>
      </c>
      <c r="T266" s="39">
        <v>0</v>
      </c>
      <c r="U266" s="39">
        <v>0</v>
      </c>
      <c r="V266" s="39">
        <v>459</v>
      </c>
      <c r="W266" s="40" t="s">
        <v>7674</v>
      </c>
      <c r="X266" s="39">
        <v>1</v>
      </c>
    </row>
    <row r="267" spans="1:24">
      <c r="A267" s="39">
        <v>595</v>
      </c>
      <c r="B267" s="40" t="s">
        <v>2412</v>
      </c>
      <c r="C267" s="39">
        <v>0</v>
      </c>
      <c r="E267" s="39">
        <v>1</v>
      </c>
      <c r="F267" s="39">
        <v>840</v>
      </c>
      <c r="G267" s="39">
        <v>1</v>
      </c>
      <c r="H267" s="39">
        <v>1</v>
      </c>
      <c r="I267" s="39">
        <v>1</v>
      </c>
      <c r="J267" s="39">
        <v>0</v>
      </c>
      <c r="K267" s="39">
        <v>0</v>
      </c>
      <c r="L267" s="39">
        <v>0</v>
      </c>
      <c r="M267" s="39">
        <v>0</v>
      </c>
      <c r="N267" s="39">
        <v>0</v>
      </c>
      <c r="O267" s="39">
        <v>0</v>
      </c>
      <c r="P267" s="39">
        <v>0</v>
      </c>
      <c r="Q267" s="39">
        <v>0</v>
      </c>
      <c r="R267" s="39">
        <v>0</v>
      </c>
      <c r="S267" s="39">
        <v>0</v>
      </c>
      <c r="T267" s="39">
        <v>0</v>
      </c>
      <c r="U267" s="39">
        <v>0</v>
      </c>
      <c r="V267" s="39">
        <v>468</v>
      </c>
      <c r="W267" s="40" t="s">
        <v>7677</v>
      </c>
      <c r="X267" s="39">
        <v>1</v>
      </c>
    </row>
    <row r="268" spans="1:24">
      <c r="A268" s="39">
        <v>1029</v>
      </c>
      <c r="B268" s="40" t="s">
        <v>2412</v>
      </c>
      <c r="C268" s="39">
        <v>0</v>
      </c>
      <c r="E268" s="39">
        <v>1</v>
      </c>
      <c r="F268" s="39">
        <v>840</v>
      </c>
      <c r="G268" s="39">
        <v>1</v>
      </c>
      <c r="H268" s="39">
        <v>1</v>
      </c>
      <c r="I268" s="39">
        <v>1</v>
      </c>
      <c r="J268" s="39">
        <v>0</v>
      </c>
      <c r="K268" s="39">
        <v>0</v>
      </c>
      <c r="L268" s="39">
        <v>0</v>
      </c>
      <c r="M268" s="39">
        <v>0</v>
      </c>
      <c r="N268" s="39">
        <v>0</v>
      </c>
      <c r="O268" s="39">
        <v>0</v>
      </c>
      <c r="P268" s="39">
        <v>0</v>
      </c>
      <c r="Q268" s="39">
        <v>0</v>
      </c>
      <c r="R268" s="39">
        <v>0</v>
      </c>
      <c r="S268" s="39">
        <v>0</v>
      </c>
      <c r="T268" s="39">
        <v>0</v>
      </c>
      <c r="U268" s="39">
        <v>0</v>
      </c>
      <c r="V268" s="39">
        <v>477</v>
      </c>
      <c r="W268" s="40" t="s">
        <v>7697</v>
      </c>
      <c r="X268" s="39">
        <v>1</v>
      </c>
    </row>
    <row r="269" spans="1:24">
      <c r="A269" s="39">
        <v>214</v>
      </c>
      <c r="B269" s="40" t="s">
        <v>2412</v>
      </c>
      <c r="C269" s="39">
        <v>0</v>
      </c>
      <c r="E269" s="39">
        <v>1</v>
      </c>
      <c r="F269" s="39">
        <v>840</v>
      </c>
      <c r="G269" s="39">
        <v>0</v>
      </c>
      <c r="H269" s="39">
        <v>0</v>
      </c>
      <c r="I269" s="39">
        <v>0</v>
      </c>
      <c r="J269" s="39">
        <v>0</v>
      </c>
      <c r="K269" s="39">
        <v>0</v>
      </c>
      <c r="L269" s="39">
        <v>0</v>
      </c>
      <c r="M269" s="39">
        <v>0</v>
      </c>
      <c r="N269" s="39">
        <v>0</v>
      </c>
      <c r="O269" s="39">
        <v>0</v>
      </c>
      <c r="P269" s="39">
        <v>0</v>
      </c>
      <c r="Q269" s="39">
        <v>0</v>
      </c>
      <c r="R269" s="39">
        <v>0</v>
      </c>
      <c r="S269" s="39">
        <v>0</v>
      </c>
      <c r="T269" s="39">
        <v>0</v>
      </c>
      <c r="U269" s="39">
        <v>0</v>
      </c>
      <c r="V269" s="39">
        <v>590</v>
      </c>
      <c r="W269" s="40" t="s">
        <v>7679</v>
      </c>
      <c r="X269" s="39">
        <v>1</v>
      </c>
    </row>
    <row r="270" spans="1:24">
      <c r="A270" s="39">
        <v>763</v>
      </c>
      <c r="B270" s="40" t="s">
        <v>2412</v>
      </c>
      <c r="C270" s="39">
        <v>0</v>
      </c>
      <c r="E270" s="39">
        <v>1</v>
      </c>
      <c r="F270" s="39">
        <v>845</v>
      </c>
      <c r="G270" s="39">
        <v>1</v>
      </c>
      <c r="H270" s="39">
        <v>1</v>
      </c>
      <c r="I270" s="39">
        <v>1</v>
      </c>
      <c r="J270" s="39">
        <v>1</v>
      </c>
      <c r="K270" s="39">
        <v>0</v>
      </c>
      <c r="L270" s="39">
        <v>0</v>
      </c>
      <c r="M270" s="39">
        <v>0</v>
      </c>
      <c r="N270" s="39">
        <v>0</v>
      </c>
      <c r="O270" s="39">
        <v>0</v>
      </c>
      <c r="P270" s="39">
        <v>0</v>
      </c>
      <c r="Q270" s="39">
        <v>0</v>
      </c>
      <c r="R270" s="39">
        <v>0</v>
      </c>
      <c r="S270" s="39">
        <v>0</v>
      </c>
      <c r="T270" s="39">
        <v>0</v>
      </c>
      <c r="U270" s="39">
        <v>0</v>
      </c>
      <c r="V270" s="39">
        <v>733</v>
      </c>
      <c r="W270" s="40" t="s">
        <v>7680</v>
      </c>
      <c r="X270" s="39">
        <v>1</v>
      </c>
    </row>
    <row r="271" spans="1:24">
      <c r="A271" s="39">
        <v>656</v>
      </c>
      <c r="B271" s="40" t="s">
        <v>559</v>
      </c>
      <c r="C271" s="39">
        <v>0</v>
      </c>
      <c r="D271" s="40" t="s">
        <v>7758</v>
      </c>
      <c r="E271" s="39">
        <v>0</v>
      </c>
      <c r="F271" s="39">
        <v>2054</v>
      </c>
      <c r="G271" s="39">
        <v>0</v>
      </c>
      <c r="H271" s="39">
        <v>0</v>
      </c>
      <c r="I271" s="39">
        <v>0</v>
      </c>
      <c r="J271" s="39">
        <v>0</v>
      </c>
      <c r="K271" s="39">
        <v>0</v>
      </c>
      <c r="L271" s="39">
        <v>0</v>
      </c>
      <c r="M271" s="39">
        <v>0</v>
      </c>
      <c r="N271" s="39">
        <v>0</v>
      </c>
      <c r="O271" s="39">
        <v>0</v>
      </c>
      <c r="P271" s="39">
        <v>0</v>
      </c>
      <c r="Q271" s="39">
        <v>0</v>
      </c>
      <c r="R271" s="39">
        <v>0</v>
      </c>
      <c r="S271" s="39">
        <v>0</v>
      </c>
      <c r="T271" s="39">
        <v>0</v>
      </c>
      <c r="U271" s="39">
        <v>0</v>
      </c>
      <c r="V271" s="39">
        <v>228</v>
      </c>
      <c r="W271" s="40" t="s">
        <v>7669</v>
      </c>
      <c r="X271" s="39">
        <v>1</v>
      </c>
    </row>
    <row r="272" spans="1:24">
      <c r="A272" s="39">
        <v>295</v>
      </c>
      <c r="B272" s="40" t="s">
        <v>559</v>
      </c>
      <c r="C272" s="39">
        <v>0</v>
      </c>
      <c r="D272" s="40" t="s">
        <v>7759</v>
      </c>
      <c r="E272" s="39">
        <v>0</v>
      </c>
      <c r="F272" s="39">
        <v>2054</v>
      </c>
      <c r="G272" s="39">
        <v>0</v>
      </c>
      <c r="H272" s="39">
        <v>0</v>
      </c>
      <c r="I272" s="39">
        <v>0</v>
      </c>
      <c r="J272" s="39">
        <v>0</v>
      </c>
      <c r="K272" s="39">
        <v>0</v>
      </c>
      <c r="L272" s="39">
        <v>0</v>
      </c>
      <c r="M272" s="39">
        <v>0</v>
      </c>
      <c r="N272" s="39">
        <v>0</v>
      </c>
      <c r="O272" s="39">
        <v>0</v>
      </c>
      <c r="P272" s="39">
        <v>0</v>
      </c>
      <c r="Q272" s="39">
        <v>0</v>
      </c>
      <c r="R272" s="39">
        <v>0</v>
      </c>
      <c r="S272" s="39">
        <v>0</v>
      </c>
      <c r="T272" s="39">
        <v>0</v>
      </c>
      <c r="U272" s="39">
        <v>0</v>
      </c>
      <c r="V272" s="39">
        <v>590</v>
      </c>
      <c r="W272" s="40" t="s">
        <v>7679</v>
      </c>
      <c r="X272" s="39">
        <v>1</v>
      </c>
    </row>
    <row r="273" spans="1:24">
      <c r="A273" s="39">
        <v>657</v>
      </c>
      <c r="B273" s="40" t="s">
        <v>557</v>
      </c>
      <c r="C273" s="39">
        <v>0</v>
      </c>
      <c r="D273" s="40" t="s">
        <v>7760</v>
      </c>
      <c r="E273" s="39">
        <v>0</v>
      </c>
      <c r="F273" s="39">
        <v>2067</v>
      </c>
      <c r="G273" s="39">
        <v>0</v>
      </c>
      <c r="H273" s="39">
        <v>0</v>
      </c>
      <c r="I273" s="39">
        <v>0</v>
      </c>
      <c r="J273" s="39">
        <v>0</v>
      </c>
      <c r="K273" s="39">
        <v>0</v>
      </c>
      <c r="L273" s="39">
        <v>0</v>
      </c>
      <c r="M273" s="39">
        <v>0</v>
      </c>
      <c r="N273" s="39">
        <v>0</v>
      </c>
      <c r="O273" s="39">
        <v>0</v>
      </c>
      <c r="P273" s="39">
        <v>0</v>
      </c>
      <c r="Q273" s="39">
        <v>0</v>
      </c>
      <c r="R273" s="39">
        <v>0</v>
      </c>
      <c r="S273" s="39">
        <v>0</v>
      </c>
      <c r="T273" s="39">
        <v>0</v>
      </c>
      <c r="U273" s="39">
        <v>0</v>
      </c>
      <c r="V273" s="39">
        <v>228</v>
      </c>
      <c r="W273" s="40" t="s">
        <v>7669</v>
      </c>
      <c r="X273" s="39">
        <v>1</v>
      </c>
    </row>
    <row r="274" spans="1:24">
      <c r="A274" s="39">
        <v>2012</v>
      </c>
      <c r="B274" s="40" t="s">
        <v>7761</v>
      </c>
      <c r="C274" s="39">
        <v>0</v>
      </c>
      <c r="D274" s="40" t="s">
        <v>7762</v>
      </c>
      <c r="E274" s="39">
        <v>0</v>
      </c>
      <c r="F274" s="39">
        <v>15</v>
      </c>
      <c r="G274" s="39">
        <v>0</v>
      </c>
      <c r="H274" s="39">
        <v>0</v>
      </c>
      <c r="I274" s="39">
        <v>0</v>
      </c>
      <c r="J274" s="39">
        <v>0</v>
      </c>
      <c r="K274" s="39">
        <v>0</v>
      </c>
      <c r="L274" s="39">
        <v>0</v>
      </c>
      <c r="M274" s="39">
        <v>0</v>
      </c>
      <c r="N274" s="39">
        <v>0</v>
      </c>
      <c r="O274" s="39">
        <v>0</v>
      </c>
      <c r="P274" s="39">
        <v>0</v>
      </c>
      <c r="Q274" s="39">
        <v>0</v>
      </c>
      <c r="R274" s="39">
        <v>0</v>
      </c>
      <c r="S274" s="39">
        <v>0</v>
      </c>
      <c r="T274" s="39">
        <v>0</v>
      </c>
      <c r="U274" s="39">
        <v>0</v>
      </c>
      <c r="V274" s="39">
        <v>2</v>
      </c>
      <c r="W274" s="40" t="s">
        <v>40</v>
      </c>
      <c r="X274" s="39">
        <v>1</v>
      </c>
    </row>
    <row r="275" spans="1:24">
      <c r="A275" s="39">
        <v>423</v>
      </c>
      <c r="B275" s="40" t="s">
        <v>7761</v>
      </c>
      <c r="C275" s="39">
        <v>0</v>
      </c>
      <c r="E275" s="39">
        <v>0</v>
      </c>
      <c r="F275" s="39">
        <v>2053</v>
      </c>
      <c r="G275" s="39">
        <v>0</v>
      </c>
      <c r="H275" s="39">
        <v>0</v>
      </c>
      <c r="I275" s="39">
        <v>0</v>
      </c>
      <c r="J275" s="39">
        <v>0</v>
      </c>
      <c r="K275" s="39">
        <v>0</v>
      </c>
      <c r="L275" s="39">
        <v>0</v>
      </c>
      <c r="M275" s="39">
        <v>0</v>
      </c>
      <c r="N275" s="39">
        <v>0</v>
      </c>
      <c r="O275" s="39">
        <v>0</v>
      </c>
      <c r="P275" s="39">
        <v>0</v>
      </c>
      <c r="Q275" s="39">
        <v>0</v>
      </c>
      <c r="R275" s="39">
        <v>0</v>
      </c>
      <c r="S275" s="39">
        <v>0</v>
      </c>
      <c r="T275" s="39">
        <v>0</v>
      </c>
      <c r="U275" s="39">
        <v>0</v>
      </c>
      <c r="V275" s="39">
        <v>175</v>
      </c>
      <c r="W275" s="40" t="s">
        <v>7689</v>
      </c>
      <c r="X275" s="39">
        <v>1</v>
      </c>
    </row>
    <row r="276" spans="1:24">
      <c r="A276" s="39">
        <v>332</v>
      </c>
      <c r="B276" s="40" t="s">
        <v>7761</v>
      </c>
      <c r="C276" s="39">
        <v>0</v>
      </c>
      <c r="E276" s="39">
        <v>0</v>
      </c>
      <c r="F276" s="39">
        <v>2053</v>
      </c>
      <c r="G276" s="39">
        <v>1</v>
      </c>
      <c r="H276" s="39">
        <v>0</v>
      </c>
      <c r="I276" s="39">
        <v>0</v>
      </c>
      <c r="J276" s="39">
        <v>0</v>
      </c>
      <c r="K276" s="39">
        <v>0</v>
      </c>
      <c r="L276" s="39">
        <v>0</v>
      </c>
      <c r="M276" s="39">
        <v>0</v>
      </c>
      <c r="N276" s="39">
        <v>0</v>
      </c>
      <c r="O276" s="39">
        <v>0</v>
      </c>
      <c r="P276" s="39">
        <v>0</v>
      </c>
      <c r="Q276" s="39">
        <v>0</v>
      </c>
      <c r="R276" s="39">
        <v>0</v>
      </c>
      <c r="S276" s="39">
        <v>0</v>
      </c>
      <c r="T276" s="39">
        <v>0</v>
      </c>
      <c r="U276" s="39">
        <v>0</v>
      </c>
      <c r="V276" s="39">
        <v>228</v>
      </c>
      <c r="W276" s="40" t="s">
        <v>7669</v>
      </c>
      <c r="X276" s="39">
        <v>1</v>
      </c>
    </row>
    <row r="277" spans="1:24">
      <c r="A277" s="39">
        <v>1212</v>
      </c>
      <c r="B277" s="40" t="s">
        <v>7761</v>
      </c>
      <c r="C277" s="39">
        <v>0</v>
      </c>
      <c r="E277" s="39">
        <v>0</v>
      </c>
      <c r="F277" s="39">
        <v>2053</v>
      </c>
      <c r="G277" s="39">
        <v>0</v>
      </c>
      <c r="H277" s="39">
        <v>0</v>
      </c>
      <c r="I277" s="39">
        <v>0</v>
      </c>
      <c r="J277" s="39">
        <v>0</v>
      </c>
      <c r="K277" s="39">
        <v>0</v>
      </c>
      <c r="L277" s="39">
        <v>0</v>
      </c>
      <c r="M277" s="39">
        <v>0</v>
      </c>
      <c r="N277" s="39">
        <v>0</v>
      </c>
      <c r="O277" s="39">
        <v>0</v>
      </c>
      <c r="P277" s="39">
        <v>0</v>
      </c>
      <c r="Q277" s="39">
        <v>0</v>
      </c>
      <c r="R277" s="39">
        <v>0</v>
      </c>
      <c r="S277" s="39">
        <v>0</v>
      </c>
      <c r="T277" s="39">
        <v>0</v>
      </c>
      <c r="U277" s="39">
        <v>0</v>
      </c>
      <c r="V277" s="39">
        <v>418</v>
      </c>
      <c r="W277" s="40" t="s">
        <v>7671</v>
      </c>
      <c r="X277" s="39">
        <v>1</v>
      </c>
    </row>
    <row r="278" spans="1:24">
      <c r="A278" s="39">
        <v>891</v>
      </c>
      <c r="B278" s="40" t="s">
        <v>7761</v>
      </c>
      <c r="C278" s="39">
        <v>0</v>
      </c>
      <c r="E278" s="39">
        <v>0</v>
      </c>
      <c r="F278" s="39">
        <v>2053</v>
      </c>
      <c r="G278" s="39">
        <v>0</v>
      </c>
      <c r="H278" s="39">
        <v>0</v>
      </c>
      <c r="I278" s="39">
        <v>0</v>
      </c>
      <c r="J278" s="39">
        <v>0</v>
      </c>
      <c r="K278" s="39">
        <v>0</v>
      </c>
      <c r="L278" s="39">
        <v>0</v>
      </c>
      <c r="M278" s="39">
        <v>0</v>
      </c>
      <c r="N278" s="39">
        <v>0</v>
      </c>
      <c r="O278" s="39">
        <v>0</v>
      </c>
      <c r="P278" s="39">
        <v>0</v>
      </c>
      <c r="Q278" s="39">
        <v>0</v>
      </c>
      <c r="R278" s="39">
        <v>0</v>
      </c>
      <c r="S278" s="39">
        <v>0</v>
      </c>
      <c r="T278" s="39">
        <v>0</v>
      </c>
      <c r="U278" s="39">
        <v>0</v>
      </c>
      <c r="V278" s="39">
        <v>458</v>
      </c>
      <c r="W278" s="40" t="s">
        <v>7694</v>
      </c>
      <c r="X278" s="39">
        <v>1</v>
      </c>
    </row>
    <row r="279" spans="1:24">
      <c r="A279" s="39">
        <v>1126</v>
      </c>
      <c r="B279" s="40" t="s">
        <v>7761</v>
      </c>
      <c r="C279" s="39">
        <v>0</v>
      </c>
      <c r="E279" s="39">
        <v>0</v>
      </c>
      <c r="F279" s="39">
        <v>2053</v>
      </c>
      <c r="G279" s="39">
        <v>0</v>
      </c>
      <c r="H279" s="39">
        <v>0</v>
      </c>
      <c r="I279" s="39">
        <v>0</v>
      </c>
      <c r="J279" s="39">
        <v>0</v>
      </c>
      <c r="K279" s="39">
        <v>0</v>
      </c>
      <c r="L279" s="39">
        <v>0</v>
      </c>
      <c r="M279" s="39">
        <v>0</v>
      </c>
      <c r="N279" s="39">
        <v>0</v>
      </c>
      <c r="O279" s="39">
        <v>0</v>
      </c>
      <c r="P279" s="39">
        <v>0</v>
      </c>
      <c r="Q279" s="39">
        <v>0</v>
      </c>
      <c r="R279" s="39">
        <v>0</v>
      </c>
      <c r="S279" s="39">
        <v>0</v>
      </c>
      <c r="T279" s="39">
        <v>0</v>
      </c>
      <c r="U279" s="39">
        <v>0</v>
      </c>
      <c r="V279" s="39">
        <v>459</v>
      </c>
      <c r="W279" s="40" t="s">
        <v>7674</v>
      </c>
      <c r="X279" s="39">
        <v>1</v>
      </c>
    </row>
    <row r="280" spans="1:24">
      <c r="A280" s="39">
        <v>596</v>
      </c>
      <c r="B280" s="40" t="s">
        <v>7761</v>
      </c>
      <c r="C280" s="39">
        <v>0</v>
      </c>
      <c r="E280" s="39">
        <v>0</v>
      </c>
      <c r="F280" s="39">
        <v>2053</v>
      </c>
      <c r="G280" s="39">
        <v>0</v>
      </c>
      <c r="H280" s="39">
        <v>0</v>
      </c>
      <c r="I280" s="39">
        <v>0</v>
      </c>
      <c r="J280" s="39">
        <v>0</v>
      </c>
      <c r="K280" s="39">
        <v>0</v>
      </c>
      <c r="L280" s="39">
        <v>0</v>
      </c>
      <c r="M280" s="39">
        <v>0</v>
      </c>
      <c r="N280" s="39">
        <v>0</v>
      </c>
      <c r="O280" s="39">
        <v>0</v>
      </c>
      <c r="P280" s="39">
        <v>0</v>
      </c>
      <c r="Q280" s="39">
        <v>0</v>
      </c>
      <c r="R280" s="39">
        <v>0</v>
      </c>
      <c r="S280" s="39">
        <v>0</v>
      </c>
      <c r="T280" s="39">
        <v>0</v>
      </c>
      <c r="U280" s="39">
        <v>0</v>
      </c>
      <c r="V280" s="39">
        <v>468</v>
      </c>
      <c r="W280" s="40" t="s">
        <v>7677</v>
      </c>
      <c r="X280" s="39">
        <v>1</v>
      </c>
    </row>
    <row r="281" spans="1:24">
      <c r="A281" s="39">
        <v>1030</v>
      </c>
      <c r="B281" s="40" t="s">
        <v>7761</v>
      </c>
      <c r="C281" s="39">
        <v>0</v>
      </c>
      <c r="E281" s="39">
        <v>0</v>
      </c>
      <c r="F281" s="39">
        <v>2053</v>
      </c>
      <c r="G281" s="39">
        <v>0</v>
      </c>
      <c r="H281" s="39">
        <v>0</v>
      </c>
      <c r="I281" s="39">
        <v>0</v>
      </c>
      <c r="J281" s="39">
        <v>0</v>
      </c>
      <c r="K281" s="39">
        <v>0</v>
      </c>
      <c r="L281" s="39">
        <v>0</v>
      </c>
      <c r="M281" s="39">
        <v>0</v>
      </c>
      <c r="N281" s="39">
        <v>0</v>
      </c>
      <c r="O281" s="39">
        <v>0</v>
      </c>
      <c r="P281" s="39">
        <v>0</v>
      </c>
      <c r="Q281" s="39">
        <v>0</v>
      </c>
      <c r="R281" s="39">
        <v>0</v>
      </c>
      <c r="S281" s="39">
        <v>0</v>
      </c>
      <c r="T281" s="39">
        <v>0</v>
      </c>
      <c r="U281" s="39">
        <v>0</v>
      </c>
      <c r="V281" s="39">
        <v>477</v>
      </c>
      <c r="W281" s="40" t="s">
        <v>7697</v>
      </c>
      <c r="X281" s="39">
        <v>1</v>
      </c>
    </row>
    <row r="282" spans="1:24">
      <c r="A282" s="39">
        <v>216</v>
      </c>
      <c r="B282" s="40" t="s">
        <v>7761</v>
      </c>
      <c r="C282" s="39">
        <v>0</v>
      </c>
      <c r="E282" s="39">
        <v>0</v>
      </c>
      <c r="F282" s="39">
        <v>2053</v>
      </c>
      <c r="G282" s="39">
        <v>1</v>
      </c>
      <c r="H282" s="39">
        <v>0</v>
      </c>
      <c r="I282" s="39">
        <v>0</v>
      </c>
      <c r="J282" s="39">
        <v>0</v>
      </c>
      <c r="K282" s="39">
        <v>0</v>
      </c>
      <c r="L282" s="39">
        <v>0</v>
      </c>
      <c r="M282" s="39">
        <v>0</v>
      </c>
      <c r="N282" s="39">
        <v>0</v>
      </c>
      <c r="O282" s="39">
        <v>0</v>
      </c>
      <c r="P282" s="39">
        <v>0</v>
      </c>
      <c r="Q282" s="39">
        <v>0</v>
      </c>
      <c r="R282" s="39">
        <v>0</v>
      </c>
      <c r="S282" s="39">
        <v>0</v>
      </c>
      <c r="T282" s="39">
        <v>0</v>
      </c>
      <c r="U282" s="39">
        <v>0</v>
      </c>
      <c r="V282" s="39">
        <v>590</v>
      </c>
      <c r="W282" s="40" t="s">
        <v>7679</v>
      </c>
      <c r="X282" s="39">
        <v>1</v>
      </c>
    </row>
    <row r="283" spans="1:24">
      <c r="A283" s="39">
        <v>764</v>
      </c>
      <c r="B283" s="40" t="s">
        <v>7761</v>
      </c>
      <c r="C283" s="39">
        <v>0</v>
      </c>
      <c r="E283" s="39">
        <v>0</v>
      </c>
      <c r="F283" s="39">
        <v>2053</v>
      </c>
      <c r="G283" s="39">
        <v>0</v>
      </c>
      <c r="H283" s="39">
        <v>0</v>
      </c>
      <c r="I283" s="39">
        <v>0</v>
      </c>
      <c r="J283" s="39">
        <v>0</v>
      </c>
      <c r="K283" s="39">
        <v>0</v>
      </c>
      <c r="L283" s="39">
        <v>0</v>
      </c>
      <c r="M283" s="39">
        <v>0</v>
      </c>
      <c r="N283" s="39">
        <v>0</v>
      </c>
      <c r="O283" s="39">
        <v>0</v>
      </c>
      <c r="P283" s="39">
        <v>0</v>
      </c>
      <c r="Q283" s="39">
        <v>0</v>
      </c>
      <c r="R283" s="39">
        <v>0</v>
      </c>
      <c r="S283" s="39">
        <v>0</v>
      </c>
      <c r="T283" s="39">
        <v>0</v>
      </c>
      <c r="U283" s="39">
        <v>0</v>
      </c>
      <c r="V283" s="39">
        <v>733</v>
      </c>
      <c r="W283" s="40" t="s">
        <v>7680</v>
      </c>
      <c r="X283" s="39">
        <v>1</v>
      </c>
    </row>
    <row r="284" spans="1:24">
      <c r="A284" s="39">
        <v>83</v>
      </c>
      <c r="B284" s="40" t="s">
        <v>7763</v>
      </c>
      <c r="C284" s="39">
        <v>0</v>
      </c>
      <c r="E284" s="39">
        <v>0</v>
      </c>
      <c r="F284" s="39">
        <v>1200</v>
      </c>
      <c r="G284" s="39">
        <v>0</v>
      </c>
      <c r="H284" s="39">
        <v>0</v>
      </c>
      <c r="I284" s="39">
        <v>0</v>
      </c>
      <c r="J284" s="39">
        <v>0</v>
      </c>
      <c r="K284" s="39">
        <v>0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39">
        <v>0</v>
      </c>
      <c r="S284" s="39">
        <v>0</v>
      </c>
      <c r="T284" s="39">
        <v>0</v>
      </c>
      <c r="U284" s="39">
        <v>0</v>
      </c>
      <c r="V284" s="39">
        <v>1</v>
      </c>
      <c r="W284" s="40" t="s">
        <v>518</v>
      </c>
      <c r="X284" s="39">
        <v>1</v>
      </c>
    </row>
    <row r="285" spans="1:24">
      <c r="A285" s="39">
        <v>81</v>
      </c>
      <c r="B285" s="40" t="s">
        <v>7763</v>
      </c>
      <c r="C285" s="39">
        <v>0</v>
      </c>
      <c r="D285" s="40" t="s">
        <v>7764</v>
      </c>
      <c r="E285" s="39">
        <v>0</v>
      </c>
      <c r="F285" s="39">
        <v>89</v>
      </c>
      <c r="G285" s="39">
        <v>0</v>
      </c>
      <c r="H285" s="39">
        <v>0</v>
      </c>
      <c r="I285" s="39">
        <v>0</v>
      </c>
      <c r="J285" s="39">
        <v>0</v>
      </c>
      <c r="K285" s="39">
        <v>0</v>
      </c>
      <c r="L285" s="39">
        <v>0</v>
      </c>
      <c r="M285" s="39">
        <v>0</v>
      </c>
      <c r="N285" s="39">
        <v>0</v>
      </c>
      <c r="O285" s="39">
        <v>0</v>
      </c>
      <c r="P285" s="39">
        <v>0</v>
      </c>
      <c r="Q285" s="39">
        <v>0</v>
      </c>
      <c r="R285" s="39">
        <v>0</v>
      </c>
      <c r="S285" s="39">
        <v>0</v>
      </c>
      <c r="T285" s="39">
        <v>0</v>
      </c>
      <c r="U285" s="39">
        <v>0</v>
      </c>
      <c r="V285" s="39">
        <v>2</v>
      </c>
      <c r="W285" s="40" t="s">
        <v>40</v>
      </c>
      <c r="X285" s="39">
        <v>1</v>
      </c>
    </row>
    <row r="286" spans="1:24">
      <c r="A286" s="39">
        <v>948</v>
      </c>
      <c r="B286" s="40" t="s">
        <v>7763</v>
      </c>
      <c r="C286" s="39">
        <v>0</v>
      </c>
      <c r="E286" s="39">
        <v>0</v>
      </c>
      <c r="F286" s="39">
        <v>1200</v>
      </c>
      <c r="G286" s="39">
        <v>0</v>
      </c>
      <c r="H286" s="39">
        <v>0</v>
      </c>
      <c r="I286" s="39">
        <v>0</v>
      </c>
      <c r="J286" s="39">
        <v>0</v>
      </c>
      <c r="K286" s="39">
        <v>0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39">
        <v>0</v>
      </c>
      <c r="S286" s="39">
        <v>0</v>
      </c>
      <c r="T286" s="39">
        <v>0</v>
      </c>
      <c r="U286" s="39">
        <v>0</v>
      </c>
      <c r="V286" s="39">
        <v>158</v>
      </c>
      <c r="W286" s="40" t="s">
        <v>7667</v>
      </c>
      <c r="X286" s="39">
        <v>1</v>
      </c>
    </row>
    <row r="287" spans="1:24">
      <c r="A287" s="39">
        <v>439</v>
      </c>
      <c r="B287" s="40" t="s">
        <v>7763</v>
      </c>
      <c r="C287" s="39">
        <v>0</v>
      </c>
      <c r="E287" s="39">
        <v>0</v>
      </c>
      <c r="F287" s="39">
        <v>1200</v>
      </c>
      <c r="G287" s="39">
        <v>1</v>
      </c>
      <c r="H287" s="39">
        <v>0</v>
      </c>
      <c r="I287" s="39">
        <v>0</v>
      </c>
      <c r="J287" s="39">
        <v>0</v>
      </c>
      <c r="K287" s="39">
        <v>0</v>
      </c>
      <c r="L287" s="39">
        <v>0</v>
      </c>
      <c r="M287" s="39">
        <v>0</v>
      </c>
      <c r="N287" s="39">
        <v>0</v>
      </c>
      <c r="O287" s="39">
        <v>0</v>
      </c>
      <c r="P287" s="39">
        <v>0</v>
      </c>
      <c r="Q287" s="39">
        <v>0</v>
      </c>
      <c r="R287" s="39">
        <v>0</v>
      </c>
      <c r="S287" s="39">
        <v>0</v>
      </c>
      <c r="T287" s="39">
        <v>0</v>
      </c>
      <c r="U287" s="39">
        <v>0</v>
      </c>
      <c r="V287" s="39">
        <v>175</v>
      </c>
      <c r="W287" s="40" t="s">
        <v>7689</v>
      </c>
      <c r="X287" s="39">
        <v>1</v>
      </c>
    </row>
    <row r="288" spans="1:24">
      <c r="A288" s="39">
        <v>333</v>
      </c>
      <c r="B288" s="40" t="s">
        <v>7763</v>
      </c>
      <c r="C288" s="39">
        <v>0</v>
      </c>
      <c r="E288" s="39">
        <v>0</v>
      </c>
      <c r="F288" s="39">
        <v>1200</v>
      </c>
      <c r="G288" s="39">
        <v>1</v>
      </c>
      <c r="H288" s="39">
        <v>0</v>
      </c>
      <c r="I288" s="39">
        <v>0</v>
      </c>
      <c r="J288" s="39">
        <v>0</v>
      </c>
      <c r="K288" s="39">
        <v>0</v>
      </c>
      <c r="L288" s="39">
        <v>0</v>
      </c>
      <c r="M288" s="39">
        <v>0</v>
      </c>
      <c r="N288" s="39">
        <v>0</v>
      </c>
      <c r="O288" s="39">
        <v>0</v>
      </c>
      <c r="P288" s="39">
        <v>0</v>
      </c>
      <c r="Q288" s="39">
        <v>0</v>
      </c>
      <c r="R288" s="39">
        <v>0</v>
      </c>
      <c r="S288" s="39">
        <v>0</v>
      </c>
      <c r="T288" s="39">
        <v>0</v>
      </c>
      <c r="U288" s="39">
        <v>0</v>
      </c>
      <c r="V288" s="39">
        <v>228</v>
      </c>
      <c r="W288" s="40" t="s">
        <v>7669</v>
      </c>
      <c r="X288" s="39">
        <v>1</v>
      </c>
    </row>
    <row r="289" spans="1:24">
      <c r="A289" s="39">
        <v>1696</v>
      </c>
      <c r="B289" s="40" t="s">
        <v>7763</v>
      </c>
      <c r="C289" s="39">
        <v>0</v>
      </c>
      <c r="E289" s="39">
        <v>0</v>
      </c>
      <c r="F289" s="39">
        <v>1200</v>
      </c>
      <c r="G289" s="39">
        <v>0</v>
      </c>
      <c r="H289" s="39">
        <v>0</v>
      </c>
      <c r="I289" s="39">
        <v>0</v>
      </c>
      <c r="J289" s="39">
        <v>0</v>
      </c>
      <c r="K289" s="39">
        <v>0</v>
      </c>
      <c r="L289" s="39">
        <v>0</v>
      </c>
      <c r="M289" s="39">
        <v>0</v>
      </c>
      <c r="N289" s="39">
        <v>0</v>
      </c>
      <c r="O289" s="39">
        <v>0</v>
      </c>
      <c r="P289" s="39">
        <v>0</v>
      </c>
      <c r="Q289" s="39">
        <v>0</v>
      </c>
      <c r="R289" s="39">
        <v>0</v>
      </c>
      <c r="S289" s="39">
        <v>0</v>
      </c>
      <c r="T289" s="39">
        <v>0</v>
      </c>
      <c r="U289" s="39">
        <v>0</v>
      </c>
      <c r="V289" s="39">
        <v>244</v>
      </c>
      <c r="W289" s="40" t="s">
        <v>682</v>
      </c>
      <c r="X289" s="39">
        <v>1</v>
      </c>
    </row>
    <row r="290" spans="1:24">
      <c r="A290" s="39">
        <v>1213</v>
      </c>
      <c r="B290" s="40" t="s">
        <v>7763</v>
      </c>
      <c r="C290" s="39">
        <v>0</v>
      </c>
      <c r="E290" s="39">
        <v>0</v>
      </c>
      <c r="F290" s="39">
        <v>1200</v>
      </c>
      <c r="G290" s="39">
        <v>0</v>
      </c>
      <c r="H290" s="39">
        <v>0</v>
      </c>
      <c r="I290" s="39">
        <v>0</v>
      </c>
      <c r="J290" s="39">
        <v>0</v>
      </c>
      <c r="K290" s="39">
        <v>0</v>
      </c>
      <c r="L290" s="39">
        <v>0</v>
      </c>
      <c r="M290" s="39">
        <v>0</v>
      </c>
      <c r="N290" s="39">
        <v>0</v>
      </c>
      <c r="O290" s="39">
        <v>0</v>
      </c>
      <c r="P290" s="39">
        <v>0</v>
      </c>
      <c r="Q290" s="39">
        <v>0</v>
      </c>
      <c r="R290" s="39">
        <v>0</v>
      </c>
      <c r="S290" s="39">
        <v>0</v>
      </c>
      <c r="T290" s="39">
        <v>0</v>
      </c>
      <c r="U290" s="39">
        <v>0</v>
      </c>
      <c r="V290" s="39">
        <v>418</v>
      </c>
      <c r="W290" s="40" t="s">
        <v>7671</v>
      </c>
      <c r="X290" s="39">
        <v>1</v>
      </c>
    </row>
    <row r="291" spans="1:24">
      <c r="A291" s="39">
        <v>1356</v>
      </c>
      <c r="B291" s="40" t="s">
        <v>7763</v>
      </c>
      <c r="C291" s="39">
        <v>0</v>
      </c>
      <c r="E291" s="39">
        <v>0</v>
      </c>
      <c r="F291" s="39">
        <v>1200</v>
      </c>
      <c r="G291" s="39">
        <v>0</v>
      </c>
      <c r="H291" s="39">
        <v>0</v>
      </c>
      <c r="I291" s="39">
        <v>0</v>
      </c>
      <c r="J291" s="39">
        <v>0</v>
      </c>
      <c r="K291" s="39">
        <v>0</v>
      </c>
      <c r="L291" s="39">
        <v>0</v>
      </c>
      <c r="M291" s="39">
        <v>0</v>
      </c>
      <c r="N291" s="39">
        <v>0</v>
      </c>
      <c r="O291" s="39">
        <v>0</v>
      </c>
      <c r="P291" s="39">
        <v>0</v>
      </c>
      <c r="Q291" s="39">
        <v>0</v>
      </c>
      <c r="R291" s="39">
        <v>0</v>
      </c>
      <c r="S291" s="39">
        <v>0</v>
      </c>
      <c r="T291" s="39">
        <v>0</v>
      </c>
      <c r="U291" s="39">
        <v>0</v>
      </c>
      <c r="V291" s="39">
        <v>456</v>
      </c>
      <c r="W291" s="40" t="s">
        <v>7673</v>
      </c>
      <c r="X291" s="39">
        <v>1</v>
      </c>
    </row>
    <row r="292" spans="1:24">
      <c r="A292" s="39">
        <v>892</v>
      </c>
      <c r="B292" s="40" t="s">
        <v>7763</v>
      </c>
      <c r="C292" s="39">
        <v>0</v>
      </c>
      <c r="E292" s="39">
        <v>0</v>
      </c>
      <c r="F292" s="39">
        <v>1200</v>
      </c>
      <c r="G292" s="39">
        <v>0</v>
      </c>
      <c r="H292" s="39">
        <v>0</v>
      </c>
      <c r="I292" s="39">
        <v>0</v>
      </c>
      <c r="J292" s="39">
        <v>0</v>
      </c>
      <c r="K292" s="39">
        <v>0</v>
      </c>
      <c r="L292" s="39">
        <v>0</v>
      </c>
      <c r="M292" s="39">
        <v>0</v>
      </c>
      <c r="N292" s="39">
        <v>0</v>
      </c>
      <c r="O292" s="39">
        <v>0</v>
      </c>
      <c r="P292" s="39">
        <v>0</v>
      </c>
      <c r="Q292" s="39">
        <v>0</v>
      </c>
      <c r="R292" s="39">
        <v>0</v>
      </c>
      <c r="S292" s="39">
        <v>0</v>
      </c>
      <c r="T292" s="39">
        <v>0</v>
      </c>
      <c r="U292" s="39">
        <v>0</v>
      </c>
      <c r="V292" s="39">
        <v>458</v>
      </c>
      <c r="W292" s="40" t="s">
        <v>7694</v>
      </c>
      <c r="X292" s="39">
        <v>1</v>
      </c>
    </row>
    <row r="293" spans="1:24">
      <c r="A293" s="39">
        <v>1127</v>
      </c>
      <c r="B293" s="40" t="s">
        <v>7763</v>
      </c>
      <c r="C293" s="39">
        <v>0</v>
      </c>
      <c r="E293" s="39">
        <v>0</v>
      </c>
      <c r="F293" s="39">
        <v>1200</v>
      </c>
      <c r="G293" s="39">
        <v>0</v>
      </c>
      <c r="H293" s="39">
        <v>0</v>
      </c>
      <c r="I293" s="39">
        <v>0</v>
      </c>
      <c r="J293" s="39">
        <v>0</v>
      </c>
      <c r="K293" s="39">
        <v>0</v>
      </c>
      <c r="L293" s="39">
        <v>0</v>
      </c>
      <c r="M293" s="39">
        <v>0</v>
      </c>
      <c r="N293" s="39">
        <v>0</v>
      </c>
      <c r="O293" s="39">
        <v>0</v>
      </c>
      <c r="P293" s="39">
        <v>0</v>
      </c>
      <c r="Q293" s="39">
        <v>0</v>
      </c>
      <c r="R293" s="39">
        <v>0</v>
      </c>
      <c r="S293" s="39">
        <v>0</v>
      </c>
      <c r="T293" s="39">
        <v>0</v>
      </c>
      <c r="U293" s="39">
        <v>0</v>
      </c>
      <c r="V293" s="39">
        <v>459</v>
      </c>
      <c r="W293" s="40" t="s">
        <v>7674</v>
      </c>
      <c r="X293" s="39">
        <v>1</v>
      </c>
    </row>
    <row r="294" spans="1:24">
      <c r="A294" s="39">
        <v>633</v>
      </c>
      <c r="B294" s="40" t="s">
        <v>7763</v>
      </c>
      <c r="C294" s="39">
        <v>0</v>
      </c>
      <c r="E294" s="39">
        <v>0</v>
      </c>
      <c r="F294" s="39">
        <v>1200</v>
      </c>
      <c r="G294" s="39">
        <v>0</v>
      </c>
      <c r="H294" s="39">
        <v>0</v>
      </c>
      <c r="I294" s="39">
        <v>0</v>
      </c>
      <c r="J294" s="39">
        <v>0</v>
      </c>
      <c r="K294" s="39">
        <v>0</v>
      </c>
      <c r="L294" s="39">
        <v>0</v>
      </c>
      <c r="M294" s="39">
        <v>0</v>
      </c>
      <c r="N294" s="39">
        <v>0</v>
      </c>
      <c r="O294" s="39">
        <v>0</v>
      </c>
      <c r="P294" s="39">
        <v>0</v>
      </c>
      <c r="Q294" s="39">
        <v>0</v>
      </c>
      <c r="R294" s="39">
        <v>0</v>
      </c>
      <c r="S294" s="39">
        <v>0</v>
      </c>
      <c r="T294" s="39">
        <v>0</v>
      </c>
      <c r="U294" s="39">
        <v>0</v>
      </c>
      <c r="V294" s="39">
        <v>468</v>
      </c>
      <c r="W294" s="40" t="s">
        <v>7677</v>
      </c>
      <c r="X294" s="39">
        <v>1</v>
      </c>
    </row>
    <row r="295" spans="1:24">
      <c r="A295" s="39">
        <v>1031</v>
      </c>
      <c r="B295" s="40" t="s">
        <v>7763</v>
      </c>
      <c r="C295" s="39">
        <v>0</v>
      </c>
      <c r="E295" s="39">
        <v>0</v>
      </c>
      <c r="F295" s="39">
        <v>1200</v>
      </c>
      <c r="G295" s="39">
        <v>0</v>
      </c>
      <c r="H295" s="39">
        <v>0</v>
      </c>
      <c r="I295" s="39">
        <v>0</v>
      </c>
      <c r="J295" s="39">
        <v>0</v>
      </c>
      <c r="K295" s="39">
        <v>0</v>
      </c>
      <c r="L295" s="39">
        <v>0</v>
      </c>
      <c r="M295" s="39">
        <v>0</v>
      </c>
      <c r="N295" s="39">
        <v>0</v>
      </c>
      <c r="O295" s="39">
        <v>0</v>
      </c>
      <c r="P295" s="39">
        <v>0</v>
      </c>
      <c r="Q295" s="39">
        <v>0</v>
      </c>
      <c r="R295" s="39">
        <v>0</v>
      </c>
      <c r="S295" s="39">
        <v>0</v>
      </c>
      <c r="T295" s="39">
        <v>0</v>
      </c>
      <c r="U295" s="39">
        <v>0</v>
      </c>
      <c r="V295" s="39">
        <v>477</v>
      </c>
      <c r="W295" s="40" t="s">
        <v>7697</v>
      </c>
      <c r="X295" s="39">
        <v>1</v>
      </c>
    </row>
    <row r="296" spans="1:24">
      <c r="A296" s="39">
        <v>217</v>
      </c>
      <c r="B296" s="40" t="s">
        <v>7763</v>
      </c>
      <c r="C296" s="39">
        <v>0</v>
      </c>
      <c r="E296" s="39">
        <v>0</v>
      </c>
      <c r="F296" s="39">
        <v>1200</v>
      </c>
      <c r="G296" s="39">
        <v>1</v>
      </c>
      <c r="H296" s="39">
        <v>0</v>
      </c>
      <c r="I296" s="39">
        <v>0</v>
      </c>
      <c r="J296" s="39">
        <v>0</v>
      </c>
      <c r="K296" s="39">
        <v>0</v>
      </c>
      <c r="L296" s="39">
        <v>0</v>
      </c>
      <c r="M296" s="39">
        <v>0</v>
      </c>
      <c r="N296" s="39">
        <v>0</v>
      </c>
      <c r="O296" s="39">
        <v>0</v>
      </c>
      <c r="P296" s="39">
        <v>0</v>
      </c>
      <c r="Q296" s="39">
        <v>0</v>
      </c>
      <c r="R296" s="39">
        <v>0</v>
      </c>
      <c r="S296" s="39">
        <v>0</v>
      </c>
      <c r="T296" s="39">
        <v>0</v>
      </c>
      <c r="U296" s="39">
        <v>0</v>
      </c>
      <c r="V296" s="39">
        <v>590</v>
      </c>
      <c r="W296" s="40" t="s">
        <v>7679</v>
      </c>
      <c r="X296" s="39">
        <v>1</v>
      </c>
    </row>
    <row r="297" spans="1:24">
      <c r="A297" s="39">
        <v>765</v>
      </c>
      <c r="B297" s="40" t="s">
        <v>7763</v>
      </c>
      <c r="C297" s="39">
        <v>0</v>
      </c>
      <c r="E297" s="39">
        <v>0</v>
      </c>
      <c r="F297" s="39">
        <v>1200</v>
      </c>
      <c r="G297" s="39">
        <v>0</v>
      </c>
      <c r="H297" s="39">
        <v>0</v>
      </c>
      <c r="I297" s="39">
        <v>0</v>
      </c>
      <c r="J297" s="39">
        <v>0</v>
      </c>
      <c r="K297" s="39">
        <v>0</v>
      </c>
      <c r="L297" s="39">
        <v>0</v>
      </c>
      <c r="M297" s="39">
        <v>0</v>
      </c>
      <c r="N297" s="39">
        <v>0</v>
      </c>
      <c r="O297" s="39">
        <v>0</v>
      </c>
      <c r="P297" s="39">
        <v>0</v>
      </c>
      <c r="Q297" s="39">
        <v>0</v>
      </c>
      <c r="R297" s="39">
        <v>0</v>
      </c>
      <c r="S297" s="39">
        <v>0</v>
      </c>
      <c r="T297" s="39">
        <v>0</v>
      </c>
      <c r="U297" s="39">
        <v>0</v>
      </c>
      <c r="V297" s="39">
        <v>733</v>
      </c>
      <c r="W297" s="40" t="s">
        <v>7680</v>
      </c>
      <c r="X297" s="39">
        <v>1</v>
      </c>
    </row>
    <row r="298" spans="1:24">
      <c r="A298" s="39">
        <v>89</v>
      </c>
      <c r="B298" s="40" t="s">
        <v>619</v>
      </c>
      <c r="C298" s="39">
        <v>0</v>
      </c>
      <c r="D298" s="40" t="s">
        <v>7765</v>
      </c>
      <c r="E298" s="39">
        <v>1</v>
      </c>
      <c r="F298" s="39">
        <v>831</v>
      </c>
      <c r="G298" s="39">
        <v>1</v>
      </c>
      <c r="H298" s="39">
        <v>1</v>
      </c>
      <c r="I298" s="39">
        <v>0</v>
      </c>
      <c r="J298" s="39">
        <v>1</v>
      </c>
      <c r="K298" s="39">
        <v>0</v>
      </c>
      <c r="L298" s="39">
        <v>0</v>
      </c>
      <c r="M298" s="39">
        <v>0</v>
      </c>
      <c r="N298" s="39">
        <v>0</v>
      </c>
      <c r="O298" s="39">
        <v>0</v>
      </c>
      <c r="P298" s="39">
        <v>0</v>
      </c>
      <c r="Q298" s="39">
        <v>0</v>
      </c>
      <c r="R298" s="39">
        <v>0</v>
      </c>
      <c r="S298" s="39">
        <v>0</v>
      </c>
      <c r="T298" s="39">
        <v>0</v>
      </c>
      <c r="U298" s="39">
        <v>0</v>
      </c>
      <c r="V298" s="39">
        <v>1</v>
      </c>
      <c r="W298" s="40" t="s">
        <v>518</v>
      </c>
      <c r="X298" s="39">
        <v>1</v>
      </c>
    </row>
    <row r="299" spans="1:24">
      <c r="A299" s="39">
        <v>74</v>
      </c>
      <c r="B299" s="40" t="s">
        <v>619</v>
      </c>
      <c r="C299" s="39">
        <v>0</v>
      </c>
      <c r="D299" s="40" t="s">
        <v>7766</v>
      </c>
      <c r="E299" s="39">
        <v>1</v>
      </c>
      <c r="F299" s="39">
        <v>35</v>
      </c>
      <c r="G299" s="39">
        <v>1</v>
      </c>
      <c r="H299" s="39">
        <v>0</v>
      </c>
      <c r="I299" s="39">
        <v>0</v>
      </c>
      <c r="J299" s="39">
        <v>0</v>
      </c>
      <c r="K299" s="39">
        <v>0</v>
      </c>
      <c r="L299" s="39">
        <v>0</v>
      </c>
      <c r="M299" s="39">
        <v>0</v>
      </c>
      <c r="N299" s="39">
        <v>0</v>
      </c>
      <c r="O299" s="39">
        <v>0</v>
      </c>
      <c r="P299" s="39">
        <v>0</v>
      </c>
      <c r="Q299" s="39">
        <v>0</v>
      </c>
      <c r="R299" s="39">
        <v>0</v>
      </c>
      <c r="S299" s="39">
        <v>0</v>
      </c>
      <c r="T299" s="39">
        <v>0</v>
      </c>
      <c r="U299" s="39">
        <v>0</v>
      </c>
      <c r="V299" s="39">
        <v>2</v>
      </c>
      <c r="W299" s="40" t="s">
        <v>40</v>
      </c>
      <c r="X299" s="39">
        <v>1</v>
      </c>
    </row>
    <row r="300" spans="1:24">
      <c r="A300" s="39">
        <v>949</v>
      </c>
      <c r="B300" s="40" t="s">
        <v>619</v>
      </c>
      <c r="C300" s="39">
        <v>1</v>
      </c>
      <c r="E300" s="39">
        <v>1</v>
      </c>
      <c r="F300" s="39">
        <v>831</v>
      </c>
      <c r="G300" s="39">
        <v>1</v>
      </c>
      <c r="H300" s="39">
        <v>0</v>
      </c>
      <c r="I300" s="39">
        <v>0</v>
      </c>
      <c r="J300" s="39">
        <v>1</v>
      </c>
      <c r="K300" s="39">
        <v>0</v>
      </c>
      <c r="L300" s="39">
        <v>0</v>
      </c>
      <c r="M300" s="39">
        <v>0</v>
      </c>
      <c r="N300" s="39">
        <v>0</v>
      </c>
      <c r="O300" s="39">
        <v>0</v>
      </c>
      <c r="P300" s="39">
        <v>0</v>
      </c>
      <c r="Q300" s="39">
        <v>0</v>
      </c>
      <c r="R300" s="39">
        <v>0</v>
      </c>
      <c r="S300" s="39">
        <v>0</v>
      </c>
      <c r="T300" s="39">
        <v>0</v>
      </c>
      <c r="U300" s="39">
        <v>0</v>
      </c>
      <c r="V300" s="39">
        <v>158</v>
      </c>
      <c r="W300" s="40" t="s">
        <v>7667</v>
      </c>
      <c r="X300" s="39">
        <v>1</v>
      </c>
    </row>
    <row r="301" spans="1:24">
      <c r="A301" s="39">
        <v>440</v>
      </c>
      <c r="B301" s="40" t="s">
        <v>619</v>
      </c>
      <c r="C301" s="39">
        <v>1</v>
      </c>
      <c r="D301" s="40" t="s">
        <v>7767</v>
      </c>
      <c r="E301" s="39">
        <v>0</v>
      </c>
      <c r="F301" s="39">
        <v>831</v>
      </c>
      <c r="G301" s="39">
        <v>0</v>
      </c>
      <c r="H301" s="39">
        <v>0</v>
      </c>
      <c r="I301" s="39">
        <v>0</v>
      </c>
      <c r="J301" s="39">
        <v>0</v>
      </c>
      <c r="K301" s="39">
        <v>0</v>
      </c>
      <c r="L301" s="39">
        <v>0</v>
      </c>
      <c r="M301" s="39">
        <v>0</v>
      </c>
      <c r="N301" s="39">
        <v>0</v>
      </c>
      <c r="O301" s="39">
        <v>0</v>
      </c>
      <c r="P301" s="39">
        <v>0</v>
      </c>
      <c r="Q301" s="39">
        <v>0</v>
      </c>
      <c r="R301" s="39">
        <v>0</v>
      </c>
      <c r="S301" s="39">
        <v>0</v>
      </c>
      <c r="T301" s="39">
        <v>0</v>
      </c>
      <c r="U301" s="39">
        <v>0</v>
      </c>
      <c r="V301" s="39">
        <v>175</v>
      </c>
      <c r="W301" s="40" t="s">
        <v>7689</v>
      </c>
      <c r="X301" s="39">
        <v>1</v>
      </c>
    </row>
    <row r="302" spans="1:24">
      <c r="A302" s="39">
        <v>334</v>
      </c>
      <c r="B302" s="40" t="s">
        <v>619</v>
      </c>
      <c r="C302" s="39">
        <v>1</v>
      </c>
      <c r="D302" s="40" t="s">
        <v>7767</v>
      </c>
      <c r="E302" s="39">
        <v>0</v>
      </c>
      <c r="F302" s="39">
        <v>831</v>
      </c>
      <c r="G302" s="39">
        <v>0</v>
      </c>
      <c r="H302" s="39">
        <v>0</v>
      </c>
      <c r="I302" s="39">
        <v>0</v>
      </c>
      <c r="J302" s="39">
        <v>0</v>
      </c>
      <c r="K302" s="39">
        <v>0</v>
      </c>
      <c r="L302" s="39">
        <v>0</v>
      </c>
      <c r="M302" s="39">
        <v>0</v>
      </c>
      <c r="N302" s="39">
        <v>0</v>
      </c>
      <c r="O302" s="39">
        <v>0</v>
      </c>
      <c r="P302" s="39">
        <v>0</v>
      </c>
      <c r="Q302" s="39">
        <v>0</v>
      </c>
      <c r="R302" s="39">
        <v>0</v>
      </c>
      <c r="S302" s="39">
        <v>0</v>
      </c>
      <c r="T302" s="39">
        <v>0</v>
      </c>
      <c r="U302" s="39">
        <v>0</v>
      </c>
      <c r="V302" s="39">
        <v>228</v>
      </c>
      <c r="W302" s="40" t="s">
        <v>7669</v>
      </c>
      <c r="X302" s="39">
        <v>1</v>
      </c>
    </row>
    <row r="303" spans="1:24">
      <c r="A303" s="39">
        <v>1701</v>
      </c>
      <c r="B303" s="40" t="s">
        <v>619</v>
      </c>
      <c r="C303" s="39">
        <v>0</v>
      </c>
      <c r="D303" s="40" t="s">
        <v>7765</v>
      </c>
      <c r="E303" s="39">
        <v>1</v>
      </c>
      <c r="F303" s="39">
        <v>831</v>
      </c>
      <c r="G303" s="39">
        <v>1</v>
      </c>
      <c r="H303" s="39">
        <v>1</v>
      </c>
      <c r="I303" s="39">
        <v>0</v>
      </c>
      <c r="J303" s="39">
        <v>1</v>
      </c>
      <c r="K303" s="39">
        <v>0</v>
      </c>
      <c r="L303" s="39">
        <v>0</v>
      </c>
      <c r="M303" s="39">
        <v>0</v>
      </c>
      <c r="N303" s="39">
        <v>0</v>
      </c>
      <c r="O303" s="39">
        <v>0</v>
      </c>
      <c r="P303" s="39">
        <v>0</v>
      </c>
      <c r="Q303" s="39">
        <v>0</v>
      </c>
      <c r="R303" s="39">
        <v>0</v>
      </c>
      <c r="S303" s="39">
        <v>0</v>
      </c>
      <c r="T303" s="39">
        <v>0</v>
      </c>
      <c r="U303" s="39">
        <v>0</v>
      </c>
      <c r="V303" s="39">
        <v>244</v>
      </c>
      <c r="W303" s="40" t="s">
        <v>682</v>
      </c>
      <c r="X303" s="39">
        <v>1</v>
      </c>
    </row>
    <row r="304" spans="1:24">
      <c r="A304" s="39">
        <v>1214</v>
      </c>
      <c r="B304" s="40" t="s">
        <v>619</v>
      </c>
      <c r="C304" s="39">
        <v>0</v>
      </c>
      <c r="E304" s="39">
        <v>1</v>
      </c>
      <c r="F304" s="39">
        <v>831</v>
      </c>
      <c r="G304" s="39">
        <v>0</v>
      </c>
      <c r="H304" s="39">
        <v>0</v>
      </c>
      <c r="I304" s="39">
        <v>1</v>
      </c>
      <c r="J304" s="39">
        <v>1</v>
      </c>
      <c r="K304" s="39">
        <v>0</v>
      </c>
      <c r="L304" s="39">
        <v>0</v>
      </c>
      <c r="M304" s="39">
        <v>0</v>
      </c>
      <c r="N304" s="39">
        <v>0</v>
      </c>
      <c r="O304" s="39">
        <v>0</v>
      </c>
      <c r="P304" s="39">
        <v>0</v>
      </c>
      <c r="Q304" s="39">
        <v>0</v>
      </c>
      <c r="R304" s="39">
        <v>0</v>
      </c>
      <c r="S304" s="39">
        <v>0</v>
      </c>
      <c r="T304" s="39">
        <v>0</v>
      </c>
      <c r="U304" s="39">
        <v>0</v>
      </c>
      <c r="V304" s="39">
        <v>418</v>
      </c>
      <c r="W304" s="40" t="s">
        <v>7671</v>
      </c>
      <c r="X304" s="39">
        <v>1</v>
      </c>
    </row>
    <row r="305" spans="1:24">
      <c r="A305" s="39">
        <v>1362</v>
      </c>
      <c r="B305" s="40" t="s">
        <v>619</v>
      </c>
      <c r="C305" s="39">
        <v>0</v>
      </c>
      <c r="D305" s="40" t="s">
        <v>7765</v>
      </c>
      <c r="E305" s="39">
        <v>1</v>
      </c>
      <c r="F305" s="39">
        <v>831</v>
      </c>
      <c r="G305" s="39">
        <v>1</v>
      </c>
      <c r="H305" s="39">
        <v>1</v>
      </c>
      <c r="I305" s="39">
        <v>0</v>
      </c>
      <c r="J305" s="39">
        <v>1</v>
      </c>
      <c r="K305" s="39">
        <v>0</v>
      </c>
      <c r="L305" s="39">
        <v>0</v>
      </c>
      <c r="M305" s="39">
        <v>0</v>
      </c>
      <c r="N305" s="39">
        <v>0</v>
      </c>
      <c r="O305" s="39">
        <v>0</v>
      </c>
      <c r="P305" s="39">
        <v>0</v>
      </c>
      <c r="Q305" s="39">
        <v>0</v>
      </c>
      <c r="R305" s="39">
        <v>0</v>
      </c>
      <c r="S305" s="39">
        <v>0</v>
      </c>
      <c r="T305" s="39">
        <v>0</v>
      </c>
      <c r="U305" s="39">
        <v>0</v>
      </c>
      <c r="V305" s="39">
        <v>456</v>
      </c>
      <c r="W305" s="40" t="s">
        <v>7673</v>
      </c>
      <c r="X305" s="39">
        <v>1</v>
      </c>
    </row>
    <row r="306" spans="1:24">
      <c r="A306" s="39">
        <v>852</v>
      </c>
      <c r="B306" s="40" t="s">
        <v>619</v>
      </c>
      <c r="C306" s="39">
        <v>1</v>
      </c>
      <c r="E306" s="39">
        <v>1</v>
      </c>
      <c r="F306" s="39">
        <v>831</v>
      </c>
      <c r="G306" s="39">
        <v>1</v>
      </c>
      <c r="H306" s="39">
        <v>0</v>
      </c>
      <c r="I306" s="39">
        <v>0</v>
      </c>
      <c r="J306" s="39">
        <v>1</v>
      </c>
      <c r="K306" s="39">
        <v>0</v>
      </c>
      <c r="L306" s="39">
        <v>0</v>
      </c>
      <c r="M306" s="39">
        <v>0</v>
      </c>
      <c r="N306" s="39">
        <v>0</v>
      </c>
      <c r="O306" s="39">
        <v>0</v>
      </c>
      <c r="P306" s="39">
        <v>0</v>
      </c>
      <c r="Q306" s="39">
        <v>0</v>
      </c>
      <c r="R306" s="39">
        <v>0</v>
      </c>
      <c r="S306" s="39">
        <v>0</v>
      </c>
      <c r="T306" s="39">
        <v>0</v>
      </c>
      <c r="U306" s="39">
        <v>0</v>
      </c>
      <c r="V306" s="39">
        <v>458</v>
      </c>
      <c r="W306" s="40" t="s">
        <v>7694</v>
      </c>
      <c r="X306" s="39">
        <v>1</v>
      </c>
    </row>
    <row r="307" spans="1:24">
      <c r="A307" s="39">
        <v>1128</v>
      </c>
      <c r="B307" s="40" t="s">
        <v>619</v>
      </c>
      <c r="C307" s="39">
        <v>1</v>
      </c>
      <c r="E307" s="39">
        <v>1</v>
      </c>
      <c r="F307" s="39">
        <v>831</v>
      </c>
      <c r="G307" s="39">
        <v>0</v>
      </c>
      <c r="H307" s="39">
        <v>0</v>
      </c>
      <c r="I307" s="39">
        <v>1</v>
      </c>
      <c r="J307" s="39">
        <v>0</v>
      </c>
      <c r="K307" s="39">
        <v>0</v>
      </c>
      <c r="L307" s="39">
        <v>0</v>
      </c>
      <c r="M307" s="39">
        <v>0</v>
      </c>
      <c r="N307" s="39">
        <v>0</v>
      </c>
      <c r="O307" s="39">
        <v>0</v>
      </c>
      <c r="P307" s="39">
        <v>0</v>
      </c>
      <c r="Q307" s="39">
        <v>0</v>
      </c>
      <c r="R307" s="39">
        <v>0</v>
      </c>
      <c r="S307" s="39">
        <v>0</v>
      </c>
      <c r="T307" s="39">
        <v>0</v>
      </c>
      <c r="U307" s="39">
        <v>0</v>
      </c>
      <c r="V307" s="39">
        <v>459</v>
      </c>
      <c r="W307" s="40" t="s">
        <v>7674</v>
      </c>
      <c r="X307" s="39">
        <v>1</v>
      </c>
    </row>
    <row r="308" spans="1:24">
      <c r="A308" s="39">
        <v>634</v>
      </c>
      <c r="B308" s="40" t="s">
        <v>619</v>
      </c>
      <c r="C308" s="39">
        <v>1</v>
      </c>
      <c r="D308" s="40" t="s">
        <v>7767</v>
      </c>
      <c r="E308" s="39">
        <v>0</v>
      </c>
      <c r="F308" s="39">
        <v>831</v>
      </c>
      <c r="G308" s="39">
        <v>0</v>
      </c>
      <c r="H308" s="39">
        <v>0</v>
      </c>
      <c r="I308" s="39">
        <v>0</v>
      </c>
      <c r="J308" s="39">
        <v>0</v>
      </c>
      <c r="K308" s="39">
        <v>0</v>
      </c>
      <c r="L308" s="39">
        <v>0</v>
      </c>
      <c r="M308" s="39">
        <v>0</v>
      </c>
      <c r="N308" s="39">
        <v>0</v>
      </c>
      <c r="O308" s="39">
        <v>0</v>
      </c>
      <c r="P308" s="39">
        <v>0</v>
      </c>
      <c r="Q308" s="39">
        <v>0</v>
      </c>
      <c r="R308" s="39">
        <v>0</v>
      </c>
      <c r="S308" s="39">
        <v>0</v>
      </c>
      <c r="T308" s="39">
        <v>0</v>
      </c>
      <c r="U308" s="39">
        <v>0</v>
      </c>
      <c r="V308" s="39">
        <v>468</v>
      </c>
      <c r="W308" s="40" t="s">
        <v>7677</v>
      </c>
      <c r="X308" s="39">
        <v>1</v>
      </c>
    </row>
    <row r="309" spans="1:24">
      <c r="A309" s="39">
        <v>1013</v>
      </c>
      <c r="B309" s="40" t="s">
        <v>619</v>
      </c>
      <c r="C309" s="39">
        <v>0</v>
      </c>
      <c r="E309" s="39">
        <v>1</v>
      </c>
      <c r="F309" s="39">
        <v>831</v>
      </c>
      <c r="G309" s="39">
        <v>0</v>
      </c>
      <c r="H309" s="39">
        <v>0</v>
      </c>
      <c r="I309" s="39">
        <v>0</v>
      </c>
      <c r="J309" s="39">
        <v>1</v>
      </c>
      <c r="K309" s="39">
        <v>0</v>
      </c>
      <c r="L309" s="39">
        <v>0</v>
      </c>
      <c r="M309" s="39">
        <v>0</v>
      </c>
      <c r="N309" s="39">
        <v>0</v>
      </c>
      <c r="O309" s="39">
        <v>0</v>
      </c>
      <c r="P309" s="39">
        <v>0</v>
      </c>
      <c r="Q309" s="39">
        <v>0</v>
      </c>
      <c r="R309" s="39">
        <v>0</v>
      </c>
      <c r="S309" s="39">
        <v>0</v>
      </c>
      <c r="T309" s="39">
        <v>0</v>
      </c>
      <c r="U309" s="39">
        <v>0</v>
      </c>
      <c r="V309" s="39">
        <v>477</v>
      </c>
      <c r="W309" s="40" t="s">
        <v>7697</v>
      </c>
      <c r="X309" s="39">
        <v>1</v>
      </c>
    </row>
    <row r="310" spans="1:24">
      <c r="A310" s="39">
        <v>218</v>
      </c>
      <c r="B310" s="40" t="s">
        <v>619</v>
      </c>
      <c r="C310" s="39">
        <v>0</v>
      </c>
      <c r="D310" s="40" t="s">
        <v>7768</v>
      </c>
      <c r="E310" s="39">
        <v>1</v>
      </c>
      <c r="F310" s="39">
        <v>831</v>
      </c>
      <c r="G310" s="39">
        <v>0</v>
      </c>
      <c r="H310" s="39">
        <v>0</v>
      </c>
      <c r="I310" s="39">
        <v>0</v>
      </c>
      <c r="J310" s="39">
        <v>0</v>
      </c>
      <c r="K310" s="39">
        <v>0</v>
      </c>
      <c r="L310" s="39">
        <v>0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39">
        <v>0</v>
      </c>
      <c r="S310" s="39">
        <v>0</v>
      </c>
      <c r="T310" s="39">
        <v>0</v>
      </c>
      <c r="U310" s="39">
        <v>0</v>
      </c>
      <c r="V310" s="39">
        <v>590</v>
      </c>
      <c r="W310" s="40" t="s">
        <v>7679</v>
      </c>
      <c r="X310" s="39">
        <v>1</v>
      </c>
    </row>
    <row r="311" spans="1:24">
      <c r="A311" s="39">
        <v>766</v>
      </c>
      <c r="B311" s="40" t="s">
        <v>619</v>
      </c>
      <c r="C311" s="39">
        <v>0</v>
      </c>
      <c r="D311" s="40" t="s">
        <v>7765</v>
      </c>
      <c r="E311" s="39">
        <v>1</v>
      </c>
      <c r="F311" s="39">
        <v>831</v>
      </c>
      <c r="G311" s="39">
        <v>1</v>
      </c>
      <c r="H311" s="39">
        <v>1</v>
      </c>
      <c r="I311" s="39">
        <v>0</v>
      </c>
      <c r="J311" s="39">
        <v>1</v>
      </c>
      <c r="K311" s="39">
        <v>0</v>
      </c>
      <c r="L311" s="39">
        <v>0</v>
      </c>
      <c r="M311" s="39">
        <v>0</v>
      </c>
      <c r="N311" s="39">
        <v>0</v>
      </c>
      <c r="O311" s="39">
        <v>0</v>
      </c>
      <c r="P311" s="39">
        <v>0</v>
      </c>
      <c r="Q311" s="39">
        <v>0</v>
      </c>
      <c r="R311" s="39">
        <v>0</v>
      </c>
      <c r="S311" s="39">
        <v>0</v>
      </c>
      <c r="T311" s="39">
        <v>0</v>
      </c>
      <c r="U311" s="39">
        <v>0</v>
      </c>
      <c r="V311" s="39">
        <v>733</v>
      </c>
      <c r="W311" s="40" t="s">
        <v>7680</v>
      </c>
      <c r="X311" s="39">
        <v>1</v>
      </c>
    </row>
    <row r="312" spans="1:24">
      <c r="A312" s="39">
        <v>90</v>
      </c>
      <c r="B312" s="40" t="s">
        <v>1492</v>
      </c>
      <c r="C312" s="39">
        <v>0</v>
      </c>
      <c r="D312" s="40" t="s">
        <v>7769</v>
      </c>
      <c r="E312" s="39">
        <v>1</v>
      </c>
      <c r="F312" s="39">
        <v>833</v>
      </c>
      <c r="G312" s="39">
        <v>1</v>
      </c>
      <c r="H312" s="39">
        <v>1</v>
      </c>
      <c r="I312" s="39">
        <v>0</v>
      </c>
      <c r="J312" s="39">
        <v>1</v>
      </c>
      <c r="K312" s="39">
        <v>0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39">
        <v>0</v>
      </c>
      <c r="S312" s="39">
        <v>0</v>
      </c>
      <c r="T312" s="39">
        <v>0</v>
      </c>
      <c r="U312" s="39">
        <v>0</v>
      </c>
      <c r="V312" s="39">
        <v>1</v>
      </c>
      <c r="W312" s="40" t="s">
        <v>518</v>
      </c>
      <c r="X312" s="39">
        <v>1</v>
      </c>
    </row>
    <row r="313" spans="1:24">
      <c r="A313" s="39">
        <v>75</v>
      </c>
      <c r="B313" s="40" t="s">
        <v>1492</v>
      </c>
      <c r="C313" s="39">
        <v>0</v>
      </c>
      <c r="D313" s="40" t="s">
        <v>7770</v>
      </c>
      <c r="E313" s="39">
        <v>1</v>
      </c>
      <c r="F313" s="39">
        <v>35</v>
      </c>
      <c r="G313" s="39">
        <v>1</v>
      </c>
      <c r="H313" s="39">
        <v>0</v>
      </c>
      <c r="I313" s="39">
        <v>0</v>
      </c>
      <c r="J313" s="39">
        <v>0</v>
      </c>
      <c r="K313" s="39">
        <v>0</v>
      </c>
      <c r="L313" s="39">
        <v>0</v>
      </c>
      <c r="M313" s="39">
        <v>0</v>
      </c>
      <c r="N313" s="39">
        <v>0</v>
      </c>
      <c r="O313" s="39">
        <v>0</v>
      </c>
      <c r="P313" s="39">
        <v>0</v>
      </c>
      <c r="Q313" s="39">
        <v>0</v>
      </c>
      <c r="R313" s="39">
        <v>0</v>
      </c>
      <c r="S313" s="39">
        <v>0</v>
      </c>
      <c r="T313" s="39">
        <v>0</v>
      </c>
      <c r="U313" s="39">
        <v>0</v>
      </c>
      <c r="V313" s="39">
        <v>2</v>
      </c>
      <c r="W313" s="40" t="s">
        <v>40</v>
      </c>
      <c r="X313" s="39">
        <v>1</v>
      </c>
    </row>
    <row r="314" spans="1:24">
      <c r="A314" s="39">
        <v>950</v>
      </c>
      <c r="B314" s="40" t="s">
        <v>1492</v>
      </c>
      <c r="C314" s="39">
        <v>1</v>
      </c>
      <c r="E314" s="39">
        <v>1</v>
      </c>
      <c r="F314" s="39">
        <v>833</v>
      </c>
      <c r="G314" s="39">
        <v>1</v>
      </c>
      <c r="H314" s="39">
        <v>0</v>
      </c>
      <c r="I314" s="39">
        <v>0</v>
      </c>
      <c r="J314" s="39">
        <v>1</v>
      </c>
      <c r="K314" s="39">
        <v>0</v>
      </c>
      <c r="L314" s="39">
        <v>0</v>
      </c>
      <c r="M314" s="39">
        <v>0</v>
      </c>
      <c r="N314" s="39">
        <v>0</v>
      </c>
      <c r="O314" s="39">
        <v>0</v>
      </c>
      <c r="P314" s="39">
        <v>0</v>
      </c>
      <c r="Q314" s="39">
        <v>0</v>
      </c>
      <c r="R314" s="39">
        <v>0</v>
      </c>
      <c r="S314" s="39">
        <v>0</v>
      </c>
      <c r="T314" s="39">
        <v>0</v>
      </c>
      <c r="U314" s="39">
        <v>0</v>
      </c>
      <c r="V314" s="39">
        <v>158</v>
      </c>
      <c r="W314" s="40" t="s">
        <v>7667</v>
      </c>
      <c r="X314" s="39">
        <v>1</v>
      </c>
    </row>
    <row r="315" spans="1:24">
      <c r="A315" s="39">
        <v>441</v>
      </c>
      <c r="B315" s="40" t="s">
        <v>1492</v>
      </c>
      <c r="C315" s="39">
        <v>1</v>
      </c>
      <c r="D315" s="40" t="s">
        <v>7771</v>
      </c>
      <c r="E315" s="39">
        <v>0</v>
      </c>
      <c r="F315" s="39">
        <v>833</v>
      </c>
      <c r="G315" s="39">
        <v>0</v>
      </c>
      <c r="H315" s="39">
        <v>0</v>
      </c>
      <c r="I315" s="39">
        <v>0</v>
      </c>
      <c r="J315" s="39">
        <v>0</v>
      </c>
      <c r="K315" s="39">
        <v>0</v>
      </c>
      <c r="L315" s="39">
        <v>0</v>
      </c>
      <c r="M315" s="39">
        <v>0</v>
      </c>
      <c r="N315" s="39">
        <v>0</v>
      </c>
      <c r="O315" s="39">
        <v>0</v>
      </c>
      <c r="P315" s="39">
        <v>0</v>
      </c>
      <c r="Q315" s="39">
        <v>0</v>
      </c>
      <c r="R315" s="39">
        <v>0</v>
      </c>
      <c r="S315" s="39">
        <v>0</v>
      </c>
      <c r="T315" s="39">
        <v>0</v>
      </c>
      <c r="U315" s="39">
        <v>0</v>
      </c>
      <c r="V315" s="39">
        <v>175</v>
      </c>
      <c r="W315" s="40" t="s">
        <v>7689</v>
      </c>
      <c r="X315" s="39">
        <v>1</v>
      </c>
    </row>
    <row r="316" spans="1:24">
      <c r="A316" s="39">
        <v>335</v>
      </c>
      <c r="B316" s="40" t="s">
        <v>1492</v>
      </c>
      <c r="C316" s="39">
        <v>1</v>
      </c>
      <c r="D316" s="40" t="s">
        <v>7771</v>
      </c>
      <c r="E316" s="39">
        <v>0</v>
      </c>
      <c r="F316" s="39">
        <v>833</v>
      </c>
      <c r="G316" s="39">
        <v>0</v>
      </c>
      <c r="H316" s="39">
        <v>0</v>
      </c>
      <c r="I316" s="39">
        <v>0</v>
      </c>
      <c r="J316" s="39">
        <v>0</v>
      </c>
      <c r="K316" s="39">
        <v>0</v>
      </c>
      <c r="L316" s="39">
        <v>0</v>
      </c>
      <c r="M316" s="39">
        <v>0</v>
      </c>
      <c r="N316" s="39">
        <v>0</v>
      </c>
      <c r="O316" s="39">
        <v>0</v>
      </c>
      <c r="P316" s="39">
        <v>0</v>
      </c>
      <c r="Q316" s="39">
        <v>0</v>
      </c>
      <c r="R316" s="39">
        <v>0</v>
      </c>
      <c r="S316" s="39">
        <v>0</v>
      </c>
      <c r="T316" s="39">
        <v>0</v>
      </c>
      <c r="U316" s="39">
        <v>0</v>
      </c>
      <c r="V316" s="39">
        <v>228</v>
      </c>
      <c r="W316" s="40" t="s">
        <v>7669</v>
      </c>
      <c r="X316" s="39">
        <v>1</v>
      </c>
    </row>
    <row r="317" spans="1:24">
      <c r="A317" s="39">
        <v>1702</v>
      </c>
      <c r="B317" s="40" t="s">
        <v>1492</v>
      </c>
      <c r="C317" s="39">
        <v>0</v>
      </c>
      <c r="D317" s="40" t="s">
        <v>7769</v>
      </c>
      <c r="E317" s="39">
        <v>1</v>
      </c>
      <c r="F317" s="39">
        <v>833</v>
      </c>
      <c r="G317" s="39">
        <v>1</v>
      </c>
      <c r="H317" s="39">
        <v>1</v>
      </c>
      <c r="I317" s="39">
        <v>0</v>
      </c>
      <c r="J317" s="39">
        <v>1</v>
      </c>
      <c r="K317" s="39">
        <v>0</v>
      </c>
      <c r="L317" s="39">
        <v>0</v>
      </c>
      <c r="M317" s="39">
        <v>0</v>
      </c>
      <c r="N317" s="39">
        <v>0</v>
      </c>
      <c r="O317" s="39">
        <v>0</v>
      </c>
      <c r="P317" s="39">
        <v>0</v>
      </c>
      <c r="Q317" s="39">
        <v>0</v>
      </c>
      <c r="R317" s="39">
        <v>0</v>
      </c>
      <c r="S317" s="39">
        <v>0</v>
      </c>
      <c r="T317" s="39">
        <v>0</v>
      </c>
      <c r="U317" s="39">
        <v>0</v>
      </c>
      <c r="V317" s="39">
        <v>244</v>
      </c>
      <c r="W317" s="40" t="s">
        <v>682</v>
      </c>
      <c r="X317" s="39">
        <v>1</v>
      </c>
    </row>
    <row r="318" spans="1:24">
      <c r="A318" s="39">
        <v>1215</v>
      </c>
      <c r="B318" s="40" t="s">
        <v>1492</v>
      </c>
      <c r="C318" s="39">
        <v>0</v>
      </c>
      <c r="E318" s="39">
        <v>1</v>
      </c>
      <c r="F318" s="39">
        <v>833</v>
      </c>
      <c r="G318" s="39">
        <v>0</v>
      </c>
      <c r="H318" s="39">
        <v>0</v>
      </c>
      <c r="I318" s="39">
        <v>1</v>
      </c>
      <c r="J318" s="39">
        <v>1</v>
      </c>
      <c r="K318" s="39">
        <v>0</v>
      </c>
      <c r="L318" s="39">
        <v>0</v>
      </c>
      <c r="M318" s="39">
        <v>0</v>
      </c>
      <c r="N318" s="39">
        <v>0</v>
      </c>
      <c r="O318" s="39">
        <v>0</v>
      </c>
      <c r="P318" s="39">
        <v>0</v>
      </c>
      <c r="Q318" s="39">
        <v>0</v>
      </c>
      <c r="R318" s="39">
        <v>0</v>
      </c>
      <c r="S318" s="39">
        <v>0</v>
      </c>
      <c r="T318" s="39">
        <v>0</v>
      </c>
      <c r="U318" s="39">
        <v>0</v>
      </c>
      <c r="V318" s="39">
        <v>418</v>
      </c>
      <c r="W318" s="40" t="s">
        <v>7671</v>
      </c>
      <c r="X318" s="39">
        <v>1</v>
      </c>
    </row>
    <row r="319" spans="1:24">
      <c r="A319" s="39">
        <v>1363</v>
      </c>
      <c r="B319" s="40" t="s">
        <v>1492</v>
      </c>
      <c r="C319" s="39">
        <v>0</v>
      </c>
      <c r="D319" s="40" t="s">
        <v>7769</v>
      </c>
      <c r="E319" s="39">
        <v>1</v>
      </c>
      <c r="F319" s="39">
        <v>833</v>
      </c>
      <c r="G319" s="39">
        <v>1</v>
      </c>
      <c r="H319" s="39">
        <v>1</v>
      </c>
      <c r="I319" s="39">
        <v>0</v>
      </c>
      <c r="J319" s="39">
        <v>1</v>
      </c>
      <c r="K319" s="39">
        <v>0</v>
      </c>
      <c r="L319" s="39">
        <v>0</v>
      </c>
      <c r="M319" s="39">
        <v>0</v>
      </c>
      <c r="N319" s="39">
        <v>0</v>
      </c>
      <c r="O319" s="39">
        <v>0</v>
      </c>
      <c r="P319" s="39">
        <v>0</v>
      </c>
      <c r="Q319" s="39">
        <v>0</v>
      </c>
      <c r="R319" s="39">
        <v>0</v>
      </c>
      <c r="S319" s="39">
        <v>0</v>
      </c>
      <c r="T319" s="39">
        <v>0</v>
      </c>
      <c r="U319" s="39">
        <v>0</v>
      </c>
      <c r="V319" s="39">
        <v>456</v>
      </c>
      <c r="W319" s="40" t="s">
        <v>7673</v>
      </c>
      <c r="X319" s="39">
        <v>1</v>
      </c>
    </row>
    <row r="320" spans="1:24">
      <c r="A320" s="39">
        <v>853</v>
      </c>
      <c r="B320" s="40" t="s">
        <v>1492</v>
      </c>
      <c r="C320" s="39">
        <v>1</v>
      </c>
      <c r="E320" s="39">
        <v>1</v>
      </c>
      <c r="F320" s="39">
        <v>833</v>
      </c>
      <c r="G320" s="39">
        <v>1</v>
      </c>
      <c r="H320" s="39">
        <v>0</v>
      </c>
      <c r="I320" s="39">
        <v>0</v>
      </c>
      <c r="J320" s="39">
        <v>1</v>
      </c>
      <c r="K320" s="39">
        <v>0</v>
      </c>
      <c r="L320" s="39">
        <v>0</v>
      </c>
      <c r="M320" s="39">
        <v>0</v>
      </c>
      <c r="N320" s="39">
        <v>0</v>
      </c>
      <c r="O320" s="39">
        <v>0</v>
      </c>
      <c r="P320" s="39">
        <v>0</v>
      </c>
      <c r="Q320" s="39">
        <v>0</v>
      </c>
      <c r="R320" s="39">
        <v>0</v>
      </c>
      <c r="S320" s="39">
        <v>0</v>
      </c>
      <c r="T320" s="39">
        <v>0</v>
      </c>
      <c r="U320" s="39">
        <v>0</v>
      </c>
      <c r="V320" s="39">
        <v>458</v>
      </c>
      <c r="W320" s="40" t="s">
        <v>7694</v>
      </c>
      <c r="X320" s="39">
        <v>1</v>
      </c>
    </row>
    <row r="321" spans="1:24">
      <c r="A321" s="39">
        <v>1129</v>
      </c>
      <c r="B321" s="40" t="s">
        <v>1492</v>
      </c>
      <c r="C321" s="39">
        <v>1</v>
      </c>
      <c r="E321" s="39">
        <v>1</v>
      </c>
      <c r="F321" s="39">
        <v>833</v>
      </c>
      <c r="G321" s="39">
        <v>0</v>
      </c>
      <c r="H321" s="39">
        <v>0</v>
      </c>
      <c r="I321" s="39">
        <v>1</v>
      </c>
      <c r="J321" s="39">
        <v>0</v>
      </c>
      <c r="K321" s="39">
        <v>0</v>
      </c>
      <c r="L321" s="39">
        <v>0</v>
      </c>
      <c r="M321" s="39">
        <v>0</v>
      </c>
      <c r="N321" s="39">
        <v>0</v>
      </c>
      <c r="O321" s="39">
        <v>0</v>
      </c>
      <c r="P321" s="39">
        <v>0</v>
      </c>
      <c r="Q321" s="39">
        <v>0</v>
      </c>
      <c r="R321" s="39">
        <v>0</v>
      </c>
      <c r="S321" s="39">
        <v>0</v>
      </c>
      <c r="T321" s="39">
        <v>0</v>
      </c>
      <c r="U321" s="39">
        <v>0</v>
      </c>
      <c r="V321" s="39">
        <v>459</v>
      </c>
      <c r="W321" s="40" t="s">
        <v>7674</v>
      </c>
      <c r="X321" s="39">
        <v>1</v>
      </c>
    </row>
    <row r="322" spans="1:24">
      <c r="A322" s="39">
        <v>635</v>
      </c>
      <c r="B322" s="40" t="s">
        <v>1492</v>
      </c>
      <c r="C322" s="39">
        <v>1</v>
      </c>
      <c r="D322" s="40" t="s">
        <v>7771</v>
      </c>
      <c r="E322" s="39">
        <v>0</v>
      </c>
      <c r="F322" s="39">
        <v>833</v>
      </c>
      <c r="G322" s="39">
        <v>0</v>
      </c>
      <c r="H322" s="39">
        <v>0</v>
      </c>
      <c r="I322" s="39">
        <v>0</v>
      </c>
      <c r="J322" s="39">
        <v>0</v>
      </c>
      <c r="K322" s="39">
        <v>0</v>
      </c>
      <c r="L322" s="39">
        <v>0</v>
      </c>
      <c r="M322" s="39">
        <v>0</v>
      </c>
      <c r="N322" s="39">
        <v>0</v>
      </c>
      <c r="O322" s="39">
        <v>0</v>
      </c>
      <c r="P322" s="39">
        <v>0</v>
      </c>
      <c r="Q322" s="39">
        <v>0</v>
      </c>
      <c r="R322" s="39">
        <v>0</v>
      </c>
      <c r="S322" s="39">
        <v>0</v>
      </c>
      <c r="T322" s="39">
        <v>0</v>
      </c>
      <c r="U322" s="39">
        <v>0</v>
      </c>
      <c r="V322" s="39">
        <v>468</v>
      </c>
      <c r="W322" s="40" t="s">
        <v>7677</v>
      </c>
      <c r="X322" s="39">
        <v>1</v>
      </c>
    </row>
    <row r="323" spans="1:24">
      <c r="A323" s="39">
        <v>1033</v>
      </c>
      <c r="B323" s="40" t="s">
        <v>1492</v>
      </c>
      <c r="C323" s="39">
        <v>0</v>
      </c>
      <c r="E323" s="39">
        <v>1</v>
      </c>
      <c r="F323" s="39">
        <v>833</v>
      </c>
      <c r="G323" s="39">
        <v>0</v>
      </c>
      <c r="H323" s="39">
        <v>0</v>
      </c>
      <c r="I323" s="39">
        <v>0</v>
      </c>
      <c r="J323" s="39">
        <v>1</v>
      </c>
      <c r="K323" s="39">
        <v>0</v>
      </c>
      <c r="L323" s="39">
        <v>0</v>
      </c>
      <c r="M323" s="39">
        <v>0</v>
      </c>
      <c r="N323" s="39">
        <v>0</v>
      </c>
      <c r="O323" s="39">
        <v>0</v>
      </c>
      <c r="P323" s="39">
        <v>0</v>
      </c>
      <c r="Q323" s="39">
        <v>0</v>
      </c>
      <c r="R323" s="39">
        <v>0</v>
      </c>
      <c r="S323" s="39">
        <v>0</v>
      </c>
      <c r="T323" s="39">
        <v>0</v>
      </c>
      <c r="U323" s="39">
        <v>0</v>
      </c>
      <c r="V323" s="39">
        <v>477</v>
      </c>
      <c r="W323" s="40" t="s">
        <v>7697</v>
      </c>
      <c r="X323" s="39">
        <v>1</v>
      </c>
    </row>
    <row r="324" spans="1:24">
      <c r="A324" s="39">
        <v>219</v>
      </c>
      <c r="B324" s="40" t="s">
        <v>1492</v>
      </c>
      <c r="C324" s="39">
        <v>0</v>
      </c>
      <c r="D324" s="40" t="s">
        <v>7772</v>
      </c>
      <c r="E324" s="39">
        <v>1</v>
      </c>
      <c r="F324" s="39">
        <v>833</v>
      </c>
      <c r="G324" s="39">
        <v>0</v>
      </c>
      <c r="H324" s="39">
        <v>0</v>
      </c>
      <c r="I324" s="39">
        <v>0</v>
      </c>
      <c r="J324" s="39">
        <v>0</v>
      </c>
      <c r="K324" s="39">
        <v>0</v>
      </c>
      <c r="L324" s="39">
        <v>0</v>
      </c>
      <c r="M324" s="39">
        <v>0</v>
      </c>
      <c r="N324" s="39">
        <v>0</v>
      </c>
      <c r="O324" s="39">
        <v>0</v>
      </c>
      <c r="P324" s="39">
        <v>0</v>
      </c>
      <c r="Q324" s="39">
        <v>0</v>
      </c>
      <c r="R324" s="39">
        <v>0</v>
      </c>
      <c r="S324" s="39">
        <v>0</v>
      </c>
      <c r="T324" s="39">
        <v>0</v>
      </c>
      <c r="U324" s="39">
        <v>0</v>
      </c>
      <c r="V324" s="39">
        <v>590</v>
      </c>
      <c r="W324" s="40" t="s">
        <v>7679</v>
      </c>
      <c r="X324" s="39">
        <v>1</v>
      </c>
    </row>
    <row r="325" spans="1:24">
      <c r="A325" s="39">
        <v>767</v>
      </c>
      <c r="B325" s="40" t="s">
        <v>1492</v>
      </c>
      <c r="C325" s="39">
        <v>0</v>
      </c>
      <c r="D325" s="40" t="s">
        <v>7769</v>
      </c>
      <c r="E325" s="39">
        <v>1</v>
      </c>
      <c r="F325" s="39">
        <v>833</v>
      </c>
      <c r="G325" s="39">
        <v>1</v>
      </c>
      <c r="H325" s="39">
        <v>1</v>
      </c>
      <c r="I325" s="39">
        <v>0</v>
      </c>
      <c r="J325" s="39">
        <v>1</v>
      </c>
      <c r="K325" s="39">
        <v>0</v>
      </c>
      <c r="L325" s="39">
        <v>0</v>
      </c>
      <c r="M325" s="39">
        <v>0</v>
      </c>
      <c r="N325" s="39">
        <v>0</v>
      </c>
      <c r="O325" s="39">
        <v>0</v>
      </c>
      <c r="P325" s="39">
        <v>0</v>
      </c>
      <c r="Q325" s="39">
        <v>0</v>
      </c>
      <c r="R325" s="39">
        <v>0</v>
      </c>
      <c r="S325" s="39">
        <v>0</v>
      </c>
      <c r="T325" s="39">
        <v>0</v>
      </c>
      <c r="U325" s="39">
        <v>0</v>
      </c>
      <c r="V325" s="39">
        <v>733</v>
      </c>
      <c r="W325" s="40" t="s">
        <v>7680</v>
      </c>
      <c r="X325" s="39">
        <v>1</v>
      </c>
    </row>
    <row r="326" spans="1:24">
      <c r="A326" s="39">
        <v>64</v>
      </c>
      <c r="B326" s="40" t="s">
        <v>7773</v>
      </c>
      <c r="C326" s="39">
        <v>0</v>
      </c>
      <c r="E326" s="39">
        <v>0</v>
      </c>
      <c r="F326" s="39">
        <v>86</v>
      </c>
      <c r="G326" s="39">
        <v>0</v>
      </c>
      <c r="H326" s="39">
        <v>0</v>
      </c>
      <c r="I326" s="39">
        <v>0</v>
      </c>
      <c r="J326" s="39">
        <v>0</v>
      </c>
      <c r="K326" s="39">
        <v>0</v>
      </c>
      <c r="L326" s="39">
        <v>0</v>
      </c>
      <c r="M326" s="39">
        <v>0</v>
      </c>
      <c r="N326" s="39">
        <v>0</v>
      </c>
      <c r="O326" s="39">
        <v>0</v>
      </c>
      <c r="P326" s="39">
        <v>0</v>
      </c>
      <c r="Q326" s="39">
        <v>0</v>
      </c>
      <c r="R326" s="39">
        <v>0</v>
      </c>
      <c r="S326" s="39">
        <v>0</v>
      </c>
      <c r="T326" s="39">
        <v>0</v>
      </c>
      <c r="U326" s="39">
        <v>0</v>
      </c>
      <c r="V326" s="39">
        <v>2</v>
      </c>
      <c r="W326" s="40" t="s">
        <v>40</v>
      </c>
      <c r="X326" s="39">
        <v>1</v>
      </c>
    </row>
    <row r="327" spans="1:24">
      <c r="A327" s="39">
        <v>1358</v>
      </c>
      <c r="B327" s="40" t="s">
        <v>7773</v>
      </c>
      <c r="C327" s="39">
        <v>0</v>
      </c>
      <c r="E327" s="39">
        <v>0</v>
      </c>
      <c r="F327" s="39">
        <v>1570</v>
      </c>
      <c r="G327" s="39">
        <v>0</v>
      </c>
      <c r="H327" s="39">
        <v>0</v>
      </c>
      <c r="I327" s="39">
        <v>0</v>
      </c>
      <c r="J327" s="39">
        <v>0</v>
      </c>
      <c r="K327" s="39">
        <v>0</v>
      </c>
      <c r="L327" s="39">
        <v>0</v>
      </c>
      <c r="M327" s="39">
        <v>0</v>
      </c>
      <c r="N327" s="39">
        <v>0</v>
      </c>
      <c r="O327" s="39">
        <v>0</v>
      </c>
      <c r="P327" s="39">
        <v>0</v>
      </c>
      <c r="Q327" s="39">
        <v>0</v>
      </c>
      <c r="R327" s="39">
        <v>0</v>
      </c>
      <c r="S327" s="39">
        <v>0</v>
      </c>
      <c r="T327" s="39">
        <v>0</v>
      </c>
      <c r="U327" s="39">
        <v>0</v>
      </c>
      <c r="V327" s="39">
        <v>456</v>
      </c>
      <c r="W327" s="40" t="s">
        <v>7673</v>
      </c>
      <c r="X327" s="39">
        <v>1</v>
      </c>
    </row>
    <row r="328" spans="1:24">
      <c r="A328" s="39">
        <v>831</v>
      </c>
      <c r="B328" s="40" t="s">
        <v>7773</v>
      </c>
      <c r="C328" s="39">
        <v>0</v>
      </c>
      <c r="E328" s="39">
        <v>0</v>
      </c>
      <c r="F328" s="39">
        <v>1570</v>
      </c>
      <c r="G328" s="39">
        <v>0</v>
      </c>
      <c r="H328" s="39">
        <v>0</v>
      </c>
      <c r="I328" s="39">
        <v>0</v>
      </c>
      <c r="J328" s="39">
        <v>0</v>
      </c>
      <c r="K328" s="39">
        <v>0</v>
      </c>
      <c r="L328" s="39">
        <v>0</v>
      </c>
      <c r="M328" s="39">
        <v>0</v>
      </c>
      <c r="N328" s="39">
        <v>0</v>
      </c>
      <c r="O328" s="39">
        <v>0</v>
      </c>
      <c r="P328" s="39">
        <v>0</v>
      </c>
      <c r="Q328" s="39">
        <v>0</v>
      </c>
      <c r="R328" s="39">
        <v>0</v>
      </c>
      <c r="S328" s="39">
        <v>0</v>
      </c>
      <c r="T328" s="39">
        <v>0</v>
      </c>
      <c r="U328" s="39">
        <v>0</v>
      </c>
      <c r="V328" s="39">
        <v>733</v>
      </c>
      <c r="W328" s="40" t="s">
        <v>7680</v>
      </c>
      <c r="X328" s="39">
        <v>1</v>
      </c>
    </row>
    <row r="329" spans="1:24">
      <c r="A329" s="39">
        <v>1611</v>
      </c>
      <c r="B329" s="40" t="s">
        <v>1637</v>
      </c>
      <c r="C329" s="39">
        <v>0</v>
      </c>
      <c r="D329" s="40" t="s">
        <v>7774</v>
      </c>
      <c r="E329" s="39">
        <v>0</v>
      </c>
      <c r="F329" s="39">
        <v>43</v>
      </c>
      <c r="G329" s="39">
        <v>0</v>
      </c>
      <c r="H329" s="39">
        <v>0</v>
      </c>
      <c r="I329" s="39">
        <v>0</v>
      </c>
      <c r="J329" s="39">
        <v>0</v>
      </c>
      <c r="K329" s="39">
        <v>0</v>
      </c>
      <c r="L329" s="39">
        <v>0</v>
      </c>
      <c r="M329" s="39">
        <v>0</v>
      </c>
      <c r="N329" s="39">
        <v>0</v>
      </c>
      <c r="O329" s="39">
        <v>0</v>
      </c>
      <c r="P329" s="39">
        <v>0</v>
      </c>
      <c r="Q329" s="39">
        <v>0</v>
      </c>
      <c r="R329" s="39">
        <v>0</v>
      </c>
      <c r="S329" s="39">
        <v>0</v>
      </c>
      <c r="T329" s="39">
        <v>0</v>
      </c>
      <c r="U329" s="39">
        <v>0</v>
      </c>
      <c r="V329" s="39">
        <v>2</v>
      </c>
      <c r="W329" s="40" t="s">
        <v>40</v>
      </c>
      <c r="X329" s="39">
        <v>1</v>
      </c>
    </row>
    <row r="330" spans="1:24">
      <c r="A330" s="39">
        <v>1872</v>
      </c>
      <c r="B330" s="40" t="s">
        <v>1637</v>
      </c>
      <c r="C330" s="39">
        <v>0</v>
      </c>
      <c r="E330" s="39">
        <v>0</v>
      </c>
      <c r="F330" s="39">
        <v>875</v>
      </c>
      <c r="G330" s="39">
        <v>0</v>
      </c>
      <c r="H330" s="39">
        <v>0</v>
      </c>
      <c r="I330" s="39">
        <v>0</v>
      </c>
      <c r="J330" s="39">
        <v>0</v>
      </c>
      <c r="K330" s="39">
        <v>0</v>
      </c>
      <c r="L330" s="39">
        <v>0</v>
      </c>
      <c r="M330" s="39">
        <v>0</v>
      </c>
      <c r="N330" s="39">
        <v>0</v>
      </c>
      <c r="O330" s="39">
        <v>0</v>
      </c>
      <c r="P330" s="39">
        <v>0</v>
      </c>
      <c r="Q330" s="39">
        <v>0</v>
      </c>
      <c r="R330" s="39">
        <v>0</v>
      </c>
      <c r="S330" s="39">
        <v>0</v>
      </c>
      <c r="T330" s="39">
        <v>0</v>
      </c>
      <c r="U330" s="39">
        <v>0</v>
      </c>
      <c r="V330" s="39">
        <v>244</v>
      </c>
      <c r="W330" s="40" t="s">
        <v>682</v>
      </c>
      <c r="X330" s="39">
        <v>1</v>
      </c>
    </row>
    <row r="331" spans="1:24">
      <c r="A331" s="39">
        <v>424</v>
      </c>
      <c r="B331" s="40" t="s">
        <v>7775</v>
      </c>
      <c r="C331" s="39">
        <v>0</v>
      </c>
      <c r="E331" s="39">
        <v>0</v>
      </c>
      <c r="F331" s="39">
        <v>99</v>
      </c>
      <c r="G331" s="39">
        <v>0</v>
      </c>
      <c r="H331" s="39">
        <v>1</v>
      </c>
      <c r="I331" s="39">
        <v>1</v>
      </c>
      <c r="J331" s="39">
        <v>0</v>
      </c>
      <c r="K331" s="39">
        <v>0</v>
      </c>
      <c r="L331" s="39">
        <v>0</v>
      </c>
      <c r="M331" s="39">
        <v>0</v>
      </c>
      <c r="N331" s="39">
        <v>0</v>
      </c>
      <c r="O331" s="39">
        <v>0</v>
      </c>
      <c r="P331" s="39">
        <v>0</v>
      </c>
      <c r="Q331" s="39">
        <v>0</v>
      </c>
      <c r="R331" s="39">
        <v>0</v>
      </c>
      <c r="S331" s="39">
        <v>0</v>
      </c>
      <c r="T331" s="39">
        <v>0</v>
      </c>
      <c r="U331" s="39">
        <v>0</v>
      </c>
      <c r="V331" s="39">
        <v>175</v>
      </c>
      <c r="W331" s="40" t="s">
        <v>7689</v>
      </c>
      <c r="X331" s="39">
        <v>1</v>
      </c>
    </row>
    <row r="332" spans="1:24">
      <c r="A332" s="39">
        <v>1086</v>
      </c>
      <c r="B332" s="40" t="s">
        <v>7775</v>
      </c>
      <c r="C332" s="39">
        <v>0</v>
      </c>
      <c r="E332" s="39">
        <v>0</v>
      </c>
      <c r="F332" s="39">
        <v>2072</v>
      </c>
      <c r="G332" s="39">
        <v>0</v>
      </c>
      <c r="H332" s="39">
        <v>1</v>
      </c>
      <c r="I332" s="39">
        <v>1</v>
      </c>
      <c r="J332" s="39">
        <v>0</v>
      </c>
      <c r="K332" s="39">
        <v>0</v>
      </c>
      <c r="L332" s="39">
        <v>0</v>
      </c>
      <c r="M332" s="39">
        <v>0</v>
      </c>
      <c r="N332" s="39">
        <v>0</v>
      </c>
      <c r="O332" s="39">
        <v>0</v>
      </c>
      <c r="P332" s="39">
        <v>0</v>
      </c>
      <c r="Q332" s="39">
        <v>0</v>
      </c>
      <c r="R332" s="39">
        <v>0</v>
      </c>
      <c r="S332" s="39">
        <v>0</v>
      </c>
      <c r="T332" s="39">
        <v>0</v>
      </c>
      <c r="U332" s="39">
        <v>0</v>
      </c>
      <c r="V332" s="39">
        <v>477</v>
      </c>
      <c r="W332" s="40" t="s">
        <v>7697</v>
      </c>
      <c r="X332" s="39">
        <v>1</v>
      </c>
    </row>
    <row r="333" spans="1:24">
      <c r="A333" s="39">
        <v>296</v>
      </c>
      <c r="B333" s="40" t="s">
        <v>7776</v>
      </c>
      <c r="C333" s="39">
        <v>0</v>
      </c>
      <c r="D333" s="40" t="s">
        <v>7777</v>
      </c>
      <c r="E333" s="39">
        <v>0</v>
      </c>
      <c r="F333" s="39">
        <v>2052</v>
      </c>
      <c r="G333" s="39">
        <v>0</v>
      </c>
      <c r="H333" s="39">
        <v>0</v>
      </c>
      <c r="I333" s="39">
        <v>0</v>
      </c>
      <c r="J333" s="39">
        <v>0</v>
      </c>
      <c r="K333" s="39">
        <v>0</v>
      </c>
      <c r="L333" s="39">
        <v>0</v>
      </c>
      <c r="M333" s="39">
        <v>0</v>
      </c>
      <c r="N333" s="39">
        <v>0</v>
      </c>
      <c r="O333" s="39">
        <v>0</v>
      </c>
      <c r="P333" s="39">
        <v>0</v>
      </c>
      <c r="Q333" s="39">
        <v>0</v>
      </c>
      <c r="R333" s="39">
        <v>0</v>
      </c>
      <c r="S333" s="39">
        <v>0</v>
      </c>
      <c r="T333" s="39">
        <v>0</v>
      </c>
      <c r="U333" s="39">
        <v>0</v>
      </c>
      <c r="V333" s="39">
        <v>590</v>
      </c>
      <c r="W333" s="40" t="s">
        <v>7679</v>
      </c>
      <c r="X333" s="39">
        <v>1</v>
      </c>
    </row>
    <row r="334" spans="1:24">
      <c r="A334" s="39">
        <v>1217</v>
      </c>
      <c r="B334" s="40" t="s">
        <v>7778</v>
      </c>
      <c r="C334" s="39">
        <v>0</v>
      </c>
      <c r="E334" s="39">
        <v>0</v>
      </c>
      <c r="F334" s="39">
        <v>2069</v>
      </c>
      <c r="G334" s="39">
        <v>0</v>
      </c>
      <c r="H334" s="39">
        <v>0</v>
      </c>
      <c r="I334" s="39">
        <v>1</v>
      </c>
      <c r="J334" s="39">
        <v>0</v>
      </c>
      <c r="K334" s="39">
        <v>0</v>
      </c>
      <c r="L334" s="39">
        <v>0</v>
      </c>
      <c r="M334" s="39">
        <v>0</v>
      </c>
      <c r="N334" s="39">
        <v>0</v>
      </c>
      <c r="O334" s="39">
        <v>0</v>
      </c>
      <c r="P334" s="39">
        <v>0</v>
      </c>
      <c r="Q334" s="39">
        <v>0</v>
      </c>
      <c r="R334" s="39">
        <v>0</v>
      </c>
      <c r="S334" s="39">
        <v>0</v>
      </c>
      <c r="T334" s="39">
        <v>0</v>
      </c>
      <c r="U334" s="39">
        <v>0</v>
      </c>
      <c r="V334" s="39">
        <v>418</v>
      </c>
      <c r="W334" s="40" t="s">
        <v>7671</v>
      </c>
      <c r="X334" s="39">
        <v>1</v>
      </c>
    </row>
    <row r="335" spans="1:24">
      <c r="A335" s="39">
        <v>71</v>
      </c>
      <c r="B335" s="40" t="s">
        <v>7779</v>
      </c>
      <c r="C335" s="39">
        <v>0</v>
      </c>
      <c r="E335" s="39">
        <v>0</v>
      </c>
      <c r="F335" s="39">
        <v>53</v>
      </c>
      <c r="G335" s="39">
        <v>0</v>
      </c>
      <c r="H335" s="39">
        <v>0</v>
      </c>
      <c r="I335" s="39">
        <v>0</v>
      </c>
      <c r="J335" s="39">
        <v>0</v>
      </c>
      <c r="K335" s="39">
        <v>0</v>
      </c>
      <c r="L335" s="39">
        <v>0</v>
      </c>
      <c r="M335" s="39">
        <v>0</v>
      </c>
      <c r="N335" s="39">
        <v>0</v>
      </c>
      <c r="O335" s="39">
        <v>0</v>
      </c>
      <c r="P335" s="39">
        <v>0</v>
      </c>
      <c r="Q335" s="39">
        <v>0</v>
      </c>
      <c r="R335" s="39">
        <v>0</v>
      </c>
      <c r="S335" s="39">
        <v>0</v>
      </c>
      <c r="T335" s="39">
        <v>0</v>
      </c>
      <c r="U335" s="39">
        <v>0</v>
      </c>
      <c r="V335" s="39">
        <v>2</v>
      </c>
      <c r="W335" s="40" t="s">
        <v>40</v>
      </c>
      <c r="X335" s="39">
        <v>1</v>
      </c>
    </row>
    <row r="336" spans="1:24">
      <c r="A336" s="39">
        <v>145</v>
      </c>
      <c r="B336" s="40" t="s">
        <v>7780</v>
      </c>
      <c r="C336" s="39">
        <v>0</v>
      </c>
      <c r="E336" s="39">
        <v>1</v>
      </c>
      <c r="F336" s="39">
        <v>858</v>
      </c>
      <c r="G336" s="39">
        <v>0</v>
      </c>
      <c r="H336" s="39">
        <v>0</v>
      </c>
      <c r="I336" s="39">
        <v>0</v>
      </c>
      <c r="J336" s="39">
        <v>0</v>
      </c>
      <c r="K336" s="39">
        <v>0</v>
      </c>
      <c r="L336" s="39">
        <v>0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39">
        <v>0</v>
      </c>
      <c r="S336" s="39">
        <v>0</v>
      </c>
      <c r="T336" s="39">
        <v>0</v>
      </c>
      <c r="U336" s="39">
        <v>0</v>
      </c>
      <c r="V336" s="39">
        <v>1</v>
      </c>
      <c r="W336" s="40" t="s">
        <v>518</v>
      </c>
      <c r="X336" s="39">
        <v>1</v>
      </c>
    </row>
    <row r="337" spans="1:24">
      <c r="A337" s="39">
        <v>55</v>
      </c>
      <c r="B337" s="40" t="s">
        <v>7780</v>
      </c>
      <c r="C337" s="39">
        <v>0</v>
      </c>
      <c r="D337" s="40" t="s">
        <v>7781</v>
      </c>
      <c r="E337" s="39">
        <v>1</v>
      </c>
      <c r="F337" s="39">
        <v>56</v>
      </c>
      <c r="G337" s="39">
        <v>1</v>
      </c>
      <c r="H337" s="39">
        <v>1</v>
      </c>
      <c r="I337" s="39">
        <v>1</v>
      </c>
      <c r="J337" s="39">
        <v>1</v>
      </c>
      <c r="K337" s="39">
        <v>0</v>
      </c>
      <c r="L337" s="39">
        <v>0</v>
      </c>
      <c r="M337" s="39">
        <v>0</v>
      </c>
      <c r="N337" s="39">
        <v>0</v>
      </c>
      <c r="O337" s="39">
        <v>0</v>
      </c>
      <c r="P337" s="39">
        <v>0</v>
      </c>
      <c r="Q337" s="39">
        <v>0</v>
      </c>
      <c r="R337" s="39">
        <v>0</v>
      </c>
      <c r="S337" s="39">
        <v>0</v>
      </c>
      <c r="T337" s="39">
        <v>0</v>
      </c>
      <c r="U337" s="39">
        <v>0</v>
      </c>
      <c r="V337" s="39">
        <v>2</v>
      </c>
      <c r="W337" s="40" t="s">
        <v>40</v>
      </c>
      <c r="X337" s="39">
        <v>1</v>
      </c>
    </row>
    <row r="338" spans="1:24">
      <c r="A338" s="39">
        <v>951</v>
      </c>
      <c r="B338" s="40" t="s">
        <v>7780</v>
      </c>
      <c r="C338" s="39">
        <v>0</v>
      </c>
      <c r="E338" s="39">
        <v>1</v>
      </c>
      <c r="F338" s="39">
        <v>858</v>
      </c>
      <c r="G338" s="39">
        <v>1</v>
      </c>
      <c r="H338" s="39">
        <v>0</v>
      </c>
      <c r="I338" s="39">
        <v>0</v>
      </c>
      <c r="J338" s="39">
        <v>0</v>
      </c>
      <c r="K338" s="39">
        <v>0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39">
        <v>0</v>
      </c>
      <c r="S338" s="39">
        <v>0</v>
      </c>
      <c r="T338" s="39">
        <v>0</v>
      </c>
      <c r="U338" s="39">
        <v>0</v>
      </c>
      <c r="V338" s="39">
        <v>158</v>
      </c>
      <c r="W338" s="40" t="s">
        <v>7667</v>
      </c>
      <c r="X338" s="39">
        <v>1</v>
      </c>
    </row>
    <row r="339" spans="1:24">
      <c r="A339" s="39">
        <v>442</v>
      </c>
      <c r="B339" s="40" t="s">
        <v>7780</v>
      </c>
      <c r="C339" s="39">
        <v>0</v>
      </c>
      <c r="E339" s="39">
        <v>1</v>
      </c>
      <c r="F339" s="39">
        <v>858</v>
      </c>
      <c r="G339" s="39">
        <v>0</v>
      </c>
      <c r="H339" s="39">
        <v>0</v>
      </c>
      <c r="I339" s="39">
        <v>0</v>
      </c>
      <c r="J339" s="39">
        <v>0</v>
      </c>
      <c r="K339" s="39">
        <v>0</v>
      </c>
      <c r="L339" s="39">
        <v>0</v>
      </c>
      <c r="M339" s="39">
        <v>0</v>
      </c>
      <c r="N339" s="39">
        <v>0</v>
      </c>
      <c r="O339" s="39">
        <v>0</v>
      </c>
      <c r="P339" s="39">
        <v>0</v>
      </c>
      <c r="Q339" s="39">
        <v>0</v>
      </c>
      <c r="R339" s="39">
        <v>0</v>
      </c>
      <c r="S339" s="39">
        <v>0</v>
      </c>
      <c r="T339" s="39">
        <v>0</v>
      </c>
      <c r="U339" s="39">
        <v>0</v>
      </c>
      <c r="V339" s="39">
        <v>175</v>
      </c>
      <c r="W339" s="40" t="s">
        <v>7689</v>
      </c>
      <c r="X339" s="39">
        <v>1</v>
      </c>
    </row>
    <row r="340" spans="1:24">
      <c r="A340" s="39">
        <v>336</v>
      </c>
      <c r="B340" s="40" t="s">
        <v>7780</v>
      </c>
      <c r="C340" s="39">
        <v>0</v>
      </c>
      <c r="E340" s="39">
        <v>1</v>
      </c>
      <c r="F340" s="39">
        <v>858</v>
      </c>
      <c r="G340" s="39">
        <v>0</v>
      </c>
      <c r="H340" s="39">
        <v>0</v>
      </c>
      <c r="I340" s="39">
        <v>0</v>
      </c>
      <c r="J340" s="39">
        <v>0</v>
      </c>
      <c r="K340" s="39">
        <v>0</v>
      </c>
      <c r="L340" s="39">
        <v>0</v>
      </c>
      <c r="M340" s="39">
        <v>0</v>
      </c>
      <c r="N340" s="39">
        <v>0</v>
      </c>
      <c r="O340" s="39">
        <v>0</v>
      </c>
      <c r="P340" s="39">
        <v>0</v>
      </c>
      <c r="Q340" s="39">
        <v>0</v>
      </c>
      <c r="R340" s="39">
        <v>0</v>
      </c>
      <c r="S340" s="39">
        <v>0</v>
      </c>
      <c r="T340" s="39">
        <v>0</v>
      </c>
      <c r="U340" s="39">
        <v>0</v>
      </c>
      <c r="V340" s="39">
        <v>228</v>
      </c>
      <c r="W340" s="40" t="s">
        <v>7669</v>
      </c>
      <c r="X340" s="39">
        <v>1</v>
      </c>
    </row>
    <row r="341" spans="1:24">
      <c r="A341" s="39">
        <v>1756</v>
      </c>
      <c r="B341" s="40" t="s">
        <v>7780</v>
      </c>
      <c r="C341" s="39">
        <v>0</v>
      </c>
      <c r="E341" s="39">
        <v>1</v>
      </c>
      <c r="F341" s="39">
        <v>858</v>
      </c>
      <c r="G341" s="39">
        <v>0</v>
      </c>
      <c r="H341" s="39">
        <v>0</v>
      </c>
      <c r="I341" s="39">
        <v>0</v>
      </c>
      <c r="J341" s="39">
        <v>0</v>
      </c>
      <c r="K341" s="39">
        <v>0</v>
      </c>
      <c r="L341" s="39">
        <v>0</v>
      </c>
      <c r="M341" s="39">
        <v>0</v>
      </c>
      <c r="N341" s="39">
        <v>0</v>
      </c>
      <c r="O341" s="39">
        <v>0</v>
      </c>
      <c r="P341" s="39">
        <v>0</v>
      </c>
      <c r="Q341" s="39">
        <v>0</v>
      </c>
      <c r="R341" s="39">
        <v>0</v>
      </c>
      <c r="S341" s="39">
        <v>0</v>
      </c>
      <c r="T341" s="39">
        <v>0</v>
      </c>
      <c r="U341" s="39">
        <v>0</v>
      </c>
      <c r="V341" s="39">
        <v>244</v>
      </c>
      <c r="W341" s="40" t="s">
        <v>682</v>
      </c>
      <c r="X341" s="39">
        <v>1</v>
      </c>
    </row>
    <row r="342" spans="1:24">
      <c r="A342" s="39">
        <v>1216</v>
      </c>
      <c r="B342" s="40" t="s">
        <v>7780</v>
      </c>
      <c r="C342" s="39">
        <v>0</v>
      </c>
      <c r="E342" s="39">
        <v>0</v>
      </c>
      <c r="F342" s="39">
        <v>858</v>
      </c>
      <c r="G342" s="39">
        <v>0</v>
      </c>
      <c r="H342" s="39">
        <v>0</v>
      </c>
      <c r="I342" s="39">
        <v>0</v>
      </c>
      <c r="J342" s="39">
        <v>0</v>
      </c>
      <c r="K342" s="39">
        <v>0</v>
      </c>
      <c r="L342" s="39">
        <v>0</v>
      </c>
      <c r="M342" s="39">
        <v>0</v>
      </c>
      <c r="N342" s="39">
        <v>0</v>
      </c>
      <c r="O342" s="39">
        <v>0</v>
      </c>
      <c r="P342" s="39">
        <v>0</v>
      </c>
      <c r="Q342" s="39">
        <v>0</v>
      </c>
      <c r="R342" s="39">
        <v>0</v>
      </c>
      <c r="S342" s="39">
        <v>0</v>
      </c>
      <c r="T342" s="39">
        <v>0</v>
      </c>
      <c r="U342" s="39">
        <v>0</v>
      </c>
      <c r="V342" s="39">
        <v>418</v>
      </c>
      <c r="W342" s="40" t="s">
        <v>7671</v>
      </c>
      <c r="X342" s="39">
        <v>1</v>
      </c>
    </row>
    <row r="343" spans="1:24">
      <c r="A343" s="39">
        <v>1417</v>
      </c>
      <c r="B343" s="40" t="s">
        <v>7780</v>
      </c>
      <c r="C343" s="39">
        <v>0</v>
      </c>
      <c r="E343" s="39">
        <v>1</v>
      </c>
      <c r="F343" s="39">
        <v>858</v>
      </c>
      <c r="G343" s="39">
        <v>0</v>
      </c>
      <c r="H343" s="39">
        <v>0</v>
      </c>
      <c r="I343" s="39">
        <v>0</v>
      </c>
      <c r="J343" s="39">
        <v>0</v>
      </c>
      <c r="K343" s="39">
        <v>0</v>
      </c>
      <c r="L343" s="39">
        <v>0</v>
      </c>
      <c r="M343" s="39">
        <v>0</v>
      </c>
      <c r="N343" s="39">
        <v>0</v>
      </c>
      <c r="O343" s="39">
        <v>0</v>
      </c>
      <c r="P343" s="39">
        <v>0</v>
      </c>
      <c r="Q343" s="39">
        <v>0</v>
      </c>
      <c r="R343" s="39">
        <v>0</v>
      </c>
      <c r="S343" s="39">
        <v>0</v>
      </c>
      <c r="T343" s="39">
        <v>0</v>
      </c>
      <c r="U343" s="39">
        <v>0</v>
      </c>
      <c r="V343" s="39">
        <v>456</v>
      </c>
      <c r="W343" s="40" t="s">
        <v>7673</v>
      </c>
      <c r="X343" s="39">
        <v>1</v>
      </c>
    </row>
    <row r="344" spans="1:24">
      <c r="A344" s="39">
        <v>893</v>
      </c>
      <c r="B344" s="40" t="s">
        <v>7780</v>
      </c>
      <c r="C344" s="39">
        <v>0</v>
      </c>
      <c r="E344" s="39">
        <v>1</v>
      </c>
      <c r="F344" s="39">
        <v>858</v>
      </c>
      <c r="G344" s="39">
        <v>1</v>
      </c>
      <c r="H344" s="39">
        <v>0</v>
      </c>
      <c r="I344" s="39">
        <v>0</v>
      </c>
      <c r="J344" s="39">
        <v>0</v>
      </c>
      <c r="K344" s="39">
        <v>0</v>
      </c>
      <c r="L344" s="39">
        <v>0</v>
      </c>
      <c r="M344" s="39">
        <v>0</v>
      </c>
      <c r="N344" s="39">
        <v>0</v>
      </c>
      <c r="O344" s="39">
        <v>0</v>
      </c>
      <c r="P344" s="39">
        <v>0</v>
      </c>
      <c r="Q344" s="39">
        <v>0</v>
      </c>
      <c r="R344" s="39">
        <v>0</v>
      </c>
      <c r="S344" s="39">
        <v>0</v>
      </c>
      <c r="T344" s="39">
        <v>0</v>
      </c>
      <c r="U344" s="39">
        <v>0</v>
      </c>
      <c r="V344" s="39">
        <v>458</v>
      </c>
      <c r="W344" s="40" t="s">
        <v>7694</v>
      </c>
      <c r="X344" s="39">
        <v>1</v>
      </c>
    </row>
    <row r="345" spans="1:24">
      <c r="A345" s="39">
        <v>1130</v>
      </c>
      <c r="B345" s="40" t="s">
        <v>7780</v>
      </c>
      <c r="C345" s="39">
        <v>0</v>
      </c>
      <c r="E345" s="39">
        <v>0</v>
      </c>
      <c r="F345" s="39">
        <v>858</v>
      </c>
      <c r="G345" s="39">
        <v>0</v>
      </c>
      <c r="H345" s="39">
        <v>0</v>
      </c>
      <c r="I345" s="39">
        <v>0</v>
      </c>
      <c r="J345" s="39">
        <v>0</v>
      </c>
      <c r="K345" s="39">
        <v>0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39">
        <v>0</v>
      </c>
      <c r="S345" s="39">
        <v>0</v>
      </c>
      <c r="T345" s="39">
        <v>0</v>
      </c>
      <c r="U345" s="39">
        <v>0</v>
      </c>
      <c r="V345" s="39">
        <v>459</v>
      </c>
      <c r="W345" s="40" t="s">
        <v>7674</v>
      </c>
      <c r="X345" s="39">
        <v>1</v>
      </c>
    </row>
    <row r="346" spans="1:24">
      <c r="A346" s="39">
        <v>597</v>
      </c>
      <c r="B346" s="40" t="s">
        <v>7780</v>
      </c>
      <c r="C346" s="39">
        <v>0</v>
      </c>
      <c r="E346" s="39">
        <v>1</v>
      </c>
      <c r="F346" s="39">
        <v>858</v>
      </c>
      <c r="G346" s="39">
        <v>1</v>
      </c>
      <c r="H346" s="39">
        <v>1</v>
      </c>
      <c r="I346" s="39">
        <v>1</v>
      </c>
      <c r="J346" s="39">
        <v>0</v>
      </c>
      <c r="K346" s="39">
        <v>0</v>
      </c>
      <c r="L346" s="39">
        <v>0</v>
      </c>
      <c r="M346" s="39">
        <v>0</v>
      </c>
      <c r="N346" s="39">
        <v>0</v>
      </c>
      <c r="O346" s="39">
        <v>0</v>
      </c>
      <c r="P346" s="39">
        <v>0</v>
      </c>
      <c r="Q346" s="39">
        <v>0</v>
      </c>
      <c r="R346" s="39">
        <v>0</v>
      </c>
      <c r="S346" s="39">
        <v>0</v>
      </c>
      <c r="T346" s="39">
        <v>0</v>
      </c>
      <c r="U346" s="39">
        <v>0</v>
      </c>
      <c r="V346" s="39">
        <v>468</v>
      </c>
      <c r="W346" s="40" t="s">
        <v>7677</v>
      </c>
      <c r="X346" s="39">
        <v>1</v>
      </c>
    </row>
    <row r="347" spans="1:24">
      <c r="A347" s="39">
        <v>1034</v>
      </c>
      <c r="B347" s="40" t="s">
        <v>7780</v>
      </c>
      <c r="C347" s="39">
        <v>0</v>
      </c>
      <c r="E347" s="39">
        <v>1</v>
      </c>
      <c r="F347" s="39">
        <v>858</v>
      </c>
      <c r="G347" s="39">
        <v>1</v>
      </c>
      <c r="H347" s="39">
        <v>1</v>
      </c>
      <c r="I347" s="39">
        <v>1</v>
      </c>
      <c r="J347" s="39">
        <v>0</v>
      </c>
      <c r="K347" s="39">
        <v>0</v>
      </c>
      <c r="L347" s="39">
        <v>0</v>
      </c>
      <c r="M347" s="39">
        <v>0</v>
      </c>
      <c r="N347" s="39">
        <v>0</v>
      </c>
      <c r="O347" s="39">
        <v>0</v>
      </c>
      <c r="P347" s="39">
        <v>0</v>
      </c>
      <c r="Q347" s="39">
        <v>0</v>
      </c>
      <c r="R347" s="39">
        <v>0</v>
      </c>
      <c r="S347" s="39">
        <v>0</v>
      </c>
      <c r="T347" s="39">
        <v>0</v>
      </c>
      <c r="U347" s="39">
        <v>0</v>
      </c>
      <c r="V347" s="39">
        <v>477</v>
      </c>
      <c r="W347" s="40" t="s">
        <v>7697</v>
      </c>
      <c r="X347" s="39">
        <v>1</v>
      </c>
    </row>
    <row r="348" spans="1:24">
      <c r="A348" s="39">
        <v>220</v>
      </c>
      <c r="B348" s="40" t="s">
        <v>7780</v>
      </c>
      <c r="C348" s="39">
        <v>0</v>
      </c>
      <c r="E348" s="39">
        <v>1</v>
      </c>
      <c r="F348" s="39">
        <v>858</v>
      </c>
      <c r="G348" s="39">
        <v>0</v>
      </c>
      <c r="H348" s="39">
        <v>0</v>
      </c>
      <c r="I348" s="39">
        <v>0</v>
      </c>
      <c r="J348" s="39">
        <v>0</v>
      </c>
      <c r="K348" s="39">
        <v>0</v>
      </c>
      <c r="L348" s="39">
        <v>0</v>
      </c>
      <c r="M348" s="39">
        <v>0</v>
      </c>
      <c r="N348" s="39">
        <v>0</v>
      </c>
      <c r="O348" s="39">
        <v>0</v>
      </c>
      <c r="P348" s="39">
        <v>0</v>
      </c>
      <c r="Q348" s="39">
        <v>0</v>
      </c>
      <c r="R348" s="39">
        <v>0</v>
      </c>
      <c r="S348" s="39">
        <v>0</v>
      </c>
      <c r="T348" s="39">
        <v>0</v>
      </c>
      <c r="U348" s="39">
        <v>0</v>
      </c>
      <c r="V348" s="39">
        <v>590</v>
      </c>
      <c r="W348" s="40" t="s">
        <v>7679</v>
      </c>
      <c r="X348" s="39">
        <v>1</v>
      </c>
    </row>
    <row r="349" spans="1:24">
      <c r="A349" s="39">
        <v>768</v>
      </c>
      <c r="B349" s="40" t="s">
        <v>7780</v>
      </c>
      <c r="C349" s="39">
        <v>0</v>
      </c>
      <c r="E349" s="39">
        <v>1</v>
      </c>
      <c r="F349" s="39">
        <v>858</v>
      </c>
      <c r="G349" s="39">
        <v>0</v>
      </c>
      <c r="H349" s="39">
        <v>0</v>
      </c>
      <c r="I349" s="39">
        <v>0</v>
      </c>
      <c r="J349" s="39">
        <v>0</v>
      </c>
      <c r="K349" s="39">
        <v>0</v>
      </c>
      <c r="L349" s="39">
        <v>0</v>
      </c>
      <c r="M349" s="39">
        <v>0</v>
      </c>
      <c r="N349" s="39">
        <v>0</v>
      </c>
      <c r="O349" s="39">
        <v>0</v>
      </c>
      <c r="P349" s="39">
        <v>0</v>
      </c>
      <c r="Q349" s="39">
        <v>0</v>
      </c>
      <c r="R349" s="39">
        <v>0</v>
      </c>
      <c r="S349" s="39">
        <v>0</v>
      </c>
      <c r="T349" s="39">
        <v>0</v>
      </c>
      <c r="U349" s="39">
        <v>0</v>
      </c>
      <c r="V349" s="39">
        <v>733</v>
      </c>
      <c r="W349" s="40" t="s">
        <v>7680</v>
      </c>
      <c r="X349" s="39">
        <v>1</v>
      </c>
    </row>
    <row r="350" spans="1:24">
      <c r="A350" s="39">
        <v>952</v>
      </c>
      <c r="B350" s="40" t="s">
        <v>7782</v>
      </c>
      <c r="C350" s="39">
        <v>0</v>
      </c>
      <c r="E350" s="39">
        <v>0</v>
      </c>
      <c r="F350" s="39">
        <v>2051</v>
      </c>
      <c r="G350" s="39">
        <v>0</v>
      </c>
      <c r="H350" s="39">
        <v>0</v>
      </c>
      <c r="I350" s="39">
        <v>0</v>
      </c>
      <c r="J350" s="39">
        <v>0</v>
      </c>
      <c r="K350" s="39">
        <v>0</v>
      </c>
      <c r="L350" s="39">
        <v>0</v>
      </c>
      <c r="M350" s="39">
        <v>0</v>
      </c>
      <c r="N350" s="39">
        <v>0</v>
      </c>
      <c r="O350" s="39">
        <v>0</v>
      </c>
      <c r="P350" s="39">
        <v>0</v>
      </c>
      <c r="Q350" s="39">
        <v>0</v>
      </c>
      <c r="R350" s="39">
        <v>0</v>
      </c>
      <c r="S350" s="39">
        <v>0</v>
      </c>
      <c r="T350" s="39">
        <v>0</v>
      </c>
      <c r="U350" s="39">
        <v>0</v>
      </c>
      <c r="V350" s="39">
        <v>158</v>
      </c>
      <c r="W350" s="40" t="s">
        <v>7667</v>
      </c>
      <c r="X350" s="39">
        <v>1</v>
      </c>
    </row>
    <row r="351" spans="1:24">
      <c r="A351" s="39">
        <v>425</v>
      </c>
      <c r="B351" s="40" t="s">
        <v>7782</v>
      </c>
      <c r="C351" s="39">
        <v>0</v>
      </c>
      <c r="E351" s="39">
        <v>0</v>
      </c>
      <c r="F351" s="39">
        <v>99</v>
      </c>
      <c r="G351" s="39">
        <v>0</v>
      </c>
      <c r="H351" s="39">
        <v>0</v>
      </c>
      <c r="I351" s="39">
        <v>0</v>
      </c>
      <c r="J351" s="39">
        <v>0</v>
      </c>
      <c r="K351" s="39">
        <v>0</v>
      </c>
      <c r="L351" s="39">
        <v>0</v>
      </c>
      <c r="M351" s="39">
        <v>0</v>
      </c>
      <c r="N351" s="39">
        <v>0</v>
      </c>
      <c r="O351" s="39">
        <v>0</v>
      </c>
      <c r="P351" s="39">
        <v>0</v>
      </c>
      <c r="Q351" s="39">
        <v>0</v>
      </c>
      <c r="R351" s="39">
        <v>0</v>
      </c>
      <c r="S351" s="39">
        <v>0</v>
      </c>
      <c r="T351" s="39">
        <v>0</v>
      </c>
      <c r="U351" s="39">
        <v>0</v>
      </c>
      <c r="V351" s="39">
        <v>175</v>
      </c>
      <c r="W351" s="40" t="s">
        <v>7689</v>
      </c>
      <c r="X351" s="39">
        <v>1</v>
      </c>
    </row>
    <row r="352" spans="1:24">
      <c r="A352" s="39">
        <v>337</v>
      </c>
      <c r="B352" s="40" t="s">
        <v>7782</v>
      </c>
      <c r="C352" s="39">
        <v>0</v>
      </c>
      <c r="E352" s="39">
        <v>0</v>
      </c>
      <c r="F352" s="39">
        <v>2051</v>
      </c>
      <c r="G352" s="39">
        <v>1</v>
      </c>
      <c r="H352" s="39">
        <v>0</v>
      </c>
      <c r="I352" s="39">
        <v>0</v>
      </c>
      <c r="J352" s="39">
        <v>0</v>
      </c>
      <c r="K352" s="39">
        <v>0</v>
      </c>
      <c r="L352" s="39">
        <v>0</v>
      </c>
      <c r="M352" s="39">
        <v>0</v>
      </c>
      <c r="N352" s="39">
        <v>0</v>
      </c>
      <c r="O352" s="39">
        <v>0</v>
      </c>
      <c r="P352" s="39">
        <v>0</v>
      </c>
      <c r="Q352" s="39">
        <v>0</v>
      </c>
      <c r="R352" s="39">
        <v>0</v>
      </c>
      <c r="S352" s="39">
        <v>0</v>
      </c>
      <c r="T352" s="39">
        <v>0</v>
      </c>
      <c r="U352" s="39">
        <v>0</v>
      </c>
      <c r="V352" s="39">
        <v>228</v>
      </c>
      <c r="W352" s="40" t="s">
        <v>7669</v>
      </c>
      <c r="X352" s="39">
        <v>1</v>
      </c>
    </row>
    <row r="353" spans="1:24">
      <c r="A353" s="39">
        <v>1218</v>
      </c>
      <c r="B353" s="40" t="s">
        <v>7782</v>
      </c>
      <c r="C353" s="39">
        <v>0</v>
      </c>
      <c r="E353" s="39">
        <v>0</v>
      </c>
      <c r="F353" s="39">
        <v>2051</v>
      </c>
      <c r="G353" s="39">
        <v>0</v>
      </c>
      <c r="H353" s="39">
        <v>0</v>
      </c>
      <c r="I353" s="39">
        <v>0</v>
      </c>
      <c r="J353" s="39">
        <v>0</v>
      </c>
      <c r="K353" s="39">
        <v>0</v>
      </c>
      <c r="L353" s="39">
        <v>0</v>
      </c>
      <c r="M353" s="39">
        <v>0</v>
      </c>
      <c r="N353" s="39">
        <v>0</v>
      </c>
      <c r="O353" s="39">
        <v>0</v>
      </c>
      <c r="P353" s="39">
        <v>0</v>
      </c>
      <c r="Q353" s="39">
        <v>0</v>
      </c>
      <c r="R353" s="39">
        <v>0</v>
      </c>
      <c r="S353" s="39">
        <v>0</v>
      </c>
      <c r="T353" s="39">
        <v>0</v>
      </c>
      <c r="U353" s="39">
        <v>0</v>
      </c>
      <c r="V353" s="39">
        <v>418</v>
      </c>
      <c r="W353" s="40" t="s">
        <v>7671</v>
      </c>
      <c r="X353" s="39">
        <v>1</v>
      </c>
    </row>
    <row r="354" spans="1:24">
      <c r="A354" s="39">
        <v>894</v>
      </c>
      <c r="B354" s="40" t="s">
        <v>7782</v>
      </c>
      <c r="C354" s="39">
        <v>0</v>
      </c>
      <c r="E354" s="39">
        <v>0</v>
      </c>
      <c r="F354" s="39">
        <v>2051</v>
      </c>
      <c r="G354" s="39">
        <v>0</v>
      </c>
      <c r="H354" s="39">
        <v>0</v>
      </c>
      <c r="I354" s="39">
        <v>0</v>
      </c>
      <c r="J354" s="39">
        <v>0</v>
      </c>
      <c r="K354" s="39">
        <v>0</v>
      </c>
      <c r="L354" s="39">
        <v>0</v>
      </c>
      <c r="M354" s="39">
        <v>0</v>
      </c>
      <c r="N354" s="39">
        <v>0</v>
      </c>
      <c r="O354" s="39">
        <v>0</v>
      </c>
      <c r="P354" s="39">
        <v>0</v>
      </c>
      <c r="Q354" s="39">
        <v>0</v>
      </c>
      <c r="R354" s="39">
        <v>0</v>
      </c>
      <c r="S354" s="39">
        <v>0</v>
      </c>
      <c r="T354" s="39">
        <v>0</v>
      </c>
      <c r="U354" s="39">
        <v>0</v>
      </c>
      <c r="V354" s="39">
        <v>458</v>
      </c>
      <c r="W354" s="40" t="s">
        <v>7694</v>
      </c>
      <c r="X354" s="39">
        <v>1</v>
      </c>
    </row>
    <row r="355" spans="1:24">
      <c r="A355" s="39">
        <v>1131</v>
      </c>
      <c r="B355" s="40" t="s">
        <v>7782</v>
      </c>
      <c r="C355" s="39">
        <v>0</v>
      </c>
      <c r="E355" s="39">
        <v>0</v>
      </c>
      <c r="F355" s="39">
        <v>2051</v>
      </c>
      <c r="G355" s="39">
        <v>0</v>
      </c>
      <c r="H355" s="39">
        <v>0</v>
      </c>
      <c r="I355" s="39">
        <v>0</v>
      </c>
      <c r="J355" s="39">
        <v>0</v>
      </c>
      <c r="K355" s="39">
        <v>0</v>
      </c>
      <c r="L355" s="39">
        <v>0</v>
      </c>
      <c r="M355" s="39">
        <v>0</v>
      </c>
      <c r="N355" s="39">
        <v>0</v>
      </c>
      <c r="O355" s="39">
        <v>0</v>
      </c>
      <c r="P355" s="39">
        <v>0</v>
      </c>
      <c r="Q355" s="39">
        <v>0</v>
      </c>
      <c r="R355" s="39">
        <v>0</v>
      </c>
      <c r="S355" s="39">
        <v>0</v>
      </c>
      <c r="T355" s="39">
        <v>0</v>
      </c>
      <c r="U355" s="39">
        <v>0</v>
      </c>
      <c r="V355" s="39">
        <v>459</v>
      </c>
      <c r="W355" s="40" t="s">
        <v>7674</v>
      </c>
      <c r="X355" s="39">
        <v>1</v>
      </c>
    </row>
    <row r="356" spans="1:24">
      <c r="A356" s="39">
        <v>1035</v>
      </c>
      <c r="B356" s="40" t="s">
        <v>7782</v>
      </c>
      <c r="C356" s="39">
        <v>0</v>
      </c>
      <c r="E356" s="39">
        <v>0</v>
      </c>
      <c r="F356" s="39">
        <v>2051</v>
      </c>
      <c r="G356" s="39">
        <v>0</v>
      </c>
      <c r="H356" s="39">
        <v>0</v>
      </c>
      <c r="I356" s="39">
        <v>0</v>
      </c>
      <c r="J356" s="39">
        <v>0</v>
      </c>
      <c r="K356" s="39">
        <v>0</v>
      </c>
      <c r="L356" s="39">
        <v>0</v>
      </c>
      <c r="M356" s="39">
        <v>0</v>
      </c>
      <c r="N356" s="39">
        <v>0</v>
      </c>
      <c r="O356" s="39">
        <v>0</v>
      </c>
      <c r="P356" s="39">
        <v>0</v>
      </c>
      <c r="Q356" s="39">
        <v>0</v>
      </c>
      <c r="R356" s="39">
        <v>0</v>
      </c>
      <c r="S356" s="39">
        <v>0</v>
      </c>
      <c r="T356" s="39">
        <v>0</v>
      </c>
      <c r="U356" s="39">
        <v>0</v>
      </c>
      <c r="V356" s="39">
        <v>477</v>
      </c>
      <c r="W356" s="40" t="s">
        <v>7697</v>
      </c>
      <c r="X356" s="39">
        <v>1</v>
      </c>
    </row>
    <row r="357" spans="1:24">
      <c r="A357" s="39">
        <v>221</v>
      </c>
      <c r="B357" s="40" t="s">
        <v>7782</v>
      </c>
      <c r="C357" s="39">
        <v>0</v>
      </c>
      <c r="E357" s="39">
        <v>0</v>
      </c>
      <c r="F357" s="39">
        <v>2051</v>
      </c>
      <c r="G357" s="39">
        <v>1</v>
      </c>
      <c r="H357" s="39">
        <v>0</v>
      </c>
      <c r="I357" s="39">
        <v>0</v>
      </c>
      <c r="J357" s="39">
        <v>0</v>
      </c>
      <c r="K357" s="39">
        <v>0</v>
      </c>
      <c r="L357" s="39">
        <v>0</v>
      </c>
      <c r="M357" s="39">
        <v>0</v>
      </c>
      <c r="N357" s="39">
        <v>0</v>
      </c>
      <c r="O357" s="39">
        <v>0</v>
      </c>
      <c r="P357" s="39">
        <v>0</v>
      </c>
      <c r="Q357" s="39">
        <v>0</v>
      </c>
      <c r="R357" s="39">
        <v>0</v>
      </c>
      <c r="S357" s="39">
        <v>0</v>
      </c>
      <c r="T357" s="39">
        <v>0</v>
      </c>
      <c r="U357" s="39">
        <v>0</v>
      </c>
      <c r="V357" s="39">
        <v>590</v>
      </c>
      <c r="W357" s="40" t="s">
        <v>7679</v>
      </c>
      <c r="X357" s="39">
        <v>1</v>
      </c>
    </row>
    <row r="358" spans="1:24">
      <c r="A358" s="39">
        <v>769</v>
      </c>
      <c r="B358" s="40" t="s">
        <v>7782</v>
      </c>
      <c r="C358" s="39">
        <v>0</v>
      </c>
      <c r="E358" s="39">
        <v>0</v>
      </c>
      <c r="F358" s="39">
        <v>2051</v>
      </c>
      <c r="G358" s="39">
        <v>0</v>
      </c>
      <c r="H358" s="39">
        <v>0</v>
      </c>
      <c r="I358" s="39">
        <v>0</v>
      </c>
      <c r="J358" s="39">
        <v>0</v>
      </c>
      <c r="K358" s="39">
        <v>0</v>
      </c>
      <c r="L358" s="39">
        <v>0</v>
      </c>
      <c r="M358" s="39">
        <v>0</v>
      </c>
      <c r="N358" s="39">
        <v>0</v>
      </c>
      <c r="O358" s="39">
        <v>0</v>
      </c>
      <c r="P358" s="39">
        <v>0</v>
      </c>
      <c r="Q358" s="39">
        <v>0</v>
      </c>
      <c r="R358" s="39">
        <v>0</v>
      </c>
      <c r="S358" s="39">
        <v>0</v>
      </c>
      <c r="T358" s="39">
        <v>0</v>
      </c>
      <c r="U358" s="39">
        <v>0</v>
      </c>
      <c r="V358" s="39">
        <v>733</v>
      </c>
      <c r="W358" s="40" t="s">
        <v>7680</v>
      </c>
      <c r="X358" s="39">
        <v>1</v>
      </c>
    </row>
    <row r="359" spans="1:24">
      <c r="A359" s="39">
        <v>297</v>
      </c>
      <c r="B359" s="40" t="s">
        <v>740</v>
      </c>
      <c r="C359" s="39">
        <v>0</v>
      </c>
      <c r="D359" s="40" t="s">
        <v>7783</v>
      </c>
      <c r="E359" s="39">
        <v>0</v>
      </c>
      <c r="F359" s="39">
        <v>2050</v>
      </c>
      <c r="G359" s="39">
        <v>0</v>
      </c>
      <c r="H359" s="39">
        <v>0</v>
      </c>
      <c r="I359" s="39">
        <v>0</v>
      </c>
      <c r="J359" s="39">
        <v>0</v>
      </c>
      <c r="K359" s="39">
        <v>0</v>
      </c>
      <c r="L359" s="39">
        <v>0</v>
      </c>
      <c r="M359" s="39">
        <v>0</v>
      </c>
      <c r="N359" s="39">
        <v>0</v>
      </c>
      <c r="O359" s="39">
        <v>0</v>
      </c>
      <c r="P359" s="39">
        <v>0</v>
      </c>
      <c r="Q359" s="39">
        <v>0</v>
      </c>
      <c r="R359" s="39">
        <v>0</v>
      </c>
      <c r="S359" s="39">
        <v>0</v>
      </c>
      <c r="T359" s="39">
        <v>0</v>
      </c>
      <c r="U359" s="39">
        <v>0</v>
      </c>
      <c r="V359" s="39">
        <v>590</v>
      </c>
      <c r="W359" s="40" t="s">
        <v>7679</v>
      </c>
      <c r="X359" s="39">
        <v>1</v>
      </c>
    </row>
    <row r="360" spans="1:24">
      <c r="A360" s="39">
        <v>1219</v>
      </c>
      <c r="B360" s="40" t="s">
        <v>7784</v>
      </c>
      <c r="C360" s="39">
        <v>0</v>
      </c>
      <c r="E360" s="39">
        <v>0</v>
      </c>
      <c r="F360" s="39">
        <v>2070</v>
      </c>
      <c r="G360" s="39">
        <v>0</v>
      </c>
      <c r="H360" s="39">
        <v>0</v>
      </c>
      <c r="I360" s="39">
        <v>0</v>
      </c>
      <c r="J360" s="39">
        <v>0</v>
      </c>
      <c r="K360" s="39">
        <v>0</v>
      </c>
      <c r="L360" s="39">
        <v>0</v>
      </c>
      <c r="M360" s="39">
        <v>0</v>
      </c>
      <c r="N360" s="39">
        <v>0</v>
      </c>
      <c r="O360" s="39">
        <v>0</v>
      </c>
      <c r="P360" s="39">
        <v>0</v>
      </c>
      <c r="Q360" s="39">
        <v>0</v>
      </c>
      <c r="R360" s="39">
        <v>0</v>
      </c>
      <c r="S360" s="39">
        <v>0</v>
      </c>
      <c r="T360" s="39">
        <v>0</v>
      </c>
      <c r="U360" s="39">
        <v>0</v>
      </c>
      <c r="V360" s="39">
        <v>418</v>
      </c>
      <c r="W360" s="40" t="s">
        <v>7671</v>
      </c>
      <c r="X360" s="39">
        <v>1</v>
      </c>
    </row>
    <row r="361" spans="1:24">
      <c r="A361" s="39">
        <v>659</v>
      </c>
      <c r="B361" s="40" t="s">
        <v>7785</v>
      </c>
      <c r="C361" s="39">
        <v>0</v>
      </c>
      <c r="E361" s="39">
        <v>1</v>
      </c>
      <c r="F361" s="39">
        <v>2049</v>
      </c>
      <c r="G361" s="39">
        <v>0</v>
      </c>
      <c r="H361" s="39">
        <v>0</v>
      </c>
      <c r="I361" s="39">
        <v>0</v>
      </c>
      <c r="J361" s="39">
        <v>0</v>
      </c>
      <c r="K361" s="39">
        <v>0</v>
      </c>
      <c r="L361" s="39">
        <v>0</v>
      </c>
      <c r="M361" s="39">
        <v>0</v>
      </c>
      <c r="N361" s="39">
        <v>0</v>
      </c>
      <c r="O361" s="39">
        <v>0</v>
      </c>
      <c r="P361" s="39">
        <v>0</v>
      </c>
      <c r="Q361" s="39">
        <v>0</v>
      </c>
      <c r="R361" s="39">
        <v>0</v>
      </c>
      <c r="S361" s="39">
        <v>0</v>
      </c>
      <c r="T361" s="39">
        <v>0</v>
      </c>
      <c r="U361" s="39">
        <v>0</v>
      </c>
      <c r="V361" s="39">
        <v>228</v>
      </c>
      <c r="W361" s="40" t="s">
        <v>7669</v>
      </c>
      <c r="X361" s="39">
        <v>1</v>
      </c>
    </row>
    <row r="362" spans="1:24">
      <c r="A362" s="39">
        <v>298</v>
      </c>
      <c r="B362" s="40" t="s">
        <v>7785</v>
      </c>
      <c r="C362" s="39">
        <v>0</v>
      </c>
      <c r="D362" s="40" t="s">
        <v>7786</v>
      </c>
      <c r="E362" s="39">
        <v>0</v>
      </c>
      <c r="F362" s="39">
        <v>2049</v>
      </c>
      <c r="G362" s="39">
        <v>0</v>
      </c>
      <c r="H362" s="39">
        <v>0</v>
      </c>
      <c r="I362" s="39">
        <v>0</v>
      </c>
      <c r="J362" s="39">
        <v>0</v>
      </c>
      <c r="K362" s="39">
        <v>0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39">
        <v>0</v>
      </c>
      <c r="S362" s="39">
        <v>0</v>
      </c>
      <c r="T362" s="39">
        <v>0</v>
      </c>
      <c r="U362" s="39">
        <v>0</v>
      </c>
      <c r="V362" s="39">
        <v>590</v>
      </c>
      <c r="W362" s="40" t="s">
        <v>7679</v>
      </c>
      <c r="X362" s="39">
        <v>1</v>
      </c>
    </row>
    <row r="363" spans="1:24">
      <c r="A363" s="39">
        <v>69</v>
      </c>
      <c r="B363" s="40" t="s">
        <v>7787</v>
      </c>
      <c r="C363" s="39">
        <v>0</v>
      </c>
      <c r="D363" s="40" t="s">
        <v>7788</v>
      </c>
      <c r="E363" s="39">
        <v>0</v>
      </c>
      <c r="F363" s="39">
        <v>65</v>
      </c>
      <c r="G363" s="39">
        <v>0</v>
      </c>
      <c r="H363" s="39">
        <v>0</v>
      </c>
      <c r="I363" s="39">
        <v>0</v>
      </c>
      <c r="J363" s="39">
        <v>0</v>
      </c>
      <c r="K363" s="39">
        <v>0</v>
      </c>
      <c r="L363" s="39">
        <v>0</v>
      </c>
      <c r="M363" s="39">
        <v>0</v>
      </c>
      <c r="N363" s="39">
        <v>0</v>
      </c>
      <c r="O363" s="39">
        <v>0</v>
      </c>
      <c r="P363" s="39">
        <v>0</v>
      </c>
      <c r="Q363" s="39">
        <v>0</v>
      </c>
      <c r="R363" s="39">
        <v>0</v>
      </c>
      <c r="S363" s="39">
        <v>0</v>
      </c>
      <c r="T363" s="39">
        <v>0</v>
      </c>
      <c r="U363" s="39">
        <v>0</v>
      </c>
      <c r="V363" s="39">
        <v>2</v>
      </c>
      <c r="W363" s="40" t="s">
        <v>40</v>
      </c>
      <c r="X363" s="39">
        <v>1</v>
      </c>
    </row>
    <row r="364" spans="1:24">
      <c r="A364" s="39">
        <v>660</v>
      </c>
      <c r="B364" s="40" t="s">
        <v>7787</v>
      </c>
      <c r="C364" s="39">
        <v>0</v>
      </c>
      <c r="E364" s="39">
        <v>1</v>
      </c>
      <c r="F364" s="39">
        <v>2048</v>
      </c>
      <c r="G364" s="39">
        <v>0</v>
      </c>
      <c r="H364" s="39">
        <v>0</v>
      </c>
      <c r="I364" s="39">
        <v>0</v>
      </c>
      <c r="J364" s="39">
        <v>0</v>
      </c>
      <c r="K364" s="39">
        <v>0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39">
        <v>0</v>
      </c>
      <c r="S364" s="39">
        <v>0</v>
      </c>
      <c r="T364" s="39">
        <v>0</v>
      </c>
      <c r="U364" s="39">
        <v>0</v>
      </c>
      <c r="V364" s="39">
        <v>228</v>
      </c>
      <c r="W364" s="40" t="s">
        <v>7669</v>
      </c>
      <c r="X364" s="39">
        <v>1</v>
      </c>
    </row>
    <row r="365" spans="1:24">
      <c r="A365" s="39">
        <v>1077</v>
      </c>
      <c r="B365" s="40" t="s">
        <v>7787</v>
      </c>
      <c r="C365" s="39">
        <v>0</v>
      </c>
      <c r="D365" s="40" t="s">
        <v>7789</v>
      </c>
      <c r="E365" s="39">
        <v>1</v>
      </c>
      <c r="F365" s="39">
        <v>2048</v>
      </c>
      <c r="G365" s="39">
        <v>0</v>
      </c>
      <c r="H365" s="39">
        <v>0</v>
      </c>
      <c r="I365" s="39">
        <v>0</v>
      </c>
      <c r="J365" s="39">
        <v>0</v>
      </c>
      <c r="K365" s="39">
        <v>0</v>
      </c>
      <c r="L365" s="39">
        <v>0</v>
      </c>
      <c r="M365" s="39">
        <v>0</v>
      </c>
      <c r="N365" s="39">
        <v>0</v>
      </c>
      <c r="O365" s="39">
        <v>0</v>
      </c>
      <c r="P365" s="39">
        <v>0</v>
      </c>
      <c r="Q365" s="39">
        <v>0</v>
      </c>
      <c r="R365" s="39">
        <v>0</v>
      </c>
      <c r="S365" s="39">
        <v>0</v>
      </c>
      <c r="T365" s="39">
        <v>0</v>
      </c>
      <c r="U365" s="39">
        <v>0</v>
      </c>
      <c r="V365" s="39">
        <v>477</v>
      </c>
      <c r="W365" s="40" t="s">
        <v>7697</v>
      </c>
      <c r="X365" s="39">
        <v>1</v>
      </c>
    </row>
    <row r="366" spans="1:24">
      <c r="A366" s="39">
        <v>299</v>
      </c>
      <c r="B366" s="40" t="s">
        <v>7787</v>
      </c>
      <c r="C366" s="39">
        <v>0</v>
      </c>
      <c r="D366" s="40" t="s">
        <v>7790</v>
      </c>
      <c r="E366" s="39">
        <v>0</v>
      </c>
      <c r="F366" s="39">
        <v>2048</v>
      </c>
      <c r="G366" s="39">
        <v>0</v>
      </c>
      <c r="H366" s="39">
        <v>0</v>
      </c>
      <c r="I366" s="39">
        <v>0</v>
      </c>
      <c r="J366" s="39">
        <v>0</v>
      </c>
      <c r="K366" s="39">
        <v>0</v>
      </c>
      <c r="L366" s="39">
        <v>0</v>
      </c>
      <c r="M366" s="39">
        <v>0</v>
      </c>
      <c r="N366" s="39">
        <v>0</v>
      </c>
      <c r="O366" s="39">
        <v>0</v>
      </c>
      <c r="P366" s="39">
        <v>0</v>
      </c>
      <c r="Q366" s="39">
        <v>0</v>
      </c>
      <c r="R366" s="39">
        <v>0</v>
      </c>
      <c r="S366" s="39">
        <v>0</v>
      </c>
      <c r="T366" s="39">
        <v>0</v>
      </c>
      <c r="U366" s="39">
        <v>0</v>
      </c>
      <c r="V366" s="39">
        <v>590</v>
      </c>
      <c r="W366" s="40" t="s">
        <v>7679</v>
      </c>
      <c r="X366" s="39">
        <v>1</v>
      </c>
    </row>
    <row r="367" spans="1:24">
      <c r="A367" s="39">
        <v>300</v>
      </c>
      <c r="B367" s="40" t="s">
        <v>7791</v>
      </c>
      <c r="C367" s="39">
        <v>0</v>
      </c>
      <c r="D367" s="40" t="s">
        <v>7792</v>
      </c>
      <c r="E367" s="39">
        <v>0</v>
      </c>
      <c r="F367" s="39">
        <v>2047</v>
      </c>
      <c r="G367" s="39">
        <v>0</v>
      </c>
      <c r="H367" s="39">
        <v>0</v>
      </c>
      <c r="I367" s="39">
        <v>0</v>
      </c>
      <c r="J367" s="39">
        <v>0</v>
      </c>
      <c r="K367" s="39">
        <v>0</v>
      </c>
      <c r="L367" s="39">
        <v>0</v>
      </c>
      <c r="M367" s="39">
        <v>0</v>
      </c>
      <c r="N367" s="39">
        <v>0</v>
      </c>
      <c r="O367" s="39">
        <v>0</v>
      </c>
      <c r="P367" s="39">
        <v>0</v>
      </c>
      <c r="Q367" s="39">
        <v>0</v>
      </c>
      <c r="R367" s="39">
        <v>0</v>
      </c>
      <c r="S367" s="39">
        <v>0</v>
      </c>
      <c r="T367" s="39">
        <v>0</v>
      </c>
      <c r="U367" s="39">
        <v>0</v>
      </c>
      <c r="V367" s="39">
        <v>590</v>
      </c>
      <c r="W367" s="40" t="s">
        <v>7679</v>
      </c>
      <c r="X367" s="39">
        <v>1</v>
      </c>
    </row>
    <row r="368" spans="1:24">
      <c r="A368" s="39">
        <v>1276</v>
      </c>
      <c r="B368" s="40" t="s">
        <v>7793</v>
      </c>
      <c r="C368" s="39">
        <v>0</v>
      </c>
      <c r="E368" s="39">
        <v>0</v>
      </c>
      <c r="F368" s="39">
        <v>2074</v>
      </c>
      <c r="G368" s="39">
        <v>0</v>
      </c>
      <c r="H368" s="39">
        <v>0</v>
      </c>
      <c r="I368" s="39">
        <v>0</v>
      </c>
      <c r="J368" s="39">
        <v>0</v>
      </c>
      <c r="K368" s="39">
        <v>0</v>
      </c>
      <c r="L368" s="39">
        <v>0</v>
      </c>
      <c r="M368" s="39">
        <v>0</v>
      </c>
      <c r="N368" s="39">
        <v>0</v>
      </c>
      <c r="O368" s="39">
        <v>0</v>
      </c>
      <c r="P368" s="39">
        <v>0</v>
      </c>
      <c r="Q368" s="39">
        <v>0</v>
      </c>
      <c r="R368" s="39">
        <v>0</v>
      </c>
      <c r="S368" s="39">
        <v>0</v>
      </c>
      <c r="T368" s="39">
        <v>0</v>
      </c>
      <c r="U368" s="39">
        <v>0</v>
      </c>
      <c r="V368" s="39">
        <v>418</v>
      </c>
      <c r="W368" s="40" t="s">
        <v>7671</v>
      </c>
      <c r="X368" s="39">
        <v>1</v>
      </c>
    </row>
    <row r="369" spans="1:24">
      <c r="A369" s="39">
        <v>661</v>
      </c>
      <c r="B369" s="40" t="s">
        <v>7794</v>
      </c>
      <c r="C369" s="39">
        <v>0</v>
      </c>
      <c r="E369" s="39">
        <v>0</v>
      </c>
      <c r="F369" s="39">
        <v>2069</v>
      </c>
      <c r="G369" s="39">
        <v>0</v>
      </c>
      <c r="H369" s="39">
        <v>0</v>
      </c>
      <c r="I369" s="39">
        <v>0</v>
      </c>
      <c r="J369" s="39">
        <v>0</v>
      </c>
      <c r="K369" s="39">
        <v>0</v>
      </c>
      <c r="L369" s="39">
        <v>0</v>
      </c>
      <c r="M369" s="39">
        <v>0</v>
      </c>
      <c r="N369" s="39">
        <v>0</v>
      </c>
      <c r="O369" s="39">
        <v>0</v>
      </c>
      <c r="P369" s="39">
        <v>0</v>
      </c>
      <c r="Q369" s="39">
        <v>0</v>
      </c>
      <c r="R369" s="39">
        <v>0</v>
      </c>
      <c r="S369" s="39">
        <v>0</v>
      </c>
      <c r="T369" s="39">
        <v>0</v>
      </c>
      <c r="U369" s="39">
        <v>0</v>
      </c>
      <c r="V369" s="39">
        <v>228</v>
      </c>
      <c r="W369" s="40" t="s">
        <v>7669</v>
      </c>
      <c r="X369" s="39">
        <v>1</v>
      </c>
    </row>
    <row r="370" spans="1:24">
      <c r="A370" s="39">
        <v>155</v>
      </c>
      <c r="B370" s="40" t="s">
        <v>7795</v>
      </c>
      <c r="C370" s="39">
        <v>0</v>
      </c>
      <c r="E370" s="39">
        <v>0</v>
      </c>
      <c r="F370" s="39">
        <v>1508</v>
      </c>
      <c r="G370" s="39">
        <v>0</v>
      </c>
      <c r="H370" s="39">
        <v>0</v>
      </c>
      <c r="I370" s="39">
        <v>0</v>
      </c>
      <c r="J370" s="39">
        <v>0</v>
      </c>
      <c r="K370" s="39">
        <v>0</v>
      </c>
      <c r="L370" s="39">
        <v>0</v>
      </c>
      <c r="M370" s="39">
        <v>0</v>
      </c>
      <c r="N370" s="39">
        <v>0</v>
      </c>
      <c r="O370" s="39">
        <v>0</v>
      </c>
      <c r="P370" s="39">
        <v>0</v>
      </c>
      <c r="Q370" s="39">
        <v>0</v>
      </c>
      <c r="R370" s="39">
        <v>0</v>
      </c>
      <c r="S370" s="39">
        <v>0</v>
      </c>
      <c r="T370" s="39">
        <v>0</v>
      </c>
      <c r="U370" s="39">
        <v>0</v>
      </c>
      <c r="V370" s="39">
        <v>1</v>
      </c>
      <c r="W370" s="40" t="s">
        <v>518</v>
      </c>
      <c r="X370" s="39">
        <v>1</v>
      </c>
    </row>
    <row r="371" spans="1:24">
      <c r="A371" s="39">
        <v>1766</v>
      </c>
      <c r="B371" s="40" t="s">
        <v>7795</v>
      </c>
      <c r="C371" s="39">
        <v>0</v>
      </c>
      <c r="E371" s="39">
        <v>0</v>
      </c>
      <c r="F371" s="39">
        <v>1508</v>
      </c>
      <c r="G371" s="39">
        <v>0</v>
      </c>
      <c r="H371" s="39">
        <v>0</v>
      </c>
      <c r="I371" s="39">
        <v>0</v>
      </c>
      <c r="J371" s="39">
        <v>0</v>
      </c>
      <c r="K371" s="39">
        <v>0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39">
        <v>0</v>
      </c>
      <c r="S371" s="39">
        <v>0</v>
      </c>
      <c r="T371" s="39">
        <v>0</v>
      </c>
      <c r="U371" s="39">
        <v>0</v>
      </c>
      <c r="V371" s="39">
        <v>244</v>
      </c>
      <c r="W371" s="40" t="s">
        <v>682</v>
      </c>
      <c r="X371" s="39">
        <v>1</v>
      </c>
    </row>
    <row r="372" spans="1:24">
      <c r="A372" s="39">
        <v>1427</v>
      </c>
      <c r="B372" s="40" t="s">
        <v>7795</v>
      </c>
      <c r="C372" s="39">
        <v>0</v>
      </c>
      <c r="E372" s="39">
        <v>0</v>
      </c>
      <c r="F372" s="39">
        <v>1508</v>
      </c>
      <c r="G372" s="39">
        <v>0</v>
      </c>
      <c r="H372" s="39">
        <v>0</v>
      </c>
      <c r="I372" s="39">
        <v>0</v>
      </c>
      <c r="J372" s="39">
        <v>0</v>
      </c>
      <c r="K372" s="39">
        <v>0</v>
      </c>
      <c r="L372" s="39">
        <v>0</v>
      </c>
      <c r="M372" s="39">
        <v>0</v>
      </c>
      <c r="N372" s="39">
        <v>0</v>
      </c>
      <c r="O372" s="39">
        <v>0</v>
      </c>
      <c r="P372" s="39">
        <v>0</v>
      </c>
      <c r="Q372" s="39">
        <v>0</v>
      </c>
      <c r="R372" s="39">
        <v>0</v>
      </c>
      <c r="S372" s="39">
        <v>0</v>
      </c>
      <c r="T372" s="39">
        <v>0</v>
      </c>
      <c r="U372" s="39">
        <v>0</v>
      </c>
      <c r="V372" s="39">
        <v>456</v>
      </c>
      <c r="W372" s="40" t="s">
        <v>7673</v>
      </c>
      <c r="X372" s="39">
        <v>1</v>
      </c>
    </row>
    <row r="373" spans="1:24">
      <c r="A373" s="39">
        <v>832</v>
      </c>
      <c r="B373" s="40" t="s">
        <v>7795</v>
      </c>
      <c r="C373" s="39">
        <v>0</v>
      </c>
      <c r="E373" s="39">
        <v>0</v>
      </c>
      <c r="F373" s="39">
        <v>1508</v>
      </c>
      <c r="G373" s="39">
        <v>0</v>
      </c>
      <c r="H373" s="39">
        <v>0</v>
      </c>
      <c r="I373" s="39">
        <v>0</v>
      </c>
      <c r="J373" s="39">
        <v>0</v>
      </c>
      <c r="K373" s="39">
        <v>0</v>
      </c>
      <c r="L373" s="39">
        <v>0</v>
      </c>
      <c r="M373" s="39">
        <v>0</v>
      </c>
      <c r="N373" s="39">
        <v>0</v>
      </c>
      <c r="O373" s="39">
        <v>0</v>
      </c>
      <c r="P373" s="39">
        <v>0</v>
      </c>
      <c r="Q373" s="39">
        <v>0</v>
      </c>
      <c r="R373" s="39">
        <v>0</v>
      </c>
      <c r="S373" s="39">
        <v>0</v>
      </c>
      <c r="T373" s="39">
        <v>0</v>
      </c>
      <c r="U373" s="39">
        <v>0</v>
      </c>
      <c r="V373" s="39">
        <v>733</v>
      </c>
      <c r="W373" s="40" t="s">
        <v>7680</v>
      </c>
      <c r="X373" s="39">
        <v>1</v>
      </c>
    </row>
    <row r="374" spans="1:24">
      <c r="A374" s="39">
        <v>84</v>
      </c>
      <c r="B374" s="40" t="s">
        <v>7796</v>
      </c>
      <c r="C374" s="39">
        <v>0</v>
      </c>
      <c r="E374" s="39">
        <v>0</v>
      </c>
      <c r="F374" s="39">
        <v>954</v>
      </c>
      <c r="G374" s="39">
        <v>0</v>
      </c>
      <c r="H374" s="39">
        <v>0</v>
      </c>
      <c r="I374" s="39">
        <v>0</v>
      </c>
      <c r="J374" s="39">
        <v>0</v>
      </c>
      <c r="K374" s="39">
        <v>0</v>
      </c>
      <c r="L374" s="39">
        <v>0</v>
      </c>
      <c r="M374" s="39">
        <v>0</v>
      </c>
      <c r="N374" s="39">
        <v>0</v>
      </c>
      <c r="O374" s="39">
        <v>0</v>
      </c>
      <c r="P374" s="39">
        <v>0</v>
      </c>
      <c r="Q374" s="39">
        <v>0</v>
      </c>
      <c r="R374" s="39">
        <v>0</v>
      </c>
      <c r="S374" s="39">
        <v>0</v>
      </c>
      <c r="T374" s="39">
        <v>0</v>
      </c>
      <c r="U374" s="39">
        <v>0</v>
      </c>
      <c r="V374" s="39">
        <v>1</v>
      </c>
      <c r="W374" s="40" t="s">
        <v>518</v>
      </c>
      <c r="X374" s="39">
        <v>1</v>
      </c>
    </row>
    <row r="375" spans="1:24">
      <c r="A375" s="39">
        <v>1697</v>
      </c>
      <c r="B375" s="40" t="s">
        <v>7796</v>
      </c>
      <c r="C375" s="39">
        <v>0</v>
      </c>
      <c r="E375" s="39">
        <v>0</v>
      </c>
      <c r="F375" s="39">
        <v>954</v>
      </c>
      <c r="G375" s="39">
        <v>0</v>
      </c>
      <c r="H375" s="39">
        <v>0</v>
      </c>
      <c r="I375" s="39">
        <v>0</v>
      </c>
      <c r="J375" s="39">
        <v>0</v>
      </c>
      <c r="K375" s="39">
        <v>0</v>
      </c>
      <c r="L375" s="39">
        <v>0</v>
      </c>
      <c r="M375" s="39">
        <v>0</v>
      </c>
      <c r="N375" s="39">
        <v>0</v>
      </c>
      <c r="O375" s="39">
        <v>0</v>
      </c>
      <c r="P375" s="39">
        <v>0</v>
      </c>
      <c r="Q375" s="39">
        <v>0</v>
      </c>
      <c r="R375" s="39">
        <v>0</v>
      </c>
      <c r="S375" s="39">
        <v>0</v>
      </c>
      <c r="T375" s="39">
        <v>0</v>
      </c>
      <c r="U375" s="39">
        <v>0</v>
      </c>
      <c r="V375" s="39">
        <v>244</v>
      </c>
      <c r="W375" s="40" t="s">
        <v>682</v>
      </c>
      <c r="X375" s="39">
        <v>1</v>
      </c>
    </row>
    <row r="376" spans="1:24">
      <c r="A376" s="39">
        <v>1357</v>
      </c>
      <c r="B376" s="40" t="s">
        <v>7796</v>
      </c>
      <c r="C376" s="39">
        <v>0</v>
      </c>
      <c r="E376" s="39">
        <v>0</v>
      </c>
      <c r="F376" s="39">
        <v>954</v>
      </c>
      <c r="G376" s="39">
        <v>0</v>
      </c>
      <c r="H376" s="39">
        <v>0</v>
      </c>
      <c r="I376" s="39">
        <v>0</v>
      </c>
      <c r="J376" s="39">
        <v>0</v>
      </c>
      <c r="K376" s="39">
        <v>0</v>
      </c>
      <c r="L376" s="39">
        <v>0</v>
      </c>
      <c r="M376" s="39">
        <v>0</v>
      </c>
      <c r="N376" s="39">
        <v>0</v>
      </c>
      <c r="O376" s="39">
        <v>0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9">
        <v>0</v>
      </c>
      <c r="V376" s="39">
        <v>456</v>
      </c>
      <c r="W376" s="40" t="s">
        <v>7673</v>
      </c>
      <c r="X376" s="39">
        <v>1</v>
      </c>
    </row>
    <row r="377" spans="1:24">
      <c r="A377" s="39">
        <v>833</v>
      </c>
      <c r="B377" s="40" t="s">
        <v>7796</v>
      </c>
      <c r="C377" s="39">
        <v>0</v>
      </c>
      <c r="E377" s="39">
        <v>0</v>
      </c>
      <c r="F377" s="39">
        <v>954</v>
      </c>
      <c r="G377" s="39">
        <v>0</v>
      </c>
      <c r="H377" s="39">
        <v>0</v>
      </c>
      <c r="I377" s="39">
        <v>0</v>
      </c>
      <c r="J377" s="39">
        <v>0</v>
      </c>
      <c r="K377" s="39">
        <v>0</v>
      </c>
      <c r="L377" s="39">
        <v>0</v>
      </c>
      <c r="M377" s="39">
        <v>0</v>
      </c>
      <c r="N377" s="39">
        <v>0</v>
      </c>
      <c r="O377" s="39">
        <v>0</v>
      </c>
      <c r="P377" s="39">
        <v>0</v>
      </c>
      <c r="Q377" s="39">
        <v>0</v>
      </c>
      <c r="R377" s="39">
        <v>0</v>
      </c>
      <c r="S377" s="39">
        <v>0</v>
      </c>
      <c r="T377" s="39">
        <v>0</v>
      </c>
      <c r="U377" s="39">
        <v>0</v>
      </c>
      <c r="V377" s="39">
        <v>733</v>
      </c>
      <c r="W377" s="40" t="s">
        <v>7680</v>
      </c>
      <c r="X377" s="39">
        <v>1</v>
      </c>
    </row>
    <row r="378" spans="1:24">
      <c r="A378" s="39">
        <v>153</v>
      </c>
      <c r="B378" s="40" t="s">
        <v>544</v>
      </c>
      <c r="C378" s="39">
        <v>0</v>
      </c>
      <c r="E378" s="39">
        <v>0</v>
      </c>
      <c r="F378" s="39">
        <v>990</v>
      </c>
      <c r="G378" s="39">
        <v>0</v>
      </c>
      <c r="H378" s="39">
        <v>0</v>
      </c>
      <c r="I378" s="39">
        <v>0</v>
      </c>
      <c r="J378" s="39">
        <v>0</v>
      </c>
      <c r="K378" s="39">
        <v>0</v>
      </c>
      <c r="L378" s="39">
        <v>0</v>
      </c>
      <c r="M378" s="39">
        <v>0</v>
      </c>
      <c r="N378" s="39">
        <v>0</v>
      </c>
      <c r="O378" s="39">
        <v>0</v>
      </c>
      <c r="P378" s="39">
        <v>0</v>
      </c>
      <c r="Q378" s="39">
        <v>0</v>
      </c>
      <c r="R378" s="39">
        <v>0</v>
      </c>
      <c r="S378" s="39">
        <v>0</v>
      </c>
      <c r="T378" s="39">
        <v>0</v>
      </c>
      <c r="U378" s="39">
        <v>0</v>
      </c>
      <c r="V378" s="39">
        <v>1</v>
      </c>
      <c r="W378" s="40" t="s">
        <v>518</v>
      </c>
      <c r="X378" s="39">
        <v>1</v>
      </c>
    </row>
    <row r="379" spans="1:24">
      <c r="A379" s="39">
        <v>62</v>
      </c>
      <c r="B379" s="40" t="s">
        <v>544</v>
      </c>
      <c r="C379" s="39">
        <v>0</v>
      </c>
      <c r="E379" s="39">
        <v>0</v>
      </c>
      <c r="F379" s="39">
        <v>50</v>
      </c>
      <c r="G379" s="39">
        <v>1</v>
      </c>
      <c r="H379" s="39">
        <v>1</v>
      </c>
      <c r="I379" s="39">
        <v>1</v>
      </c>
      <c r="J379" s="39">
        <v>1</v>
      </c>
      <c r="K379" s="39">
        <v>1</v>
      </c>
      <c r="L379" s="39">
        <v>1</v>
      </c>
      <c r="M379" s="39">
        <v>0</v>
      </c>
      <c r="N379" s="39">
        <v>0</v>
      </c>
      <c r="O379" s="39">
        <v>0</v>
      </c>
      <c r="P379" s="39">
        <v>0</v>
      </c>
      <c r="Q379" s="39">
        <v>0</v>
      </c>
      <c r="R379" s="39">
        <v>0</v>
      </c>
      <c r="S379" s="39">
        <v>0</v>
      </c>
      <c r="T379" s="39">
        <v>0</v>
      </c>
      <c r="U379" s="39">
        <v>0</v>
      </c>
      <c r="V379" s="39">
        <v>2</v>
      </c>
      <c r="W379" s="40" t="s">
        <v>40</v>
      </c>
      <c r="X379" s="39">
        <v>1</v>
      </c>
    </row>
    <row r="380" spans="1:24">
      <c r="A380" s="39">
        <v>953</v>
      </c>
      <c r="B380" s="40" t="s">
        <v>544</v>
      </c>
      <c r="C380" s="39">
        <v>0</v>
      </c>
      <c r="E380" s="39">
        <v>0</v>
      </c>
      <c r="F380" s="39">
        <v>845</v>
      </c>
      <c r="G380" s="39">
        <v>0</v>
      </c>
      <c r="H380" s="39">
        <v>0</v>
      </c>
      <c r="I380" s="39">
        <v>0</v>
      </c>
      <c r="J380" s="39">
        <v>0</v>
      </c>
      <c r="K380" s="39">
        <v>0</v>
      </c>
      <c r="L380" s="39">
        <v>0</v>
      </c>
      <c r="M380" s="39">
        <v>0</v>
      </c>
      <c r="N380" s="39">
        <v>0</v>
      </c>
      <c r="O380" s="39">
        <v>0</v>
      </c>
      <c r="P380" s="39">
        <v>0</v>
      </c>
      <c r="Q380" s="39">
        <v>0</v>
      </c>
      <c r="R380" s="39">
        <v>0</v>
      </c>
      <c r="S380" s="39">
        <v>0</v>
      </c>
      <c r="T380" s="39">
        <v>0</v>
      </c>
      <c r="U380" s="39">
        <v>0</v>
      </c>
      <c r="V380" s="39">
        <v>158</v>
      </c>
      <c r="W380" s="40" t="s">
        <v>7667</v>
      </c>
      <c r="X380" s="39">
        <v>1</v>
      </c>
    </row>
    <row r="381" spans="1:24">
      <c r="A381" s="39">
        <v>443</v>
      </c>
      <c r="B381" s="40" t="s">
        <v>544</v>
      </c>
      <c r="C381" s="39">
        <v>0</v>
      </c>
      <c r="E381" s="39">
        <v>0</v>
      </c>
      <c r="F381" s="39">
        <v>852</v>
      </c>
      <c r="G381" s="39">
        <v>0</v>
      </c>
      <c r="H381" s="39">
        <v>0</v>
      </c>
      <c r="I381" s="39">
        <v>0</v>
      </c>
      <c r="J381" s="39">
        <v>0</v>
      </c>
      <c r="K381" s="39">
        <v>0</v>
      </c>
      <c r="L381" s="39">
        <v>0</v>
      </c>
      <c r="M381" s="39">
        <v>0</v>
      </c>
      <c r="N381" s="39">
        <v>0</v>
      </c>
      <c r="O381" s="39">
        <v>0</v>
      </c>
      <c r="P381" s="39">
        <v>0</v>
      </c>
      <c r="Q381" s="39">
        <v>0</v>
      </c>
      <c r="R381" s="39">
        <v>0</v>
      </c>
      <c r="S381" s="39">
        <v>0</v>
      </c>
      <c r="T381" s="39">
        <v>0</v>
      </c>
      <c r="U381" s="39">
        <v>0</v>
      </c>
      <c r="V381" s="39">
        <v>175</v>
      </c>
      <c r="W381" s="40" t="s">
        <v>7689</v>
      </c>
      <c r="X381" s="39">
        <v>1</v>
      </c>
    </row>
    <row r="382" spans="1:24">
      <c r="A382" s="39">
        <v>338</v>
      </c>
      <c r="B382" s="40" t="s">
        <v>544</v>
      </c>
      <c r="C382" s="39">
        <v>0</v>
      </c>
      <c r="E382" s="39">
        <v>0</v>
      </c>
      <c r="F382" s="39">
        <v>852</v>
      </c>
      <c r="G382" s="39">
        <v>0</v>
      </c>
      <c r="H382" s="39">
        <v>0</v>
      </c>
      <c r="I382" s="39">
        <v>0</v>
      </c>
      <c r="J382" s="39">
        <v>0</v>
      </c>
      <c r="K382" s="39">
        <v>0</v>
      </c>
      <c r="L382" s="39">
        <v>0</v>
      </c>
      <c r="M382" s="39">
        <v>0</v>
      </c>
      <c r="N382" s="39">
        <v>0</v>
      </c>
      <c r="O382" s="39">
        <v>0</v>
      </c>
      <c r="P382" s="39">
        <v>0</v>
      </c>
      <c r="Q382" s="39">
        <v>0</v>
      </c>
      <c r="R382" s="39">
        <v>0</v>
      </c>
      <c r="S382" s="39">
        <v>0</v>
      </c>
      <c r="T382" s="39">
        <v>0</v>
      </c>
      <c r="U382" s="39">
        <v>0</v>
      </c>
      <c r="V382" s="39">
        <v>228</v>
      </c>
      <c r="W382" s="40" t="s">
        <v>7669</v>
      </c>
      <c r="X382" s="39">
        <v>1</v>
      </c>
    </row>
    <row r="383" spans="1:24">
      <c r="A383" s="39">
        <v>1764</v>
      </c>
      <c r="B383" s="40" t="s">
        <v>544</v>
      </c>
      <c r="C383" s="39">
        <v>0</v>
      </c>
      <c r="E383" s="39">
        <v>0</v>
      </c>
      <c r="F383" s="39">
        <v>990</v>
      </c>
      <c r="G383" s="39">
        <v>0</v>
      </c>
      <c r="H383" s="39">
        <v>0</v>
      </c>
      <c r="I383" s="39">
        <v>0</v>
      </c>
      <c r="J383" s="39">
        <v>0</v>
      </c>
      <c r="K383" s="39">
        <v>0</v>
      </c>
      <c r="L383" s="39">
        <v>0</v>
      </c>
      <c r="M383" s="39">
        <v>0</v>
      </c>
      <c r="N383" s="39">
        <v>0</v>
      </c>
      <c r="O383" s="39">
        <v>0</v>
      </c>
      <c r="P383" s="39">
        <v>0</v>
      </c>
      <c r="Q383" s="39">
        <v>0</v>
      </c>
      <c r="R383" s="39">
        <v>0</v>
      </c>
      <c r="S383" s="39">
        <v>0</v>
      </c>
      <c r="T383" s="39">
        <v>0</v>
      </c>
      <c r="U383" s="39">
        <v>0</v>
      </c>
      <c r="V383" s="39">
        <v>244</v>
      </c>
      <c r="W383" s="40" t="s">
        <v>682</v>
      </c>
      <c r="X383" s="39">
        <v>1</v>
      </c>
    </row>
    <row r="384" spans="1:24">
      <c r="A384" s="39">
        <v>1220</v>
      </c>
      <c r="B384" s="40" t="s">
        <v>544</v>
      </c>
      <c r="C384" s="39">
        <v>0</v>
      </c>
      <c r="E384" s="39">
        <v>0</v>
      </c>
      <c r="F384" s="39">
        <v>845</v>
      </c>
      <c r="G384" s="39">
        <v>1</v>
      </c>
      <c r="H384" s="39">
        <v>1</v>
      </c>
      <c r="I384" s="39">
        <v>1</v>
      </c>
      <c r="J384" s="39">
        <v>0</v>
      </c>
      <c r="K384" s="39">
        <v>0</v>
      </c>
      <c r="L384" s="39">
        <v>0</v>
      </c>
      <c r="M384" s="39">
        <v>0</v>
      </c>
      <c r="N384" s="39">
        <v>0</v>
      </c>
      <c r="O384" s="39">
        <v>0</v>
      </c>
      <c r="P384" s="39">
        <v>0</v>
      </c>
      <c r="Q384" s="39">
        <v>0</v>
      </c>
      <c r="R384" s="39">
        <v>0</v>
      </c>
      <c r="S384" s="39">
        <v>0</v>
      </c>
      <c r="T384" s="39">
        <v>0</v>
      </c>
      <c r="U384" s="39">
        <v>0</v>
      </c>
      <c r="V384" s="39">
        <v>418</v>
      </c>
      <c r="W384" s="40" t="s">
        <v>7671</v>
      </c>
      <c r="X384" s="39">
        <v>1</v>
      </c>
    </row>
    <row r="385" spans="1:24">
      <c r="A385" s="39">
        <v>1425</v>
      </c>
      <c r="B385" s="40" t="s">
        <v>544</v>
      </c>
      <c r="C385" s="39">
        <v>0</v>
      </c>
      <c r="E385" s="39">
        <v>0</v>
      </c>
      <c r="F385" s="39">
        <v>990</v>
      </c>
      <c r="G385" s="39">
        <v>0</v>
      </c>
      <c r="H385" s="39">
        <v>0</v>
      </c>
      <c r="I385" s="39">
        <v>0</v>
      </c>
      <c r="J385" s="39">
        <v>0</v>
      </c>
      <c r="K385" s="39">
        <v>0</v>
      </c>
      <c r="L385" s="39">
        <v>0</v>
      </c>
      <c r="M385" s="39">
        <v>0</v>
      </c>
      <c r="N385" s="39">
        <v>0</v>
      </c>
      <c r="O385" s="39">
        <v>0</v>
      </c>
      <c r="P385" s="39">
        <v>0</v>
      </c>
      <c r="Q385" s="39">
        <v>0</v>
      </c>
      <c r="R385" s="39">
        <v>0</v>
      </c>
      <c r="S385" s="39">
        <v>0</v>
      </c>
      <c r="T385" s="39">
        <v>0</v>
      </c>
      <c r="U385" s="39">
        <v>0</v>
      </c>
      <c r="V385" s="39">
        <v>456</v>
      </c>
      <c r="W385" s="40" t="s">
        <v>7673</v>
      </c>
      <c r="X385" s="39">
        <v>1</v>
      </c>
    </row>
    <row r="386" spans="1:24">
      <c r="A386" s="39">
        <v>895</v>
      </c>
      <c r="B386" s="40" t="s">
        <v>544</v>
      </c>
      <c r="C386" s="39">
        <v>0</v>
      </c>
      <c r="E386" s="39">
        <v>0</v>
      </c>
      <c r="F386" s="39">
        <v>852</v>
      </c>
      <c r="G386" s="39">
        <v>1</v>
      </c>
      <c r="H386" s="39">
        <v>0</v>
      </c>
      <c r="I386" s="39">
        <v>0</v>
      </c>
      <c r="J386" s="39">
        <v>0</v>
      </c>
      <c r="K386" s="39">
        <v>0</v>
      </c>
      <c r="L386" s="39">
        <v>0</v>
      </c>
      <c r="M386" s="39">
        <v>0</v>
      </c>
      <c r="N386" s="39">
        <v>0</v>
      </c>
      <c r="O386" s="39">
        <v>0</v>
      </c>
      <c r="P386" s="39">
        <v>0</v>
      </c>
      <c r="Q386" s="39">
        <v>0</v>
      </c>
      <c r="R386" s="39">
        <v>0</v>
      </c>
      <c r="S386" s="39">
        <v>0</v>
      </c>
      <c r="T386" s="39">
        <v>0</v>
      </c>
      <c r="U386" s="39">
        <v>0</v>
      </c>
      <c r="V386" s="39">
        <v>458</v>
      </c>
      <c r="W386" s="40" t="s">
        <v>7694</v>
      </c>
      <c r="X386" s="39">
        <v>1</v>
      </c>
    </row>
    <row r="387" spans="1:24">
      <c r="A387" s="39">
        <v>1132</v>
      </c>
      <c r="B387" s="40" t="s">
        <v>544</v>
      </c>
      <c r="C387" s="39">
        <v>0</v>
      </c>
      <c r="E387" s="39">
        <v>0</v>
      </c>
      <c r="F387" s="39">
        <v>852</v>
      </c>
      <c r="G387" s="39">
        <v>0</v>
      </c>
      <c r="H387" s="39">
        <v>0</v>
      </c>
      <c r="I387" s="39">
        <v>0</v>
      </c>
      <c r="J387" s="39">
        <v>0</v>
      </c>
      <c r="K387" s="39">
        <v>0</v>
      </c>
      <c r="L387" s="39">
        <v>0</v>
      </c>
      <c r="M387" s="39">
        <v>0</v>
      </c>
      <c r="N387" s="39">
        <v>0</v>
      </c>
      <c r="O387" s="39">
        <v>0</v>
      </c>
      <c r="P387" s="39">
        <v>0</v>
      </c>
      <c r="Q387" s="39">
        <v>0</v>
      </c>
      <c r="R387" s="39">
        <v>0</v>
      </c>
      <c r="S387" s="39">
        <v>0</v>
      </c>
      <c r="T387" s="39">
        <v>0</v>
      </c>
      <c r="U387" s="39">
        <v>0</v>
      </c>
      <c r="V387" s="39">
        <v>459</v>
      </c>
      <c r="W387" s="40" t="s">
        <v>7674</v>
      </c>
      <c r="X387" s="39">
        <v>1</v>
      </c>
    </row>
    <row r="388" spans="1:24">
      <c r="A388" s="39">
        <v>636</v>
      </c>
      <c r="B388" s="40" t="s">
        <v>544</v>
      </c>
      <c r="C388" s="39">
        <v>0</v>
      </c>
      <c r="E388" s="39">
        <v>0</v>
      </c>
      <c r="F388" s="39">
        <v>852</v>
      </c>
      <c r="G388" s="39">
        <v>0</v>
      </c>
      <c r="H388" s="39">
        <v>0</v>
      </c>
      <c r="I388" s="39">
        <v>0</v>
      </c>
      <c r="J388" s="39">
        <v>0</v>
      </c>
      <c r="K388" s="39">
        <v>0</v>
      </c>
      <c r="L388" s="39">
        <v>0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39">
        <v>0</v>
      </c>
      <c r="S388" s="39">
        <v>0</v>
      </c>
      <c r="T388" s="39">
        <v>0</v>
      </c>
      <c r="U388" s="39">
        <v>0</v>
      </c>
      <c r="V388" s="39">
        <v>468</v>
      </c>
      <c r="W388" s="40" t="s">
        <v>7677</v>
      </c>
      <c r="X388" s="39">
        <v>1</v>
      </c>
    </row>
    <row r="389" spans="1:24">
      <c r="A389" s="39">
        <v>1036</v>
      </c>
      <c r="B389" s="40" t="s">
        <v>544</v>
      </c>
      <c r="C389" s="39">
        <v>0</v>
      </c>
      <c r="E389" s="39">
        <v>1</v>
      </c>
      <c r="F389" s="39">
        <v>852</v>
      </c>
      <c r="G389" s="39">
        <v>0</v>
      </c>
      <c r="H389" s="39">
        <v>0</v>
      </c>
      <c r="I389" s="39">
        <v>0</v>
      </c>
      <c r="J389" s="39">
        <v>0</v>
      </c>
      <c r="K389" s="39">
        <v>0</v>
      </c>
      <c r="L389" s="39">
        <v>0</v>
      </c>
      <c r="M389" s="39">
        <v>0</v>
      </c>
      <c r="N389" s="39">
        <v>0</v>
      </c>
      <c r="O389" s="39">
        <v>0</v>
      </c>
      <c r="P389" s="39">
        <v>0</v>
      </c>
      <c r="Q389" s="39">
        <v>0</v>
      </c>
      <c r="R389" s="39">
        <v>0</v>
      </c>
      <c r="S389" s="39">
        <v>0</v>
      </c>
      <c r="T389" s="39">
        <v>0</v>
      </c>
      <c r="U389" s="39">
        <v>0</v>
      </c>
      <c r="V389" s="39">
        <v>477</v>
      </c>
      <c r="W389" s="40" t="s">
        <v>7697</v>
      </c>
      <c r="X389" s="39">
        <v>1</v>
      </c>
    </row>
    <row r="390" spans="1:24">
      <c r="A390" s="39">
        <v>222</v>
      </c>
      <c r="B390" s="40" t="s">
        <v>544</v>
      </c>
      <c r="C390" s="39">
        <v>0</v>
      </c>
      <c r="E390" s="39">
        <v>1</v>
      </c>
      <c r="F390" s="39">
        <v>852</v>
      </c>
      <c r="G390" s="39">
        <v>0</v>
      </c>
      <c r="H390" s="39">
        <v>0</v>
      </c>
      <c r="I390" s="39">
        <v>0</v>
      </c>
      <c r="J390" s="39">
        <v>0</v>
      </c>
      <c r="K390" s="39">
        <v>0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39">
        <v>0</v>
      </c>
      <c r="S390" s="39">
        <v>0</v>
      </c>
      <c r="T390" s="39">
        <v>0</v>
      </c>
      <c r="U390" s="39">
        <v>0</v>
      </c>
      <c r="V390" s="39">
        <v>590</v>
      </c>
      <c r="W390" s="40" t="s">
        <v>7679</v>
      </c>
      <c r="X390" s="39">
        <v>1</v>
      </c>
    </row>
    <row r="391" spans="1:24">
      <c r="A391" s="39">
        <v>770</v>
      </c>
      <c r="B391" s="40" t="s">
        <v>544</v>
      </c>
      <c r="C391" s="39">
        <v>0</v>
      </c>
      <c r="E391" s="39">
        <v>1</v>
      </c>
      <c r="F391" s="39">
        <v>852</v>
      </c>
      <c r="G391" s="39">
        <v>1</v>
      </c>
      <c r="H391" s="39">
        <v>1</v>
      </c>
      <c r="I391" s="39">
        <v>1</v>
      </c>
      <c r="J391" s="39">
        <v>1</v>
      </c>
      <c r="K391" s="39">
        <v>1</v>
      </c>
      <c r="L391" s="39">
        <v>1</v>
      </c>
      <c r="M391" s="39">
        <v>0</v>
      </c>
      <c r="N391" s="39">
        <v>0</v>
      </c>
      <c r="O391" s="39">
        <v>0</v>
      </c>
      <c r="P391" s="39">
        <v>0</v>
      </c>
      <c r="Q391" s="39">
        <v>0</v>
      </c>
      <c r="R391" s="39">
        <v>0</v>
      </c>
      <c r="S391" s="39">
        <v>0</v>
      </c>
      <c r="T391" s="39">
        <v>0</v>
      </c>
      <c r="U391" s="39">
        <v>0</v>
      </c>
      <c r="V391" s="39">
        <v>733</v>
      </c>
      <c r="W391" s="40" t="s">
        <v>7680</v>
      </c>
      <c r="X391" s="39">
        <v>1</v>
      </c>
    </row>
    <row r="392" spans="1:24">
      <c r="A392" s="39">
        <v>137</v>
      </c>
      <c r="B392" s="40" t="s">
        <v>7015</v>
      </c>
      <c r="C392" s="39">
        <v>0</v>
      </c>
      <c r="E392" s="39">
        <v>1</v>
      </c>
      <c r="F392" s="39">
        <v>844</v>
      </c>
      <c r="G392" s="39">
        <v>1</v>
      </c>
      <c r="H392" s="39">
        <v>1</v>
      </c>
      <c r="I392" s="39">
        <v>1</v>
      </c>
      <c r="J392" s="39">
        <v>1</v>
      </c>
      <c r="K392" s="39">
        <v>0</v>
      </c>
      <c r="L392" s="39">
        <v>0</v>
      </c>
      <c r="M392" s="39">
        <v>0</v>
      </c>
      <c r="N392" s="39">
        <v>0</v>
      </c>
      <c r="O392" s="39">
        <v>0</v>
      </c>
      <c r="P392" s="39">
        <v>0</v>
      </c>
      <c r="Q392" s="39">
        <v>0</v>
      </c>
      <c r="R392" s="39">
        <v>0</v>
      </c>
      <c r="S392" s="39">
        <v>0</v>
      </c>
      <c r="T392" s="39">
        <v>0</v>
      </c>
      <c r="U392" s="39">
        <v>0</v>
      </c>
      <c r="V392" s="39">
        <v>1</v>
      </c>
      <c r="W392" s="40" t="s">
        <v>518</v>
      </c>
      <c r="X392" s="39">
        <v>1</v>
      </c>
    </row>
    <row r="393" spans="1:24">
      <c r="A393" s="39">
        <v>49</v>
      </c>
      <c r="B393" s="40" t="s">
        <v>7015</v>
      </c>
      <c r="C393" s="39">
        <v>0</v>
      </c>
      <c r="D393" s="40" t="s">
        <v>7797</v>
      </c>
      <c r="E393" s="39">
        <v>1</v>
      </c>
      <c r="F393" s="39">
        <v>33</v>
      </c>
      <c r="G393" s="39">
        <v>1</v>
      </c>
      <c r="H393" s="39">
        <v>1</v>
      </c>
      <c r="I393" s="39">
        <v>1</v>
      </c>
      <c r="J393" s="39">
        <v>1</v>
      </c>
      <c r="K393" s="39">
        <v>0</v>
      </c>
      <c r="L393" s="39">
        <v>0</v>
      </c>
      <c r="M393" s="39">
        <v>0</v>
      </c>
      <c r="N393" s="39">
        <v>0</v>
      </c>
      <c r="O393" s="39">
        <v>0</v>
      </c>
      <c r="P393" s="39">
        <v>0</v>
      </c>
      <c r="Q393" s="39">
        <v>0</v>
      </c>
      <c r="R393" s="39">
        <v>0</v>
      </c>
      <c r="S393" s="39">
        <v>0</v>
      </c>
      <c r="T393" s="39">
        <v>0</v>
      </c>
      <c r="U393" s="39">
        <v>0</v>
      </c>
      <c r="V393" s="39">
        <v>2</v>
      </c>
      <c r="W393" s="40" t="s">
        <v>40</v>
      </c>
      <c r="X393" s="39">
        <v>1</v>
      </c>
    </row>
    <row r="394" spans="1:24">
      <c r="A394" s="39">
        <v>954</v>
      </c>
      <c r="B394" s="40" t="s">
        <v>7015</v>
      </c>
      <c r="C394" s="39">
        <v>0</v>
      </c>
      <c r="E394" s="39">
        <v>1</v>
      </c>
      <c r="F394" s="39">
        <v>844</v>
      </c>
      <c r="G394" s="39">
        <v>1</v>
      </c>
      <c r="H394" s="39">
        <v>1</v>
      </c>
      <c r="I394" s="39">
        <v>1</v>
      </c>
      <c r="J394" s="39">
        <v>0</v>
      </c>
      <c r="K394" s="39">
        <v>0</v>
      </c>
      <c r="L394" s="39">
        <v>0</v>
      </c>
      <c r="M394" s="39">
        <v>0</v>
      </c>
      <c r="N394" s="39">
        <v>0</v>
      </c>
      <c r="O394" s="39">
        <v>0</v>
      </c>
      <c r="P394" s="39">
        <v>0</v>
      </c>
      <c r="Q394" s="39">
        <v>0</v>
      </c>
      <c r="R394" s="39">
        <v>0</v>
      </c>
      <c r="S394" s="39">
        <v>0</v>
      </c>
      <c r="T394" s="39">
        <v>0</v>
      </c>
      <c r="U394" s="39">
        <v>0</v>
      </c>
      <c r="V394" s="39">
        <v>158</v>
      </c>
      <c r="W394" s="40" t="s">
        <v>7667</v>
      </c>
      <c r="X394" s="39">
        <v>1</v>
      </c>
    </row>
    <row r="395" spans="1:24">
      <c r="A395" s="39">
        <v>444</v>
      </c>
      <c r="B395" s="40" t="s">
        <v>7015</v>
      </c>
      <c r="C395" s="39">
        <v>0</v>
      </c>
      <c r="E395" s="39">
        <v>1</v>
      </c>
      <c r="F395" s="39">
        <v>844</v>
      </c>
      <c r="G395" s="39">
        <v>1</v>
      </c>
      <c r="H395" s="39">
        <v>1</v>
      </c>
      <c r="I395" s="39">
        <v>1</v>
      </c>
      <c r="J395" s="39">
        <v>0</v>
      </c>
      <c r="K395" s="39">
        <v>0</v>
      </c>
      <c r="L395" s="39">
        <v>0</v>
      </c>
      <c r="M395" s="39">
        <v>0</v>
      </c>
      <c r="N395" s="39">
        <v>0</v>
      </c>
      <c r="O395" s="39">
        <v>0</v>
      </c>
      <c r="P395" s="39">
        <v>0</v>
      </c>
      <c r="Q395" s="39">
        <v>0</v>
      </c>
      <c r="R395" s="39">
        <v>0</v>
      </c>
      <c r="S395" s="39">
        <v>0</v>
      </c>
      <c r="T395" s="39">
        <v>0</v>
      </c>
      <c r="U395" s="39">
        <v>0</v>
      </c>
      <c r="V395" s="39">
        <v>175</v>
      </c>
      <c r="W395" s="40" t="s">
        <v>7689</v>
      </c>
      <c r="X395" s="39">
        <v>1</v>
      </c>
    </row>
    <row r="396" spans="1:24">
      <c r="A396" s="39">
        <v>339</v>
      </c>
      <c r="B396" s="40" t="s">
        <v>7015</v>
      </c>
      <c r="C396" s="39">
        <v>0</v>
      </c>
      <c r="E396" s="39">
        <v>1</v>
      </c>
      <c r="F396" s="39">
        <v>844</v>
      </c>
      <c r="G396" s="39">
        <v>1</v>
      </c>
      <c r="H396" s="39">
        <v>1</v>
      </c>
      <c r="I396" s="39">
        <v>1</v>
      </c>
      <c r="J396" s="39">
        <v>0</v>
      </c>
      <c r="K396" s="39">
        <v>0</v>
      </c>
      <c r="L396" s="39">
        <v>0</v>
      </c>
      <c r="M396" s="39">
        <v>0</v>
      </c>
      <c r="N396" s="39">
        <v>0</v>
      </c>
      <c r="O396" s="39">
        <v>0</v>
      </c>
      <c r="P396" s="39">
        <v>0</v>
      </c>
      <c r="Q396" s="39">
        <v>0</v>
      </c>
      <c r="R396" s="39">
        <v>0</v>
      </c>
      <c r="S396" s="39">
        <v>0</v>
      </c>
      <c r="T396" s="39">
        <v>0</v>
      </c>
      <c r="U396" s="39">
        <v>0</v>
      </c>
      <c r="V396" s="39">
        <v>228</v>
      </c>
      <c r="W396" s="40" t="s">
        <v>7669</v>
      </c>
      <c r="X396" s="39">
        <v>1</v>
      </c>
    </row>
    <row r="397" spans="1:24">
      <c r="A397" s="39">
        <v>1748</v>
      </c>
      <c r="B397" s="40" t="s">
        <v>7015</v>
      </c>
      <c r="C397" s="39">
        <v>0</v>
      </c>
      <c r="E397" s="39">
        <v>1</v>
      </c>
      <c r="F397" s="39">
        <v>844</v>
      </c>
      <c r="G397" s="39">
        <v>1</v>
      </c>
      <c r="H397" s="39">
        <v>1</v>
      </c>
      <c r="I397" s="39">
        <v>1</v>
      </c>
      <c r="J397" s="39">
        <v>1</v>
      </c>
      <c r="K397" s="39">
        <v>0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39">
        <v>0</v>
      </c>
      <c r="S397" s="39">
        <v>0</v>
      </c>
      <c r="T397" s="39">
        <v>0</v>
      </c>
      <c r="U397" s="39">
        <v>0</v>
      </c>
      <c r="V397" s="39">
        <v>244</v>
      </c>
      <c r="W397" s="40" t="s">
        <v>682</v>
      </c>
      <c r="X397" s="39">
        <v>1</v>
      </c>
    </row>
    <row r="398" spans="1:24">
      <c r="A398" s="39">
        <v>1221</v>
      </c>
      <c r="B398" s="40" t="s">
        <v>7015</v>
      </c>
      <c r="C398" s="39">
        <v>0</v>
      </c>
      <c r="E398" s="39">
        <v>1</v>
      </c>
      <c r="F398" s="39">
        <v>844</v>
      </c>
      <c r="G398" s="39">
        <v>1</v>
      </c>
      <c r="H398" s="39">
        <v>1</v>
      </c>
      <c r="I398" s="39">
        <v>1</v>
      </c>
      <c r="J398" s="39">
        <v>0</v>
      </c>
      <c r="K398" s="39">
        <v>0</v>
      </c>
      <c r="L398" s="39">
        <v>0</v>
      </c>
      <c r="M398" s="39">
        <v>0</v>
      </c>
      <c r="N398" s="39">
        <v>0</v>
      </c>
      <c r="O398" s="39">
        <v>0</v>
      </c>
      <c r="P398" s="39">
        <v>0</v>
      </c>
      <c r="Q398" s="39">
        <v>0</v>
      </c>
      <c r="R398" s="39">
        <v>0</v>
      </c>
      <c r="S398" s="39">
        <v>0</v>
      </c>
      <c r="T398" s="39">
        <v>0</v>
      </c>
      <c r="U398" s="39">
        <v>0</v>
      </c>
      <c r="V398" s="39">
        <v>418</v>
      </c>
      <c r="W398" s="40" t="s">
        <v>7671</v>
      </c>
      <c r="X398" s="39">
        <v>1</v>
      </c>
    </row>
    <row r="399" spans="1:24">
      <c r="A399" s="39">
        <v>1409</v>
      </c>
      <c r="B399" s="40" t="s">
        <v>7015</v>
      </c>
      <c r="C399" s="39">
        <v>0</v>
      </c>
      <c r="E399" s="39">
        <v>1</v>
      </c>
      <c r="F399" s="39">
        <v>844</v>
      </c>
      <c r="G399" s="39">
        <v>1</v>
      </c>
      <c r="H399" s="39">
        <v>1</v>
      </c>
      <c r="I399" s="39">
        <v>1</v>
      </c>
      <c r="J399" s="39">
        <v>1</v>
      </c>
      <c r="K399" s="39">
        <v>0</v>
      </c>
      <c r="L399" s="39">
        <v>0</v>
      </c>
      <c r="M399" s="39">
        <v>0</v>
      </c>
      <c r="N399" s="39">
        <v>0</v>
      </c>
      <c r="O399" s="39">
        <v>0</v>
      </c>
      <c r="P399" s="39">
        <v>0</v>
      </c>
      <c r="Q399" s="39">
        <v>0</v>
      </c>
      <c r="R399" s="39">
        <v>0</v>
      </c>
      <c r="S399" s="39">
        <v>0</v>
      </c>
      <c r="T399" s="39">
        <v>0</v>
      </c>
      <c r="U399" s="39">
        <v>0</v>
      </c>
      <c r="V399" s="39">
        <v>456</v>
      </c>
      <c r="W399" s="40" t="s">
        <v>7673</v>
      </c>
      <c r="X399" s="39">
        <v>1</v>
      </c>
    </row>
    <row r="400" spans="1:24">
      <c r="A400" s="39">
        <v>896</v>
      </c>
      <c r="B400" s="40" t="s">
        <v>7015</v>
      </c>
      <c r="C400" s="39">
        <v>0</v>
      </c>
      <c r="E400" s="39">
        <v>1</v>
      </c>
      <c r="F400" s="39">
        <v>844</v>
      </c>
      <c r="G400" s="39">
        <v>1</v>
      </c>
      <c r="H400" s="39">
        <v>1</v>
      </c>
      <c r="I400" s="39">
        <v>1</v>
      </c>
      <c r="J400" s="39">
        <v>1</v>
      </c>
      <c r="K400" s="39">
        <v>0</v>
      </c>
      <c r="L400" s="39">
        <v>0</v>
      </c>
      <c r="M400" s="39">
        <v>0</v>
      </c>
      <c r="N400" s="39">
        <v>0</v>
      </c>
      <c r="O400" s="39">
        <v>0</v>
      </c>
      <c r="P400" s="39">
        <v>0</v>
      </c>
      <c r="Q400" s="39">
        <v>0</v>
      </c>
      <c r="R400" s="39">
        <v>0</v>
      </c>
      <c r="S400" s="39">
        <v>0</v>
      </c>
      <c r="T400" s="39">
        <v>0</v>
      </c>
      <c r="U400" s="39">
        <v>0</v>
      </c>
      <c r="V400" s="39">
        <v>458</v>
      </c>
      <c r="W400" s="40" t="s">
        <v>7694</v>
      </c>
      <c r="X400" s="39">
        <v>1</v>
      </c>
    </row>
    <row r="401" spans="1:24">
      <c r="A401" s="39">
        <v>1133</v>
      </c>
      <c r="B401" s="40" t="s">
        <v>7015</v>
      </c>
      <c r="C401" s="39">
        <v>0</v>
      </c>
      <c r="E401" s="39">
        <v>1</v>
      </c>
      <c r="F401" s="39">
        <v>844</v>
      </c>
      <c r="G401" s="39">
        <v>1</v>
      </c>
      <c r="H401" s="39">
        <v>1</v>
      </c>
      <c r="I401" s="39">
        <v>1</v>
      </c>
      <c r="J401" s="39">
        <v>0</v>
      </c>
      <c r="K401" s="39">
        <v>0</v>
      </c>
      <c r="L401" s="39">
        <v>0</v>
      </c>
      <c r="M401" s="39">
        <v>0</v>
      </c>
      <c r="N401" s="39">
        <v>0</v>
      </c>
      <c r="O401" s="39">
        <v>0</v>
      </c>
      <c r="P401" s="39">
        <v>0</v>
      </c>
      <c r="Q401" s="39">
        <v>0</v>
      </c>
      <c r="R401" s="39">
        <v>0</v>
      </c>
      <c r="S401" s="39">
        <v>0</v>
      </c>
      <c r="T401" s="39">
        <v>0</v>
      </c>
      <c r="U401" s="39">
        <v>0</v>
      </c>
      <c r="V401" s="39">
        <v>459</v>
      </c>
      <c r="W401" s="40" t="s">
        <v>7674</v>
      </c>
      <c r="X401" s="39">
        <v>1</v>
      </c>
    </row>
    <row r="402" spans="1:24">
      <c r="A402" s="39">
        <v>598</v>
      </c>
      <c r="B402" s="40" t="s">
        <v>7015</v>
      </c>
      <c r="C402" s="39">
        <v>0</v>
      </c>
      <c r="E402" s="39">
        <v>1</v>
      </c>
      <c r="F402" s="39">
        <v>844</v>
      </c>
      <c r="G402" s="39">
        <v>1</v>
      </c>
      <c r="H402" s="39">
        <v>1</v>
      </c>
      <c r="I402" s="39">
        <v>1</v>
      </c>
      <c r="J402" s="39">
        <v>0</v>
      </c>
      <c r="K402" s="39">
        <v>0</v>
      </c>
      <c r="L402" s="39">
        <v>0</v>
      </c>
      <c r="M402" s="39">
        <v>0</v>
      </c>
      <c r="N402" s="39">
        <v>0</v>
      </c>
      <c r="O402" s="39">
        <v>0</v>
      </c>
      <c r="P402" s="39">
        <v>0</v>
      </c>
      <c r="Q402" s="39">
        <v>0</v>
      </c>
      <c r="R402" s="39">
        <v>0</v>
      </c>
      <c r="S402" s="39">
        <v>0</v>
      </c>
      <c r="T402" s="39">
        <v>0</v>
      </c>
      <c r="U402" s="39">
        <v>0</v>
      </c>
      <c r="V402" s="39">
        <v>468</v>
      </c>
      <c r="W402" s="40" t="s">
        <v>7677</v>
      </c>
      <c r="X402" s="39">
        <v>1</v>
      </c>
    </row>
    <row r="403" spans="1:24">
      <c r="A403" s="39">
        <v>1037</v>
      </c>
      <c r="B403" s="40" t="s">
        <v>7015</v>
      </c>
      <c r="C403" s="39">
        <v>0</v>
      </c>
      <c r="E403" s="39">
        <v>1</v>
      </c>
      <c r="F403" s="39">
        <v>844</v>
      </c>
      <c r="G403" s="39">
        <v>1</v>
      </c>
      <c r="H403" s="39">
        <v>1</v>
      </c>
      <c r="I403" s="39">
        <v>1</v>
      </c>
      <c r="J403" s="39">
        <v>0</v>
      </c>
      <c r="K403" s="39">
        <v>0</v>
      </c>
      <c r="L403" s="39">
        <v>0</v>
      </c>
      <c r="M403" s="39">
        <v>0</v>
      </c>
      <c r="N403" s="39">
        <v>0</v>
      </c>
      <c r="O403" s="39">
        <v>0</v>
      </c>
      <c r="P403" s="39">
        <v>0</v>
      </c>
      <c r="Q403" s="39">
        <v>0</v>
      </c>
      <c r="R403" s="39">
        <v>0</v>
      </c>
      <c r="S403" s="39">
        <v>0</v>
      </c>
      <c r="T403" s="39">
        <v>0</v>
      </c>
      <c r="U403" s="39">
        <v>0</v>
      </c>
      <c r="V403" s="39">
        <v>477</v>
      </c>
      <c r="W403" s="40" t="s">
        <v>7697</v>
      </c>
      <c r="X403" s="39">
        <v>1</v>
      </c>
    </row>
    <row r="404" spans="1:24">
      <c r="A404" s="39">
        <v>223</v>
      </c>
      <c r="B404" s="40" t="s">
        <v>7015</v>
      </c>
      <c r="C404" s="39">
        <v>0</v>
      </c>
      <c r="E404" s="39">
        <v>1</v>
      </c>
      <c r="F404" s="39">
        <v>844</v>
      </c>
      <c r="G404" s="39">
        <v>1</v>
      </c>
      <c r="H404" s="39">
        <v>1</v>
      </c>
      <c r="I404" s="39">
        <v>1</v>
      </c>
      <c r="J404" s="39">
        <v>0</v>
      </c>
      <c r="K404" s="39">
        <v>0</v>
      </c>
      <c r="L404" s="39">
        <v>0</v>
      </c>
      <c r="M404" s="39">
        <v>0</v>
      </c>
      <c r="N404" s="39">
        <v>0</v>
      </c>
      <c r="O404" s="39">
        <v>0</v>
      </c>
      <c r="P404" s="39">
        <v>0</v>
      </c>
      <c r="Q404" s="39">
        <v>0</v>
      </c>
      <c r="R404" s="39">
        <v>0</v>
      </c>
      <c r="S404" s="39">
        <v>0</v>
      </c>
      <c r="T404" s="39">
        <v>0</v>
      </c>
      <c r="U404" s="39">
        <v>0</v>
      </c>
      <c r="V404" s="39">
        <v>590</v>
      </c>
      <c r="W404" s="40" t="s">
        <v>7679</v>
      </c>
      <c r="X404" s="39">
        <v>1</v>
      </c>
    </row>
    <row r="405" spans="1:24">
      <c r="A405" s="39">
        <v>771</v>
      </c>
      <c r="B405" s="40" t="s">
        <v>7015</v>
      </c>
      <c r="C405" s="39">
        <v>0</v>
      </c>
      <c r="E405" s="39">
        <v>1</v>
      </c>
      <c r="F405" s="39">
        <v>844</v>
      </c>
      <c r="G405" s="39">
        <v>1</v>
      </c>
      <c r="H405" s="39">
        <v>1</v>
      </c>
      <c r="I405" s="39">
        <v>1</v>
      </c>
      <c r="J405" s="39">
        <v>1</v>
      </c>
      <c r="K405" s="39">
        <v>0</v>
      </c>
      <c r="L405" s="39">
        <v>0</v>
      </c>
      <c r="M405" s="39">
        <v>0</v>
      </c>
      <c r="N405" s="39">
        <v>0</v>
      </c>
      <c r="O405" s="39">
        <v>0</v>
      </c>
      <c r="P405" s="39">
        <v>0</v>
      </c>
      <c r="Q405" s="39">
        <v>0</v>
      </c>
      <c r="R405" s="39">
        <v>0</v>
      </c>
      <c r="S405" s="39">
        <v>0</v>
      </c>
      <c r="T405" s="39">
        <v>0</v>
      </c>
      <c r="U405" s="39">
        <v>0</v>
      </c>
      <c r="V405" s="39">
        <v>733</v>
      </c>
      <c r="W405" s="40" t="s">
        <v>7680</v>
      </c>
      <c r="X405" s="39">
        <v>1</v>
      </c>
    </row>
    <row r="406" spans="1:24">
      <c r="A406" s="39">
        <v>1331</v>
      </c>
      <c r="B406" s="40" t="s">
        <v>7798</v>
      </c>
      <c r="C406" s="39">
        <v>0</v>
      </c>
      <c r="E406" s="39">
        <v>1</v>
      </c>
      <c r="F406" s="39">
        <v>85</v>
      </c>
      <c r="G406" s="39">
        <v>1</v>
      </c>
      <c r="H406" s="39">
        <v>1</v>
      </c>
      <c r="I406" s="39">
        <v>1</v>
      </c>
      <c r="J406" s="39">
        <v>1</v>
      </c>
      <c r="K406" s="39">
        <v>0</v>
      </c>
      <c r="L406" s="39">
        <v>0</v>
      </c>
      <c r="M406" s="39">
        <v>0</v>
      </c>
      <c r="N406" s="39">
        <v>0</v>
      </c>
      <c r="O406" s="39">
        <v>1</v>
      </c>
      <c r="P406" s="39">
        <v>1</v>
      </c>
      <c r="Q406" s="39">
        <v>1</v>
      </c>
      <c r="R406" s="39">
        <v>0</v>
      </c>
      <c r="S406" s="39">
        <v>0</v>
      </c>
      <c r="T406" s="39">
        <v>0</v>
      </c>
      <c r="U406" s="39">
        <v>0</v>
      </c>
      <c r="V406" s="39">
        <v>1</v>
      </c>
      <c r="W406" s="40" t="s">
        <v>518</v>
      </c>
      <c r="X406" s="39">
        <v>1</v>
      </c>
    </row>
    <row r="407" spans="1:24">
      <c r="A407" s="39">
        <v>1671</v>
      </c>
      <c r="B407" s="40" t="s">
        <v>7798</v>
      </c>
      <c r="C407" s="39">
        <v>0</v>
      </c>
      <c r="D407" s="40" t="s">
        <v>7799</v>
      </c>
      <c r="E407" s="39">
        <v>1</v>
      </c>
      <c r="F407" s="39">
        <v>31</v>
      </c>
      <c r="G407" s="39">
        <v>1</v>
      </c>
      <c r="H407" s="39">
        <v>1</v>
      </c>
      <c r="I407" s="39">
        <v>1</v>
      </c>
      <c r="J407" s="39">
        <v>1</v>
      </c>
      <c r="K407" s="39">
        <v>0</v>
      </c>
      <c r="L407" s="39">
        <v>0</v>
      </c>
      <c r="M407" s="39">
        <v>0</v>
      </c>
      <c r="N407" s="39">
        <v>0</v>
      </c>
      <c r="O407" s="39">
        <v>1</v>
      </c>
      <c r="P407" s="39">
        <v>1</v>
      </c>
      <c r="Q407" s="39">
        <v>1</v>
      </c>
      <c r="R407" s="39">
        <v>0</v>
      </c>
      <c r="S407" s="39">
        <v>0</v>
      </c>
      <c r="T407" s="39">
        <v>0</v>
      </c>
      <c r="U407" s="39">
        <v>0</v>
      </c>
      <c r="V407" s="39">
        <v>2</v>
      </c>
      <c r="W407" s="40" t="s">
        <v>40</v>
      </c>
      <c r="X407" s="39">
        <v>1</v>
      </c>
    </row>
    <row r="408" spans="1:24">
      <c r="A408" s="39">
        <v>1693</v>
      </c>
      <c r="B408" s="40" t="s">
        <v>7798</v>
      </c>
      <c r="C408" s="39">
        <v>0</v>
      </c>
      <c r="E408" s="39">
        <v>1</v>
      </c>
      <c r="F408" s="39">
        <v>85</v>
      </c>
      <c r="G408" s="39">
        <v>1</v>
      </c>
      <c r="H408" s="39">
        <v>1</v>
      </c>
      <c r="I408" s="39">
        <v>1</v>
      </c>
      <c r="J408" s="39">
        <v>1</v>
      </c>
      <c r="K408" s="39">
        <v>0</v>
      </c>
      <c r="L408" s="39">
        <v>0</v>
      </c>
      <c r="M408" s="39">
        <v>0</v>
      </c>
      <c r="N408" s="39">
        <v>0</v>
      </c>
      <c r="O408" s="39">
        <v>1</v>
      </c>
      <c r="P408" s="39">
        <v>1</v>
      </c>
      <c r="Q408" s="39">
        <v>1</v>
      </c>
      <c r="R408" s="39">
        <v>0</v>
      </c>
      <c r="S408" s="39">
        <v>0</v>
      </c>
      <c r="T408" s="39">
        <v>0</v>
      </c>
      <c r="U408" s="39">
        <v>0</v>
      </c>
      <c r="V408" s="39">
        <v>244</v>
      </c>
      <c r="W408" s="40" t="s">
        <v>682</v>
      </c>
      <c r="X408" s="39">
        <v>1</v>
      </c>
    </row>
    <row r="409" spans="1:24">
      <c r="A409" s="39">
        <v>1352</v>
      </c>
      <c r="B409" s="40" t="s">
        <v>7798</v>
      </c>
      <c r="C409" s="39">
        <v>0</v>
      </c>
      <c r="E409" s="39">
        <v>1</v>
      </c>
      <c r="F409" s="39">
        <v>85</v>
      </c>
      <c r="G409" s="39">
        <v>1</v>
      </c>
      <c r="H409" s="39">
        <v>1</v>
      </c>
      <c r="I409" s="39">
        <v>1</v>
      </c>
      <c r="J409" s="39">
        <v>1</v>
      </c>
      <c r="K409" s="39">
        <v>0</v>
      </c>
      <c r="L409" s="39">
        <v>0</v>
      </c>
      <c r="M409" s="39">
        <v>0</v>
      </c>
      <c r="N409" s="39">
        <v>0</v>
      </c>
      <c r="O409" s="39">
        <v>1</v>
      </c>
      <c r="P409" s="39">
        <v>1</v>
      </c>
      <c r="Q409" s="39">
        <v>1</v>
      </c>
      <c r="R409" s="39">
        <v>0</v>
      </c>
      <c r="S409" s="39">
        <v>0</v>
      </c>
      <c r="T409" s="39">
        <v>0</v>
      </c>
      <c r="U409" s="39">
        <v>0</v>
      </c>
      <c r="V409" s="39">
        <v>456</v>
      </c>
      <c r="W409" s="40" t="s">
        <v>7673</v>
      </c>
      <c r="X409" s="39">
        <v>1</v>
      </c>
    </row>
    <row r="410" spans="1:24">
      <c r="A410" s="39">
        <v>1491</v>
      </c>
      <c r="B410" s="40" t="s">
        <v>7798</v>
      </c>
      <c r="C410" s="39">
        <v>0</v>
      </c>
      <c r="E410" s="39">
        <v>1</v>
      </c>
      <c r="F410" s="39">
        <v>81</v>
      </c>
      <c r="G410" s="39">
        <v>0</v>
      </c>
      <c r="H410" s="39">
        <v>0</v>
      </c>
      <c r="I410" s="39">
        <v>0</v>
      </c>
      <c r="J410" s="39">
        <v>0</v>
      </c>
      <c r="K410" s="39">
        <v>0</v>
      </c>
      <c r="L410" s="39">
        <v>0</v>
      </c>
      <c r="M410" s="39">
        <v>0</v>
      </c>
      <c r="N410" s="39">
        <v>0</v>
      </c>
      <c r="O410" s="39">
        <v>0</v>
      </c>
      <c r="P410" s="39">
        <v>0</v>
      </c>
      <c r="Q410" s="39">
        <v>0</v>
      </c>
      <c r="R410" s="39">
        <v>0</v>
      </c>
      <c r="S410" s="39">
        <v>0</v>
      </c>
      <c r="T410" s="39">
        <v>0</v>
      </c>
      <c r="U410" s="39">
        <v>0</v>
      </c>
      <c r="V410" s="39">
        <v>733</v>
      </c>
      <c r="W410" s="40" t="s">
        <v>7680</v>
      </c>
      <c r="X410" s="39">
        <v>1</v>
      </c>
    </row>
    <row r="411" spans="1:24">
      <c r="A411" s="39">
        <v>95</v>
      </c>
      <c r="B411" s="40" t="s">
        <v>7800</v>
      </c>
      <c r="C411" s="39">
        <v>0</v>
      </c>
      <c r="E411" s="39">
        <v>1</v>
      </c>
      <c r="F411" s="39">
        <v>80</v>
      </c>
      <c r="G411" s="39">
        <v>1</v>
      </c>
      <c r="H411" s="39">
        <v>1</v>
      </c>
      <c r="I411" s="39">
        <v>1</v>
      </c>
      <c r="J411" s="39">
        <v>1</v>
      </c>
      <c r="K411" s="39">
        <v>1</v>
      </c>
      <c r="L411" s="39">
        <v>1</v>
      </c>
      <c r="M411" s="39">
        <v>0</v>
      </c>
      <c r="N411" s="39">
        <v>0</v>
      </c>
      <c r="O411" s="39">
        <v>1</v>
      </c>
      <c r="P411" s="39">
        <v>1</v>
      </c>
      <c r="Q411" s="39">
        <v>1</v>
      </c>
      <c r="R411" s="39">
        <v>0</v>
      </c>
      <c r="S411" s="39">
        <v>0</v>
      </c>
      <c r="T411" s="39">
        <v>0</v>
      </c>
      <c r="U411" s="39">
        <v>0</v>
      </c>
      <c r="V411" s="39">
        <v>1</v>
      </c>
      <c r="W411" s="40" t="s">
        <v>518</v>
      </c>
      <c r="X411" s="39">
        <v>1</v>
      </c>
    </row>
    <row r="412" spans="1:24">
      <c r="A412" s="39">
        <v>7</v>
      </c>
      <c r="B412" s="40" t="s">
        <v>7800</v>
      </c>
      <c r="C412" s="39">
        <v>0</v>
      </c>
      <c r="D412" s="40" t="s">
        <v>7801</v>
      </c>
      <c r="E412" s="39">
        <v>1</v>
      </c>
      <c r="F412" s="39">
        <v>31</v>
      </c>
      <c r="G412" s="39">
        <v>1</v>
      </c>
      <c r="H412" s="39">
        <v>1</v>
      </c>
      <c r="I412" s="39">
        <v>1</v>
      </c>
      <c r="J412" s="39">
        <v>1</v>
      </c>
      <c r="K412" s="39">
        <v>1</v>
      </c>
      <c r="L412" s="39">
        <v>1</v>
      </c>
      <c r="M412" s="39">
        <v>0</v>
      </c>
      <c r="N412" s="39">
        <v>0</v>
      </c>
      <c r="O412" s="39">
        <v>1</v>
      </c>
      <c r="P412" s="39">
        <v>1</v>
      </c>
      <c r="Q412" s="39">
        <v>1</v>
      </c>
      <c r="R412" s="39">
        <v>0</v>
      </c>
      <c r="S412" s="39">
        <v>0</v>
      </c>
      <c r="T412" s="39">
        <v>0</v>
      </c>
      <c r="U412" s="39">
        <v>0</v>
      </c>
      <c r="V412" s="39">
        <v>2</v>
      </c>
      <c r="W412" s="40" t="s">
        <v>40</v>
      </c>
      <c r="X412" s="39">
        <v>1</v>
      </c>
    </row>
    <row r="413" spans="1:24">
      <c r="A413" s="39">
        <v>955</v>
      </c>
      <c r="B413" s="40" t="s">
        <v>7800</v>
      </c>
      <c r="C413" s="39">
        <v>0</v>
      </c>
      <c r="E413" s="39">
        <v>1</v>
      </c>
      <c r="F413" s="39">
        <v>80</v>
      </c>
      <c r="G413" s="39">
        <v>0</v>
      </c>
      <c r="H413" s="39">
        <v>0</v>
      </c>
      <c r="I413" s="39">
        <v>0</v>
      </c>
      <c r="J413" s="39">
        <v>0</v>
      </c>
      <c r="K413" s="39">
        <v>0</v>
      </c>
      <c r="L413" s="39">
        <v>0</v>
      </c>
      <c r="M413" s="39">
        <v>0</v>
      </c>
      <c r="N413" s="39">
        <v>0</v>
      </c>
      <c r="O413" s="39">
        <v>0</v>
      </c>
      <c r="P413" s="39">
        <v>0</v>
      </c>
      <c r="Q413" s="39">
        <v>0</v>
      </c>
      <c r="R413" s="39">
        <v>0</v>
      </c>
      <c r="S413" s="39">
        <v>0</v>
      </c>
      <c r="T413" s="39">
        <v>0</v>
      </c>
      <c r="U413" s="39">
        <v>0</v>
      </c>
      <c r="V413" s="39">
        <v>158</v>
      </c>
      <c r="W413" s="40" t="s">
        <v>7667</v>
      </c>
      <c r="X413" s="39">
        <v>1</v>
      </c>
    </row>
    <row r="414" spans="1:24">
      <c r="A414" s="39">
        <v>445</v>
      </c>
      <c r="B414" s="40" t="s">
        <v>7800</v>
      </c>
      <c r="C414" s="39">
        <v>0</v>
      </c>
      <c r="E414" s="39">
        <v>1</v>
      </c>
      <c r="F414" s="39">
        <v>80</v>
      </c>
      <c r="G414" s="39">
        <v>0</v>
      </c>
      <c r="H414" s="39">
        <v>0</v>
      </c>
      <c r="I414" s="39">
        <v>0</v>
      </c>
      <c r="J414" s="39">
        <v>0</v>
      </c>
      <c r="K414" s="39">
        <v>0</v>
      </c>
      <c r="L414" s="39">
        <v>0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39">
        <v>0</v>
      </c>
      <c r="S414" s="39">
        <v>0</v>
      </c>
      <c r="T414" s="39">
        <v>0</v>
      </c>
      <c r="U414" s="39">
        <v>0</v>
      </c>
      <c r="V414" s="39">
        <v>175</v>
      </c>
      <c r="W414" s="40" t="s">
        <v>7689</v>
      </c>
      <c r="X414" s="39">
        <v>1</v>
      </c>
    </row>
    <row r="415" spans="1:24">
      <c r="A415" s="39">
        <v>340</v>
      </c>
      <c r="B415" s="40" t="s">
        <v>7800</v>
      </c>
      <c r="C415" s="39">
        <v>0</v>
      </c>
      <c r="E415" s="39">
        <v>1</v>
      </c>
      <c r="F415" s="39">
        <v>80</v>
      </c>
      <c r="G415" s="39">
        <v>0</v>
      </c>
      <c r="H415" s="39">
        <v>0</v>
      </c>
      <c r="I415" s="39">
        <v>0</v>
      </c>
      <c r="J415" s="39">
        <v>0</v>
      </c>
      <c r="K415" s="39">
        <v>0</v>
      </c>
      <c r="L415" s="39">
        <v>0</v>
      </c>
      <c r="M415" s="39">
        <v>0</v>
      </c>
      <c r="N415" s="39">
        <v>0</v>
      </c>
      <c r="O415" s="39">
        <v>0</v>
      </c>
      <c r="P415" s="39">
        <v>0</v>
      </c>
      <c r="Q415" s="39">
        <v>0</v>
      </c>
      <c r="R415" s="39">
        <v>0</v>
      </c>
      <c r="S415" s="39">
        <v>0</v>
      </c>
      <c r="T415" s="39">
        <v>0</v>
      </c>
      <c r="U415" s="39">
        <v>0</v>
      </c>
      <c r="V415" s="39">
        <v>228</v>
      </c>
      <c r="W415" s="40" t="s">
        <v>7669</v>
      </c>
      <c r="X415" s="39">
        <v>1</v>
      </c>
    </row>
    <row r="416" spans="1:24">
      <c r="A416" s="39">
        <v>1707</v>
      </c>
      <c r="B416" s="40" t="s">
        <v>7800</v>
      </c>
      <c r="C416" s="39">
        <v>0</v>
      </c>
      <c r="E416" s="39">
        <v>1</v>
      </c>
      <c r="F416" s="39">
        <v>80</v>
      </c>
      <c r="G416" s="39">
        <v>1</v>
      </c>
      <c r="H416" s="39">
        <v>1</v>
      </c>
      <c r="I416" s="39">
        <v>1</v>
      </c>
      <c r="J416" s="39">
        <v>1</v>
      </c>
      <c r="K416" s="39">
        <v>1</v>
      </c>
      <c r="L416" s="39">
        <v>1</v>
      </c>
      <c r="M416" s="39">
        <v>0</v>
      </c>
      <c r="N416" s="39">
        <v>0</v>
      </c>
      <c r="O416" s="39">
        <v>1</v>
      </c>
      <c r="P416" s="39">
        <v>1</v>
      </c>
      <c r="Q416" s="39">
        <v>1</v>
      </c>
      <c r="R416" s="39">
        <v>0</v>
      </c>
      <c r="S416" s="39">
        <v>0</v>
      </c>
      <c r="T416" s="39">
        <v>0</v>
      </c>
      <c r="U416" s="39">
        <v>0</v>
      </c>
      <c r="V416" s="39">
        <v>244</v>
      </c>
      <c r="W416" s="40" t="s">
        <v>682</v>
      </c>
      <c r="X416" s="39">
        <v>1</v>
      </c>
    </row>
    <row r="417" spans="1:24">
      <c r="A417" s="39">
        <v>1222</v>
      </c>
      <c r="B417" s="40" t="s">
        <v>7800</v>
      </c>
      <c r="C417" s="39">
        <v>0</v>
      </c>
      <c r="E417" s="39">
        <v>1</v>
      </c>
      <c r="F417" s="39">
        <v>80</v>
      </c>
      <c r="G417" s="39">
        <v>0</v>
      </c>
      <c r="H417" s="39">
        <v>0</v>
      </c>
      <c r="I417" s="39">
        <v>0</v>
      </c>
      <c r="J417" s="39">
        <v>0</v>
      </c>
      <c r="K417" s="39">
        <v>0</v>
      </c>
      <c r="L417" s="39">
        <v>0</v>
      </c>
      <c r="M417" s="39">
        <v>0</v>
      </c>
      <c r="N417" s="39">
        <v>0</v>
      </c>
      <c r="O417" s="39">
        <v>0</v>
      </c>
      <c r="P417" s="39">
        <v>0</v>
      </c>
      <c r="Q417" s="39">
        <v>0</v>
      </c>
      <c r="R417" s="39">
        <v>0</v>
      </c>
      <c r="S417" s="39">
        <v>0</v>
      </c>
      <c r="T417" s="39">
        <v>0</v>
      </c>
      <c r="U417" s="39">
        <v>0</v>
      </c>
      <c r="V417" s="39">
        <v>418</v>
      </c>
      <c r="W417" s="40" t="s">
        <v>7671</v>
      </c>
      <c r="X417" s="39">
        <v>1</v>
      </c>
    </row>
    <row r="418" spans="1:24">
      <c r="A418" s="39">
        <v>1368</v>
      </c>
      <c r="B418" s="40" t="s">
        <v>7800</v>
      </c>
      <c r="C418" s="39">
        <v>0</v>
      </c>
      <c r="E418" s="39">
        <v>1</v>
      </c>
      <c r="F418" s="39">
        <v>80</v>
      </c>
      <c r="G418" s="39">
        <v>1</v>
      </c>
      <c r="H418" s="39">
        <v>1</v>
      </c>
      <c r="I418" s="39">
        <v>1</v>
      </c>
      <c r="J418" s="39">
        <v>1</v>
      </c>
      <c r="K418" s="39">
        <v>1</v>
      </c>
      <c r="L418" s="39">
        <v>1</v>
      </c>
      <c r="M418" s="39">
        <v>0</v>
      </c>
      <c r="N418" s="39">
        <v>0</v>
      </c>
      <c r="O418" s="39">
        <v>1</v>
      </c>
      <c r="P418" s="39">
        <v>1</v>
      </c>
      <c r="Q418" s="39">
        <v>1</v>
      </c>
      <c r="R418" s="39">
        <v>0</v>
      </c>
      <c r="S418" s="39">
        <v>0</v>
      </c>
      <c r="T418" s="39">
        <v>0</v>
      </c>
      <c r="U418" s="39">
        <v>0</v>
      </c>
      <c r="V418" s="39">
        <v>456</v>
      </c>
      <c r="W418" s="40" t="s">
        <v>7673</v>
      </c>
      <c r="X418" s="39">
        <v>1</v>
      </c>
    </row>
    <row r="419" spans="1:24">
      <c r="A419" s="39">
        <v>897</v>
      </c>
      <c r="B419" s="40" t="s">
        <v>7800</v>
      </c>
      <c r="C419" s="39">
        <v>0</v>
      </c>
      <c r="E419" s="39">
        <v>1</v>
      </c>
      <c r="F419" s="39">
        <v>80</v>
      </c>
      <c r="G419" s="39">
        <v>1</v>
      </c>
      <c r="H419" s="39">
        <v>0</v>
      </c>
      <c r="I419" s="39">
        <v>0</v>
      </c>
      <c r="J419" s="39">
        <v>0</v>
      </c>
      <c r="K419" s="39">
        <v>0</v>
      </c>
      <c r="L419" s="39">
        <v>0</v>
      </c>
      <c r="M419" s="39">
        <v>0</v>
      </c>
      <c r="N419" s="39">
        <v>0</v>
      </c>
      <c r="O419" s="39">
        <v>0</v>
      </c>
      <c r="P419" s="39">
        <v>0</v>
      </c>
      <c r="Q419" s="39">
        <v>0</v>
      </c>
      <c r="R419" s="39">
        <v>0</v>
      </c>
      <c r="S419" s="39">
        <v>0</v>
      </c>
      <c r="T419" s="39">
        <v>0</v>
      </c>
      <c r="U419" s="39">
        <v>0</v>
      </c>
      <c r="V419" s="39">
        <v>458</v>
      </c>
      <c r="W419" s="40" t="s">
        <v>7694</v>
      </c>
      <c r="X419" s="39">
        <v>1</v>
      </c>
    </row>
    <row r="420" spans="1:24">
      <c r="A420" s="39">
        <v>1134</v>
      </c>
      <c r="B420" s="40" t="s">
        <v>7800</v>
      </c>
      <c r="C420" s="39">
        <v>0</v>
      </c>
      <c r="E420" s="39">
        <v>1</v>
      </c>
      <c r="F420" s="39">
        <v>80</v>
      </c>
      <c r="G420" s="39">
        <v>1</v>
      </c>
      <c r="H420" s="39">
        <v>0</v>
      </c>
      <c r="I420" s="39">
        <v>0</v>
      </c>
      <c r="J420" s="39">
        <v>0</v>
      </c>
      <c r="K420" s="39">
        <v>0</v>
      </c>
      <c r="L420" s="39">
        <v>0</v>
      </c>
      <c r="M420" s="39">
        <v>0</v>
      </c>
      <c r="N420" s="39">
        <v>0</v>
      </c>
      <c r="O420" s="39">
        <v>0</v>
      </c>
      <c r="P420" s="39">
        <v>0</v>
      </c>
      <c r="Q420" s="39">
        <v>0</v>
      </c>
      <c r="R420" s="39">
        <v>0</v>
      </c>
      <c r="S420" s="39">
        <v>0</v>
      </c>
      <c r="T420" s="39">
        <v>0</v>
      </c>
      <c r="U420" s="39">
        <v>0</v>
      </c>
      <c r="V420" s="39">
        <v>459</v>
      </c>
      <c r="W420" s="40" t="s">
        <v>7674</v>
      </c>
      <c r="X420" s="39">
        <v>1</v>
      </c>
    </row>
    <row r="421" spans="1:24">
      <c r="A421" s="39">
        <v>599</v>
      </c>
      <c r="B421" s="40" t="s">
        <v>7800</v>
      </c>
      <c r="C421" s="39">
        <v>0</v>
      </c>
      <c r="E421" s="39">
        <v>1</v>
      </c>
      <c r="F421" s="39">
        <v>80</v>
      </c>
      <c r="G421" s="39">
        <v>1</v>
      </c>
      <c r="H421" s="39">
        <v>1</v>
      </c>
      <c r="I421" s="39">
        <v>1</v>
      </c>
      <c r="J421" s="39">
        <v>0</v>
      </c>
      <c r="K421" s="39">
        <v>0</v>
      </c>
      <c r="L421" s="39">
        <v>0</v>
      </c>
      <c r="M421" s="39">
        <v>0</v>
      </c>
      <c r="N421" s="39">
        <v>0</v>
      </c>
      <c r="O421" s="39">
        <v>0</v>
      </c>
      <c r="P421" s="39">
        <v>0</v>
      </c>
      <c r="Q421" s="39">
        <v>0</v>
      </c>
      <c r="R421" s="39">
        <v>0</v>
      </c>
      <c r="S421" s="39">
        <v>0</v>
      </c>
      <c r="T421" s="39">
        <v>0</v>
      </c>
      <c r="U421" s="39">
        <v>0</v>
      </c>
      <c r="V421" s="39">
        <v>468</v>
      </c>
      <c r="W421" s="40" t="s">
        <v>7677</v>
      </c>
      <c r="X421" s="39">
        <v>1</v>
      </c>
    </row>
    <row r="422" spans="1:24">
      <c r="A422" s="39">
        <v>1038</v>
      </c>
      <c r="B422" s="40" t="s">
        <v>7800</v>
      </c>
      <c r="C422" s="39">
        <v>0</v>
      </c>
      <c r="E422" s="39">
        <v>1</v>
      </c>
      <c r="F422" s="39">
        <v>80</v>
      </c>
      <c r="G422" s="39">
        <v>1</v>
      </c>
      <c r="H422" s="39">
        <v>1</v>
      </c>
      <c r="I422" s="39">
        <v>1</v>
      </c>
      <c r="J422" s="39">
        <v>0</v>
      </c>
      <c r="K422" s="39">
        <v>0</v>
      </c>
      <c r="L422" s="39">
        <v>0</v>
      </c>
      <c r="M422" s="39">
        <v>0</v>
      </c>
      <c r="N422" s="39">
        <v>0</v>
      </c>
      <c r="O422" s="39">
        <v>0</v>
      </c>
      <c r="P422" s="39">
        <v>0</v>
      </c>
      <c r="Q422" s="39">
        <v>0</v>
      </c>
      <c r="R422" s="39">
        <v>0</v>
      </c>
      <c r="S422" s="39">
        <v>0</v>
      </c>
      <c r="T422" s="39">
        <v>0</v>
      </c>
      <c r="U422" s="39">
        <v>0</v>
      </c>
      <c r="V422" s="39">
        <v>477</v>
      </c>
      <c r="W422" s="40" t="s">
        <v>7697</v>
      </c>
      <c r="X422" s="39">
        <v>1</v>
      </c>
    </row>
    <row r="423" spans="1:24">
      <c r="A423" s="39">
        <v>224</v>
      </c>
      <c r="B423" s="40" t="s">
        <v>7800</v>
      </c>
      <c r="C423" s="39">
        <v>0</v>
      </c>
      <c r="E423" s="39">
        <v>1</v>
      </c>
      <c r="F423" s="39">
        <v>80</v>
      </c>
      <c r="G423" s="39">
        <v>0</v>
      </c>
      <c r="H423" s="39">
        <v>0</v>
      </c>
      <c r="I423" s="39">
        <v>0</v>
      </c>
      <c r="J423" s="39">
        <v>0</v>
      </c>
      <c r="K423" s="39">
        <v>0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39">
        <v>0</v>
      </c>
      <c r="S423" s="39">
        <v>0</v>
      </c>
      <c r="T423" s="39">
        <v>0</v>
      </c>
      <c r="U423" s="39">
        <v>0</v>
      </c>
      <c r="V423" s="39">
        <v>590</v>
      </c>
      <c r="W423" s="40" t="s">
        <v>7679</v>
      </c>
      <c r="X423" s="39">
        <v>1</v>
      </c>
    </row>
    <row r="424" spans="1:24">
      <c r="A424" s="39">
        <v>772</v>
      </c>
      <c r="B424" s="40" t="s">
        <v>7800</v>
      </c>
      <c r="C424" s="39">
        <v>0</v>
      </c>
      <c r="E424" s="39">
        <v>1</v>
      </c>
      <c r="F424" s="39">
        <v>80</v>
      </c>
      <c r="G424" s="39">
        <v>1</v>
      </c>
      <c r="H424" s="39">
        <v>1</v>
      </c>
      <c r="I424" s="39">
        <v>1</v>
      </c>
      <c r="J424" s="39">
        <v>1</v>
      </c>
      <c r="K424" s="39">
        <v>1</v>
      </c>
      <c r="L424" s="39">
        <v>1</v>
      </c>
      <c r="M424" s="39">
        <v>0</v>
      </c>
      <c r="N424" s="39">
        <v>0</v>
      </c>
      <c r="O424" s="39">
        <v>1</v>
      </c>
      <c r="P424" s="39">
        <v>1</v>
      </c>
      <c r="Q424" s="39">
        <v>1</v>
      </c>
      <c r="R424" s="39">
        <v>0</v>
      </c>
      <c r="S424" s="39">
        <v>0</v>
      </c>
      <c r="T424" s="39">
        <v>0</v>
      </c>
      <c r="U424" s="39">
        <v>0</v>
      </c>
      <c r="V424" s="39">
        <v>733</v>
      </c>
      <c r="W424" s="40" t="s">
        <v>7680</v>
      </c>
      <c r="X424" s="39">
        <v>1</v>
      </c>
    </row>
    <row r="425" spans="1:24">
      <c r="A425" s="39">
        <v>301</v>
      </c>
      <c r="B425" s="40" t="s">
        <v>7802</v>
      </c>
      <c r="C425" s="39">
        <v>0</v>
      </c>
      <c r="D425" s="40" t="s">
        <v>7803</v>
      </c>
      <c r="E425" s="39">
        <v>0</v>
      </c>
      <c r="F425" s="39">
        <v>2046</v>
      </c>
      <c r="G425" s="39">
        <v>0</v>
      </c>
      <c r="H425" s="39">
        <v>0</v>
      </c>
      <c r="I425" s="39">
        <v>0</v>
      </c>
      <c r="J425" s="39">
        <v>0</v>
      </c>
      <c r="K425" s="39">
        <v>0</v>
      </c>
      <c r="L425" s="39">
        <v>0</v>
      </c>
      <c r="M425" s="39">
        <v>0</v>
      </c>
      <c r="N425" s="39">
        <v>0</v>
      </c>
      <c r="O425" s="39">
        <v>0</v>
      </c>
      <c r="P425" s="39">
        <v>0</v>
      </c>
      <c r="Q425" s="39">
        <v>0</v>
      </c>
      <c r="R425" s="39">
        <v>0</v>
      </c>
      <c r="S425" s="39">
        <v>0</v>
      </c>
      <c r="T425" s="39">
        <v>0</v>
      </c>
      <c r="U425" s="39">
        <v>0</v>
      </c>
      <c r="V425" s="39">
        <v>590</v>
      </c>
      <c r="W425" s="40" t="s">
        <v>7679</v>
      </c>
      <c r="X425" s="39">
        <v>1</v>
      </c>
    </row>
    <row r="426" spans="1:24">
      <c r="A426" s="39">
        <v>144</v>
      </c>
      <c r="B426" s="50" t="s">
        <v>2617</v>
      </c>
      <c r="C426" s="39">
        <v>1</v>
      </c>
      <c r="E426" s="39">
        <v>1</v>
      </c>
      <c r="F426" s="39">
        <v>854</v>
      </c>
      <c r="G426" s="39">
        <v>0</v>
      </c>
      <c r="H426" s="39">
        <v>0</v>
      </c>
      <c r="I426" s="39">
        <v>0</v>
      </c>
      <c r="J426" s="39">
        <v>0</v>
      </c>
      <c r="K426" s="39">
        <v>0</v>
      </c>
      <c r="L426" s="39">
        <v>0</v>
      </c>
      <c r="M426" s="39">
        <v>0</v>
      </c>
      <c r="N426" s="39">
        <v>0</v>
      </c>
      <c r="O426" s="39">
        <v>0</v>
      </c>
      <c r="P426" s="39">
        <v>0</v>
      </c>
      <c r="Q426" s="39">
        <v>0</v>
      </c>
      <c r="R426" s="39">
        <v>0</v>
      </c>
      <c r="S426" s="39">
        <v>0</v>
      </c>
      <c r="T426" s="39">
        <v>0</v>
      </c>
      <c r="U426" s="39">
        <v>0</v>
      </c>
      <c r="V426" s="39">
        <v>1</v>
      </c>
      <c r="W426" s="40" t="s">
        <v>518</v>
      </c>
      <c r="X426" s="39">
        <v>1</v>
      </c>
    </row>
    <row r="427" spans="1:24">
      <c r="A427" s="39">
        <v>54</v>
      </c>
      <c r="B427" s="40" t="s">
        <v>2617</v>
      </c>
      <c r="C427" s="39">
        <v>1</v>
      </c>
      <c r="D427" s="40" t="s">
        <v>7804</v>
      </c>
      <c r="E427" s="39">
        <v>1</v>
      </c>
      <c r="F427" s="39">
        <v>31</v>
      </c>
      <c r="G427" s="39">
        <v>0</v>
      </c>
      <c r="H427" s="39">
        <v>0</v>
      </c>
      <c r="I427" s="39">
        <v>0</v>
      </c>
      <c r="J427" s="39">
        <v>0</v>
      </c>
      <c r="K427" s="39">
        <v>0</v>
      </c>
      <c r="L427" s="39">
        <v>0</v>
      </c>
      <c r="M427" s="39">
        <v>0</v>
      </c>
      <c r="N427" s="39">
        <v>0</v>
      </c>
      <c r="O427" s="39">
        <v>0</v>
      </c>
      <c r="P427" s="39">
        <v>0</v>
      </c>
      <c r="Q427" s="39">
        <v>0</v>
      </c>
      <c r="R427" s="39">
        <v>0</v>
      </c>
      <c r="S427" s="39">
        <v>0</v>
      </c>
      <c r="T427" s="39">
        <v>0</v>
      </c>
      <c r="U427" s="39">
        <v>0</v>
      </c>
      <c r="V427" s="39">
        <v>2</v>
      </c>
      <c r="W427" s="40" t="s">
        <v>40</v>
      </c>
      <c r="X427" s="39">
        <v>1</v>
      </c>
    </row>
    <row r="428" spans="1:24">
      <c r="A428" s="39">
        <v>956</v>
      </c>
      <c r="B428" s="40" t="s">
        <v>2617</v>
      </c>
      <c r="C428" s="39">
        <v>1</v>
      </c>
      <c r="E428" s="39">
        <v>1</v>
      </c>
      <c r="F428" s="39">
        <v>854</v>
      </c>
      <c r="G428" s="39">
        <v>1</v>
      </c>
      <c r="H428" s="39">
        <v>1</v>
      </c>
      <c r="I428" s="39">
        <v>1</v>
      </c>
      <c r="J428" s="39">
        <v>0</v>
      </c>
      <c r="K428" s="39">
        <v>0</v>
      </c>
      <c r="L428" s="39">
        <v>0</v>
      </c>
      <c r="M428" s="39">
        <v>0</v>
      </c>
      <c r="N428" s="39">
        <v>0</v>
      </c>
      <c r="O428" s="39">
        <v>0</v>
      </c>
      <c r="P428" s="39">
        <v>0</v>
      </c>
      <c r="Q428" s="39">
        <v>0</v>
      </c>
      <c r="R428" s="39">
        <v>0</v>
      </c>
      <c r="S428" s="39">
        <v>0</v>
      </c>
      <c r="T428" s="39">
        <v>0</v>
      </c>
      <c r="U428" s="39">
        <v>0</v>
      </c>
      <c r="V428" s="39">
        <v>158</v>
      </c>
      <c r="W428" s="40" t="s">
        <v>7667</v>
      </c>
      <c r="X428" s="39">
        <v>1</v>
      </c>
    </row>
    <row r="429" spans="1:24">
      <c r="A429" s="39">
        <v>446</v>
      </c>
      <c r="B429" s="40" t="s">
        <v>2617</v>
      </c>
      <c r="C429" s="39">
        <v>1</v>
      </c>
      <c r="E429" s="39">
        <v>1</v>
      </c>
      <c r="F429" s="39">
        <v>854</v>
      </c>
      <c r="G429" s="39">
        <v>0</v>
      </c>
      <c r="H429" s="39">
        <v>0</v>
      </c>
      <c r="I429" s="39">
        <v>0</v>
      </c>
      <c r="J429" s="39">
        <v>0</v>
      </c>
      <c r="K429" s="39">
        <v>0</v>
      </c>
      <c r="L429" s="39">
        <v>0</v>
      </c>
      <c r="M429" s="39">
        <v>0</v>
      </c>
      <c r="N429" s="39">
        <v>0</v>
      </c>
      <c r="O429" s="39">
        <v>0</v>
      </c>
      <c r="P429" s="39">
        <v>0</v>
      </c>
      <c r="Q429" s="39">
        <v>0</v>
      </c>
      <c r="R429" s="39">
        <v>0</v>
      </c>
      <c r="S429" s="39">
        <v>0</v>
      </c>
      <c r="T429" s="39">
        <v>0</v>
      </c>
      <c r="U429" s="39">
        <v>0</v>
      </c>
      <c r="V429" s="39">
        <v>175</v>
      </c>
      <c r="W429" s="40" t="s">
        <v>7689</v>
      </c>
      <c r="X429" s="39">
        <v>1</v>
      </c>
    </row>
    <row r="430" spans="1:24">
      <c r="A430" s="39">
        <v>341</v>
      </c>
      <c r="B430" s="40" t="s">
        <v>2617</v>
      </c>
      <c r="C430" s="39">
        <v>1</v>
      </c>
      <c r="E430" s="39">
        <v>1</v>
      </c>
      <c r="F430" s="39">
        <v>854</v>
      </c>
      <c r="G430" s="39">
        <v>1</v>
      </c>
      <c r="H430" s="39">
        <v>1</v>
      </c>
      <c r="I430" s="39">
        <v>1</v>
      </c>
      <c r="J430" s="39">
        <v>0</v>
      </c>
      <c r="K430" s="39">
        <v>0</v>
      </c>
      <c r="L430" s="39">
        <v>0</v>
      </c>
      <c r="M430" s="39">
        <v>0</v>
      </c>
      <c r="N430" s="39">
        <v>0</v>
      </c>
      <c r="O430" s="39">
        <v>0</v>
      </c>
      <c r="P430" s="39">
        <v>0</v>
      </c>
      <c r="Q430" s="39">
        <v>0</v>
      </c>
      <c r="R430" s="39">
        <v>0</v>
      </c>
      <c r="S430" s="39">
        <v>0</v>
      </c>
      <c r="T430" s="39">
        <v>0</v>
      </c>
      <c r="U430" s="39">
        <v>0</v>
      </c>
      <c r="V430" s="39">
        <v>228</v>
      </c>
      <c r="W430" s="40" t="s">
        <v>7669</v>
      </c>
      <c r="X430" s="39">
        <v>1</v>
      </c>
    </row>
    <row r="431" spans="1:24">
      <c r="A431" s="39">
        <v>1755</v>
      </c>
      <c r="B431" s="40" t="s">
        <v>2617</v>
      </c>
      <c r="C431" s="39">
        <v>1</v>
      </c>
      <c r="E431" s="39">
        <v>1</v>
      </c>
      <c r="F431" s="39">
        <v>854</v>
      </c>
      <c r="G431" s="39">
        <v>0</v>
      </c>
      <c r="H431" s="39">
        <v>0</v>
      </c>
      <c r="I431" s="39">
        <v>0</v>
      </c>
      <c r="J431" s="39">
        <v>0</v>
      </c>
      <c r="K431" s="39">
        <v>0</v>
      </c>
      <c r="L431" s="39">
        <v>0</v>
      </c>
      <c r="M431" s="39">
        <v>0</v>
      </c>
      <c r="N431" s="39">
        <v>0</v>
      </c>
      <c r="O431" s="39">
        <v>0</v>
      </c>
      <c r="P431" s="39">
        <v>0</v>
      </c>
      <c r="Q431" s="39">
        <v>0</v>
      </c>
      <c r="R431" s="39">
        <v>0</v>
      </c>
      <c r="S431" s="39">
        <v>0</v>
      </c>
      <c r="T431" s="39">
        <v>0</v>
      </c>
      <c r="U431" s="39">
        <v>0</v>
      </c>
      <c r="V431" s="39">
        <v>244</v>
      </c>
      <c r="W431" s="40" t="s">
        <v>682</v>
      </c>
      <c r="X431" s="39">
        <v>1</v>
      </c>
    </row>
    <row r="432" spans="1:24">
      <c r="A432" s="39">
        <v>713</v>
      </c>
      <c r="B432" s="40" t="s">
        <v>2617</v>
      </c>
      <c r="C432" s="39">
        <v>1</v>
      </c>
      <c r="E432" s="39">
        <v>1</v>
      </c>
      <c r="F432" s="39">
        <v>854</v>
      </c>
      <c r="G432" s="39">
        <v>0</v>
      </c>
      <c r="H432" s="39">
        <v>0</v>
      </c>
      <c r="I432" s="39">
        <v>0</v>
      </c>
      <c r="J432" s="39">
        <v>0</v>
      </c>
      <c r="K432" s="39">
        <v>0</v>
      </c>
      <c r="L432" s="39">
        <v>0</v>
      </c>
      <c r="M432" s="39">
        <v>0</v>
      </c>
      <c r="N432" s="39">
        <v>0</v>
      </c>
      <c r="O432" s="39">
        <v>0</v>
      </c>
      <c r="P432" s="39">
        <v>0</v>
      </c>
      <c r="Q432" s="39">
        <v>0</v>
      </c>
      <c r="R432" s="39">
        <v>0</v>
      </c>
      <c r="S432" s="39">
        <v>0</v>
      </c>
      <c r="T432" s="39">
        <v>0</v>
      </c>
      <c r="U432" s="39">
        <v>0</v>
      </c>
      <c r="V432" s="39">
        <v>381</v>
      </c>
      <c r="W432" s="40" t="s">
        <v>7805</v>
      </c>
      <c r="X432" s="39">
        <v>1</v>
      </c>
    </row>
    <row r="433" spans="1:24">
      <c r="A433" s="39">
        <v>1223</v>
      </c>
      <c r="B433" s="40" t="s">
        <v>2617</v>
      </c>
      <c r="C433" s="39">
        <v>1</v>
      </c>
      <c r="E433" s="39">
        <v>1</v>
      </c>
      <c r="F433" s="39">
        <v>854</v>
      </c>
      <c r="G433" s="39">
        <v>1</v>
      </c>
      <c r="H433" s="39">
        <v>1</v>
      </c>
      <c r="I433" s="39">
        <v>1</v>
      </c>
      <c r="J433" s="39">
        <v>1</v>
      </c>
      <c r="K433" s="39">
        <v>0</v>
      </c>
      <c r="L433" s="39">
        <v>0</v>
      </c>
      <c r="M433" s="39">
        <v>0</v>
      </c>
      <c r="N433" s="39">
        <v>0</v>
      </c>
      <c r="O433" s="39">
        <v>0</v>
      </c>
      <c r="P433" s="39">
        <v>0</v>
      </c>
      <c r="Q433" s="39">
        <v>0</v>
      </c>
      <c r="R433" s="39">
        <v>0</v>
      </c>
      <c r="S433" s="39">
        <v>0</v>
      </c>
      <c r="T433" s="39">
        <v>0</v>
      </c>
      <c r="U433" s="39">
        <v>0</v>
      </c>
      <c r="V433" s="39">
        <v>418</v>
      </c>
      <c r="W433" s="40" t="s">
        <v>7671</v>
      </c>
      <c r="X433" s="39">
        <v>1</v>
      </c>
    </row>
    <row r="434" spans="1:24">
      <c r="A434" s="39">
        <v>1416</v>
      </c>
      <c r="B434" s="40" t="s">
        <v>2617</v>
      </c>
      <c r="C434" s="39">
        <v>1</v>
      </c>
      <c r="E434" s="39">
        <v>1</v>
      </c>
      <c r="F434" s="39">
        <v>854</v>
      </c>
      <c r="G434" s="39">
        <v>0</v>
      </c>
      <c r="H434" s="39">
        <v>0</v>
      </c>
      <c r="I434" s="39">
        <v>0</v>
      </c>
      <c r="J434" s="39">
        <v>0</v>
      </c>
      <c r="K434" s="39">
        <v>0</v>
      </c>
      <c r="L434" s="39">
        <v>0</v>
      </c>
      <c r="M434" s="39">
        <v>0</v>
      </c>
      <c r="N434" s="39">
        <v>0</v>
      </c>
      <c r="O434" s="39">
        <v>0</v>
      </c>
      <c r="P434" s="39">
        <v>0</v>
      </c>
      <c r="Q434" s="39">
        <v>0</v>
      </c>
      <c r="R434" s="39">
        <v>0</v>
      </c>
      <c r="S434" s="39">
        <v>0</v>
      </c>
      <c r="T434" s="39">
        <v>0</v>
      </c>
      <c r="U434" s="39">
        <v>0</v>
      </c>
      <c r="V434" s="39">
        <v>456</v>
      </c>
      <c r="W434" s="40" t="s">
        <v>7673</v>
      </c>
      <c r="X434" s="39">
        <v>1</v>
      </c>
    </row>
    <row r="435" spans="1:24">
      <c r="A435" s="39">
        <v>854</v>
      </c>
      <c r="B435" s="40" t="s">
        <v>2617</v>
      </c>
      <c r="C435" s="39">
        <v>1</v>
      </c>
      <c r="E435" s="39">
        <v>1</v>
      </c>
      <c r="F435" s="39">
        <v>854</v>
      </c>
      <c r="G435" s="39">
        <v>0</v>
      </c>
      <c r="H435" s="39">
        <v>1</v>
      </c>
      <c r="I435" s="39">
        <v>1</v>
      </c>
      <c r="J435" s="39">
        <v>0</v>
      </c>
      <c r="K435" s="39">
        <v>0</v>
      </c>
      <c r="L435" s="39">
        <v>0</v>
      </c>
      <c r="M435" s="39">
        <v>0</v>
      </c>
      <c r="N435" s="39">
        <v>0</v>
      </c>
      <c r="O435" s="39">
        <v>0</v>
      </c>
      <c r="P435" s="39">
        <v>0</v>
      </c>
      <c r="Q435" s="39">
        <v>0</v>
      </c>
      <c r="R435" s="39">
        <v>0</v>
      </c>
      <c r="S435" s="39">
        <v>0</v>
      </c>
      <c r="T435" s="39">
        <v>0</v>
      </c>
      <c r="U435" s="39">
        <v>0</v>
      </c>
      <c r="V435" s="39">
        <v>458</v>
      </c>
      <c r="W435" s="40" t="s">
        <v>7694</v>
      </c>
      <c r="X435" s="39">
        <v>1</v>
      </c>
    </row>
    <row r="436" spans="1:24">
      <c r="A436" s="39">
        <v>1135</v>
      </c>
      <c r="B436" s="40" t="s">
        <v>2617</v>
      </c>
      <c r="C436" s="39">
        <v>1</v>
      </c>
      <c r="E436" s="39">
        <v>1</v>
      </c>
      <c r="F436" s="39">
        <v>854</v>
      </c>
      <c r="G436" s="39">
        <v>1</v>
      </c>
      <c r="H436" s="39">
        <v>1</v>
      </c>
      <c r="I436" s="39">
        <v>1</v>
      </c>
      <c r="J436" s="39">
        <v>0</v>
      </c>
      <c r="K436" s="39">
        <v>0</v>
      </c>
      <c r="L436" s="39">
        <v>0</v>
      </c>
      <c r="M436" s="39">
        <v>0</v>
      </c>
      <c r="N436" s="39">
        <v>0</v>
      </c>
      <c r="O436" s="39">
        <v>0</v>
      </c>
      <c r="P436" s="39">
        <v>0</v>
      </c>
      <c r="Q436" s="39">
        <v>0</v>
      </c>
      <c r="R436" s="39">
        <v>0</v>
      </c>
      <c r="S436" s="39">
        <v>0</v>
      </c>
      <c r="T436" s="39">
        <v>0</v>
      </c>
      <c r="U436" s="39">
        <v>0</v>
      </c>
      <c r="V436" s="39">
        <v>459</v>
      </c>
      <c r="W436" s="40" t="s">
        <v>7674</v>
      </c>
      <c r="X436" s="39">
        <v>1</v>
      </c>
    </row>
    <row r="437" spans="1:24">
      <c r="A437" s="39">
        <v>600</v>
      </c>
      <c r="B437" s="40" t="s">
        <v>2617</v>
      </c>
      <c r="C437" s="39">
        <v>1</v>
      </c>
      <c r="E437" s="39">
        <v>1</v>
      </c>
      <c r="F437" s="39">
        <v>854</v>
      </c>
      <c r="G437" s="39">
        <v>1</v>
      </c>
      <c r="H437" s="39">
        <v>1</v>
      </c>
      <c r="I437" s="39">
        <v>1</v>
      </c>
      <c r="J437" s="39">
        <v>0</v>
      </c>
      <c r="K437" s="39">
        <v>0</v>
      </c>
      <c r="L437" s="39">
        <v>0</v>
      </c>
      <c r="M437" s="39">
        <v>0</v>
      </c>
      <c r="N437" s="39">
        <v>0</v>
      </c>
      <c r="O437" s="39">
        <v>0</v>
      </c>
      <c r="P437" s="39">
        <v>0</v>
      </c>
      <c r="Q437" s="39">
        <v>0</v>
      </c>
      <c r="R437" s="39">
        <v>0</v>
      </c>
      <c r="S437" s="39">
        <v>0</v>
      </c>
      <c r="T437" s="39">
        <v>0</v>
      </c>
      <c r="U437" s="39">
        <v>0</v>
      </c>
      <c r="V437" s="39">
        <v>468</v>
      </c>
      <c r="W437" s="40" t="s">
        <v>7677</v>
      </c>
      <c r="X437" s="39">
        <v>1</v>
      </c>
    </row>
    <row r="438" spans="1:24">
      <c r="A438" s="39">
        <v>1039</v>
      </c>
      <c r="B438" s="40" t="s">
        <v>2617</v>
      </c>
      <c r="C438" s="39">
        <v>1</v>
      </c>
      <c r="E438" s="39">
        <v>1</v>
      </c>
      <c r="F438" s="39">
        <v>854</v>
      </c>
      <c r="G438" s="39">
        <v>1</v>
      </c>
      <c r="H438" s="39">
        <v>1</v>
      </c>
      <c r="I438" s="39">
        <v>1</v>
      </c>
      <c r="J438" s="39">
        <v>0</v>
      </c>
      <c r="K438" s="39">
        <v>0</v>
      </c>
      <c r="L438" s="39">
        <v>0</v>
      </c>
      <c r="M438" s="39">
        <v>0</v>
      </c>
      <c r="N438" s="39">
        <v>0</v>
      </c>
      <c r="O438" s="39">
        <v>0</v>
      </c>
      <c r="P438" s="39">
        <v>0</v>
      </c>
      <c r="Q438" s="39">
        <v>0</v>
      </c>
      <c r="R438" s="39">
        <v>0</v>
      </c>
      <c r="S438" s="39">
        <v>0</v>
      </c>
      <c r="T438" s="39">
        <v>0</v>
      </c>
      <c r="U438" s="39">
        <v>0</v>
      </c>
      <c r="V438" s="39">
        <v>477</v>
      </c>
      <c r="W438" s="40" t="s">
        <v>7697</v>
      </c>
      <c r="X438" s="39">
        <v>1</v>
      </c>
    </row>
    <row r="439" spans="1:24">
      <c r="A439" s="39">
        <v>225</v>
      </c>
      <c r="B439" s="40" t="s">
        <v>2617</v>
      </c>
      <c r="C439" s="39">
        <v>1</v>
      </c>
      <c r="E439" s="39">
        <v>1</v>
      </c>
      <c r="F439" s="39">
        <v>854</v>
      </c>
      <c r="G439" s="39">
        <v>1</v>
      </c>
      <c r="H439" s="39">
        <v>1</v>
      </c>
      <c r="I439" s="39">
        <v>1</v>
      </c>
      <c r="J439" s="39">
        <v>0</v>
      </c>
      <c r="K439" s="39">
        <v>0</v>
      </c>
      <c r="L439" s="39">
        <v>0</v>
      </c>
      <c r="M439" s="39">
        <v>0</v>
      </c>
      <c r="N439" s="39">
        <v>0</v>
      </c>
      <c r="O439" s="39">
        <v>0</v>
      </c>
      <c r="P439" s="39">
        <v>0</v>
      </c>
      <c r="Q439" s="39">
        <v>0</v>
      </c>
      <c r="R439" s="39">
        <v>0</v>
      </c>
      <c r="S439" s="39">
        <v>0</v>
      </c>
      <c r="T439" s="39">
        <v>0</v>
      </c>
      <c r="U439" s="39">
        <v>0</v>
      </c>
      <c r="V439" s="39">
        <v>590</v>
      </c>
      <c r="W439" s="40" t="s">
        <v>7679</v>
      </c>
      <c r="X439" s="39">
        <v>1</v>
      </c>
    </row>
    <row r="440" spans="1:24">
      <c r="A440" s="39">
        <v>773</v>
      </c>
      <c r="B440" s="40" t="s">
        <v>2617</v>
      </c>
      <c r="C440" s="39">
        <v>1</v>
      </c>
      <c r="E440" s="39">
        <v>1</v>
      </c>
      <c r="F440" s="39">
        <v>854</v>
      </c>
      <c r="G440" s="39">
        <v>1</v>
      </c>
      <c r="H440" s="39">
        <v>1</v>
      </c>
      <c r="I440" s="39">
        <v>1</v>
      </c>
      <c r="J440" s="39">
        <v>0</v>
      </c>
      <c r="K440" s="39">
        <v>0</v>
      </c>
      <c r="L440" s="39">
        <v>0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39">
        <v>0</v>
      </c>
      <c r="S440" s="39">
        <v>0</v>
      </c>
      <c r="T440" s="39">
        <v>0</v>
      </c>
      <c r="U440" s="39">
        <v>0</v>
      </c>
      <c r="V440" s="39">
        <v>733</v>
      </c>
      <c r="W440" s="40" t="s">
        <v>7680</v>
      </c>
      <c r="X440" s="39">
        <v>1</v>
      </c>
    </row>
    <row r="441" spans="1:24">
      <c r="A441" s="39">
        <v>138</v>
      </c>
      <c r="B441" s="40" t="s">
        <v>7193</v>
      </c>
      <c r="C441" s="39">
        <v>0</v>
      </c>
      <c r="E441" s="39">
        <v>0</v>
      </c>
      <c r="F441" s="39">
        <v>940</v>
      </c>
      <c r="G441" s="39">
        <v>0</v>
      </c>
      <c r="H441" s="39">
        <v>0</v>
      </c>
      <c r="I441" s="39">
        <v>0</v>
      </c>
      <c r="J441" s="39">
        <v>0</v>
      </c>
      <c r="K441" s="39">
        <v>0</v>
      </c>
      <c r="L441" s="39">
        <v>0</v>
      </c>
      <c r="M441" s="39">
        <v>0</v>
      </c>
      <c r="N441" s="39">
        <v>0</v>
      </c>
      <c r="O441" s="39">
        <v>0</v>
      </c>
      <c r="P441" s="39">
        <v>0</v>
      </c>
      <c r="Q441" s="39">
        <v>0</v>
      </c>
      <c r="R441" s="39">
        <v>0</v>
      </c>
      <c r="S441" s="39">
        <v>0</v>
      </c>
      <c r="T441" s="39">
        <v>0</v>
      </c>
      <c r="U441" s="39">
        <v>0</v>
      </c>
      <c r="V441" s="39">
        <v>1</v>
      </c>
      <c r="W441" s="40" t="s">
        <v>518</v>
      </c>
      <c r="X441" s="39">
        <v>1</v>
      </c>
    </row>
    <row r="442" spans="1:24">
      <c r="A442" s="39">
        <v>1</v>
      </c>
      <c r="B442" s="40" t="s">
        <v>7193</v>
      </c>
      <c r="C442" s="39">
        <v>0</v>
      </c>
      <c r="E442" s="39">
        <v>0</v>
      </c>
      <c r="F442" s="39">
        <v>90</v>
      </c>
      <c r="G442" s="39">
        <v>0</v>
      </c>
      <c r="H442" s="39">
        <v>0</v>
      </c>
      <c r="I442" s="39">
        <v>0</v>
      </c>
      <c r="J442" s="39">
        <v>0</v>
      </c>
      <c r="K442" s="39">
        <v>0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39">
        <v>0</v>
      </c>
      <c r="S442" s="39">
        <v>0</v>
      </c>
      <c r="T442" s="39">
        <v>0</v>
      </c>
      <c r="U442" s="39">
        <v>0</v>
      </c>
      <c r="V442" s="39">
        <v>2</v>
      </c>
      <c r="W442" s="40" t="s">
        <v>40</v>
      </c>
      <c r="X442" s="39">
        <v>1</v>
      </c>
    </row>
    <row r="443" spans="1:24">
      <c r="A443" s="39">
        <v>1749</v>
      </c>
      <c r="B443" s="40" t="s">
        <v>7193</v>
      </c>
      <c r="C443" s="39">
        <v>0</v>
      </c>
      <c r="E443" s="39">
        <v>0</v>
      </c>
      <c r="F443" s="39">
        <v>940</v>
      </c>
      <c r="G443" s="39">
        <v>0</v>
      </c>
      <c r="H443" s="39">
        <v>0</v>
      </c>
      <c r="I443" s="39">
        <v>0</v>
      </c>
      <c r="J443" s="39">
        <v>0</v>
      </c>
      <c r="K443" s="39">
        <v>0</v>
      </c>
      <c r="L443" s="39">
        <v>0</v>
      </c>
      <c r="M443" s="39">
        <v>0</v>
      </c>
      <c r="N443" s="39">
        <v>0</v>
      </c>
      <c r="O443" s="39">
        <v>0</v>
      </c>
      <c r="P443" s="39">
        <v>0</v>
      </c>
      <c r="Q443" s="39">
        <v>0</v>
      </c>
      <c r="R443" s="39">
        <v>0</v>
      </c>
      <c r="S443" s="39">
        <v>0</v>
      </c>
      <c r="T443" s="39">
        <v>0</v>
      </c>
      <c r="U443" s="39">
        <v>0</v>
      </c>
      <c r="V443" s="39">
        <v>244</v>
      </c>
      <c r="W443" s="40" t="s">
        <v>682</v>
      </c>
      <c r="X443" s="39">
        <v>1</v>
      </c>
    </row>
    <row r="444" spans="1:24">
      <c r="A444" s="39">
        <v>1410</v>
      </c>
      <c r="B444" s="40" t="s">
        <v>7193</v>
      </c>
      <c r="C444" s="39">
        <v>0</v>
      </c>
      <c r="E444" s="39">
        <v>0</v>
      </c>
      <c r="F444" s="39">
        <v>940</v>
      </c>
      <c r="G444" s="39">
        <v>0</v>
      </c>
      <c r="H444" s="39">
        <v>0</v>
      </c>
      <c r="I444" s="39">
        <v>0</v>
      </c>
      <c r="J444" s="39">
        <v>0</v>
      </c>
      <c r="K444" s="39">
        <v>0</v>
      </c>
      <c r="L444" s="39">
        <v>0</v>
      </c>
      <c r="M444" s="39">
        <v>0</v>
      </c>
      <c r="N444" s="39">
        <v>0</v>
      </c>
      <c r="O444" s="39">
        <v>0</v>
      </c>
      <c r="P444" s="39">
        <v>0</v>
      </c>
      <c r="Q444" s="39">
        <v>0</v>
      </c>
      <c r="R444" s="39">
        <v>0</v>
      </c>
      <c r="S444" s="39">
        <v>0</v>
      </c>
      <c r="T444" s="39">
        <v>0</v>
      </c>
      <c r="U444" s="39">
        <v>0</v>
      </c>
      <c r="V444" s="39">
        <v>456</v>
      </c>
      <c r="W444" s="40" t="s">
        <v>7673</v>
      </c>
      <c r="X444" s="39">
        <v>1</v>
      </c>
    </row>
    <row r="445" spans="1:24">
      <c r="A445" s="39">
        <v>834</v>
      </c>
      <c r="B445" s="40" t="s">
        <v>7193</v>
      </c>
      <c r="C445" s="39">
        <v>0</v>
      </c>
      <c r="E445" s="39">
        <v>0</v>
      </c>
      <c r="F445" s="39">
        <v>940</v>
      </c>
      <c r="G445" s="39">
        <v>0</v>
      </c>
      <c r="H445" s="39">
        <v>0</v>
      </c>
      <c r="I445" s="39">
        <v>0</v>
      </c>
      <c r="J445" s="39">
        <v>0</v>
      </c>
      <c r="K445" s="39">
        <v>0</v>
      </c>
      <c r="L445" s="39">
        <v>0</v>
      </c>
      <c r="M445" s="39">
        <v>0</v>
      </c>
      <c r="N445" s="39">
        <v>0</v>
      </c>
      <c r="O445" s="39">
        <v>0</v>
      </c>
      <c r="P445" s="39">
        <v>0</v>
      </c>
      <c r="Q445" s="39">
        <v>0</v>
      </c>
      <c r="R445" s="39">
        <v>0</v>
      </c>
      <c r="S445" s="39">
        <v>0</v>
      </c>
      <c r="T445" s="39">
        <v>0</v>
      </c>
      <c r="U445" s="39">
        <v>0</v>
      </c>
      <c r="V445" s="39">
        <v>733</v>
      </c>
      <c r="W445" s="40" t="s">
        <v>7680</v>
      </c>
      <c r="X445" s="39">
        <v>1</v>
      </c>
    </row>
    <row r="446" spans="1:24">
      <c r="A446" s="39">
        <v>94</v>
      </c>
      <c r="B446" s="40" t="s">
        <v>7806</v>
      </c>
      <c r="C446" s="39">
        <v>0</v>
      </c>
      <c r="E446" s="39">
        <v>1</v>
      </c>
      <c r="F446" s="39">
        <v>60</v>
      </c>
      <c r="G446" s="39">
        <v>1</v>
      </c>
      <c r="H446" s="39">
        <v>1</v>
      </c>
      <c r="I446" s="39">
        <v>1</v>
      </c>
      <c r="J446" s="39">
        <v>1</v>
      </c>
      <c r="K446" s="39">
        <v>0</v>
      </c>
      <c r="L446" s="39">
        <v>0</v>
      </c>
      <c r="M446" s="39">
        <v>0</v>
      </c>
      <c r="N446" s="39">
        <v>0</v>
      </c>
      <c r="O446" s="39">
        <v>0</v>
      </c>
      <c r="P446" s="39">
        <v>0</v>
      </c>
      <c r="Q446" s="39">
        <v>0</v>
      </c>
      <c r="R446" s="39">
        <v>0</v>
      </c>
      <c r="S446" s="39">
        <v>0</v>
      </c>
      <c r="T446" s="39">
        <v>0</v>
      </c>
      <c r="U446" s="39">
        <v>0</v>
      </c>
      <c r="V446" s="39">
        <v>1</v>
      </c>
      <c r="W446" s="40" t="s">
        <v>518</v>
      </c>
      <c r="X446" s="39">
        <v>1</v>
      </c>
    </row>
    <row r="447" spans="1:24">
      <c r="A447" s="39">
        <v>6</v>
      </c>
      <c r="B447" s="40" t="s">
        <v>7806</v>
      </c>
      <c r="C447" s="39">
        <v>0</v>
      </c>
      <c r="D447" s="40" t="s">
        <v>7807</v>
      </c>
      <c r="E447" s="39">
        <v>1</v>
      </c>
      <c r="F447" s="39">
        <v>9</v>
      </c>
      <c r="G447" s="39">
        <v>0</v>
      </c>
      <c r="H447" s="39">
        <v>1</v>
      </c>
      <c r="I447" s="39">
        <v>1</v>
      </c>
      <c r="J447" s="39">
        <v>1</v>
      </c>
      <c r="K447" s="39">
        <v>0</v>
      </c>
      <c r="L447" s="39">
        <v>0</v>
      </c>
      <c r="M447" s="39">
        <v>0</v>
      </c>
      <c r="N447" s="39">
        <v>0</v>
      </c>
      <c r="O447" s="39">
        <v>0</v>
      </c>
      <c r="P447" s="39">
        <v>0</v>
      </c>
      <c r="Q447" s="39">
        <v>0</v>
      </c>
      <c r="R447" s="39">
        <v>0</v>
      </c>
      <c r="S447" s="39">
        <v>0</v>
      </c>
      <c r="T447" s="39">
        <v>0</v>
      </c>
      <c r="U447" s="39">
        <v>0</v>
      </c>
      <c r="V447" s="39">
        <v>2</v>
      </c>
      <c r="W447" s="40" t="s">
        <v>40</v>
      </c>
      <c r="X447" s="39">
        <v>1</v>
      </c>
    </row>
    <row r="448" spans="1:24">
      <c r="A448" s="39">
        <v>957</v>
      </c>
      <c r="B448" s="40" t="s">
        <v>7806</v>
      </c>
      <c r="C448" s="39">
        <v>0</v>
      </c>
      <c r="E448" s="39">
        <v>1</v>
      </c>
      <c r="F448" s="39">
        <v>60</v>
      </c>
      <c r="G448" s="39">
        <v>1</v>
      </c>
      <c r="H448" s="39">
        <v>0</v>
      </c>
      <c r="I448" s="39">
        <v>0</v>
      </c>
      <c r="J448" s="39">
        <v>0</v>
      </c>
      <c r="K448" s="39">
        <v>0</v>
      </c>
      <c r="L448" s="39">
        <v>0</v>
      </c>
      <c r="M448" s="39">
        <v>0</v>
      </c>
      <c r="N448" s="39">
        <v>0</v>
      </c>
      <c r="O448" s="39">
        <v>0</v>
      </c>
      <c r="P448" s="39">
        <v>0</v>
      </c>
      <c r="Q448" s="39">
        <v>0</v>
      </c>
      <c r="R448" s="39">
        <v>0</v>
      </c>
      <c r="S448" s="39">
        <v>0</v>
      </c>
      <c r="T448" s="39">
        <v>0</v>
      </c>
      <c r="U448" s="39">
        <v>0</v>
      </c>
      <c r="V448" s="39">
        <v>158</v>
      </c>
      <c r="W448" s="40" t="s">
        <v>7667</v>
      </c>
      <c r="X448" s="39">
        <v>1</v>
      </c>
    </row>
    <row r="449" spans="1:24">
      <c r="A449" s="39">
        <v>447</v>
      </c>
      <c r="B449" s="40" t="s">
        <v>7806</v>
      </c>
      <c r="C449" s="39">
        <v>0</v>
      </c>
      <c r="E449" s="39">
        <v>1</v>
      </c>
      <c r="F449" s="39">
        <v>60</v>
      </c>
      <c r="G449" s="39">
        <v>0</v>
      </c>
      <c r="H449" s="39">
        <v>0</v>
      </c>
      <c r="I449" s="39">
        <v>0</v>
      </c>
      <c r="J449" s="39">
        <v>0</v>
      </c>
      <c r="K449" s="39">
        <v>0</v>
      </c>
      <c r="L449" s="39">
        <v>0</v>
      </c>
      <c r="M449" s="39">
        <v>0</v>
      </c>
      <c r="N449" s="39">
        <v>0</v>
      </c>
      <c r="O449" s="39">
        <v>0</v>
      </c>
      <c r="P449" s="39">
        <v>0</v>
      </c>
      <c r="Q449" s="39">
        <v>0</v>
      </c>
      <c r="R449" s="39">
        <v>0</v>
      </c>
      <c r="S449" s="39">
        <v>0</v>
      </c>
      <c r="T449" s="39">
        <v>0</v>
      </c>
      <c r="U449" s="39">
        <v>0</v>
      </c>
      <c r="V449" s="39">
        <v>175</v>
      </c>
      <c r="W449" s="40" t="s">
        <v>7689</v>
      </c>
      <c r="X449" s="39">
        <v>1</v>
      </c>
    </row>
    <row r="450" spans="1:24">
      <c r="A450" s="39">
        <v>281</v>
      </c>
      <c r="B450" s="40" t="s">
        <v>7806</v>
      </c>
      <c r="C450" s="39">
        <v>0</v>
      </c>
      <c r="E450" s="39">
        <v>1</v>
      </c>
      <c r="F450" s="39">
        <v>60</v>
      </c>
      <c r="G450" s="39">
        <v>0</v>
      </c>
      <c r="H450" s="39">
        <v>0</v>
      </c>
      <c r="I450" s="39">
        <v>0</v>
      </c>
      <c r="J450" s="39">
        <v>0</v>
      </c>
      <c r="K450" s="39">
        <v>0</v>
      </c>
      <c r="L450" s="39">
        <v>0</v>
      </c>
      <c r="M450" s="39">
        <v>0</v>
      </c>
      <c r="N450" s="39">
        <v>0</v>
      </c>
      <c r="O450" s="39">
        <v>0</v>
      </c>
      <c r="P450" s="39">
        <v>0</v>
      </c>
      <c r="Q450" s="39">
        <v>0</v>
      </c>
      <c r="R450" s="39">
        <v>0</v>
      </c>
      <c r="S450" s="39">
        <v>0</v>
      </c>
      <c r="T450" s="39">
        <v>0</v>
      </c>
      <c r="U450" s="39">
        <v>0</v>
      </c>
      <c r="V450" s="39">
        <v>228</v>
      </c>
      <c r="W450" s="40" t="s">
        <v>7669</v>
      </c>
      <c r="X450" s="39">
        <v>1</v>
      </c>
    </row>
    <row r="451" spans="1:24">
      <c r="A451" s="39">
        <v>1706</v>
      </c>
      <c r="B451" s="40" t="s">
        <v>7806</v>
      </c>
      <c r="C451" s="39">
        <v>0</v>
      </c>
      <c r="E451" s="39">
        <v>1</v>
      </c>
      <c r="F451" s="39">
        <v>60</v>
      </c>
      <c r="G451" s="39">
        <v>1</v>
      </c>
      <c r="H451" s="39">
        <v>1</v>
      </c>
      <c r="I451" s="39">
        <v>1</v>
      </c>
      <c r="J451" s="39">
        <v>1</v>
      </c>
      <c r="K451" s="39">
        <v>0</v>
      </c>
      <c r="L451" s="39">
        <v>0</v>
      </c>
      <c r="M451" s="39">
        <v>0</v>
      </c>
      <c r="N451" s="39">
        <v>0</v>
      </c>
      <c r="O451" s="39">
        <v>0</v>
      </c>
      <c r="P451" s="39">
        <v>0</v>
      </c>
      <c r="Q451" s="39">
        <v>0</v>
      </c>
      <c r="R451" s="39">
        <v>0</v>
      </c>
      <c r="S451" s="39">
        <v>0</v>
      </c>
      <c r="T451" s="39">
        <v>0</v>
      </c>
      <c r="U451" s="39">
        <v>0</v>
      </c>
      <c r="V451" s="39">
        <v>244</v>
      </c>
      <c r="W451" s="40" t="s">
        <v>682</v>
      </c>
      <c r="X451" s="39">
        <v>1</v>
      </c>
    </row>
    <row r="452" spans="1:24">
      <c r="A452" s="39">
        <v>1224</v>
      </c>
      <c r="B452" s="40" t="s">
        <v>7806</v>
      </c>
      <c r="C452" s="39">
        <v>0</v>
      </c>
      <c r="E452" s="39">
        <v>1</v>
      </c>
      <c r="F452" s="39">
        <v>60</v>
      </c>
      <c r="G452" s="39">
        <v>0</v>
      </c>
      <c r="H452" s="39">
        <v>0</v>
      </c>
      <c r="I452" s="39">
        <v>0</v>
      </c>
      <c r="J452" s="39">
        <v>0</v>
      </c>
      <c r="K452" s="39">
        <v>0</v>
      </c>
      <c r="L452" s="39">
        <v>0</v>
      </c>
      <c r="M452" s="39">
        <v>0</v>
      </c>
      <c r="N452" s="39">
        <v>0</v>
      </c>
      <c r="O452" s="39">
        <v>0</v>
      </c>
      <c r="P452" s="39">
        <v>0</v>
      </c>
      <c r="Q452" s="39">
        <v>0</v>
      </c>
      <c r="R452" s="39">
        <v>0</v>
      </c>
      <c r="S452" s="39">
        <v>0</v>
      </c>
      <c r="T452" s="39">
        <v>0</v>
      </c>
      <c r="U452" s="39">
        <v>0</v>
      </c>
      <c r="V452" s="39">
        <v>418</v>
      </c>
      <c r="W452" s="40" t="s">
        <v>7671</v>
      </c>
      <c r="X452" s="39">
        <v>1</v>
      </c>
    </row>
    <row r="453" spans="1:24">
      <c r="A453" s="39">
        <v>1367</v>
      </c>
      <c r="B453" s="40" t="s">
        <v>7806</v>
      </c>
      <c r="C453" s="39">
        <v>0</v>
      </c>
      <c r="E453" s="39">
        <v>1</v>
      </c>
      <c r="F453" s="39">
        <v>60</v>
      </c>
      <c r="G453" s="39">
        <v>1</v>
      </c>
      <c r="H453" s="39">
        <v>1</v>
      </c>
      <c r="I453" s="39">
        <v>1</v>
      </c>
      <c r="J453" s="39">
        <v>1</v>
      </c>
      <c r="K453" s="39">
        <v>0</v>
      </c>
      <c r="L453" s="39">
        <v>0</v>
      </c>
      <c r="M453" s="39">
        <v>0</v>
      </c>
      <c r="N453" s="39">
        <v>0</v>
      </c>
      <c r="O453" s="39">
        <v>0</v>
      </c>
      <c r="P453" s="39">
        <v>0</v>
      </c>
      <c r="Q453" s="39">
        <v>0</v>
      </c>
      <c r="R453" s="39">
        <v>0</v>
      </c>
      <c r="S453" s="39">
        <v>0</v>
      </c>
      <c r="T453" s="39">
        <v>0</v>
      </c>
      <c r="U453" s="39">
        <v>0</v>
      </c>
      <c r="V453" s="39">
        <v>456</v>
      </c>
      <c r="W453" s="40" t="s">
        <v>7673</v>
      </c>
      <c r="X453" s="39">
        <v>1</v>
      </c>
    </row>
    <row r="454" spans="1:24">
      <c r="A454" s="39">
        <v>898</v>
      </c>
      <c r="B454" s="40" t="s">
        <v>7806</v>
      </c>
      <c r="C454" s="39">
        <v>0</v>
      </c>
      <c r="E454" s="39">
        <v>1</v>
      </c>
      <c r="F454" s="39">
        <v>60</v>
      </c>
      <c r="G454" s="39">
        <v>1</v>
      </c>
      <c r="H454" s="39">
        <v>0</v>
      </c>
      <c r="I454" s="39">
        <v>0</v>
      </c>
      <c r="J454" s="39">
        <v>0</v>
      </c>
      <c r="K454" s="39">
        <v>0</v>
      </c>
      <c r="L454" s="39">
        <v>0</v>
      </c>
      <c r="M454" s="39">
        <v>0</v>
      </c>
      <c r="N454" s="39">
        <v>0</v>
      </c>
      <c r="O454" s="39">
        <v>0</v>
      </c>
      <c r="P454" s="39">
        <v>0</v>
      </c>
      <c r="Q454" s="39">
        <v>0</v>
      </c>
      <c r="R454" s="39">
        <v>0</v>
      </c>
      <c r="S454" s="39">
        <v>0</v>
      </c>
      <c r="T454" s="39">
        <v>0</v>
      </c>
      <c r="U454" s="39">
        <v>0</v>
      </c>
      <c r="V454" s="39">
        <v>458</v>
      </c>
      <c r="W454" s="40" t="s">
        <v>7694</v>
      </c>
      <c r="X454" s="39">
        <v>1</v>
      </c>
    </row>
    <row r="455" spans="1:24">
      <c r="A455" s="39">
        <v>1136</v>
      </c>
      <c r="B455" s="40" t="s">
        <v>7806</v>
      </c>
      <c r="C455" s="39">
        <v>0</v>
      </c>
      <c r="E455" s="39">
        <v>1</v>
      </c>
      <c r="F455" s="39">
        <v>60</v>
      </c>
      <c r="G455" s="39">
        <v>0</v>
      </c>
      <c r="H455" s="39">
        <v>0</v>
      </c>
      <c r="I455" s="39">
        <v>0</v>
      </c>
      <c r="J455" s="39">
        <v>0</v>
      </c>
      <c r="K455" s="39">
        <v>0</v>
      </c>
      <c r="L455" s="39">
        <v>0</v>
      </c>
      <c r="M455" s="39">
        <v>0</v>
      </c>
      <c r="N455" s="39">
        <v>0</v>
      </c>
      <c r="O455" s="39">
        <v>0</v>
      </c>
      <c r="P455" s="39">
        <v>0</v>
      </c>
      <c r="Q455" s="39">
        <v>0</v>
      </c>
      <c r="R455" s="39">
        <v>0</v>
      </c>
      <c r="S455" s="39">
        <v>0</v>
      </c>
      <c r="T455" s="39">
        <v>0</v>
      </c>
      <c r="U455" s="39">
        <v>0</v>
      </c>
      <c r="V455" s="39">
        <v>459</v>
      </c>
      <c r="W455" s="40" t="s">
        <v>7674</v>
      </c>
      <c r="X455" s="39">
        <v>1</v>
      </c>
    </row>
    <row r="456" spans="1:24">
      <c r="A456" s="39">
        <v>601</v>
      </c>
      <c r="B456" s="40" t="s">
        <v>7806</v>
      </c>
      <c r="C456" s="39">
        <v>0</v>
      </c>
      <c r="E456" s="39">
        <v>1</v>
      </c>
      <c r="F456" s="39">
        <v>60</v>
      </c>
      <c r="G456" s="39">
        <v>1</v>
      </c>
      <c r="H456" s="39">
        <v>1</v>
      </c>
      <c r="I456" s="39">
        <v>1</v>
      </c>
      <c r="J456" s="39">
        <v>0</v>
      </c>
      <c r="K456" s="39">
        <v>0</v>
      </c>
      <c r="L456" s="39">
        <v>0</v>
      </c>
      <c r="M456" s="39">
        <v>0</v>
      </c>
      <c r="N456" s="39">
        <v>0</v>
      </c>
      <c r="O456" s="39">
        <v>0</v>
      </c>
      <c r="P456" s="39">
        <v>0</v>
      </c>
      <c r="Q456" s="39">
        <v>0</v>
      </c>
      <c r="R456" s="39">
        <v>0</v>
      </c>
      <c r="S456" s="39">
        <v>0</v>
      </c>
      <c r="T456" s="39">
        <v>0</v>
      </c>
      <c r="U456" s="39">
        <v>0</v>
      </c>
      <c r="V456" s="39">
        <v>468</v>
      </c>
      <c r="W456" s="40" t="s">
        <v>7677</v>
      </c>
      <c r="X456" s="39">
        <v>1</v>
      </c>
    </row>
    <row r="457" spans="1:24">
      <c r="A457" s="39">
        <v>1015</v>
      </c>
      <c r="B457" s="40" t="s">
        <v>7806</v>
      </c>
      <c r="C457" s="39">
        <v>0</v>
      </c>
      <c r="E457" s="39">
        <v>1</v>
      </c>
      <c r="F457" s="39">
        <v>60</v>
      </c>
      <c r="G457" s="39">
        <v>0</v>
      </c>
      <c r="H457" s="39">
        <v>0</v>
      </c>
      <c r="I457" s="39">
        <v>0</v>
      </c>
      <c r="J457" s="39">
        <v>0</v>
      </c>
      <c r="K457" s="39">
        <v>0</v>
      </c>
      <c r="L457" s="39">
        <v>0</v>
      </c>
      <c r="M457" s="39">
        <v>0</v>
      </c>
      <c r="N457" s="39">
        <v>0</v>
      </c>
      <c r="O457" s="39">
        <v>0</v>
      </c>
      <c r="P457" s="39">
        <v>0</v>
      </c>
      <c r="Q457" s="39">
        <v>0</v>
      </c>
      <c r="R457" s="39">
        <v>0</v>
      </c>
      <c r="S457" s="39">
        <v>0</v>
      </c>
      <c r="T457" s="39">
        <v>0</v>
      </c>
      <c r="U457" s="39">
        <v>0</v>
      </c>
      <c r="V457" s="39">
        <v>477</v>
      </c>
      <c r="W457" s="40" t="s">
        <v>7697</v>
      </c>
      <c r="X457" s="39">
        <v>1</v>
      </c>
    </row>
    <row r="458" spans="1:24">
      <c r="A458" s="39">
        <v>226</v>
      </c>
      <c r="B458" s="40" t="s">
        <v>7806</v>
      </c>
      <c r="C458" s="39">
        <v>0</v>
      </c>
      <c r="E458" s="39">
        <v>1</v>
      </c>
      <c r="F458" s="39">
        <v>60</v>
      </c>
      <c r="G458" s="39">
        <v>0</v>
      </c>
      <c r="H458" s="39">
        <v>0</v>
      </c>
      <c r="I458" s="39">
        <v>0</v>
      </c>
      <c r="J458" s="39">
        <v>0</v>
      </c>
      <c r="K458" s="39">
        <v>0</v>
      </c>
      <c r="L458" s="39">
        <v>0</v>
      </c>
      <c r="M458" s="39">
        <v>0</v>
      </c>
      <c r="N458" s="39">
        <v>0</v>
      </c>
      <c r="O458" s="39">
        <v>0</v>
      </c>
      <c r="P458" s="39">
        <v>0</v>
      </c>
      <c r="Q458" s="39">
        <v>0</v>
      </c>
      <c r="R458" s="39">
        <v>0</v>
      </c>
      <c r="S458" s="39">
        <v>0</v>
      </c>
      <c r="T458" s="39">
        <v>0</v>
      </c>
      <c r="U458" s="39">
        <v>0</v>
      </c>
      <c r="V458" s="39">
        <v>590</v>
      </c>
      <c r="W458" s="40" t="s">
        <v>7679</v>
      </c>
      <c r="X458" s="39">
        <v>1</v>
      </c>
    </row>
    <row r="459" spans="1:24">
      <c r="A459" s="39">
        <v>774</v>
      </c>
      <c r="B459" s="40" t="s">
        <v>7806</v>
      </c>
      <c r="C459" s="39">
        <v>0</v>
      </c>
      <c r="E459" s="39">
        <v>1</v>
      </c>
      <c r="F459" s="39">
        <v>60</v>
      </c>
      <c r="G459" s="39">
        <v>1</v>
      </c>
      <c r="H459" s="39">
        <v>1</v>
      </c>
      <c r="I459" s="39">
        <v>1</v>
      </c>
      <c r="J459" s="39">
        <v>1</v>
      </c>
      <c r="K459" s="39">
        <v>0</v>
      </c>
      <c r="L459" s="39">
        <v>0</v>
      </c>
      <c r="M459" s="39">
        <v>0</v>
      </c>
      <c r="N459" s="39">
        <v>0</v>
      </c>
      <c r="O459" s="39">
        <v>0</v>
      </c>
      <c r="P459" s="39">
        <v>0</v>
      </c>
      <c r="Q459" s="39">
        <v>0</v>
      </c>
      <c r="R459" s="39">
        <v>0</v>
      </c>
      <c r="S459" s="39">
        <v>0</v>
      </c>
      <c r="T459" s="39">
        <v>0</v>
      </c>
      <c r="U459" s="39">
        <v>0</v>
      </c>
      <c r="V459" s="39">
        <v>733</v>
      </c>
      <c r="W459" s="40" t="s">
        <v>7680</v>
      </c>
      <c r="X459" s="39">
        <v>1</v>
      </c>
    </row>
    <row r="460" spans="1:24">
      <c r="A460" s="39">
        <v>662</v>
      </c>
      <c r="B460" s="40" t="s">
        <v>7808</v>
      </c>
      <c r="C460" s="39">
        <v>0</v>
      </c>
      <c r="E460" s="39">
        <v>0</v>
      </c>
      <c r="F460" s="39">
        <v>2045</v>
      </c>
      <c r="G460" s="39">
        <v>0</v>
      </c>
      <c r="H460" s="39">
        <v>0</v>
      </c>
      <c r="I460" s="39">
        <v>0</v>
      </c>
      <c r="J460" s="39">
        <v>0</v>
      </c>
      <c r="K460" s="39">
        <v>0</v>
      </c>
      <c r="L460" s="39">
        <v>0</v>
      </c>
      <c r="M460" s="39">
        <v>0</v>
      </c>
      <c r="N460" s="39">
        <v>0</v>
      </c>
      <c r="O460" s="39">
        <v>0</v>
      </c>
      <c r="P460" s="39">
        <v>0</v>
      </c>
      <c r="Q460" s="39">
        <v>0</v>
      </c>
      <c r="R460" s="39">
        <v>0</v>
      </c>
      <c r="S460" s="39">
        <v>0</v>
      </c>
      <c r="T460" s="39">
        <v>0</v>
      </c>
      <c r="U460" s="39">
        <v>0</v>
      </c>
      <c r="V460" s="39">
        <v>228</v>
      </c>
      <c r="W460" s="40" t="s">
        <v>7669</v>
      </c>
      <c r="X460" s="39">
        <v>1</v>
      </c>
    </row>
    <row r="461" spans="1:24">
      <c r="A461" s="39">
        <v>302</v>
      </c>
      <c r="B461" s="40" t="s">
        <v>7808</v>
      </c>
      <c r="C461" s="39">
        <v>0</v>
      </c>
      <c r="D461" s="40" t="s">
        <v>7809</v>
      </c>
      <c r="E461" s="39">
        <v>0</v>
      </c>
      <c r="F461" s="39">
        <v>2045</v>
      </c>
      <c r="G461" s="39">
        <v>0</v>
      </c>
      <c r="H461" s="39">
        <v>0</v>
      </c>
      <c r="I461" s="39">
        <v>0</v>
      </c>
      <c r="J461" s="39">
        <v>0</v>
      </c>
      <c r="K461" s="39">
        <v>0</v>
      </c>
      <c r="L461" s="39">
        <v>0</v>
      </c>
      <c r="M461" s="39">
        <v>0</v>
      </c>
      <c r="N461" s="39">
        <v>0</v>
      </c>
      <c r="O461" s="39">
        <v>0</v>
      </c>
      <c r="P461" s="39">
        <v>0</v>
      </c>
      <c r="Q461" s="39">
        <v>0</v>
      </c>
      <c r="R461" s="39">
        <v>0</v>
      </c>
      <c r="S461" s="39">
        <v>0</v>
      </c>
      <c r="T461" s="39">
        <v>0</v>
      </c>
      <c r="U461" s="39">
        <v>0</v>
      </c>
      <c r="V461" s="39">
        <v>590</v>
      </c>
      <c r="W461" s="40" t="s">
        <v>7679</v>
      </c>
      <c r="X461" s="39">
        <v>1</v>
      </c>
    </row>
    <row r="462" spans="1:24">
      <c r="A462" s="39">
        <v>1091</v>
      </c>
      <c r="B462" s="40" t="s">
        <v>7810</v>
      </c>
      <c r="C462" s="39">
        <v>0</v>
      </c>
      <c r="E462" s="39">
        <v>0</v>
      </c>
      <c r="F462" s="39">
        <v>2060</v>
      </c>
      <c r="G462" s="39">
        <v>0</v>
      </c>
      <c r="H462" s="39">
        <v>0</v>
      </c>
      <c r="I462" s="39">
        <v>0</v>
      </c>
      <c r="J462" s="39">
        <v>0</v>
      </c>
      <c r="K462" s="39">
        <v>0</v>
      </c>
      <c r="L462" s="39">
        <v>0</v>
      </c>
      <c r="M462" s="39">
        <v>0</v>
      </c>
      <c r="N462" s="39">
        <v>0</v>
      </c>
      <c r="O462" s="39">
        <v>0</v>
      </c>
      <c r="P462" s="39">
        <v>0</v>
      </c>
      <c r="Q462" s="39">
        <v>0</v>
      </c>
      <c r="R462" s="39">
        <v>0</v>
      </c>
      <c r="S462" s="39">
        <v>0</v>
      </c>
      <c r="T462" s="39">
        <v>0</v>
      </c>
      <c r="U462" s="39">
        <v>0</v>
      </c>
      <c r="V462" s="39">
        <v>590</v>
      </c>
      <c r="W462" s="40" t="s">
        <v>7679</v>
      </c>
      <c r="X462" s="39">
        <v>1</v>
      </c>
    </row>
    <row r="463" spans="1:24">
      <c r="A463" s="39">
        <v>99</v>
      </c>
      <c r="B463" s="40" t="s">
        <v>4536</v>
      </c>
      <c r="C463" s="39">
        <v>0</v>
      </c>
      <c r="E463" s="39">
        <v>0</v>
      </c>
      <c r="F463" s="39">
        <v>160</v>
      </c>
      <c r="G463" s="39">
        <v>0</v>
      </c>
      <c r="H463" s="39">
        <v>0</v>
      </c>
      <c r="I463" s="39">
        <v>0</v>
      </c>
      <c r="J463" s="39">
        <v>0</v>
      </c>
      <c r="K463" s="39">
        <v>0</v>
      </c>
      <c r="L463" s="39">
        <v>0</v>
      </c>
      <c r="M463" s="39">
        <v>0</v>
      </c>
      <c r="N463" s="39">
        <v>0</v>
      </c>
      <c r="O463" s="39">
        <v>0</v>
      </c>
      <c r="P463" s="39">
        <v>0</v>
      </c>
      <c r="Q463" s="39">
        <v>0</v>
      </c>
      <c r="R463" s="39">
        <v>0</v>
      </c>
      <c r="S463" s="39">
        <v>0</v>
      </c>
      <c r="T463" s="39">
        <v>0</v>
      </c>
      <c r="U463" s="39">
        <v>0</v>
      </c>
      <c r="V463" s="39">
        <v>1</v>
      </c>
      <c r="W463" s="40" t="s">
        <v>518</v>
      </c>
      <c r="X463" s="39">
        <v>1</v>
      </c>
    </row>
    <row r="464" spans="1:24">
      <c r="A464" s="39">
        <v>1710</v>
      </c>
      <c r="B464" s="40" t="s">
        <v>4536</v>
      </c>
      <c r="C464" s="39">
        <v>0</v>
      </c>
      <c r="E464" s="39">
        <v>0</v>
      </c>
      <c r="F464" s="39">
        <v>160</v>
      </c>
      <c r="G464" s="39">
        <v>0</v>
      </c>
      <c r="H464" s="39">
        <v>0</v>
      </c>
      <c r="I464" s="39">
        <v>0</v>
      </c>
      <c r="J464" s="39">
        <v>0</v>
      </c>
      <c r="K464" s="39">
        <v>0</v>
      </c>
      <c r="L464" s="39">
        <v>0</v>
      </c>
      <c r="M464" s="39">
        <v>0</v>
      </c>
      <c r="N464" s="39">
        <v>0</v>
      </c>
      <c r="O464" s="39">
        <v>0</v>
      </c>
      <c r="P464" s="39">
        <v>0</v>
      </c>
      <c r="Q464" s="39">
        <v>0</v>
      </c>
      <c r="R464" s="39">
        <v>0</v>
      </c>
      <c r="S464" s="39">
        <v>0</v>
      </c>
      <c r="T464" s="39">
        <v>0</v>
      </c>
      <c r="U464" s="39">
        <v>0</v>
      </c>
      <c r="V464" s="39">
        <v>244</v>
      </c>
      <c r="W464" s="40" t="s">
        <v>682</v>
      </c>
      <c r="X464" s="39">
        <v>1</v>
      </c>
    </row>
    <row r="465" spans="1:24">
      <c r="A465" s="39">
        <v>1371</v>
      </c>
      <c r="B465" s="40" t="s">
        <v>4536</v>
      </c>
      <c r="C465" s="39">
        <v>0</v>
      </c>
      <c r="E465" s="39">
        <v>0</v>
      </c>
      <c r="F465" s="39">
        <v>160</v>
      </c>
      <c r="G465" s="39">
        <v>0</v>
      </c>
      <c r="H465" s="39">
        <v>0</v>
      </c>
      <c r="I465" s="39">
        <v>0</v>
      </c>
      <c r="J465" s="39">
        <v>0</v>
      </c>
      <c r="K465" s="39">
        <v>0</v>
      </c>
      <c r="L465" s="39">
        <v>0</v>
      </c>
      <c r="M465" s="39">
        <v>0</v>
      </c>
      <c r="N465" s="39">
        <v>0</v>
      </c>
      <c r="O465" s="39">
        <v>0</v>
      </c>
      <c r="P465" s="39">
        <v>0</v>
      </c>
      <c r="Q465" s="39">
        <v>0</v>
      </c>
      <c r="R465" s="39">
        <v>0</v>
      </c>
      <c r="S465" s="39">
        <v>0</v>
      </c>
      <c r="T465" s="39">
        <v>0</v>
      </c>
      <c r="U465" s="39">
        <v>0</v>
      </c>
      <c r="V465" s="39">
        <v>456</v>
      </c>
      <c r="W465" s="40" t="s">
        <v>7673</v>
      </c>
      <c r="X465" s="39">
        <v>1</v>
      </c>
    </row>
    <row r="466" spans="1:24">
      <c r="A466" s="39">
        <v>835</v>
      </c>
      <c r="B466" s="40" t="s">
        <v>4536</v>
      </c>
      <c r="C466" s="39">
        <v>0</v>
      </c>
      <c r="E466" s="39">
        <v>0</v>
      </c>
      <c r="F466" s="39">
        <v>160</v>
      </c>
      <c r="G466" s="39">
        <v>0</v>
      </c>
      <c r="H466" s="39">
        <v>0</v>
      </c>
      <c r="I466" s="39">
        <v>0</v>
      </c>
      <c r="J466" s="39">
        <v>0</v>
      </c>
      <c r="K466" s="39">
        <v>0</v>
      </c>
      <c r="L466" s="39">
        <v>0</v>
      </c>
      <c r="M466" s="39">
        <v>0</v>
      </c>
      <c r="N466" s="39">
        <v>0</v>
      </c>
      <c r="O466" s="39">
        <v>0</v>
      </c>
      <c r="P466" s="39">
        <v>0</v>
      </c>
      <c r="Q466" s="39">
        <v>0</v>
      </c>
      <c r="R466" s="39">
        <v>0</v>
      </c>
      <c r="S466" s="39">
        <v>0</v>
      </c>
      <c r="T466" s="39">
        <v>0</v>
      </c>
      <c r="U466" s="39">
        <v>0</v>
      </c>
      <c r="V466" s="39">
        <v>733</v>
      </c>
      <c r="W466" s="40" t="s">
        <v>7680</v>
      </c>
      <c r="X466" s="39">
        <v>1</v>
      </c>
    </row>
    <row r="467" spans="1:24">
      <c r="A467" s="39">
        <v>105</v>
      </c>
      <c r="B467" s="50" t="s">
        <v>2724</v>
      </c>
      <c r="C467" s="39">
        <v>1</v>
      </c>
      <c r="E467" s="39">
        <v>1</v>
      </c>
      <c r="F467" s="39">
        <v>320</v>
      </c>
      <c r="G467" s="39">
        <v>0</v>
      </c>
      <c r="H467" s="39">
        <v>0</v>
      </c>
      <c r="I467" s="39">
        <v>0</v>
      </c>
      <c r="J467" s="39">
        <v>0</v>
      </c>
      <c r="K467" s="39">
        <v>0</v>
      </c>
      <c r="L467" s="39">
        <v>0</v>
      </c>
      <c r="M467" s="39">
        <v>0</v>
      </c>
      <c r="N467" s="39">
        <v>0</v>
      </c>
      <c r="O467" s="39">
        <v>0</v>
      </c>
      <c r="P467" s="39">
        <v>0</v>
      </c>
      <c r="Q467" s="39">
        <v>0</v>
      </c>
      <c r="R467" s="39">
        <v>0</v>
      </c>
      <c r="S467" s="39">
        <v>0</v>
      </c>
      <c r="T467" s="39">
        <v>0</v>
      </c>
      <c r="U467" s="39">
        <v>0</v>
      </c>
      <c r="V467" s="39">
        <v>1</v>
      </c>
      <c r="W467" s="40" t="s">
        <v>518</v>
      </c>
      <c r="X467" s="39">
        <v>1</v>
      </c>
    </row>
    <row r="468" spans="1:24">
      <c r="A468" s="39">
        <v>17</v>
      </c>
      <c r="B468" s="40" t="s">
        <v>2724</v>
      </c>
      <c r="C468" s="39">
        <v>0</v>
      </c>
      <c r="D468" s="40" t="s">
        <v>7811</v>
      </c>
      <c r="E468" s="39">
        <v>1</v>
      </c>
      <c r="F468" s="39">
        <v>31</v>
      </c>
      <c r="G468" s="39">
        <v>1</v>
      </c>
      <c r="H468" s="39">
        <v>0</v>
      </c>
      <c r="I468" s="39">
        <v>0</v>
      </c>
      <c r="J468" s="39">
        <v>0</v>
      </c>
      <c r="K468" s="39">
        <v>0</v>
      </c>
      <c r="L468" s="39">
        <v>0</v>
      </c>
      <c r="M468" s="39">
        <v>0</v>
      </c>
      <c r="N468" s="39">
        <v>0</v>
      </c>
      <c r="O468" s="39">
        <v>0</v>
      </c>
      <c r="P468" s="39">
        <v>0</v>
      </c>
      <c r="Q468" s="39">
        <v>0</v>
      </c>
      <c r="R468" s="39">
        <v>0</v>
      </c>
      <c r="S468" s="39">
        <v>0</v>
      </c>
      <c r="T468" s="39">
        <v>0</v>
      </c>
      <c r="U468" s="39">
        <v>0</v>
      </c>
      <c r="V468" s="39">
        <v>2</v>
      </c>
      <c r="W468" s="40" t="s">
        <v>40</v>
      </c>
      <c r="X468" s="39">
        <v>1</v>
      </c>
    </row>
    <row r="469" spans="1:24">
      <c r="A469" s="39">
        <v>958</v>
      </c>
      <c r="B469" s="40" t="s">
        <v>2724</v>
      </c>
      <c r="C469" s="39">
        <v>1</v>
      </c>
      <c r="E469" s="39">
        <v>1</v>
      </c>
      <c r="F469" s="39">
        <v>320</v>
      </c>
      <c r="G469" s="39">
        <v>1</v>
      </c>
      <c r="H469" s="39">
        <v>1</v>
      </c>
      <c r="I469" s="39">
        <v>1</v>
      </c>
      <c r="J469" s="39">
        <v>0</v>
      </c>
      <c r="K469" s="39">
        <v>0</v>
      </c>
      <c r="L469" s="39">
        <v>0</v>
      </c>
      <c r="M469" s="39">
        <v>0</v>
      </c>
      <c r="N469" s="39">
        <v>0</v>
      </c>
      <c r="O469" s="39">
        <v>0</v>
      </c>
      <c r="P469" s="39">
        <v>0</v>
      </c>
      <c r="Q469" s="39">
        <v>0</v>
      </c>
      <c r="R469" s="39">
        <v>0</v>
      </c>
      <c r="S469" s="39">
        <v>0</v>
      </c>
      <c r="T469" s="39">
        <v>0</v>
      </c>
      <c r="U469" s="39">
        <v>0</v>
      </c>
      <c r="V469" s="39">
        <v>158</v>
      </c>
      <c r="W469" s="40" t="s">
        <v>7667</v>
      </c>
      <c r="X469" s="39">
        <v>1</v>
      </c>
    </row>
    <row r="470" spans="1:24">
      <c r="A470" s="39">
        <v>448</v>
      </c>
      <c r="B470" s="40" t="s">
        <v>2724</v>
      </c>
      <c r="C470" s="39">
        <v>1</v>
      </c>
      <c r="E470" s="39">
        <v>1</v>
      </c>
      <c r="F470" s="39">
        <v>320</v>
      </c>
      <c r="G470" s="39">
        <v>0</v>
      </c>
      <c r="H470" s="39">
        <v>0</v>
      </c>
      <c r="I470" s="39">
        <v>0</v>
      </c>
      <c r="J470" s="39">
        <v>0</v>
      </c>
      <c r="K470" s="39">
        <v>0</v>
      </c>
      <c r="L470" s="39">
        <v>0</v>
      </c>
      <c r="M470" s="39">
        <v>0</v>
      </c>
      <c r="N470" s="39">
        <v>0</v>
      </c>
      <c r="O470" s="39">
        <v>0</v>
      </c>
      <c r="P470" s="39">
        <v>0</v>
      </c>
      <c r="Q470" s="39">
        <v>0</v>
      </c>
      <c r="R470" s="39">
        <v>0</v>
      </c>
      <c r="S470" s="39">
        <v>0</v>
      </c>
      <c r="T470" s="39">
        <v>0</v>
      </c>
      <c r="U470" s="39">
        <v>0</v>
      </c>
      <c r="V470" s="39">
        <v>175</v>
      </c>
      <c r="W470" s="40" t="s">
        <v>7689</v>
      </c>
      <c r="X470" s="39">
        <v>1</v>
      </c>
    </row>
    <row r="471" spans="1:24">
      <c r="A471" s="39">
        <v>342</v>
      </c>
      <c r="B471" s="40" t="s">
        <v>2724</v>
      </c>
      <c r="C471" s="39">
        <v>1</v>
      </c>
      <c r="E471" s="39">
        <v>1</v>
      </c>
      <c r="F471" s="39">
        <v>320</v>
      </c>
      <c r="G471" s="39">
        <v>1</v>
      </c>
      <c r="H471" s="39">
        <v>1</v>
      </c>
      <c r="I471" s="39">
        <v>1</v>
      </c>
      <c r="J471" s="39">
        <v>0</v>
      </c>
      <c r="K471" s="39">
        <v>0</v>
      </c>
      <c r="L471" s="39">
        <v>0</v>
      </c>
      <c r="M471" s="39">
        <v>0</v>
      </c>
      <c r="N471" s="39">
        <v>0</v>
      </c>
      <c r="O471" s="39">
        <v>0</v>
      </c>
      <c r="P471" s="39">
        <v>0</v>
      </c>
      <c r="Q471" s="39">
        <v>0</v>
      </c>
      <c r="R471" s="39">
        <v>0</v>
      </c>
      <c r="S471" s="39">
        <v>0</v>
      </c>
      <c r="T471" s="39">
        <v>0</v>
      </c>
      <c r="U471" s="39">
        <v>0</v>
      </c>
      <c r="V471" s="39">
        <v>228</v>
      </c>
      <c r="W471" s="40" t="s">
        <v>7669</v>
      </c>
      <c r="X471" s="39">
        <v>1</v>
      </c>
    </row>
    <row r="472" spans="1:24">
      <c r="A472" s="39">
        <v>1716</v>
      </c>
      <c r="B472" s="40" t="s">
        <v>2724</v>
      </c>
      <c r="C472" s="39">
        <v>0</v>
      </c>
      <c r="E472" s="39">
        <v>1</v>
      </c>
      <c r="F472" s="39">
        <v>320</v>
      </c>
      <c r="G472" s="39">
        <v>0</v>
      </c>
      <c r="H472" s="39">
        <v>0</v>
      </c>
      <c r="I472" s="39">
        <v>0</v>
      </c>
      <c r="J472" s="39">
        <v>0</v>
      </c>
      <c r="K472" s="39">
        <v>0</v>
      </c>
      <c r="L472" s="39">
        <v>0</v>
      </c>
      <c r="M472" s="39">
        <v>0</v>
      </c>
      <c r="N472" s="39">
        <v>0</v>
      </c>
      <c r="O472" s="39">
        <v>0</v>
      </c>
      <c r="P472" s="39">
        <v>0</v>
      </c>
      <c r="Q472" s="39">
        <v>0</v>
      </c>
      <c r="R472" s="39">
        <v>0</v>
      </c>
      <c r="S472" s="39">
        <v>0</v>
      </c>
      <c r="T472" s="39">
        <v>0</v>
      </c>
      <c r="U472" s="39">
        <v>0</v>
      </c>
      <c r="V472" s="39">
        <v>244</v>
      </c>
      <c r="W472" s="40" t="s">
        <v>682</v>
      </c>
      <c r="X472" s="39">
        <v>1</v>
      </c>
    </row>
    <row r="473" spans="1:24">
      <c r="A473" s="39">
        <v>714</v>
      </c>
      <c r="B473" s="40" t="s">
        <v>2724</v>
      </c>
      <c r="C473" s="39">
        <v>1</v>
      </c>
      <c r="E473" s="39">
        <v>1</v>
      </c>
      <c r="F473" s="39">
        <v>320</v>
      </c>
      <c r="G473" s="39">
        <v>0</v>
      </c>
      <c r="H473" s="39">
        <v>0</v>
      </c>
      <c r="I473" s="39">
        <v>0</v>
      </c>
      <c r="J473" s="39">
        <v>0</v>
      </c>
      <c r="K473" s="39">
        <v>0</v>
      </c>
      <c r="L473" s="39">
        <v>0</v>
      </c>
      <c r="M473" s="39">
        <v>0</v>
      </c>
      <c r="N473" s="39">
        <v>0</v>
      </c>
      <c r="O473" s="39">
        <v>0</v>
      </c>
      <c r="P473" s="39">
        <v>0</v>
      </c>
      <c r="Q473" s="39">
        <v>0</v>
      </c>
      <c r="R473" s="39">
        <v>0</v>
      </c>
      <c r="S473" s="39">
        <v>0</v>
      </c>
      <c r="T473" s="39">
        <v>0</v>
      </c>
      <c r="U473" s="39">
        <v>0</v>
      </c>
      <c r="V473" s="39">
        <v>381</v>
      </c>
      <c r="W473" s="40" t="s">
        <v>7805</v>
      </c>
      <c r="X473" s="39">
        <v>1</v>
      </c>
    </row>
    <row r="474" spans="1:24">
      <c r="A474" s="39">
        <v>1225</v>
      </c>
      <c r="B474" s="40" t="s">
        <v>2724</v>
      </c>
      <c r="C474" s="39">
        <v>1</v>
      </c>
      <c r="E474" s="39">
        <v>1</v>
      </c>
      <c r="F474" s="39">
        <v>320</v>
      </c>
      <c r="G474" s="39">
        <v>1</v>
      </c>
      <c r="H474" s="39">
        <v>1</v>
      </c>
      <c r="I474" s="39">
        <v>1</v>
      </c>
      <c r="J474" s="39">
        <v>1</v>
      </c>
      <c r="K474" s="39">
        <v>0</v>
      </c>
      <c r="L474" s="39">
        <v>0</v>
      </c>
      <c r="M474" s="39">
        <v>0</v>
      </c>
      <c r="N474" s="39">
        <v>0</v>
      </c>
      <c r="O474" s="39">
        <v>0</v>
      </c>
      <c r="P474" s="39">
        <v>0</v>
      </c>
      <c r="Q474" s="39">
        <v>0</v>
      </c>
      <c r="R474" s="39">
        <v>0</v>
      </c>
      <c r="S474" s="39">
        <v>0</v>
      </c>
      <c r="T474" s="39">
        <v>0</v>
      </c>
      <c r="U474" s="39">
        <v>0</v>
      </c>
      <c r="V474" s="39">
        <v>418</v>
      </c>
      <c r="W474" s="40" t="s">
        <v>7671</v>
      </c>
      <c r="X474" s="39">
        <v>1</v>
      </c>
    </row>
    <row r="475" spans="1:24">
      <c r="A475" s="39">
        <v>1377</v>
      </c>
      <c r="B475" s="40" t="s">
        <v>2724</v>
      </c>
      <c r="C475" s="39">
        <v>1</v>
      </c>
      <c r="E475" s="39">
        <v>1</v>
      </c>
      <c r="F475" s="39">
        <v>320</v>
      </c>
      <c r="G475" s="39">
        <v>0</v>
      </c>
      <c r="H475" s="39">
        <v>0</v>
      </c>
      <c r="I475" s="39">
        <v>0</v>
      </c>
      <c r="J475" s="39">
        <v>0</v>
      </c>
      <c r="K475" s="39">
        <v>0</v>
      </c>
      <c r="L475" s="39">
        <v>0</v>
      </c>
      <c r="M475" s="39">
        <v>0</v>
      </c>
      <c r="N475" s="39">
        <v>0</v>
      </c>
      <c r="O475" s="39">
        <v>0</v>
      </c>
      <c r="P475" s="39">
        <v>0</v>
      </c>
      <c r="Q475" s="39">
        <v>0</v>
      </c>
      <c r="R475" s="39">
        <v>0</v>
      </c>
      <c r="S475" s="39">
        <v>0</v>
      </c>
      <c r="T475" s="39">
        <v>0</v>
      </c>
      <c r="U475" s="39">
        <v>0</v>
      </c>
      <c r="V475" s="39">
        <v>456</v>
      </c>
      <c r="W475" s="40" t="s">
        <v>7673</v>
      </c>
      <c r="X475" s="39">
        <v>1</v>
      </c>
    </row>
    <row r="476" spans="1:24">
      <c r="A476" s="39">
        <v>855</v>
      </c>
      <c r="B476" s="40" t="s">
        <v>2724</v>
      </c>
      <c r="C476" s="39">
        <v>1</v>
      </c>
      <c r="E476" s="39">
        <v>1</v>
      </c>
      <c r="F476" s="39">
        <v>320</v>
      </c>
      <c r="G476" s="39">
        <v>1</v>
      </c>
      <c r="H476" s="39">
        <v>1</v>
      </c>
      <c r="I476" s="39">
        <v>1</v>
      </c>
      <c r="J476" s="39">
        <v>0</v>
      </c>
      <c r="K476" s="39">
        <v>0</v>
      </c>
      <c r="L476" s="39">
        <v>0</v>
      </c>
      <c r="M476" s="39">
        <v>0</v>
      </c>
      <c r="N476" s="39">
        <v>0</v>
      </c>
      <c r="O476" s="39">
        <v>0</v>
      </c>
      <c r="P476" s="39">
        <v>0</v>
      </c>
      <c r="Q476" s="39">
        <v>0</v>
      </c>
      <c r="R476" s="39">
        <v>0</v>
      </c>
      <c r="S476" s="39">
        <v>0</v>
      </c>
      <c r="T476" s="39">
        <v>0</v>
      </c>
      <c r="U476" s="39">
        <v>0</v>
      </c>
      <c r="V476" s="39">
        <v>458</v>
      </c>
      <c r="W476" s="40" t="s">
        <v>7694</v>
      </c>
      <c r="X476" s="39">
        <v>1</v>
      </c>
    </row>
    <row r="477" spans="1:24">
      <c r="A477" s="39">
        <v>1137</v>
      </c>
      <c r="B477" s="40" t="s">
        <v>2724</v>
      </c>
      <c r="C477" s="39">
        <v>1</v>
      </c>
      <c r="E477" s="39">
        <v>1</v>
      </c>
      <c r="F477" s="39">
        <v>320</v>
      </c>
      <c r="G477" s="39">
        <v>1</v>
      </c>
      <c r="H477" s="39">
        <v>1</v>
      </c>
      <c r="I477" s="39">
        <v>1</v>
      </c>
      <c r="J477" s="39">
        <v>0</v>
      </c>
      <c r="K477" s="39">
        <v>0</v>
      </c>
      <c r="L477" s="39">
        <v>0</v>
      </c>
      <c r="M477" s="39">
        <v>0</v>
      </c>
      <c r="N477" s="39">
        <v>0</v>
      </c>
      <c r="O477" s="39">
        <v>0</v>
      </c>
      <c r="P477" s="39">
        <v>0</v>
      </c>
      <c r="Q477" s="39">
        <v>0</v>
      </c>
      <c r="R477" s="39">
        <v>0</v>
      </c>
      <c r="S477" s="39">
        <v>0</v>
      </c>
      <c r="T477" s="39">
        <v>0</v>
      </c>
      <c r="U477" s="39">
        <v>0</v>
      </c>
      <c r="V477" s="39">
        <v>459</v>
      </c>
      <c r="W477" s="40" t="s">
        <v>7674</v>
      </c>
      <c r="X477" s="39">
        <v>1</v>
      </c>
    </row>
    <row r="478" spans="1:24">
      <c r="A478" s="39">
        <v>602</v>
      </c>
      <c r="B478" s="40" t="s">
        <v>2724</v>
      </c>
      <c r="C478" s="39">
        <v>1</v>
      </c>
      <c r="E478" s="39">
        <v>1</v>
      </c>
      <c r="F478" s="39">
        <v>320</v>
      </c>
      <c r="G478" s="39">
        <v>1</v>
      </c>
      <c r="H478" s="39">
        <v>1</v>
      </c>
      <c r="I478" s="39">
        <v>1</v>
      </c>
      <c r="J478" s="39">
        <v>0</v>
      </c>
      <c r="K478" s="39">
        <v>0</v>
      </c>
      <c r="L478" s="39">
        <v>0</v>
      </c>
      <c r="M478" s="39">
        <v>0</v>
      </c>
      <c r="N478" s="39">
        <v>0</v>
      </c>
      <c r="O478" s="39">
        <v>0</v>
      </c>
      <c r="P478" s="39">
        <v>0</v>
      </c>
      <c r="Q478" s="39">
        <v>0</v>
      </c>
      <c r="R478" s="39">
        <v>0</v>
      </c>
      <c r="S478" s="39">
        <v>0</v>
      </c>
      <c r="T478" s="39">
        <v>0</v>
      </c>
      <c r="U478" s="39">
        <v>0</v>
      </c>
      <c r="V478" s="39">
        <v>468</v>
      </c>
      <c r="W478" s="40" t="s">
        <v>7677</v>
      </c>
      <c r="X478" s="39">
        <v>1</v>
      </c>
    </row>
    <row r="479" spans="1:24">
      <c r="A479" s="39">
        <v>1040</v>
      </c>
      <c r="B479" s="40" t="s">
        <v>2724</v>
      </c>
      <c r="C479" s="39">
        <v>1</v>
      </c>
      <c r="E479" s="39">
        <v>1</v>
      </c>
      <c r="F479" s="39">
        <v>320</v>
      </c>
      <c r="G479" s="39">
        <v>1</v>
      </c>
      <c r="H479" s="39">
        <v>1</v>
      </c>
      <c r="I479" s="39">
        <v>1</v>
      </c>
      <c r="J479" s="39">
        <v>1</v>
      </c>
      <c r="K479" s="39">
        <v>0</v>
      </c>
      <c r="L479" s="39">
        <v>0</v>
      </c>
      <c r="M479" s="39">
        <v>0</v>
      </c>
      <c r="N479" s="39">
        <v>0</v>
      </c>
      <c r="O479" s="39">
        <v>0</v>
      </c>
      <c r="P479" s="39">
        <v>0</v>
      </c>
      <c r="Q479" s="39">
        <v>0</v>
      </c>
      <c r="R479" s="39">
        <v>0</v>
      </c>
      <c r="S479" s="39">
        <v>0</v>
      </c>
      <c r="T479" s="39">
        <v>0</v>
      </c>
      <c r="U479" s="39">
        <v>0</v>
      </c>
      <c r="V479" s="39">
        <v>477</v>
      </c>
      <c r="W479" s="40" t="s">
        <v>7697</v>
      </c>
      <c r="X479" s="39">
        <v>1</v>
      </c>
    </row>
    <row r="480" spans="1:24">
      <c r="A480" s="39">
        <v>227</v>
      </c>
      <c r="B480" s="40" t="s">
        <v>2724</v>
      </c>
      <c r="C480" s="39">
        <v>1</v>
      </c>
      <c r="E480" s="39">
        <v>1</v>
      </c>
      <c r="F480" s="39">
        <v>320</v>
      </c>
      <c r="G480" s="39">
        <v>1</v>
      </c>
      <c r="H480" s="39">
        <v>1</v>
      </c>
      <c r="I480" s="39">
        <v>1</v>
      </c>
      <c r="J480" s="39">
        <v>0</v>
      </c>
      <c r="K480" s="39">
        <v>0</v>
      </c>
      <c r="L480" s="39">
        <v>0</v>
      </c>
      <c r="M480" s="39">
        <v>0</v>
      </c>
      <c r="N480" s="39">
        <v>0</v>
      </c>
      <c r="O480" s="39">
        <v>0</v>
      </c>
      <c r="P480" s="39">
        <v>0</v>
      </c>
      <c r="Q480" s="39">
        <v>0</v>
      </c>
      <c r="R480" s="39">
        <v>0</v>
      </c>
      <c r="S480" s="39">
        <v>0</v>
      </c>
      <c r="T480" s="39">
        <v>0</v>
      </c>
      <c r="U480" s="39">
        <v>0</v>
      </c>
      <c r="V480" s="39">
        <v>590</v>
      </c>
      <c r="W480" s="40" t="s">
        <v>7679</v>
      </c>
      <c r="X480" s="39">
        <v>1</v>
      </c>
    </row>
    <row r="481" spans="1:24">
      <c r="A481" s="39">
        <v>775</v>
      </c>
      <c r="B481" s="40" t="s">
        <v>2724</v>
      </c>
      <c r="C481" s="39">
        <v>1</v>
      </c>
      <c r="E481" s="39">
        <v>1</v>
      </c>
      <c r="F481" s="39">
        <v>320</v>
      </c>
      <c r="G481" s="39">
        <v>1</v>
      </c>
      <c r="H481" s="39">
        <v>1</v>
      </c>
      <c r="I481" s="39">
        <v>1</v>
      </c>
      <c r="J481" s="39">
        <v>0</v>
      </c>
      <c r="K481" s="39">
        <v>0</v>
      </c>
      <c r="L481" s="39">
        <v>0</v>
      </c>
      <c r="M481" s="39">
        <v>0</v>
      </c>
      <c r="N481" s="39">
        <v>0</v>
      </c>
      <c r="O481" s="39">
        <v>0</v>
      </c>
      <c r="P481" s="39">
        <v>0</v>
      </c>
      <c r="Q481" s="39">
        <v>0</v>
      </c>
      <c r="R481" s="39">
        <v>0</v>
      </c>
      <c r="S481" s="39">
        <v>0</v>
      </c>
      <c r="T481" s="39">
        <v>0</v>
      </c>
      <c r="U481" s="39">
        <v>0</v>
      </c>
      <c r="V481" s="39">
        <v>733</v>
      </c>
      <c r="W481" s="40" t="s">
        <v>7680</v>
      </c>
      <c r="X481" s="39">
        <v>1</v>
      </c>
    </row>
    <row r="482" spans="1:24">
      <c r="A482" s="39">
        <v>663</v>
      </c>
      <c r="B482" s="40" t="s">
        <v>7812</v>
      </c>
      <c r="C482" s="39">
        <v>0</v>
      </c>
      <c r="D482" s="40" t="s">
        <v>7813</v>
      </c>
      <c r="E482" s="39">
        <v>0</v>
      </c>
      <c r="F482" s="39">
        <v>2044</v>
      </c>
      <c r="G482" s="39">
        <v>0</v>
      </c>
      <c r="H482" s="39">
        <v>0</v>
      </c>
      <c r="I482" s="39">
        <v>0</v>
      </c>
      <c r="J482" s="39">
        <v>0</v>
      </c>
      <c r="K482" s="39">
        <v>0</v>
      </c>
      <c r="L482" s="39">
        <v>0</v>
      </c>
      <c r="M482" s="39">
        <v>0</v>
      </c>
      <c r="N482" s="39">
        <v>0</v>
      </c>
      <c r="O482" s="39">
        <v>0</v>
      </c>
      <c r="P482" s="39">
        <v>0</v>
      </c>
      <c r="Q482" s="39">
        <v>0</v>
      </c>
      <c r="R482" s="39">
        <v>0</v>
      </c>
      <c r="S482" s="39">
        <v>0</v>
      </c>
      <c r="T482" s="39">
        <v>0</v>
      </c>
      <c r="U482" s="39">
        <v>0</v>
      </c>
      <c r="V482" s="39">
        <v>228</v>
      </c>
      <c r="W482" s="40" t="s">
        <v>7669</v>
      </c>
      <c r="X482" s="39">
        <v>1</v>
      </c>
    </row>
    <row r="483" spans="1:24">
      <c r="A483" s="39">
        <v>1226</v>
      </c>
      <c r="B483" s="40" t="s">
        <v>7812</v>
      </c>
      <c r="C483" s="39">
        <v>0</v>
      </c>
      <c r="E483" s="39">
        <v>0</v>
      </c>
      <c r="F483" s="39">
        <v>2071</v>
      </c>
      <c r="G483" s="39">
        <v>0</v>
      </c>
      <c r="H483" s="39">
        <v>0</v>
      </c>
      <c r="I483" s="39">
        <v>0</v>
      </c>
      <c r="J483" s="39">
        <v>0</v>
      </c>
      <c r="K483" s="39">
        <v>0</v>
      </c>
      <c r="L483" s="39">
        <v>0</v>
      </c>
      <c r="M483" s="39">
        <v>0</v>
      </c>
      <c r="N483" s="39">
        <v>0</v>
      </c>
      <c r="O483" s="39">
        <v>0</v>
      </c>
      <c r="P483" s="39">
        <v>0</v>
      </c>
      <c r="Q483" s="39">
        <v>0</v>
      </c>
      <c r="R483" s="39">
        <v>0</v>
      </c>
      <c r="S483" s="39">
        <v>0</v>
      </c>
      <c r="T483" s="39">
        <v>0</v>
      </c>
      <c r="U483" s="39">
        <v>0</v>
      </c>
      <c r="V483" s="39">
        <v>418</v>
      </c>
      <c r="W483" s="40" t="s">
        <v>7671</v>
      </c>
      <c r="X483" s="39">
        <v>1</v>
      </c>
    </row>
    <row r="484" spans="1:24">
      <c r="A484" s="39">
        <v>303</v>
      </c>
      <c r="B484" s="40" t="s">
        <v>7812</v>
      </c>
      <c r="C484" s="39">
        <v>0</v>
      </c>
      <c r="D484" s="40" t="s">
        <v>7813</v>
      </c>
      <c r="E484" s="39">
        <v>0</v>
      </c>
      <c r="F484" s="39">
        <v>2044</v>
      </c>
      <c r="G484" s="39">
        <v>0</v>
      </c>
      <c r="H484" s="39">
        <v>0</v>
      </c>
      <c r="I484" s="39">
        <v>0</v>
      </c>
      <c r="J484" s="39">
        <v>0</v>
      </c>
      <c r="K484" s="39">
        <v>0</v>
      </c>
      <c r="L484" s="39">
        <v>0</v>
      </c>
      <c r="M484" s="39">
        <v>0</v>
      </c>
      <c r="N484" s="39">
        <v>0</v>
      </c>
      <c r="O484" s="39">
        <v>0</v>
      </c>
      <c r="P484" s="39">
        <v>0</v>
      </c>
      <c r="Q484" s="39">
        <v>0</v>
      </c>
      <c r="R484" s="39">
        <v>0</v>
      </c>
      <c r="S484" s="39">
        <v>0</v>
      </c>
      <c r="T484" s="39">
        <v>0</v>
      </c>
      <c r="U484" s="39">
        <v>0</v>
      </c>
      <c r="V484" s="39">
        <v>590</v>
      </c>
      <c r="W484" s="40" t="s">
        <v>7679</v>
      </c>
      <c r="X484" s="39">
        <v>1</v>
      </c>
    </row>
    <row r="485" spans="1:24">
      <c r="A485" s="39">
        <v>73</v>
      </c>
      <c r="B485" s="40" t="s">
        <v>7814</v>
      </c>
      <c r="C485" s="39">
        <v>0</v>
      </c>
      <c r="E485" s="39">
        <v>0</v>
      </c>
      <c r="F485" s="39">
        <v>61</v>
      </c>
      <c r="G485" s="39">
        <v>0</v>
      </c>
      <c r="H485" s="39">
        <v>0</v>
      </c>
      <c r="I485" s="39">
        <v>0</v>
      </c>
      <c r="J485" s="39">
        <v>0</v>
      </c>
      <c r="K485" s="39">
        <v>0</v>
      </c>
      <c r="L485" s="39">
        <v>0</v>
      </c>
      <c r="M485" s="39">
        <v>0</v>
      </c>
      <c r="N485" s="39">
        <v>0</v>
      </c>
      <c r="O485" s="39">
        <v>0</v>
      </c>
      <c r="P485" s="39">
        <v>0</v>
      </c>
      <c r="Q485" s="39">
        <v>0</v>
      </c>
      <c r="R485" s="39">
        <v>0</v>
      </c>
      <c r="S485" s="39">
        <v>0</v>
      </c>
      <c r="T485" s="39">
        <v>0</v>
      </c>
      <c r="U485" s="39">
        <v>0</v>
      </c>
      <c r="V485" s="39">
        <v>2</v>
      </c>
      <c r="W485" s="40" t="s">
        <v>40</v>
      </c>
      <c r="X485" s="39">
        <v>1</v>
      </c>
    </row>
    <row r="486" spans="1:24">
      <c r="A486" s="39">
        <v>102</v>
      </c>
      <c r="B486" s="40" t="s">
        <v>7815</v>
      </c>
      <c r="C486" s="39">
        <v>0</v>
      </c>
      <c r="E486" s="39">
        <v>0</v>
      </c>
      <c r="F486" s="39">
        <v>150</v>
      </c>
      <c r="G486" s="39">
        <v>0</v>
      </c>
      <c r="H486" s="39">
        <v>0</v>
      </c>
      <c r="I486" s="39">
        <v>0</v>
      </c>
      <c r="J486" s="39">
        <v>0</v>
      </c>
      <c r="K486" s="39">
        <v>0</v>
      </c>
      <c r="L486" s="39">
        <v>0</v>
      </c>
      <c r="M486" s="39">
        <v>0</v>
      </c>
      <c r="N486" s="39">
        <v>0</v>
      </c>
      <c r="O486" s="39">
        <v>0</v>
      </c>
      <c r="P486" s="39">
        <v>0</v>
      </c>
      <c r="Q486" s="39">
        <v>0</v>
      </c>
      <c r="R486" s="39">
        <v>0</v>
      </c>
      <c r="S486" s="39">
        <v>0</v>
      </c>
      <c r="T486" s="39">
        <v>0</v>
      </c>
      <c r="U486" s="39">
        <v>0</v>
      </c>
      <c r="V486" s="39">
        <v>1</v>
      </c>
      <c r="W486" s="40" t="s">
        <v>518</v>
      </c>
      <c r="X486" s="39">
        <v>1</v>
      </c>
    </row>
    <row r="487" spans="1:24">
      <c r="A487" s="39">
        <v>14</v>
      </c>
      <c r="B487" s="40" t="s">
        <v>7815</v>
      </c>
      <c r="C487" s="39">
        <v>0</v>
      </c>
      <c r="E487" s="39">
        <v>0</v>
      </c>
      <c r="F487" s="39">
        <v>52</v>
      </c>
      <c r="G487" s="39">
        <v>0</v>
      </c>
      <c r="H487" s="39">
        <v>0</v>
      </c>
      <c r="I487" s="39">
        <v>0</v>
      </c>
      <c r="J487" s="39">
        <v>0</v>
      </c>
      <c r="K487" s="39">
        <v>0</v>
      </c>
      <c r="L487" s="39">
        <v>0</v>
      </c>
      <c r="M487" s="39">
        <v>0</v>
      </c>
      <c r="N487" s="39">
        <v>0</v>
      </c>
      <c r="O487" s="39">
        <v>0</v>
      </c>
      <c r="P487" s="39">
        <v>0</v>
      </c>
      <c r="Q487" s="39">
        <v>0</v>
      </c>
      <c r="R487" s="39">
        <v>0</v>
      </c>
      <c r="S487" s="39">
        <v>0</v>
      </c>
      <c r="T487" s="39">
        <v>0</v>
      </c>
      <c r="U487" s="39">
        <v>0</v>
      </c>
      <c r="V487" s="39">
        <v>2</v>
      </c>
      <c r="W487" s="40" t="s">
        <v>40</v>
      </c>
      <c r="X487" s="39">
        <v>1</v>
      </c>
    </row>
    <row r="488" spans="1:24">
      <c r="A488" s="39">
        <v>959</v>
      </c>
      <c r="B488" s="40" t="s">
        <v>7815</v>
      </c>
      <c r="C488" s="39">
        <v>0</v>
      </c>
      <c r="E488" s="39">
        <v>1</v>
      </c>
      <c r="F488" s="39">
        <v>150</v>
      </c>
      <c r="G488" s="39">
        <v>1</v>
      </c>
      <c r="H488" s="39">
        <v>1</v>
      </c>
      <c r="I488" s="39">
        <v>1</v>
      </c>
      <c r="J488" s="39">
        <v>0</v>
      </c>
      <c r="K488" s="39">
        <v>0</v>
      </c>
      <c r="L488" s="39">
        <v>0</v>
      </c>
      <c r="M488" s="39">
        <v>0</v>
      </c>
      <c r="N488" s="39">
        <v>0</v>
      </c>
      <c r="O488" s="39">
        <v>0</v>
      </c>
      <c r="P488" s="39">
        <v>0</v>
      </c>
      <c r="Q488" s="39">
        <v>0</v>
      </c>
      <c r="R488" s="39">
        <v>0</v>
      </c>
      <c r="S488" s="39">
        <v>0</v>
      </c>
      <c r="T488" s="39">
        <v>0</v>
      </c>
      <c r="U488" s="39">
        <v>0</v>
      </c>
      <c r="V488" s="39">
        <v>158</v>
      </c>
      <c r="W488" s="40" t="s">
        <v>7667</v>
      </c>
      <c r="X488" s="39">
        <v>1</v>
      </c>
    </row>
    <row r="489" spans="1:24">
      <c r="A489" s="39">
        <v>449</v>
      </c>
      <c r="B489" s="40" t="s">
        <v>7815</v>
      </c>
      <c r="C489" s="39">
        <v>0</v>
      </c>
      <c r="E489" s="39">
        <v>0</v>
      </c>
      <c r="F489" s="39">
        <v>150</v>
      </c>
      <c r="G489" s="39">
        <v>1</v>
      </c>
      <c r="H489" s="39">
        <v>1</v>
      </c>
      <c r="I489" s="39">
        <v>1</v>
      </c>
      <c r="J489" s="39">
        <v>0</v>
      </c>
      <c r="K489" s="39">
        <v>0</v>
      </c>
      <c r="L489" s="39">
        <v>0</v>
      </c>
      <c r="M489" s="39">
        <v>0</v>
      </c>
      <c r="N489" s="39">
        <v>0</v>
      </c>
      <c r="O489" s="39">
        <v>0</v>
      </c>
      <c r="P489" s="39">
        <v>0</v>
      </c>
      <c r="Q489" s="39">
        <v>0</v>
      </c>
      <c r="R489" s="39">
        <v>0</v>
      </c>
      <c r="S489" s="39">
        <v>0</v>
      </c>
      <c r="T489" s="39">
        <v>0</v>
      </c>
      <c r="U489" s="39">
        <v>0</v>
      </c>
      <c r="V489" s="39">
        <v>175</v>
      </c>
      <c r="W489" s="40" t="s">
        <v>7689</v>
      </c>
      <c r="X489" s="39">
        <v>1</v>
      </c>
    </row>
    <row r="490" spans="1:24">
      <c r="A490" s="39">
        <v>343</v>
      </c>
      <c r="B490" s="40" t="s">
        <v>7815</v>
      </c>
      <c r="C490" s="39">
        <v>0</v>
      </c>
      <c r="E490" s="39">
        <v>0</v>
      </c>
      <c r="F490" s="39">
        <v>150</v>
      </c>
      <c r="G490" s="39">
        <v>1</v>
      </c>
      <c r="H490" s="39">
        <v>1</v>
      </c>
      <c r="I490" s="39">
        <v>1</v>
      </c>
      <c r="J490" s="39">
        <v>0</v>
      </c>
      <c r="K490" s="39">
        <v>0</v>
      </c>
      <c r="L490" s="39">
        <v>0</v>
      </c>
      <c r="M490" s="39">
        <v>0</v>
      </c>
      <c r="N490" s="39">
        <v>0</v>
      </c>
      <c r="O490" s="39">
        <v>0</v>
      </c>
      <c r="P490" s="39">
        <v>0</v>
      </c>
      <c r="Q490" s="39">
        <v>0</v>
      </c>
      <c r="R490" s="39">
        <v>0</v>
      </c>
      <c r="S490" s="39">
        <v>0</v>
      </c>
      <c r="T490" s="39">
        <v>0</v>
      </c>
      <c r="U490" s="39">
        <v>0</v>
      </c>
      <c r="V490" s="39">
        <v>228</v>
      </c>
      <c r="W490" s="40" t="s">
        <v>7669</v>
      </c>
      <c r="X490" s="39">
        <v>1</v>
      </c>
    </row>
    <row r="491" spans="1:24">
      <c r="A491" s="39">
        <v>1713</v>
      </c>
      <c r="B491" s="40" t="s">
        <v>7815</v>
      </c>
      <c r="C491" s="39">
        <v>0</v>
      </c>
      <c r="E491" s="39">
        <v>0</v>
      </c>
      <c r="F491" s="39">
        <v>150</v>
      </c>
      <c r="G491" s="39">
        <v>0</v>
      </c>
      <c r="H491" s="39">
        <v>0</v>
      </c>
      <c r="I491" s="39">
        <v>0</v>
      </c>
      <c r="J491" s="39">
        <v>0</v>
      </c>
      <c r="K491" s="39">
        <v>0</v>
      </c>
      <c r="L491" s="39">
        <v>0</v>
      </c>
      <c r="M491" s="39">
        <v>0</v>
      </c>
      <c r="N491" s="39">
        <v>0</v>
      </c>
      <c r="O491" s="39">
        <v>0</v>
      </c>
      <c r="P491" s="39">
        <v>0</v>
      </c>
      <c r="Q491" s="39">
        <v>0</v>
      </c>
      <c r="R491" s="39">
        <v>0</v>
      </c>
      <c r="S491" s="39">
        <v>0</v>
      </c>
      <c r="T491" s="39">
        <v>0</v>
      </c>
      <c r="U491" s="39">
        <v>0</v>
      </c>
      <c r="V491" s="39">
        <v>244</v>
      </c>
      <c r="W491" s="40" t="s">
        <v>682</v>
      </c>
      <c r="X491" s="39">
        <v>1</v>
      </c>
    </row>
    <row r="492" spans="1:24">
      <c r="A492" s="39">
        <v>1227</v>
      </c>
      <c r="B492" s="40" t="s">
        <v>7815</v>
      </c>
      <c r="C492" s="39">
        <v>0</v>
      </c>
      <c r="E492" s="39">
        <v>1</v>
      </c>
      <c r="F492" s="39">
        <v>150</v>
      </c>
      <c r="G492" s="39">
        <v>0</v>
      </c>
      <c r="H492" s="39">
        <v>0</v>
      </c>
      <c r="I492" s="39">
        <v>0</v>
      </c>
      <c r="J492" s="39">
        <v>0</v>
      </c>
      <c r="K492" s="39">
        <v>0</v>
      </c>
      <c r="L492" s="39">
        <v>0</v>
      </c>
      <c r="M492" s="39">
        <v>0</v>
      </c>
      <c r="N492" s="39">
        <v>0</v>
      </c>
      <c r="O492" s="39">
        <v>0</v>
      </c>
      <c r="P492" s="39">
        <v>0</v>
      </c>
      <c r="Q492" s="39">
        <v>0</v>
      </c>
      <c r="R492" s="39">
        <v>0</v>
      </c>
      <c r="S492" s="39">
        <v>0</v>
      </c>
      <c r="T492" s="39">
        <v>0</v>
      </c>
      <c r="U492" s="39">
        <v>0</v>
      </c>
      <c r="V492" s="39">
        <v>418</v>
      </c>
      <c r="W492" s="40" t="s">
        <v>7671</v>
      </c>
      <c r="X492" s="39">
        <v>1</v>
      </c>
    </row>
    <row r="493" spans="1:24">
      <c r="A493" s="39">
        <v>1374</v>
      </c>
      <c r="B493" s="40" t="s">
        <v>7815</v>
      </c>
      <c r="C493" s="39">
        <v>0</v>
      </c>
      <c r="E493" s="39">
        <v>0</v>
      </c>
      <c r="F493" s="39">
        <v>150</v>
      </c>
      <c r="G493" s="39">
        <v>0</v>
      </c>
      <c r="H493" s="39">
        <v>0</v>
      </c>
      <c r="I493" s="39">
        <v>0</v>
      </c>
      <c r="J493" s="39">
        <v>0</v>
      </c>
      <c r="K493" s="39">
        <v>0</v>
      </c>
      <c r="L493" s="39">
        <v>0</v>
      </c>
      <c r="M493" s="39">
        <v>0</v>
      </c>
      <c r="N493" s="39">
        <v>0</v>
      </c>
      <c r="O493" s="39">
        <v>0</v>
      </c>
      <c r="P493" s="39">
        <v>0</v>
      </c>
      <c r="Q493" s="39">
        <v>0</v>
      </c>
      <c r="R493" s="39">
        <v>0</v>
      </c>
      <c r="S493" s="39">
        <v>0</v>
      </c>
      <c r="T493" s="39">
        <v>0</v>
      </c>
      <c r="U493" s="39">
        <v>0</v>
      </c>
      <c r="V493" s="39">
        <v>456</v>
      </c>
      <c r="W493" s="40" t="s">
        <v>7673</v>
      </c>
      <c r="X493" s="39">
        <v>1</v>
      </c>
    </row>
    <row r="494" spans="1:24">
      <c r="A494" s="39">
        <v>899</v>
      </c>
      <c r="B494" s="40" t="s">
        <v>7815</v>
      </c>
      <c r="C494" s="39">
        <v>0</v>
      </c>
      <c r="E494" s="39">
        <v>1</v>
      </c>
      <c r="F494" s="39">
        <v>150</v>
      </c>
      <c r="G494" s="39">
        <v>1</v>
      </c>
      <c r="H494" s="39">
        <v>1</v>
      </c>
      <c r="I494" s="39">
        <v>1</v>
      </c>
      <c r="J494" s="39">
        <v>0</v>
      </c>
      <c r="K494" s="39">
        <v>0</v>
      </c>
      <c r="L494" s="39">
        <v>0</v>
      </c>
      <c r="M494" s="39">
        <v>0</v>
      </c>
      <c r="N494" s="39">
        <v>0</v>
      </c>
      <c r="O494" s="39">
        <v>0</v>
      </c>
      <c r="P494" s="39">
        <v>0</v>
      </c>
      <c r="Q494" s="39">
        <v>0</v>
      </c>
      <c r="R494" s="39">
        <v>0</v>
      </c>
      <c r="S494" s="39">
        <v>0</v>
      </c>
      <c r="T494" s="39">
        <v>0</v>
      </c>
      <c r="U494" s="39">
        <v>0</v>
      </c>
      <c r="V494" s="39">
        <v>458</v>
      </c>
      <c r="W494" s="40" t="s">
        <v>7694</v>
      </c>
      <c r="X494" s="39">
        <v>1</v>
      </c>
    </row>
    <row r="495" spans="1:24">
      <c r="A495" s="39">
        <v>1138</v>
      </c>
      <c r="B495" s="40" t="s">
        <v>7815</v>
      </c>
      <c r="C495" s="39">
        <v>0</v>
      </c>
      <c r="E495" s="39">
        <v>1</v>
      </c>
      <c r="F495" s="39">
        <v>150</v>
      </c>
      <c r="G495" s="39">
        <v>1</v>
      </c>
      <c r="H495" s="39">
        <v>1</v>
      </c>
      <c r="I495" s="39">
        <v>1</v>
      </c>
      <c r="J495" s="39">
        <v>0</v>
      </c>
      <c r="K495" s="39">
        <v>0</v>
      </c>
      <c r="L495" s="39">
        <v>0</v>
      </c>
      <c r="M495" s="39">
        <v>0</v>
      </c>
      <c r="N495" s="39">
        <v>0</v>
      </c>
      <c r="O495" s="39">
        <v>0</v>
      </c>
      <c r="P495" s="39">
        <v>0</v>
      </c>
      <c r="Q495" s="39">
        <v>0</v>
      </c>
      <c r="R495" s="39">
        <v>0</v>
      </c>
      <c r="S495" s="39">
        <v>0</v>
      </c>
      <c r="T495" s="39">
        <v>0</v>
      </c>
      <c r="U495" s="39">
        <v>0</v>
      </c>
      <c r="V495" s="39">
        <v>459</v>
      </c>
      <c r="W495" s="40" t="s">
        <v>7674</v>
      </c>
      <c r="X495" s="39">
        <v>1</v>
      </c>
    </row>
    <row r="496" spans="1:24">
      <c r="A496" s="39">
        <v>603</v>
      </c>
      <c r="B496" s="40" t="s">
        <v>7815</v>
      </c>
      <c r="C496" s="39">
        <v>0</v>
      </c>
      <c r="E496" s="39">
        <v>0</v>
      </c>
      <c r="F496" s="39">
        <v>150</v>
      </c>
      <c r="G496" s="39">
        <v>1</v>
      </c>
      <c r="H496" s="39">
        <v>1</v>
      </c>
      <c r="I496" s="39">
        <v>1</v>
      </c>
      <c r="J496" s="39">
        <v>0</v>
      </c>
      <c r="K496" s="39">
        <v>0</v>
      </c>
      <c r="L496" s="39">
        <v>0</v>
      </c>
      <c r="M496" s="39">
        <v>0</v>
      </c>
      <c r="N496" s="39">
        <v>0</v>
      </c>
      <c r="O496" s="39">
        <v>0</v>
      </c>
      <c r="P496" s="39">
        <v>0</v>
      </c>
      <c r="Q496" s="39">
        <v>0</v>
      </c>
      <c r="R496" s="39">
        <v>0</v>
      </c>
      <c r="S496" s="39">
        <v>0</v>
      </c>
      <c r="T496" s="39">
        <v>0</v>
      </c>
      <c r="U496" s="39">
        <v>0</v>
      </c>
      <c r="V496" s="39">
        <v>468</v>
      </c>
      <c r="W496" s="40" t="s">
        <v>7677</v>
      </c>
      <c r="X496" s="39">
        <v>1</v>
      </c>
    </row>
    <row r="497" spans="1:24">
      <c r="A497" s="39">
        <v>1041</v>
      </c>
      <c r="B497" s="40" t="s">
        <v>7815</v>
      </c>
      <c r="C497" s="39">
        <v>0</v>
      </c>
      <c r="E497" s="39">
        <v>1</v>
      </c>
      <c r="F497" s="39">
        <v>150</v>
      </c>
      <c r="G497" s="39">
        <v>1</v>
      </c>
      <c r="H497" s="39">
        <v>1</v>
      </c>
      <c r="I497" s="39">
        <v>1</v>
      </c>
      <c r="J497" s="39">
        <v>0</v>
      </c>
      <c r="K497" s="39">
        <v>0</v>
      </c>
      <c r="L497" s="39">
        <v>0</v>
      </c>
      <c r="M497" s="39">
        <v>0</v>
      </c>
      <c r="N497" s="39">
        <v>0</v>
      </c>
      <c r="O497" s="39">
        <v>0</v>
      </c>
      <c r="P497" s="39">
        <v>0</v>
      </c>
      <c r="Q497" s="39">
        <v>0</v>
      </c>
      <c r="R497" s="39">
        <v>0</v>
      </c>
      <c r="S497" s="39">
        <v>0</v>
      </c>
      <c r="T497" s="39">
        <v>0</v>
      </c>
      <c r="U497" s="39">
        <v>0</v>
      </c>
      <c r="V497" s="39">
        <v>477</v>
      </c>
      <c r="W497" s="40" t="s">
        <v>7697</v>
      </c>
      <c r="X497" s="39">
        <v>1</v>
      </c>
    </row>
    <row r="498" spans="1:24">
      <c r="A498" s="39">
        <v>228</v>
      </c>
      <c r="B498" s="40" t="s">
        <v>7815</v>
      </c>
      <c r="C498" s="39">
        <v>0</v>
      </c>
      <c r="E498" s="39">
        <v>0</v>
      </c>
      <c r="F498" s="39">
        <v>150</v>
      </c>
      <c r="G498" s="39">
        <v>1</v>
      </c>
      <c r="H498" s="39">
        <v>1</v>
      </c>
      <c r="I498" s="39">
        <v>1</v>
      </c>
      <c r="J498" s="39">
        <v>0</v>
      </c>
      <c r="K498" s="39">
        <v>0</v>
      </c>
      <c r="L498" s="39">
        <v>0</v>
      </c>
      <c r="M498" s="39">
        <v>0</v>
      </c>
      <c r="N498" s="39">
        <v>0</v>
      </c>
      <c r="O498" s="39">
        <v>0</v>
      </c>
      <c r="P498" s="39">
        <v>0</v>
      </c>
      <c r="Q498" s="39">
        <v>0</v>
      </c>
      <c r="R498" s="39">
        <v>0</v>
      </c>
      <c r="S498" s="39">
        <v>0</v>
      </c>
      <c r="T498" s="39">
        <v>0</v>
      </c>
      <c r="U498" s="39">
        <v>0</v>
      </c>
      <c r="V498" s="39">
        <v>590</v>
      </c>
      <c r="W498" s="40" t="s">
        <v>7679</v>
      </c>
      <c r="X498" s="39">
        <v>1</v>
      </c>
    </row>
    <row r="499" spans="1:24">
      <c r="A499" s="39">
        <v>776</v>
      </c>
      <c r="B499" s="40" t="s">
        <v>7815</v>
      </c>
      <c r="C499" s="39">
        <v>0</v>
      </c>
      <c r="E499" s="39">
        <v>1</v>
      </c>
      <c r="F499" s="39">
        <v>150</v>
      </c>
      <c r="G499" s="39">
        <v>1</v>
      </c>
      <c r="H499" s="39">
        <v>1</v>
      </c>
      <c r="I499" s="39">
        <v>1</v>
      </c>
      <c r="J499" s="39">
        <v>0</v>
      </c>
      <c r="K499" s="39">
        <v>0</v>
      </c>
      <c r="L499" s="39">
        <v>0</v>
      </c>
      <c r="M499" s="39">
        <v>0</v>
      </c>
      <c r="N499" s="39">
        <v>0</v>
      </c>
      <c r="O499" s="39">
        <v>0</v>
      </c>
      <c r="P499" s="39">
        <v>0</v>
      </c>
      <c r="Q499" s="39">
        <v>0</v>
      </c>
      <c r="R499" s="39">
        <v>0</v>
      </c>
      <c r="S499" s="39">
        <v>0</v>
      </c>
      <c r="T499" s="39">
        <v>0</v>
      </c>
      <c r="U499" s="39">
        <v>0</v>
      </c>
      <c r="V499" s="39">
        <v>733</v>
      </c>
      <c r="W499" s="40" t="s">
        <v>7680</v>
      </c>
      <c r="X499" s="39">
        <v>1</v>
      </c>
    </row>
    <row r="500" spans="1:24">
      <c r="A500" s="39">
        <v>100</v>
      </c>
      <c r="B500" s="40" t="s">
        <v>7816</v>
      </c>
      <c r="C500" s="39">
        <v>0</v>
      </c>
      <c r="E500" s="39">
        <v>0</v>
      </c>
      <c r="F500" s="39">
        <v>1505</v>
      </c>
      <c r="G500" s="39">
        <v>0</v>
      </c>
      <c r="H500" s="39">
        <v>0</v>
      </c>
      <c r="I500" s="39">
        <v>0</v>
      </c>
      <c r="J500" s="39">
        <v>0</v>
      </c>
      <c r="K500" s="39">
        <v>0</v>
      </c>
      <c r="L500" s="39">
        <v>0</v>
      </c>
      <c r="M500" s="39">
        <v>0</v>
      </c>
      <c r="N500" s="39">
        <v>0</v>
      </c>
      <c r="O500" s="39">
        <v>0</v>
      </c>
      <c r="P500" s="39">
        <v>0</v>
      </c>
      <c r="Q500" s="39">
        <v>0</v>
      </c>
      <c r="R500" s="39">
        <v>0</v>
      </c>
      <c r="S500" s="39">
        <v>0</v>
      </c>
      <c r="T500" s="39">
        <v>0</v>
      </c>
      <c r="U500" s="39">
        <v>0</v>
      </c>
      <c r="V500" s="39">
        <v>1</v>
      </c>
      <c r="W500" s="40" t="s">
        <v>518</v>
      </c>
      <c r="X500" s="39">
        <v>1</v>
      </c>
    </row>
    <row r="501" spans="1:24">
      <c r="A501" s="39">
        <v>12</v>
      </c>
      <c r="B501" s="40" t="s">
        <v>7816</v>
      </c>
      <c r="C501" s="39">
        <v>0</v>
      </c>
      <c r="E501" s="39">
        <v>0</v>
      </c>
      <c r="F501" s="39">
        <v>82</v>
      </c>
      <c r="G501" s="39">
        <v>0</v>
      </c>
      <c r="H501" s="39">
        <v>0</v>
      </c>
      <c r="I501" s="39">
        <v>0</v>
      </c>
      <c r="J501" s="39">
        <v>0</v>
      </c>
      <c r="K501" s="39">
        <v>0</v>
      </c>
      <c r="L501" s="39">
        <v>0</v>
      </c>
      <c r="M501" s="39">
        <v>0</v>
      </c>
      <c r="N501" s="39">
        <v>0</v>
      </c>
      <c r="O501" s="39">
        <v>0</v>
      </c>
      <c r="P501" s="39">
        <v>0</v>
      </c>
      <c r="Q501" s="39">
        <v>0</v>
      </c>
      <c r="R501" s="39">
        <v>0</v>
      </c>
      <c r="S501" s="39">
        <v>0</v>
      </c>
      <c r="T501" s="39">
        <v>0</v>
      </c>
      <c r="U501" s="39">
        <v>0</v>
      </c>
      <c r="V501" s="39">
        <v>2</v>
      </c>
      <c r="W501" s="40" t="s">
        <v>40</v>
      </c>
      <c r="X501" s="39">
        <v>1</v>
      </c>
    </row>
    <row r="502" spans="1:24">
      <c r="A502" s="39">
        <v>960</v>
      </c>
      <c r="B502" s="40" t="s">
        <v>7816</v>
      </c>
      <c r="C502" s="39">
        <v>0</v>
      </c>
      <c r="E502" s="39">
        <v>0</v>
      </c>
      <c r="F502" s="39">
        <v>1505</v>
      </c>
      <c r="G502" s="39">
        <v>0</v>
      </c>
      <c r="H502" s="39">
        <v>0</v>
      </c>
      <c r="I502" s="39">
        <v>0</v>
      </c>
      <c r="J502" s="39">
        <v>0</v>
      </c>
      <c r="K502" s="39">
        <v>0</v>
      </c>
      <c r="L502" s="39">
        <v>0</v>
      </c>
      <c r="M502" s="39">
        <v>0</v>
      </c>
      <c r="N502" s="39">
        <v>0</v>
      </c>
      <c r="O502" s="39">
        <v>0</v>
      </c>
      <c r="P502" s="39">
        <v>0</v>
      </c>
      <c r="Q502" s="39">
        <v>0</v>
      </c>
      <c r="R502" s="39">
        <v>0</v>
      </c>
      <c r="S502" s="39">
        <v>0</v>
      </c>
      <c r="T502" s="39">
        <v>0</v>
      </c>
      <c r="U502" s="39">
        <v>0</v>
      </c>
      <c r="V502" s="39">
        <v>158</v>
      </c>
      <c r="W502" s="40" t="s">
        <v>7667</v>
      </c>
      <c r="X502" s="39">
        <v>1</v>
      </c>
    </row>
    <row r="503" spans="1:24">
      <c r="A503" s="39">
        <v>664</v>
      </c>
      <c r="B503" s="40" t="s">
        <v>7816</v>
      </c>
      <c r="C503" s="39">
        <v>0</v>
      </c>
      <c r="E503" s="39">
        <v>0</v>
      </c>
      <c r="F503" s="39">
        <v>1505</v>
      </c>
      <c r="G503" s="39">
        <v>0</v>
      </c>
      <c r="H503" s="39">
        <v>0</v>
      </c>
      <c r="I503" s="39">
        <v>0</v>
      </c>
      <c r="J503" s="39">
        <v>0</v>
      </c>
      <c r="K503" s="39">
        <v>0</v>
      </c>
      <c r="L503" s="39">
        <v>0</v>
      </c>
      <c r="M503" s="39">
        <v>0</v>
      </c>
      <c r="N503" s="39">
        <v>0</v>
      </c>
      <c r="O503" s="39">
        <v>0</v>
      </c>
      <c r="P503" s="39">
        <v>0</v>
      </c>
      <c r="Q503" s="39">
        <v>0</v>
      </c>
      <c r="R503" s="39">
        <v>0</v>
      </c>
      <c r="S503" s="39">
        <v>0</v>
      </c>
      <c r="T503" s="39">
        <v>0</v>
      </c>
      <c r="U503" s="39">
        <v>0</v>
      </c>
      <c r="V503" s="39">
        <v>228</v>
      </c>
      <c r="W503" s="40" t="s">
        <v>7669</v>
      </c>
      <c r="X503" s="39">
        <v>1</v>
      </c>
    </row>
    <row r="504" spans="1:24">
      <c r="A504" s="39">
        <v>1711</v>
      </c>
      <c r="B504" s="40" t="s">
        <v>7816</v>
      </c>
      <c r="C504" s="39">
        <v>0</v>
      </c>
      <c r="E504" s="39">
        <v>0</v>
      </c>
      <c r="F504" s="39">
        <v>1505</v>
      </c>
      <c r="G504" s="39">
        <v>0</v>
      </c>
      <c r="H504" s="39">
        <v>0</v>
      </c>
      <c r="I504" s="39">
        <v>0</v>
      </c>
      <c r="J504" s="39">
        <v>0</v>
      </c>
      <c r="K504" s="39">
        <v>0</v>
      </c>
      <c r="L504" s="39">
        <v>0</v>
      </c>
      <c r="M504" s="39">
        <v>0</v>
      </c>
      <c r="N504" s="39">
        <v>0</v>
      </c>
      <c r="O504" s="39">
        <v>0</v>
      </c>
      <c r="P504" s="39">
        <v>0</v>
      </c>
      <c r="Q504" s="39">
        <v>0</v>
      </c>
      <c r="R504" s="39">
        <v>0</v>
      </c>
      <c r="S504" s="39">
        <v>0</v>
      </c>
      <c r="T504" s="39">
        <v>0</v>
      </c>
      <c r="U504" s="39">
        <v>0</v>
      </c>
      <c r="V504" s="39">
        <v>244</v>
      </c>
      <c r="W504" s="40" t="s">
        <v>682</v>
      </c>
      <c r="X504" s="39">
        <v>1</v>
      </c>
    </row>
    <row r="505" spans="1:24">
      <c r="A505" s="39">
        <v>1228</v>
      </c>
      <c r="B505" s="40" t="s">
        <v>7816</v>
      </c>
      <c r="C505" s="39">
        <v>0</v>
      </c>
      <c r="E505" s="39">
        <v>0</v>
      </c>
      <c r="F505" s="39">
        <v>1505</v>
      </c>
      <c r="G505" s="39">
        <v>0</v>
      </c>
      <c r="H505" s="39">
        <v>0</v>
      </c>
      <c r="I505" s="39">
        <v>0</v>
      </c>
      <c r="J505" s="39">
        <v>0</v>
      </c>
      <c r="K505" s="39">
        <v>0</v>
      </c>
      <c r="L505" s="39">
        <v>0</v>
      </c>
      <c r="M505" s="39">
        <v>0</v>
      </c>
      <c r="N505" s="39">
        <v>0</v>
      </c>
      <c r="O505" s="39">
        <v>0</v>
      </c>
      <c r="P505" s="39">
        <v>0</v>
      </c>
      <c r="Q505" s="39">
        <v>0</v>
      </c>
      <c r="R505" s="39">
        <v>0</v>
      </c>
      <c r="S505" s="39">
        <v>0</v>
      </c>
      <c r="T505" s="39">
        <v>0</v>
      </c>
      <c r="U505" s="39">
        <v>0</v>
      </c>
      <c r="V505" s="39">
        <v>418</v>
      </c>
      <c r="W505" s="40" t="s">
        <v>7671</v>
      </c>
      <c r="X505" s="39">
        <v>1</v>
      </c>
    </row>
    <row r="506" spans="1:24">
      <c r="A506" s="39">
        <v>1372</v>
      </c>
      <c r="B506" s="40" t="s">
        <v>7816</v>
      </c>
      <c r="C506" s="39">
        <v>0</v>
      </c>
      <c r="E506" s="39">
        <v>0</v>
      </c>
      <c r="F506" s="39">
        <v>1505</v>
      </c>
      <c r="G506" s="39">
        <v>0</v>
      </c>
      <c r="H506" s="39">
        <v>0</v>
      </c>
      <c r="I506" s="39">
        <v>0</v>
      </c>
      <c r="J506" s="39">
        <v>0</v>
      </c>
      <c r="K506" s="39">
        <v>0</v>
      </c>
      <c r="L506" s="39">
        <v>0</v>
      </c>
      <c r="M506" s="39">
        <v>0</v>
      </c>
      <c r="N506" s="39">
        <v>0</v>
      </c>
      <c r="O506" s="39">
        <v>0</v>
      </c>
      <c r="P506" s="39">
        <v>0</v>
      </c>
      <c r="Q506" s="39">
        <v>0</v>
      </c>
      <c r="R506" s="39">
        <v>0</v>
      </c>
      <c r="S506" s="39">
        <v>0</v>
      </c>
      <c r="T506" s="39">
        <v>0</v>
      </c>
      <c r="U506" s="39">
        <v>0</v>
      </c>
      <c r="V506" s="39">
        <v>456</v>
      </c>
      <c r="W506" s="40" t="s">
        <v>7673</v>
      </c>
      <c r="X506" s="39">
        <v>1</v>
      </c>
    </row>
    <row r="507" spans="1:24">
      <c r="A507" s="39">
        <v>997</v>
      </c>
      <c r="B507" s="40" t="s">
        <v>7816</v>
      </c>
      <c r="C507" s="39">
        <v>0</v>
      </c>
      <c r="E507" s="39">
        <v>0</v>
      </c>
      <c r="F507" s="39">
        <v>1505</v>
      </c>
      <c r="G507" s="39">
        <v>0</v>
      </c>
      <c r="H507" s="39">
        <v>0</v>
      </c>
      <c r="I507" s="39">
        <v>0</v>
      </c>
      <c r="J507" s="39">
        <v>0</v>
      </c>
      <c r="K507" s="39">
        <v>0</v>
      </c>
      <c r="L507" s="39">
        <v>0</v>
      </c>
      <c r="M507" s="39">
        <v>0</v>
      </c>
      <c r="N507" s="39">
        <v>0</v>
      </c>
      <c r="O507" s="39">
        <v>0</v>
      </c>
      <c r="P507" s="39">
        <v>0</v>
      </c>
      <c r="Q507" s="39">
        <v>0</v>
      </c>
      <c r="R507" s="39">
        <v>0</v>
      </c>
      <c r="S507" s="39">
        <v>0</v>
      </c>
      <c r="T507" s="39">
        <v>0</v>
      </c>
      <c r="U507" s="39">
        <v>0</v>
      </c>
      <c r="V507" s="39">
        <v>458</v>
      </c>
      <c r="W507" s="40" t="s">
        <v>7694</v>
      </c>
      <c r="X507" s="39">
        <v>1</v>
      </c>
    </row>
    <row r="508" spans="1:24">
      <c r="A508" s="39">
        <v>1139</v>
      </c>
      <c r="B508" s="40" t="s">
        <v>7816</v>
      </c>
      <c r="C508" s="39">
        <v>0</v>
      </c>
      <c r="E508" s="39">
        <v>0</v>
      </c>
      <c r="F508" s="39">
        <v>1505</v>
      </c>
      <c r="G508" s="39">
        <v>0</v>
      </c>
      <c r="H508" s="39">
        <v>0</v>
      </c>
      <c r="I508" s="39">
        <v>0</v>
      </c>
      <c r="J508" s="39">
        <v>0</v>
      </c>
      <c r="K508" s="39">
        <v>0</v>
      </c>
      <c r="L508" s="39">
        <v>0</v>
      </c>
      <c r="M508" s="39">
        <v>0</v>
      </c>
      <c r="N508" s="39">
        <v>0</v>
      </c>
      <c r="O508" s="39">
        <v>0</v>
      </c>
      <c r="P508" s="39">
        <v>0</v>
      </c>
      <c r="Q508" s="39">
        <v>0</v>
      </c>
      <c r="R508" s="39">
        <v>0</v>
      </c>
      <c r="S508" s="39">
        <v>0</v>
      </c>
      <c r="T508" s="39">
        <v>0</v>
      </c>
      <c r="U508" s="39">
        <v>0</v>
      </c>
      <c r="V508" s="39">
        <v>459</v>
      </c>
      <c r="W508" s="40" t="s">
        <v>7674</v>
      </c>
      <c r="X508" s="39">
        <v>1</v>
      </c>
    </row>
    <row r="509" spans="1:24">
      <c r="A509" s="39">
        <v>691</v>
      </c>
      <c r="B509" s="40" t="s">
        <v>7816</v>
      </c>
      <c r="C509" s="39">
        <v>0</v>
      </c>
      <c r="E509" s="39">
        <v>0</v>
      </c>
      <c r="F509" s="39">
        <v>1505</v>
      </c>
      <c r="G509" s="39">
        <v>0</v>
      </c>
      <c r="H509" s="39">
        <v>0</v>
      </c>
      <c r="I509" s="39">
        <v>0</v>
      </c>
      <c r="J509" s="39">
        <v>0</v>
      </c>
      <c r="K509" s="39">
        <v>0</v>
      </c>
      <c r="L509" s="39">
        <v>0</v>
      </c>
      <c r="M509" s="39">
        <v>0</v>
      </c>
      <c r="N509" s="39">
        <v>0</v>
      </c>
      <c r="O509" s="39">
        <v>0</v>
      </c>
      <c r="P509" s="39">
        <v>0</v>
      </c>
      <c r="Q509" s="39">
        <v>0</v>
      </c>
      <c r="R509" s="39">
        <v>0</v>
      </c>
      <c r="S509" s="39">
        <v>0</v>
      </c>
      <c r="T509" s="39">
        <v>0</v>
      </c>
      <c r="U509" s="39">
        <v>0</v>
      </c>
      <c r="V509" s="39">
        <v>468</v>
      </c>
      <c r="W509" s="40" t="s">
        <v>7677</v>
      </c>
      <c r="X509" s="39">
        <v>1</v>
      </c>
    </row>
    <row r="510" spans="1:24">
      <c r="A510" s="39">
        <v>1042</v>
      </c>
      <c r="B510" s="40" t="s">
        <v>7816</v>
      </c>
      <c r="C510" s="39">
        <v>0</v>
      </c>
      <c r="E510" s="39">
        <v>0</v>
      </c>
      <c r="F510" s="39">
        <v>1505</v>
      </c>
      <c r="G510" s="39">
        <v>0</v>
      </c>
      <c r="H510" s="39">
        <v>0</v>
      </c>
      <c r="I510" s="39">
        <v>0</v>
      </c>
      <c r="J510" s="39">
        <v>0</v>
      </c>
      <c r="K510" s="39">
        <v>0</v>
      </c>
      <c r="L510" s="39">
        <v>0</v>
      </c>
      <c r="M510" s="39">
        <v>0</v>
      </c>
      <c r="N510" s="39">
        <v>0</v>
      </c>
      <c r="O510" s="39">
        <v>0</v>
      </c>
      <c r="P510" s="39">
        <v>0</v>
      </c>
      <c r="Q510" s="39">
        <v>0</v>
      </c>
      <c r="R510" s="39">
        <v>0</v>
      </c>
      <c r="S510" s="39">
        <v>0</v>
      </c>
      <c r="T510" s="39">
        <v>0</v>
      </c>
      <c r="U510" s="39">
        <v>0</v>
      </c>
      <c r="V510" s="39">
        <v>477</v>
      </c>
      <c r="W510" s="40" t="s">
        <v>7697</v>
      </c>
      <c r="X510" s="39">
        <v>1</v>
      </c>
    </row>
    <row r="511" spans="1:24">
      <c r="A511" s="39">
        <v>304</v>
      </c>
      <c r="B511" s="40" t="s">
        <v>7816</v>
      </c>
      <c r="C511" s="39">
        <v>0</v>
      </c>
      <c r="D511" s="40" t="s">
        <v>7817</v>
      </c>
      <c r="E511" s="39">
        <v>0</v>
      </c>
      <c r="F511" s="39">
        <v>1505</v>
      </c>
      <c r="G511" s="39">
        <v>0</v>
      </c>
      <c r="H511" s="39">
        <v>0</v>
      </c>
      <c r="I511" s="39">
        <v>0</v>
      </c>
      <c r="J511" s="39">
        <v>0</v>
      </c>
      <c r="K511" s="39">
        <v>0</v>
      </c>
      <c r="L511" s="39">
        <v>0</v>
      </c>
      <c r="M511" s="39">
        <v>0</v>
      </c>
      <c r="N511" s="39">
        <v>0</v>
      </c>
      <c r="O511" s="39">
        <v>0</v>
      </c>
      <c r="P511" s="39">
        <v>0</v>
      </c>
      <c r="Q511" s="39">
        <v>0</v>
      </c>
      <c r="R511" s="39">
        <v>0</v>
      </c>
      <c r="S511" s="39">
        <v>0</v>
      </c>
      <c r="T511" s="39">
        <v>0</v>
      </c>
      <c r="U511" s="39">
        <v>0</v>
      </c>
      <c r="V511" s="39">
        <v>590</v>
      </c>
      <c r="W511" s="40" t="s">
        <v>7679</v>
      </c>
      <c r="X511" s="39">
        <v>1</v>
      </c>
    </row>
    <row r="512" spans="1:24">
      <c r="A512" s="39">
        <v>836</v>
      </c>
      <c r="B512" s="40" t="s">
        <v>7816</v>
      </c>
      <c r="C512" s="39">
        <v>0</v>
      </c>
      <c r="E512" s="39">
        <v>0</v>
      </c>
      <c r="F512" s="39">
        <v>1505</v>
      </c>
      <c r="G512" s="39">
        <v>0</v>
      </c>
      <c r="H512" s="39">
        <v>0</v>
      </c>
      <c r="I512" s="39">
        <v>0</v>
      </c>
      <c r="J512" s="39">
        <v>0</v>
      </c>
      <c r="K512" s="39">
        <v>0</v>
      </c>
      <c r="L512" s="39">
        <v>0</v>
      </c>
      <c r="M512" s="39">
        <v>0</v>
      </c>
      <c r="N512" s="39">
        <v>0</v>
      </c>
      <c r="O512" s="39">
        <v>0</v>
      </c>
      <c r="P512" s="39">
        <v>0</v>
      </c>
      <c r="Q512" s="39">
        <v>0</v>
      </c>
      <c r="R512" s="39">
        <v>0</v>
      </c>
      <c r="S512" s="39">
        <v>0</v>
      </c>
      <c r="T512" s="39">
        <v>0</v>
      </c>
      <c r="U512" s="39">
        <v>0</v>
      </c>
      <c r="V512" s="39">
        <v>733</v>
      </c>
      <c r="W512" s="40" t="s">
        <v>7680</v>
      </c>
      <c r="X512" s="39">
        <v>1</v>
      </c>
    </row>
    <row r="513" spans="1:24">
      <c r="A513" s="39">
        <v>146</v>
      </c>
      <c r="B513" s="40" t="s">
        <v>7818</v>
      </c>
      <c r="C513" s="39">
        <v>0</v>
      </c>
      <c r="E513" s="39">
        <v>1</v>
      </c>
      <c r="F513" s="39">
        <v>860</v>
      </c>
      <c r="G513" s="39">
        <v>1</v>
      </c>
      <c r="H513" s="39">
        <v>1</v>
      </c>
      <c r="I513" s="39">
        <v>0</v>
      </c>
      <c r="J513" s="39">
        <v>1</v>
      </c>
      <c r="K513" s="39">
        <v>0</v>
      </c>
      <c r="L513" s="39">
        <v>0</v>
      </c>
      <c r="M513" s="39">
        <v>0</v>
      </c>
      <c r="N513" s="39">
        <v>0</v>
      </c>
      <c r="O513" s="39">
        <v>0</v>
      </c>
      <c r="P513" s="39">
        <v>0</v>
      </c>
      <c r="Q513" s="39">
        <v>0</v>
      </c>
      <c r="R513" s="39">
        <v>0</v>
      </c>
      <c r="S513" s="39">
        <v>0</v>
      </c>
      <c r="T513" s="39">
        <v>0</v>
      </c>
      <c r="U513" s="39">
        <v>0</v>
      </c>
      <c r="V513" s="39">
        <v>1</v>
      </c>
      <c r="W513" s="40" t="s">
        <v>518</v>
      </c>
      <c r="X513" s="39">
        <v>1</v>
      </c>
    </row>
    <row r="514" spans="1:24">
      <c r="A514" s="39">
        <v>56</v>
      </c>
      <c r="B514" s="40" t="s">
        <v>7818</v>
      </c>
      <c r="C514" s="39">
        <v>0</v>
      </c>
      <c r="D514" s="40" t="s">
        <v>7819</v>
      </c>
      <c r="E514" s="39">
        <v>1</v>
      </c>
      <c r="F514" s="39">
        <v>80</v>
      </c>
      <c r="G514" s="39">
        <v>1</v>
      </c>
      <c r="H514" s="39">
        <v>1</v>
      </c>
      <c r="I514" s="39">
        <v>1</v>
      </c>
      <c r="J514" s="39">
        <v>1</v>
      </c>
      <c r="K514" s="39">
        <v>0</v>
      </c>
      <c r="L514" s="39">
        <v>0</v>
      </c>
      <c r="M514" s="39">
        <v>0</v>
      </c>
      <c r="N514" s="39">
        <v>0</v>
      </c>
      <c r="O514" s="39">
        <v>0</v>
      </c>
      <c r="P514" s="39">
        <v>0</v>
      </c>
      <c r="Q514" s="39">
        <v>0</v>
      </c>
      <c r="R514" s="39">
        <v>0</v>
      </c>
      <c r="S514" s="39">
        <v>0</v>
      </c>
      <c r="T514" s="39">
        <v>0</v>
      </c>
      <c r="U514" s="39">
        <v>0</v>
      </c>
      <c r="V514" s="39">
        <v>2</v>
      </c>
      <c r="W514" s="40" t="s">
        <v>40</v>
      </c>
      <c r="X514" s="39">
        <v>1</v>
      </c>
    </row>
    <row r="515" spans="1:24">
      <c r="A515" s="39">
        <v>961</v>
      </c>
      <c r="B515" s="40" t="s">
        <v>7818</v>
      </c>
      <c r="C515" s="39">
        <v>0</v>
      </c>
      <c r="E515" s="39">
        <v>1</v>
      </c>
      <c r="F515" s="39">
        <v>860</v>
      </c>
      <c r="G515" s="39">
        <v>0</v>
      </c>
      <c r="H515" s="39">
        <v>0</v>
      </c>
      <c r="I515" s="39">
        <v>0</v>
      </c>
      <c r="J515" s="39">
        <v>0</v>
      </c>
      <c r="K515" s="39">
        <v>0</v>
      </c>
      <c r="L515" s="39">
        <v>0</v>
      </c>
      <c r="M515" s="39">
        <v>0</v>
      </c>
      <c r="N515" s="39">
        <v>0</v>
      </c>
      <c r="O515" s="39">
        <v>0</v>
      </c>
      <c r="P515" s="39">
        <v>0</v>
      </c>
      <c r="Q515" s="39">
        <v>0</v>
      </c>
      <c r="R515" s="39">
        <v>0</v>
      </c>
      <c r="S515" s="39">
        <v>0</v>
      </c>
      <c r="T515" s="39">
        <v>0</v>
      </c>
      <c r="U515" s="39">
        <v>0</v>
      </c>
      <c r="V515" s="39">
        <v>158</v>
      </c>
      <c r="W515" s="40" t="s">
        <v>7667</v>
      </c>
      <c r="X515" s="39">
        <v>1</v>
      </c>
    </row>
    <row r="516" spans="1:24">
      <c r="A516" s="39">
        <v>450</v>
      </c>
      <c r="B516" s="40" t="s">
        <v>7818</v>
      </c>
      <c r="C516" s="39">
        <v>0</v>
      </c>
      <c r="E516" s="39">
        <v>1</v>
      </c>
      <c r="F516" s="39">
        <v>860</v>
      </c>
      <c r="G516" s="39">
        <v>0</v>
      </c>
      <c r="H516" s="39">
        <v>0</v>
      </c>
      <c r="I516" s="39">
        <v>0</v>
      </c>
      <c r="J516" s="39">
        <v>0</v>
      </c>
      <c r="K516" s="39">
        <v>0</v>
      </c>
      <c r="L516" s="39">
        <v>0</v>
      </c>
      <c r="M516" s="39">
        <v>0</v>
      </c>
      <c r="N516" s="39">
        <v>0</v>
      </c>
      <c r="O516" s="39">
        <v>0</v>
      </c>
      <c r="P516" s="39">
        <v>0</v>
      </c>
      <c r="Q516" s="39">
        <v>0</v>
      </c>
      <c r="R516" s="39">
        <v>0</v>
      </c>
      <c r="S516" s="39">
        <v>0</v>
      </c>
      <c r="T516" s="39">
        <v>0</v>
      </c>
      <c r="U516" s="39">
        <v>0</v>
      </c>
      <c r="V516" s="39">
        <v>175</v>
      </c>
      <c r="W516" s="40" t="s">
        <v>7689</v>
      </c>
      <c r="X516" s="39">
        <v>1</v>
      </c>
    </row>
    <row r="517" spans="1:24">
      <c r="A517" s="39">
        <v>344</v>
      </c>
      <c r="B517" s="40" t="s">
        <v>7818</v>
      </c>
      <c r="C517" s="39">
        <v>0</v>
      </c>
      <c r="E517" s="39">
        <v>0</v>
      </c>
      <c r="F517" s="39">
        <v>860</v>
      </c>
      <c r="G517" s="39">
        <v>0</v>
      </c>
      <c r="H517" s="39">
        <v>0</v>
      </c>
      <c r="I517" s="39">
        <v>0</v>
      </c>
      <c r="J517" s="39">
        <v>0</v>
      </c>
      <c r="K517" s="39">
        <v>0</v>
      </c>
      <c r="L517" s="39">
        <v>0</v>
      </c>
      <c r="M517" s="39">
        <v>0</v>
      </c>
      <c r="N517" s="39">
        <v>0</v>
      </c>
      <c r="O517" s="39">
        <v>0</v>
      </c>
      <c r="P517" s="39">
        <v>0</v>
      </c>
      <c r="Q517" s="39">
        <v>0</v>
      </c>
      <c r="R517" s="39">
        <v>0</v>
      </c>
      <c r="S517" s="39">
        <v>0</v>
      </c>
      <c r="T517" s="39">
        <v>0</v>
      </c>
      <c r="U517" s="39">
        <v>0</v>
      </c>
      <c r="V517" s="39">
        <v>228</v>
      </c>
      <c r="W517" s="40" t="s">
        <v>7669</v>
      </c>
      <c r="X517" s="39">
        <v>1</v>
      </c>
    </row>
    <row r="518" spans="1:24">
      <c r="A518" s="39">
        <v>1757</v>
      </c>
      <c r="B518" s="40" t="s">
        <v>7818</v>
      </c>
      <c r="C518" s="39">
        <v>0</v>
      </c>
      <c r="E518" s="39">
        <v>1</v>
      </c>
      <c r="F518" s="39">
        <v>860</v>
      </c>
      <c r="G518" s="39">
        <v>1</v>
      </c>
      <c r="H518" s="39">
        <v>1</v>
      </c>
      <c r="I518" s="39">
        <v>0</v>
      </c>
      <c r="J518" s="39">
        <v>1</v>
      </c>
      <c r="K518" s="39">
        <v>0</v>
      </c>
      <c r="L518" s="39">
        <v>0</v>
      </c>
      <c r="M518" s="39">
        <v>0</v>
      </c>
      <c r="N518" s="39">
        <v>0</v>
      </c>
      <c r="O518" s="39">
        <v>0</v>
      </c>
      <c r="P518" s="39">
        <v>0</v>
      </c>
      <c r="Q518" s="39">
        <v>0</v>
      </c>
      <c r="R518" s="39">
        <v>0</v>
      </c>
      <c r="S518" s="39">
        <v>0</v>
      </c>
      <c r="T518" s="39">
        <v>0</v>
      </c>
      <c r="U518" s="39">
        <v>0</v>
      </c>
      <c r="V518" s="39">
        <v>244</v>
      </c>
      <c r="W518" s="40" t="s">
        <v>682</v>
      </c>
      <c r="X518" s="39">
        <v>1</v>
      </c>
    </row>
    <row r="519" spans="1:24">
      <c r="A519" s="39">
        <v>1229</v>
      </c>
      <c r="B519" s="40" t="s">
        <v>7818</v>
      </c>
      <c r="C519" s="39">
        <v>0</v>
      </c>
      <c r="E519" s="39">
        <v>1</v>
      </c>
      <c r="F519" s="39">
        <v>860</v>
      </c>
      <c r="G519" s="39">
        <v>0</v>
      </c>
      <c r="H519" s="39">
        <v>0</v>
      </c>
      <c r="I519" s="39">
        <v>0</v>
      </c>
      <c r="J519" s="39">
        <v>0</v>
      </c>
      <c r="K519" s="39">
        <v>0</v>
      </c>
      <c r="L519" s="39">
        <v>0</v>
      </c>
      <c r="M519" s="39">
        <v>0</v>
      </c>
      <c r="N519" s="39">
        <v>0</v>
      </c>
      <c r="O519" s="39">
        <v>0</v>
      </c>
      <c r="P519" s="39">
        <v>0</v>
      </c>
      <c r="Q519" s="39">
        <v>0</v>
      </c>
      <c r="R519" s="39">
        <v>0</v>
      </c>
      <c r="S519" s="39">
        <v>0</v>
      </c>
      <c r="T519" s="39">
        <v>0</v>
      </c>
      <c r="U519" s="39">
        <v>0</v>
      </c>
      <c r="V519" s="39">
        <v>418</v>
      </c>
      <c r="W519" s="40" t="s">
        <v>7671</v>
      </c>
      <c r="X519" s="39">
        <v>1</v>
      </c>
    </row>
    <row r="520" spans="1:24">
      <c r="A520" s="39">
        <v>1418</v>
      </c>
      <c r="B520" s="40" t="s">
        <v>7818</v>
      </c>
      <c r="C520" s="39">
        <v>0</v>
      </c>
      <c r="E520" s="39">
        <v>1</v>
      </c>
      <c r="F520" s="39">
        <v>860</v>
      </c>
      <c r="G520" s="39">
        <v>1</v>
      </c>
      <c r="H520" s="39">
        <v>1</v>
      </c>
      <c r="I520" s="39">
        <v>1</v>
      </c>
      <c r="J520" s="39">
        <v>1</v>
      </c>
      <c r="K520" s="39">
        <v>0</v>
      </c>
      <c r="L520" s="39">
        <v>0</v>
      </c>
      <c r="M520" s="39">
        <v>0</v>
      </c>
      <c r="N520" s="39">
        <v>0</v>
      </c>
      <c r="O520" s="39">
        <v>0</v>
      </c>
      <c r="P520" s="39">
        <v>0</v>
      </c>
      <c r="Q520" s="39">
        <v>0</v>
      </c>
      <c r="R520" s="39">
        <v>0</v>
      </c>
      <c r="S520" s="39">
        <v>0</v>
      </c>
      <c r="T520" s="39">
        <v>0</v>
      </c>
      <c r="U520" s="39">
        <v>0</v>
      </c>
      <c r="V520" s="39">
        <v>456</v>
      </c>
      <c r="W520" s="40" t="s">
        <v>7673</v>
      </c>
      <c r="X520" s="39">
        <v>1</v>
      </c>
    </row>
    <row r="521" spans="1:24">
      <c r="A521" s="39">
        <v>900</v>
      </c>
      <c r="B521" s="40" t="s">
        <v>7818</v>
      </c>
      <c r="C521" s="39">
        <v>0</v>
      </c>
      <c r="E521" s="39">
        <v>1</v>
      </c>
      <c r="F521" s="39">
        <v>860</v>
      </c>
      <c r="G521" s="39">
        <v>0</v>
      </c>
      <c r="H521" s="39">
        <v>0</v>
      </c>
      <c r="I521" s="39">
        <v>0</v>
      </c>
      <c r="J521" s="39">
        <v>0</v>
      </c>
      <c r="K521" s="39">
        <v>0</v>
      </c>
      <c r="L521" s="39">
        <v>0</v>
      </c>
      <c r="M521" s="39">
        <v>0</v>
      </c>
      <c r="N521" s="39">
        <v>0</v>
      </c>
      <c r="O521" s="39">
        <v>0</v>
      </c>
      <c r="P521" s="39">
        <v>0</v>
      </c>
      <c r="Q521" s="39">
        <v>0</v>
      </c>
      <c r="R521" s="39">
        <v>0</v>
      </c>
      <c r="S521" s="39">
        <v>0</v>
      </c>
      <c r="T521" s="39">
        <v>0</v>
      </c>
      <c r="U521" s="39">
        <v>0</v>
      </c>
      <c r="V521" s="39">
        <v>458</v>
      </c>
      <c r="W521" s="40" t="s">
        <v>7694</v>
      </c>
      <c r="X521" s="39">
        <v>1</v>
      </c>
    </row>
    <row r="522" spans="1:24">
      <c r="A522" s="39">
        <v>1140</v>
      </c>
      <c r="B522" s="40" t="s">
        <v>7818</v>
      </c>
      <c r="C522" s="39">
        <v>0</v>
      </c>
      <c r="E522" s="39">
        <v>1</v>
      </c>
      <c r="F522" s="39">
        <v>860</v>
      </c>
      <c r="G522" s="39">
        <v>0</v>
      </c>
      <c r="H522" s="39">
        <v>0</v>
      </c>
      <c r="I522" s="39">
        <v>0</v>
      </c>
      <c r="J522" s="39">
        <v>0</v>
      </c>
      <c r="K522" s="39">
        <v>0</v>
      </c>
      <c r="L522" s="39">
        <v>0</v>
      </c>
      <c r="M522" s="39">
        <v>0</v>
      </c>
      <c r="N522" s="39">
        <v>0</v>
      </c>
      <c r="O522" s="39">
        <v>0</v>
      </c>
      <c r="P522" s="39">
        <v>0</v>
      </c>
      <c r="Q522" s="39">
        <v>0</v>
      </c>
      <c r="R522" s="39">
        <v>0</v>
      </c>
      <c r="S522" s="39">
        <v>0</v>
      </c>
      <c r="T522" s="39">
        <v>0</v>
      </c>
      <c r="U522" s="39">
        <v>0</v>
      </c>
      <c r="V522" s="39">
        <v>459</v>
      </c>
      <c r="W522" s="40" t="s">
        <v>7674</v>
      </c>
      <c r="X522" s="39">
        <v>1</v>
      </c>
    </row>
    <row r="523" spans="1:24">
      <c r="A523" s="39">
        <v>604</v>
      </c>
      <c r="B523" s="40" t="s">
        <v>7818</v>
      </c>
      <c r="C523" s="39">
        <v>0</v>
      </c>
      <c r="E523" s="39">
        <v>1</v>
      </c>
      <c r="F523" s="39">
        <v>860</v>
      </c>
      <c r="G523" s="39">
        <v>0</v>
      </c>
      <c r="H523" s="39">
        <v>0</v>
      </c>
      <c r="I523" s="39">
        <v>0</v>
      </c>
      <c r="J523" s="39">
        <v>0</v>
      </c>
      <c r="K523" s="39">
        <v>0</v>
      </c>
      <c r="L523" s="39">
        <v>0</v>
      </c>
      <c r="M523" s="39">
        <v>0</v>
      </c>
      <c r="N523" s="39">
        <v>0</v>
      </c>
      <c r="O523" s="39">
        <v>0</v>
      </c>
      <c r="P523" s="39">
        <v>0</v>
      </c>
      <c r="Q523" s="39">
        <v>0</v>
      </c>
      <c r="R523" s="39">
        <v>0</v>
      </c>
      <c r="S523" s="39">
        <v>0</v>
      </c>
      <c r="T523" s="39">
        <v>0</v>
      </c>
      <c r="U523" s="39">
        <v>0</v>
      </c>
      <c r="V523" s="39">
        <v>468</v>
      </c>
      <c r="W523" s="40" t="s">
        <v>7677</v>
      </c>
      <c r="X523" s="39">
        <v>1</v>
      </c>
    </row>
    <row r="524" spans="1:24">
      <c r="A524" s="39">
        <v>1043</v>
      </c>
      <c r="B524" s="40" t="s">
        <v>7818</v>
      </c>
      <c r="C524" s="39">
        <v>0</v>
      </c>
      <c r="E524" s="39">
        <v>1</v>
      </c>
      <c r="F524" s="39">
        <v>860</v>
      </c>
      <c r="G524" s="39">
        <v>0</v>
      </c>
      <c r="H524" s="39">
        <v>0</v>
      </c>
      <c r="I524" s="39">
        <v>0</v>
      </c>
      <c r="J524" s="39">
        <v>0</v>
      </c>
      <c r="K524" s="39">
        <v>0</v>
      </c>
      <c r="L524" s="39">
        <v>0</v>
      </c>
      <c r="M524" s="39">
        <v>0</v>
      </c>
      <c r="N524" s="39">
        <v>0</v>
      </c>
      <c r="O524" s="39">
        <v>0</v>
      </c>
      <c r="P524" s="39">
        <v>0</v>
      </c>
      <c r="Q524" s="39">
        <v>0</v>
      </c>
      <c r="R524" s="39">
        <v>0</v>
      </c>
      <c r="S524" s="39">
        <v>0</v>
      </c>
      <c r="T524" s="39">
        <v>0</v>
      </c>
      <c r="U524" s="39">
        <v>0</v>
      </c>
      <c r="V524" s="39">
        <v>477</v>
      </c>
      <c r="W524" s="40" t="s">
        <v>7697</v>
      </c>
      <c r="X524" s="39">
        <v>1</v>
      </c>
    </row>
    <row r="525" spans="1:24">
      <c r="A525" s="39">
        <v>229</v>
      </c>
      <c r="B525" s="40" t="s">
        <v>7818</v>
      </c>
      <c r="C525" s="39">
        <v>0</v>
      </c>
      <c r="E525" s="39">
        <v>1</v>
      </c>
      <c r="F525" s="39">
        <v>860</v>
      </c>
      <c r="G525" s="39">
        <v>0</v>
      </c>
      <c r="H525" s="39">
        <v>0</v>
      </c>
      <c r="I525" s="39">
        <v>0</v>
      </c>
      <c r="J525" s="39">
        <v>0</v>
      </c>
      <c r="K525" s="39">
        <v>0</v>
      </c>
      <c r="L525" s="39">
        <v>0</v>
      </c>
      <c r="M525" s="39">
        <v>0</v>
      </c>
      <c r="N525" s="39">
        <v>0</v>
      </c>
      <c r="O525" s="39">
        <v>0</v>
      </c>
      <c r="P525" s="39">
        <v>0</v>
      </c>
      <c r="Q525" s="39">
        <v>0</v>
      </c>
      <c r="R525" s="39">
        <v>0</v>
      </c>
      <c r="S525" s="39">
        <v>0</v>
      </c>
      <c r="T525" s="39">
        <v>0</v>
      </c>
      <c r="U525" s="39">
        <v>0</v>
      </c>
      <c r="V525" s="39">
        <v>590</v>
      </c>
      <c r="W525" s="40" t="s">
        <v>7679</v>
      </c>
      <c r="X525" s="39">
        <v>1</v>
      </c>
    </row>
    <row r="526" spans="1:24">
      <c r="A526" s="39">
        <v>777</v>
      </c>
      <c r="B526" s="40" t="s">
        <v>7818</v>
      </c>
      <c r="C526" s="39">
        <v>0</v>
      </c>
      <c r="E526" s="39">
        <v>1</v>
      </c>
      <c r="F526" s="39">
        <v>860</v>
      </c>
      <c r="G526" s="39">
        <v>1</v>
      </c>
      <c r="H526" s="39">
        <v>1</v>
      </c>
      <c r="I526" s="39">
        <v>1</v>
      </c>
      <c r="J526" s="39">
        <v>1</v>
      </c>
      <c r="K526" s="39">
        <v>0</v>
      </c>
      <c r="L526" s="39">
        <v>0</v>
      </c>
      <c r="M526" s="39">
        <v>0</v>
      </c>
      <c r="N526" s="39">
        <v>0</v>
      </c>
      <c r="O526" s="39">
        <v>0</v>
      </c>
      <c r="P526" s="39">
        <v>0</v>
      </c>
      <c r="Q526" s="39">
        <v>0</v>
      </c>
      <c r="R526" s="39">
        <v>0</v>
      </c>
      <c r="S526" s="39">
        <v>0</v>
      </c>
      <c r="T526" s="39">
        <v>0</v>
      </c>
      <c r="U526" s="39">
        <v>0</v>
      </c>
      <c r="V526" s="39">
        <v>733</v>
      </c>
      <c r="W526" s="40" t="s">
        <v>7680</v>
      </c>
      <c r="X526" s="39">
        <v>1</v>
      </c>
    </row>
    <row r="527" spans="1:24">
      <c r="A527" s="39">
        <v>181</v>
      </c>
      <c r="B527" s="40" t="s">
        <v>7820</v>
      </c>
      <c r="C527" s="39">
        <v>0</v>
      </c>
      <c r="E527" s="39">
        <v>0</v>
      </c>
      <c r="F527" s="39">
        <v>99</v>
      </c>
      <c r="G527" s="39">
        <v>0</v>
      </c>
      <c r="H527" s="39">
        <v>0</v>
      </c>
      <c r="I527" s="39">
        <v>0</v>
      </c>
      <c r="J527" s="39">
        <v>0</v>
      </c>
      <c r="K527" s="39">
        <v>0</v>
      </c>
      <c r="L527" s="39">
        <v>0</v>
      </c>
      <c r="M527" s="39">
        <v>0</v>
      </c>
      <c r="N527" s="39">
        <v>0</v>
      </c>
      <c r="O527" s="39">
        <v>0</v>
      </c>
      <c r="P527" s="39">
        <v>0</v>
      </c>
      <c r="Q527" s="39">
        <v>0</v>
      </c>
      <c r="R527" s="39">
        <v>0</v>
      </c>
      <c r="S527" s="39">
        <v>0</v>
      </c>
      <c r="T527" s="39">
        <v>0</v>
      </c>
      <c r="U527" s="39">
        <v>0</v>
      </c>
      <c r="V527" s="39">
        <v>1</v>
      </c>
      <c r="W527" s="40" t="s">
        <v>518</v>
      </c>
      <c r="X527" s="39">
        <v>1</v>
      </c>
    </row>
    <row r="528" spans="1:24">
      <c r="A528" s="39">
        <v>995</v>
      </c>
      <c r="B528" s="40" t="s">
        <v>7820</v>
      </c>
      <c r="C528" s="39">
        <v>0</v>
      </c>
      <c r="E528" s="39">
        <v>0</v>
      </c>
      <c r="F528" s="39">
        <v>99</v>
      </c>
      <c r="G528" s="39">
        <v>0</v>
      </c>
      <c r="H528" s="39">
        <v>0</v>
      </c>
      <c r="I528" s="39">
        <v>0</v>
      </c>
      <c r="J528" s="39">
        <v>0</v>
      </c>
      <c r="K528" s="39">
        <v>0</v>
      </c>
      <c r="L528" s="39">
        <v>0</v>
      </c>
      <c r="M528" s="39">
        <v>0</v>
      </c>
      <c r="N528" s="39">
        <v>0</v>
      </c>
      <c r="O528" s="39">
        <v>0</v>
      </c>
      <c r="P528" s="39">
        <v>0</v>
      </c>
      <c r="Q528" s="39">
        <v>0</v>
      </c>
      <c r="R528" s="39">
        <v>0</v>
      </c>
      <c r="S528" s="39">
        <v>0</v>
      </c>
      <c r="T528" s="39">
        <v>0</v>
      </c>
      <c r="U528" s="39">
        <v>0</v>
      </c>
      <c r="V528" s="39">
        <v>158</v>
      </c>
      <c r="W528" s="40" t="s">
        <v>7667</v>
      </c>
      <c r="X528" s="39">
        <v>1</v>
      </c>
    </row>
    <row r="529" spans="1:24">
      <c r="A529" s="39">
        <v>665</v>
      </c>
      <c r="B529" s="40" t="s">
        <v>7820</v>
      </c>
      <c r="C529" s="39">
        <v>0</v>
      </c>
      <c r="E529" s="39">
        <v>0</v>
      </c>
      <c r="F529" s="39">
        <v>99</v>
      </c>
      <c r="G529" s="39">
        <v>0</v>
      </c>
      <c r="H529" s="39">
        <v>0</v>
      </c>
      <c r="I529" s="39">
        <v>0</v>
      </c>
      <c r="J529" s="39">
        <v>0</v>
      </c>
      <c r="K529" s="39">
        <v>0</v>
      </c>
      <c r="L529" s="39">
        <v>0</v>
      </c>
      <c r="M529" s="39">
        <v>0</v>
      </c>
      <c r="N529" s="39">
        <v>0</v>
      </c>
      <c r="O529" s="39">
        <v>0</v>
      </c>
      <c r="P529" s="39">
        <v>0</v>
      </c>
      <c r="Q529" s="39">
        <v>0</v>
      </c>
      <c r="R529" s="39">
        <v>0</v>
      </c>
      <c r="S529" s="39">
        <v>0</v>
      </c>
      <c r="T529" s="39">
        <v>0</v>
      </c>
      <c r="U529" s="39">
        <v>0</v>
      </c>
      <c r="V529" s="39">
        <v>228</v>
      </c>
      <c r="W529" s="40" t="s">
        <v>7669</v>
      </c>
      <c r="X529" s="39">
        <v>1</v>
      </c>
    </row>
    <row r="530" spans="1:24">
      <c r="A530" s="39">
        <v>1694</v>
      </c>
      <c r="B530" s="40" t="s">
        <v>7820</v>
      </c>
      <c r="C530" s="39">
        <v>0</v>
      </c>
      <c r="E530" s="39">
        <v>0</v>
      </c>
      <c r="F530" s="39">
        <v>99</v>
      </c>
      <c r="G530" s="39">
        <v>0</v>
      </c>
      <c r="H530" s="39">
        <v>0</v>
      </c>
      <c r="I530" s="39">
        <v>0</v>
      </c>
      <c r="J530" s="39">
        <v>0</v>
      </c>
      <c r="K530" s="39">
        <v>0</v>
      </c>
      <c r="L530" s="39">
        <v>0</v>
      </c>
      <c r="M530" s="39">
        <v>0</v>
      </c>
      <c r="N530" s="39">
        <v>0</v>
      </c>
      <c r="O530" s="39">
        <v>0</v>
      </c>
      <c r="P530" s="39">
        <v>0</v>
      </c>
      <c r="Q530" s="39">
        <v>0</v>
      </c>
      <c r="R530" s="39">
        <v>0</v>
      </c>
      <c r="S530" s="39">
        <v>0</v>
      </c>
      <c r="T530" s="39">
        <v>0</v>
      </c>
      <c r="U530" s="39">
        <v>0</v>
      </c>
      <c r="V530" s="39">
        <v>244</v>
      </c>
      <c r="W530" s="40" t="s">
        <v>682</v>
      </c>
      <c r="X530" s="39">
        <v>1</v>
      </c>
    </row>
    <row r="531" spans="1:24">
      <c r="A531" s="39">
        <v>1230</v>
      </c>
      <c r="B531" s="40" t="s">
        <v>7820</v>
      </c>
      <c r="C531" s="39">
        <v>0</v>
      </c>
      <c r="E531" s="39">
        <v>0</v>
      </c>
      <c r="F531" s="39">
        <v>99</v>
      </c>
      <c r="G531" s="39">
        <v>0</v>
      </c>
      <c r="H531" s="39">
        <v>0</v>
      </c>
      <c r="I531" s="39">
        <v>0</v>
      </c>
      <c r="J531" s="39">
        <v>0</v>
      </c>
      <c r="K531" s="39">
        <v>0</v>
      </c>
      <c r="L531" s="39">
        <v>0</v>
      </c>
      <c r="M531" s="39">
        <v>0</v>
      </c>
      <c r="N531" s="39">
        <v>0</v>
      </c>
      <c r="O531" s="39">
        <v>0</v>
      </c>
      <c r="P531" s="39">
        <v>0</v>
      </c>
      <c r="Q531" s="39">
        <v>0</v>
      </c>
      <c r="R531" s="39">
        <v>0</v>
      </c>
      <c r="S531" s="39">
        <v>0</v>
      </c>
      <c r="T531" s="39">
        <v>0</v>
      </c>
      <c r="U531" s="39">
        <v>0</v>
      </c>
      <c r="V531" s="39">
        <v>418</v>
      </c>
      <c r="W531" s="40" t="s">
        <v>7671</v>
      </c>
      <c r="X531" s="39">
        <v>1</v>
      </c>
    </row>
    <row r="532" spans="1:24">
      <c r="A532" s="39">
        <v>1353</v>
      </c>
      <c r="B532" s="40" t="s">
        <v>7820</v>
      </c>
      <c r="C532" s="39">
        <v>0</v>
      </c>
      <c r="E532" s="39">
        <v>0</v>
      </c>
      <c r="F532" s="39">
        <v>99</v>
      </c>
      <c r="G532" s="39">
        <v>0</v>
      </c>
      <c r="H532" s="39">
        <v>0</v>
      </c>
      <c r="I532" s="39">
        <v>0</v>
      </c>
      <c r="J532" s="39">
        <v>0</v>
      </c>
      <c r="K532" s="39">
        <v>0</v>
      </c>
      <c r="L532" s="39">
        <v>0</v>
      </c>
      <c r="M532" s="39">
        <v>0</v>
      </c>
      <c r="N532" s="39">
        <v>0</v>
      </c>
      <c r="O532" s="39">
        <v>0</v>
      </c>
      <c r="P532" s="39">
        <v>0</v>
      </c>
      <c r="Q532" s="39">
        <v>0</v>
      </c>
      <c r="R532" s="39">
        <v>0</v>
      </c>
      <c r="S532" s="39">
        <v>0</v>
      </c>
      <c r="T532" s="39">
        <v>0</v>
      </c>
      <c r="U532" s="39">
        <v>0</v>
      </c>
      <c r="V532" s="39">
        <v>456</v>
      </c>
      <c r="W532" s="40" t="s">
        <v>7673</v>
      </c>
      <c r="X532" s="39">
        <v>1</v>
      </c>
    </row>
    <row r="533" spans="1:24">
      <c r="A533" s="39">
        <v>998</v>
      </c>
      <c r="B533" s="40" t="s">
        <v>7820</v>
      </c>
      <c r="C533" s="39">
        <v>0</v>
      </c>
      <c r="E533" s="39">
        <v>0</v>
      </c>
      <c r="F533" s="39">
        <v>99</v>
      </c>
      <c r="G533" s="39">
        <v>0</v>
      </c>
      <c r="H533" s="39">
        <v>0</v>
      </c>
      <c r="I533" s="39">
        <v>0</v>
      </c>
      <c r="J533" s="39">
        <v>0</v>
      </c>
      <c r="K533" s="39">
        <v>0</v>
      </c>
      <c r="L533" s="39">
        <v>0</v>
      </c>
      <c r="M533" s="39">
        <v>0</v>
      </c>
      <c r="N533" s="39">
        <v>0</v>
      </c>
      <c r="O533" s="39">
        <v>0</v>
      </c>
      <c r="P533" s="39">
        <v>0</v>
      </c>
      <c r="Q533" s="39">
        <v>0</v>
      </c>
      <c r="R533" s="39">
        <v>0</v>
      </c>
      <c r="S533" s="39">
        <v>0</v>
      </c>
      <c r="T533" s="39">
        <v>0</v>
      </c>
      <c r="U533" s="39">
        <v>0</v>
      </c>
      <c r="V533" s="39">
        <v>458</v>
      </c>
      <c r="W533" s="40" t="s">
        <v>7694</v>
      </c>
      <c r="X533" s="39">
        <v>1</v>
      </c>
    </row>
    <row r="534" spans="1:24">
      <c r="A534" s="39">
        <v>1045</v>
      </c>
      <c r="B534" s="40" t="s">
        <v>7820</v>
      </c>
      <c r="C534" s="39">
        <v>0</v>
      </c>
      <c r="E534" s="39">
        <v>0</v>
      </c>
      <c r="F534" s="39">
        <v>99</v>
      </c>
      <c r="G534" s="39">
        <v>0</v>
      </c>
      <c r="H534" s="39">
        <v>0</v>
      </c>
      <c r="I534" s="39">
        <v>0</v>
      </c>
      <c r="J534" s="39">
        <v>0</v>
      </c>
      <c r="K534" s="39">
        <v>0</v>
      </c>
      <c r="L534" s="39">
        <v>0</v>
      </c>
      <c r="M534" s="39">
        <v>0</v>
      </c>
      <c r="N534" s="39">
        <v>0</v>
      </c>
      <c r="O534" s="39">
        <v>0</v>
      </c>
      <c r="P534" s="39">
        <v>0</v>
      </c>
      <c r="Q534" s="39">
        <v>0</v>
      </c>
      <c r="R534" s="39">
        <v>0</v>
      </c>
      <c r="S534" s="39">
        <v>0</v>
      </c>
      <c r="T534" s="39">
        <v>0</v>
      </c>
      <c r="U534" s="39">
        <v>0</v>
      </c>
      <c r="V534" s="39">
        <v>477</v>
      </c>
      <c r="W534" s="40" t="s">
        <v>7697</v>
      </c>
      <c r="X534" s="39">
        <v>1</v>
      </c>
    </row>
    <row r="535" spans="1:24">
      <c r="A535" s="39">
        <v>837</v>
      </c>
      <c r="B535" s="40" t="s">
        <v>7820</v>
      </c>
      <c r="C535" s="39">
        <v>0</v>
      </c>
      <c r="E535" s="39">
        <v>0</v>
      </c>
      <c r="F535" s="39">
        <v>99</v>
      </c>
      <c r="G535" s="39">
        <v>0</v>
      </c>
      <c r="H535" s="39">
        <v>0</v>
      </c>
      <c r="I535" s="39">
        <v>0</v>
      </c>
      <c r="J535" s="39">
        <v>0</v>
      </c>
      <c r="K535" s="39">
        <v>0</v>
      </c>
      <c r="L535" s="39">
        <v>0</v>
      </c>
      <c r="M535" s="39">
        <v>0</v>
      </c>
      <c r="N535" s="39">
        <v>0</v>
      </c>
      <c r="O535" s="39">
        <v>0</v>
      </c>
      <c r="P535" s="39">
        <v>0</v>
      </c>
      <c r="Q535" s="39">
        <v>0</v>
      </c>
      <c r="R535" s="39">
        <v>0</v>
      </c>
      <c r="S535" s="39">
        <v>0</v>
      </c>
      <c r="T535" s="39">
        <v>0</v>
      </c>
      <c r="U535" s="39">
        <v>0</v>
      </c>
      <c r="V535" s="39">
        <v>733</v>
      </c>
      <c r="W535" s="40" t="s">
        <v>7680</v>
      </c>
      <c r="X535" s="39">
        <v>1</v>
      </c>
    </row>
    <row r="536" spans="1:24">
      <c r="A536" s="39">
        <v>142</v>
      </c>
      <c r="B536" s="40" t="s">
        <v>1107</v>
      </c>
      <c r="C536" s="39">
        <v>0</v>
      </c>
      <c r="E536" s="39">
        <v>0</v>
      </c>
      <c r="F536" s="39">
        <v>1060</v>
      </c>
      <c r="G536" s="39">
        <v>0</v>
      </c>
      <c r="H536" s="39">
        <v>0</v>
      </c>
      <c r="I536" s="39">
        <v>0</v>
      </c>
      <c r="J536" s="39">
        <v>0</v>
      </c>
      <c r="K536" s="39">
        <v>0</v>
      </c>
      <c r="L536" s="39">
        <v>0</v>
      </c>
      <c r="M536" s="39">
        <v>0</v>
      </c>
      <c r="N536" s="39">
        <v>0</v>
      </c>
      <c r="O536" s="39">
        <v>0</v>
      </c>
      <c r="P536" s="39">
        <v>0</v>
      </c>
      <c r="Q536" s="39">
        <v>0</v>
      </c>
      <c r="R536" s="39">
        <v>0</v>
      </c>
      <c r="S536" s="39">
        <v>0</v>
      </c>
      <c r="T536" s="39">
        <v>0</v>
      </c>
      <c r="U536" s="39">
        <v>0</v>
      </c>
      <c r="V536" s="39">
        <v>1</v>
      </c>
      <c r="W536" s="40" t="s">
        <v>518</v>
      </c>
      <c r="X536" s="39">
        <v>1</v>
      </c>
    </row>
    <row r="537" spans="1:24">
      <c r="A537" s="39">
        <v>52</v>
      </c>
      <c r="B537" s="40" t="s">
        <v>1107</v>
      </c>
      <c r="C537" s="39">
        <v>0</v>
      </c>
      <c r="E537" s="39">
        <v>0</v>
      </c>
      <c r="F537" s="39">
        <v>69</v>
      </c>
      <c r="G537" s="39">
        <v>0</v>
      </c>
      <c r="H537" s="39">
        <v>0</v>
      </c>
      <c r="I537" s="39">
        <v>0</v>
      </c>
      <c r="J537" s="39">
        <v>0</v>
      </c>
      <c r="K537" s="39">
        <v>0</v>
      </c>
      <c r="L537" s="39">
        <v>0</v>
      </c>
      <c r="M537" s="39">
        <v>0</v>
      </c>
      <c r="N537" s="39">
        <v>0</v>
      </c>
      <c r="O537" s="39">
        <v>0</v>
      </c>
      <c r="P537" s="39">
        <v>0</v>
      </c>
      <c r="Q537" s="39">
        <v>0</v>
      </c>
      <c r="R537" s="39">
        <v>0</v>
      </c>
      <c r="S537" s="39">
        <v>0</v>
      </c>
      <c r="T537" s="39">
        <v>0</v>
      </c>
      <c r="U537" s="39">
        <v>0</v>
      </c>
      <c r="V537" s="39">
        <v>2</v>
      </c>
      <c r="W537" s="40" t="s">
        <v>40</v>
      </c>
      <c r="X537" s="39">
        <v>1</v>
      </c>
    </row>
    <row r="538" spans="1:24">
      <c r="A538" s="39">
        <v>962</v>
      </c>
      <c r="B538" s="40" t="s">
        <v>1107</v>
      </c>
      <c r="C538" s="39">
        <v>0</v>
      </c>
      <c r="E538" s="39">
        <v>0</v>
      </c>
      <c r="F538" s="39">
        <v>1060</v>
      </c>
      <c r="G538" s="39">
        <v>0</v>
      </c>
      <c r="H538" s="39">
        <v>0</v>
      </c>
      <c r="I538" s="39">
        <v>0</v>
      </c>
      <c r="J538" s="39">
        <v>0</v>
      </c>
      <c r="K538" s="39">
        <v>0</v>
      </c>
      <c r="L538" s="39">
        <v>0</v>
      </c>
      <c r="M538" s="39">
        <v>0</v>
      </c>
      <c r="N538" s="39">
        <v>0</v>
      </c>
      <c r="O538" s="39">
        <v>0</v>
      </c>
      <c r="P538" s="39">
        <v>0</v>
      </c>
      <c r="Q538" s="39">
        <v>0</v>
      </c>
      <c r="R538" s="39">
        <v>0</v>
      </c>
      <c r="S538" s="39">
        <v>0</v>
      </c>
      <c r="T538" s="39">
        <v>0</v>
      </c>
      <c r="U538" s="39">
        <v>0</v>
      </c>
      <c r="V538" s="39">
        <v>158</v>
      </c>
      <c r="W538" s="40" t="s">
        <v>7667</v>
      </c>
      <c r="X538" s="39">
        <v>1</v>
      </c>
    </row>
    <row r="539" spans="1:24">
      <c r="A539" s="39">
        <v>451</v>
      </c>
      <c r="B539" s="40" t="s">
        <v>1107</v>
      </c>
      <c r="C539" s="39">
        <v>0</v>
      </c>
      <c r="E539" s="39">
        <v>0</v>
      </c>
      <c r="F539" s="39">
        <v>1060</v>
      </c>
      <c r="G539" s="39">
        <v>0</v>
      </c>
      <c r="H539" s="39">
        <v>0</v>
      </c>
      <c r="I539" s="39">
        <v>0</v>
      </c>
      <c r="J539" s="39">
        <v>0</v>
      </c>
      <c r="K539" s="39">
        <v>0</v>
      </c>
      <c r="L539" s="39">
        <v>0</v>
      </c>
      <c r="M539" s="39">
        <v>0</v>
      </c>
      <c r="N539" s="39">
        <v>0</v>
      </c>
      <c r="O539" s="39">
        <v>0</v>
      </c>
      <c r="P539" s="39">
        <v>0</v>
      </c>
      <c r="Q539" s="39">
        <v>0</v>
      </c>
      <c r="R539" s="39">
        <v>0</v>
      </c>
      <c r="S539" s="39">
        <v>0</v>
      </c>
      <c r="T539" s="39">
        <v>0</v>
      </c>
      <c r="U539" s="39">
        <v>0</v>
      </c>
      <c r="V539" s="39">
        <v>175</v>
      </c>
      <c r="W539" s="40" t="s">
        <v>7689</v>
      </c>
      <c r="X539" s="39">
        <v>1</v>
      </c>
    </row>
    <row r="540" spans="1:24">
      <c r="A540" s="39">
        <v>282</v>
      </c>
      <c r="B540" s="40" t="s">
        <v>1107</v>
      </c>
      <c r="C540" s="39">
        <v>0</v>
      </c>
      <c r="E540" s="39">
        <v>0</v>
      </c>
      <c r="F540" s="39">
        <v>1060</v>
      </c>
      <c r="G540" s="39">
        <v>0</v>
      </c>
      <c r="H540" s="39">
        <v>0</v>
      </c>
      <c r="I540" s="39">
        <v>0</v>
      </c>
      <c r="J540" s="39">
        <v>0</v>
      </c>
      <c r="K540" s="39">
        <v>0</v>
      </c>
      <c r="L540" s="39">
        <v>0</v>
      </c>
      <c r="M540" s="39">
        <v>0</v>
      </c>
      <c r="N540" s="39">
        <v>0</v>
      </c>
      <c r="O540" s="39">
        <v>0</v>
      </c>
      <c r="P540" s="39">
        <v>0</v>
      </c>
      <c r="Q540" s="39">
        <v>0</v>
      </c>
      <c r="R540" s="39">
        <v>0</v>
      </c>
      <c r="S540" s="39">
        <v>0</v>
      </c>
      <c r="T540" s="39">
        <v>0</v>
      </c>
      <c r="U540" s="39">
        <v>0</v>
      </c>
      <c r="V540" s="39">
        <v>228</v>
      </c>
      <c r="W540" s="40" t="s">
        <v>7669</v>
      </c>
      <c r="X540" s="39">
        <v>1</v>
      </c>
    </row>
    <row r="541" spans="1:24">
      <c r="A541" s="39">
        <v>1753</v>
      </c>
      <c r="B541" s="40" t="s">
        <v>1107</v>
      </c>
      <c r="C541" s="39">
        <v>0</v>
      </c>
      <c r="E541" s="39">
        <v>0</v>
      </c>
      <c r="F541" s="39">
        <v>1060</v>
      </c>
      <c r="G541" s="39">
        <v>0</v>
      </c>
      <c r="H541" s="39">
        <v>0</v>
      </c>
      <c r="I541" s="39">
        <v>0</v>
      </c>
      <c r="J541" s="39">
        <v>0</v>
      </c>
      <c r="K541" s="39">
        <v>0</v>
      </c>
      <c r="L541" s="39">
        <v>0</v>
      </c>
      <c r="M541" s="39">
        <v>0</v>
      </c>
      <c r="N541" s="39">
        <v>0</v>
      </c>
      <c r="O541" s="39">
        <v>0</v>
      </c>
      <c r="P541" s="39">
        <v>0</v>
      </c>
      <c r="Q541" s="39">
        <v>0</v>
      </c>
      <c r="R541" s="39">
        <v>0</v>
      </c>
      <c r="S541" s="39">
        <v>0</v>
      </c>
      <c r="T541" s="39">
        <v>0</v>
      </c>
      <c r="U541" s="39">
        <v>0</v>
      </c>
      <c r="V541" s="39">
        <v>244</v>
      </c>
      <c r="W541" s="40" t="s">
        <v>682</v>
      </c>
      <c r="X541" s="39">
        <v>1</v>
      </c>
    </row>
    <row r="542" spans="1:24">
      <c r="A542" s="39">
        <v>1231</v>
      </c>
      <c r="B542" s="40" t="s">
        <v>1107</v>
      </c>
      <c r="C542" s="39">
        <v>0</v>
      </c>
      <c r="E542" s="39">
        <v>0</v>
      </c>
      <c r="F542" s="39">
        <v>1060</v>
      </c>
      <c r="G542" s="39">
        <v>0</v>
      </c>
      <c r="H542" s="39">
        <v>0</v>
      </c>
      <c r="I542" s="39">
        <v>0</v>
      </c>
      <c r="J542" s="39">
        <v>0</v>
      </c>
      <c r="K542" s="39">
        <v>0</v>
      </c>
      <c r="L542" s="39">
        <v>0</v>
      </c>
      <c r="M542" s="39">
        <v>0</v>
      </c>
      <c r="N542" s="39">
        <v>0</v>
      </c>
      <c r="O542" s="39">
        <v>0</v>
      </c>
      <c r="P542" s="39">
        <v>0</v>
      </c>
      <c r="Q542" s="39">
        <v>0</v>
      </c>
      <c r="R542" s="39">
        <v>0</v>
      </c>
      <c r="S542" s="39">
        <v>0</v>
      </c>
      <c r="T542" s="39">
        <v>0</v>
      </c>
      <c r="U542" s="39">
        <v>0</v>
      </c>
      <c r="V542" s="39">
        <v>418</v>
      </c>
      <c r="W542" s="40" t="s">
        <v>7671</v>
      </c>
      <c r="X542" s="39">
        <v>1</v>
      </c>
    </row>
    <row r="543" spans="1:24">
      <c r="A543" s="39">
        <v>1414</v>
      </c>
      <c r="B543" s="40" t="s">
        <v>1107</v>
      </c>
      <c r="C543" s="39">
        <v>0</v>
      </c>
      <c r="E543" s="39">
        <v>0</v>
      </c>
      <c r="F543" s="39">
        <v>1060</v>
      </c>
      <c r="G543" s="39">
        <v>0</v>
      </c>
      <c r="H543" s="39">
        <v>0</v>
      </c>
      <c r="I543" s="39">
        <v>0</v>
      </c>
      <c r="J543" s="39">
        <v>0</v>
      </c>
      <c r="K543" s="39">
        <v>0</v>
      </c>
      <c r="L543" s="39">
        <v>0</v>
      </c>
      <c r="M543" s="39">
        <v>0</v>
      </c>
      <c r="N543" s="39">
        <v>0</v>
      </c>
      <c r="O543" s="39">
        <v>0</v>
      </c>
      <c r="P543" s="39">
        <v>0</v>
      </c>
      <c r="Q543" s="39">
        <v>0</v>
      </c>
      <c r="R543" s="39">
        <v>0</v>
      </c>
      <c r="S543" s="39">
        <v>0</v>
      </c>
      <c r="T543" s="39">
        <v>0</v>
      </c>
      <c r="U543" s="39">
        <v>0</v>
      </c>
      <c r="V543" s="39">
        <v>456</v>
      </c>
      <c r="W543" s="40" t="s">
        <v>7673</v>
      </c>
      <c r="X543" s="39">
        <v>1</v>
      </c>
    </row>
    <row r="544" spans="1:24">
      <c r="A544" s="39">
        <v>901</v>
      </c>
      <c r="B544" s="40" t="s">
        <v>1107</v>
      </c>
      <c r="C544" s="39">
        <v>0</v>
      </c>
      <c r="E544" s="39">
        <v>0</v>
      </c>
      <c r="F544" s="39">
        <v>1060</v>
      </c>
      <c r="G544" s="39">
        <v>0</v>
      </c>
      <c r="H544" s="39">
        <v>0</v>
      </c>
      <c r="I544" s="39">
        <v>0</v>
      </c>
      <c r="J544" s="39">
        <v>0</v>
      </c>
      <c r="K544" s="39">
        <v>0</v>
      </c>
      <c r="L544" s="39">
        <v>0</v>
      </c>
      <c r="M544" s="39">
        <v>0</v>
      </c>
      <c r="N544" s="39">
        <v>0</v>
      </c>
      <c r="O544" s="39">
        <v>0</v>
      </c>
      <c r="P544" s="39">
        <v>0</v>
      </c>
      <c r="Q544" s="39">
        <v>0</v>
      </c>
      <c r="R544" s="39">
        <v>0</v>
      </c>
      <c r="S544" s="39">
        <v>0</v>
      </c>
      <c r="T544" s="39">
        <v>0</v>
      </c>
      <c r="U544" s="39">
        <v>0</v>
      </c>
      <c r="V544" s="39">
        <v>458</v>
      </c>
      <c r="W544" s="40" t="s">
        <v>7694</v>
      </c>
      <c r="X544" s="39">
        <v>1</v>
      </c>
    </row>
    <row r="545" spans="1:24">
      <c r="A545" s="39">
        <v>1141</v>
      </c>
      <c r="B545" s="40" t="s">
        <v>1107</v>
      </c>
      <c r="C545" s="39">
        <v>0</v>
      </c>
      <c r="E545" s="39">
        <v>0</v>
      </c>
      <c r="F545" s="39">
        <v>1060</v>
      </c>
      <c r="G545" s="39">
        <v>0</v>
      </c>
      <c r="H545" s="39">
        <v>0</v>
      </c>
      <c r="I545" s="39">
        <v>0</v>
      </c>
      <c r="J545" s="39">
        <v>0</v>
      </c>
      <c r="K545" s="39">
        <v>0</v>
      </c>
      <c r="L545" s="39">
        <v>0</v>
      </c>
      <c r="M545" s="39">
        <v>0</v>
      </c>
      <c r="N545" s="39">
        <v>0</v>
      </c>
      <c r="O545" s="39">
        <v>0</v>
      </c>
      <c r="P545" s="39">
        <v>0</v>
      </c>
      <c r="Q545" s="39">
        <v>0</v>
      </c>
      <c r="R545" s="39">
        <v>0</v>
      </c>
      <c r="S545" s="39">
        <v>0</v>
      </c>
      <c r="T545" s="39">
        <v>0</v>
      </c>
      <c r="U545" s="39">
        <v>0</v>
      </c>
      <c r="V545" s="39">
        <v>459</v>
      </c>
      <c r="W545" s="40" t="s">
        <v>7674</v>
      </c>
      <c r="X545" s="39">
        <v>1</v>
      </c>
    </row>
    <row r="546" spans="1:24">
      <c r="A546" s="39">
        <v>637</v>
      </c>
      <c r="B546" s="40" t="s">
        <v>1107</v>
      </c>
      <c r="C546" s="39">
        <v>0</v>
      </c>
      <c r="E546" s="39">
        <v>0</v>
      </c>
      <c r="F546" s="39">
        <v>1060</v>
      </c>
      <c r="G546" s="39">
        <v>0</v>
      </c>
      <c r="H546" s="39">
        <v>0</v>
      </c>
      <c r="I546" s="39">
        <v>0</v>
      </c>
      <c r="J546" s="39">
        <v>0</v>
      </c>
      <c r="K546" s="39">
        <v>0</v>
      </c>
      <c r="L546" s="39">
        <v>0</v>
      </c>
      <c r="M546" s="39">
        <v>0</v>
      </c>
      <c r="N546" s="39">
        <v>0</v>
      </c>
      <c r="O546" s="39">
        <v>0</v>
      </c>
      <c r="P546" s="39">
        <v>0</v>
      </c>
      <c r="Q546" s="39">
        <v>0</v>
      </c>
      <c r="R546" s="39">
        <v>0</v>
      </c>
      <c r="S546" s="39">
        <v>0</v>
      </c>
      <c r="T546" s="39">
        <v>0</v>
      </c>
      <c r="U546" s="39">
        <v>0</v>
      </c>
      <c r="V546" s="39">
        <v>468</v>
      </c>
      <c r="W546" s="40" t="s">
        <v>7677</v>
      </c>
      <c r="X546" s="39">
        <v>1</v>
      </c>
    </row>
    <row r="547" spans="1:24">
      <c r="A547" s="39">
        <v>1044</v>
      </c>
      <c r="B547" s="40" t="s">
        <v>1107</v>
      </c>
      <c r="C547" s="39">
        <v>0</v>
      </c>
      <c r="E547" s="39">
        <v>0</v>
      </c>
      <c r="F547" s="39">
        <v>1060</v>
      </c>
      <c r="G547" s="39">
        <v>0</v>
      </c>
      <c r="H547" s="39">
        <v>0</v>
      </c>
      <c r="I547" s="39">
        <v>0</v>
      </c>
      <c r="J547" s="39">
        <v>0</v>
      </c>
      <c r="K547" s="39">
        <v>0</v>
      </c>
      <c r="L547" s="39">
        <v>0</v>
      </c>
      <c r="M547" s="39">
        <v>0</v>
      </c>
      <c r="N547" s="39">
        <v>0</v>
      </c>
      <c r="O547" s="39">
        <v>0</v>
      </c>
      <c r="P547" s="39">
        <v>0</v>
      </c>
      <c r="Q547" s="39">
        <v>0</v>
      </c>
      <c r="R547" s="39">
        <v>0</v>
      </c>
      <c r="S547" s="39">
        <v>0</v>
      </c>
      <c r="T547" s="39">
        <v>0</v>
      </c>
      <c r="U547" s="39">
        <v>0</v>
      </c>
      <c r="V547" s="39">
        <v>477</v>
      </c>
      <c r="W547" s="40" t="s">
        <v>7697</v>
      </c>
      <c r="X547" s="39">
        <v>1</v>
      </c>
    </row>
    <row r="548" spans="1:24">
      <c r="A548" s="39">
        <v>230</v>
      </c>
      <c r="B548" s="40" t="s">
        <v>1107</v>
      </c>
      <c r="C548" s="39">
        <v>0</v>
      </c>
      <c r="E548" s="39">
        <v>0</v>
      </c>
      <c r="F548" s="39">
        <v>1060</v>
      </c>
      <c r="G548" s="39">
        <v>0</v>
      </c>
      <c r="H548" s="39">
        <v>0</v>
      </c>
      <c r="I548" s="39">
        <v>0</v>
      </c>
      <c r="J548" s="39">
        <v>0</v>
      </c>
      <c r="K548" s="39">
        <v>0</v>
      </c>
      <c r="L548" s="39">
        <v>0</v>
      </c>
      <c r="M548" s="39">
        <v>0</v>
      </c>
      <c r="N548" s="39">
        <v>0</v>
      </c>
      <c r="O548" s="39">
        <v>0</v>
      </c>
      <c r="P548" s="39">
        <v>0</v>
      </c>
      <c r="Q548" s="39">
        <v>0</v>
      </c>
      <c r="R548" s="39">
        <v>0</v>
      </c>
      <c r="S548" s="39">
        <v>0</v>
      </c>
      <c r="T548" s="39">
        <v>0</v>
      </c>
      <c r="U548" s="39">
        <v>0</v>
      </c>
      <c r="V548" s="39">
        <v>590</v>
      </c>
      <c r="W548" s="40" t="s">
        <v>7679</v>
      </c>
      <c r="X548" s="39">
        <v>1</v>
      </c>
    </row>
    <row r="549" spans="1:24">
      <c r="A549" s="39">
        <v>778</v>
      </c>
      <c r="B549" s="40" t="s">
        <v>1107</v>
      </c>
      <c r="C549" s="39">
        <v>0</v>
      </c>
      <c r="E549" s="39">
        <v>0</v>
      </c>
      <c r="F549" s="39">
        <v>1060</v>
      </c>
      <c r="G549" s="39">
        <v>0</v>
      </c>
      <c r="H549" s="39">
        <v>0</v>
      </c>
      <c r="I549" s="39">
        <v>0</v>
      </c>
      <c r="J549" s="39">
        <v>0</v>
      </c>
      <c r="K549" s="39">
        <v>0</v>
      </c>
      <c r="L549" s="39">
        <v>0</v>
      </c>
      <c r="M549" s="39">
        <v>0</v>
      </c>
      <c r="N549" s="39">
        <v>0</v>
      </c>
      <c r="O549" s="39">
        <v>0</v>
      </c>
      <c r="P549" s="39">
        <v>0</v>
      </c>
      <c r="Q549" s="39">
        <v>0</v>
      </c>
      <c r="R549" s="39">
        <v>0</v>
      </c>
      <c r="S549" s="39">
        <v>0</v>
      </c>
      <c r="T549" s="39">
        <v>0</v>
      </c>
      <c r="U549" s="39">
        <v>0</v>
      </c>
      <c r="V549" s="39">
        <v>733</v>
      </c>
      <c r="W549" s="40" t="s">
        <v>7680</v>
      </c>
      <c r="X549" s="39">
        <v>1</v>
      </c>
    </row>
    <row r="550" spans="1:24">
      <c r="A550" s="39">
        <v>150</v>
      </c>
      <c r="B550" s="40" t="s">
        <v>7821</v>
      </c>
      <c r="C550" s="39">
        <v>0</v>
      </c>
      <c r="E550" s="39">
        <v>1</v>
      </c>
      <c r="F550" s="39">
        <v>1475</v>
      </c>
      <c r="G550" s="39">
        <v>1</v>
      </c>
      <c r="H550" s="39">
        <v>1</v>
      </c>
      <c r="I550" s="39">
        <v>1</v>
      </c>
      <c r="J550" s="39">
        <v>1</v>
      </c>
      <c r="K550" s="39">
        <v>0</v>
      </c>
      <c r="L550" s="39">
        <v>0</v>
      </c>
      <c r="M550" s="39">
        <v>0</v>
      </c>
      <c r="N550" s="39">
        <v>0</v>
      </c>
      <c r="O550" s="39">
        <v>0</v>
      </c>
      <c r="P550" s="39">
        <v>0</v>
      </c>
      <c r="Q550" s="39">
        <v>0</v>
      </c>
      <c r="R550" s="39">
        <v>0</v>
      </c>
      <c r="S550" s="39">
        <v>0</v>
      </c>
      <c r="T550" s="39">
        <v>0</v>
      </c>
      <c r="U550" s="39">
        <v>0</v>
      </c>
      <c r="V550" s="39">
        <v>1</v>
      </c>
      <c r="W550" s="40" t="s">
        <v>518</v>
      </c>
      <c r="X550" s="39">
        <v>1</v>
      </c>
    </row>
    <row r="551" spans="1:24">
      <c r="A551" s="39">
        <v>963</v>
      </c>
      <c r="B551" s="40" t="s">
        <v>7821</v>
      </c>
      <c r="C551" s="39">
        <v>0</v>
      </c>
      <c r="E551" s="39">
        <v>1</v>
      </c>
      <c r="F551" s="39">
        <v>1475</v>
      </c>
      <c r="G551" s="39">
        <v>0</v>
      </c>
      <c r="H551" s="39">
        <v>0</v>
      </c>
      <c r="I551" s="39">
        <v>0</v>
      </c>
      <c r="J551" s="39">
        <v>0</v>
      </c>
      <c r="K551" s="39">
        <v>0</v>
      </c>
      <c r="L551" s="39">
        <v>0</v>
      </c>
      <c r="M551" s="39">
        <v>0</v>
      </c>
      <c r="N551" s="39">
        <v>0</v>
      </c>
      <c r="O551" s="39">
        <v>0</v>
      </c>
      <c r="P551" s="39">
        <v>0</v>
      </c>
      <c r="Q551" s="39">
        <v>0</v>
      </c>
      <c r="R551" s="39">
        <v>0</v>
      </c>
      <c r="S551" s="39">
        <v>0</v>
      </c>
      <c r="T551" s="39">
        <v>0</v>
      </c>
      <c r="U551" s="39">
        <v>0</v>
      </c>
      <c r="V551" s="39">
        <v>158</v>
      </c>
      <c r="W551" s="40" t="s">
        <v>7667</v>
      </c>
      <c r="X551" s="39">
        <v>1</v>
      </c>
    </row>
    <row r="552" spans="1:24">
      <c r="A552" s="39">
        <v>452</v>
      </c>
      <c r="B552" s="40" t="s">
        <v>7821</v>
      </c>
      <c r="C552" s="39">
        <v>0</v>
      </c>
      <c r="E552" s="39">
        <v>1</v>
      </c>
      <c r="F552" s="39">
        <v>1475</v>
      </c>
      <c r="G552" s="39">
        <v>0</v>
      </c>
      <c r="H552" s="39">
        <v>0</v>
      </c>
      <c r="I552" s="39">
        <v>0</v>
      </c>
      <c r="J552" s="39">
        <v>0</v>
      </c>
      <c r="K552" s="39">
        <v>0</v>
      </c>
      <c r="L552" s="39">
        <v>0</v>
      </c>
      <c r="M552" s="39">
        <v>0</v>
      </c>
      <c r="N552" s="39">
        <v>0</v>
      </c>
      <c r="O552" s="39">
        <v>0</v>
      </c>
      <c r="P552" s="39">
        <v>0</v>
      </c>
      <c r="Q552" s="39">
        <v>0</v>
      </c>
      <c r="R552" s="39">
        <v>0</v>
      </c>
      <c r="S552" s="39">
        <v>0</v>
      </c>
      <c r="T552" s="39">
        <v>0</v>
      </c>
      <c r="U552" s="39">
        <v>0</v>
      </c>
      <c r="V552" s="39">
        <v>175</v>
      </c>
      <c r="W552" s="40" t="s">
        <v>7689</v>
      </c>
      <c r="X552" s="39">
        <v>1</v>
      </c>
    </row>
    <row r="553" spans="1:24">
      <c r="A553" s="39">
        <v>345</v>
      </c>
      <c r="B553" s="40" t="s">
        <v>7821</v>
      </c>
      <c r="C553" s="39">
        <v>0</v>
      </c>
      <c r="E553" s="39">
        <v>1</v>
      </c>
      <c r="F553" s="39">
        <v>1475</v>
      </c>
      <c r="G553" s="39">
        <v>0</v>
      </c>
      <c r="H553" s="39">
        <v>0</v>
      </c>
      <c r="I553" s="39">
        <v>0</v>
      </c>
      <c r="J553" s="39">
        <v>0</v>
      </c>
      <c r="K553" s="39">
        <v>0</v>
      </c>
      <c r="L553" s="39">
        <v>0</v>
      </c>
      <c r="M553" s="39">
        <v>0</v>
      </c>
      <c r="N553" s="39">
        <v>0</v>
      </c>
      <c r="O553" s="39">
        <v>0</v>
      </c>
      <c r="P553" s="39">
        <v>0</v>
      </c>
      <c r="Q553" s="39">
        <v>0</v>
      </c>
      <c r="R553" s="39">
        <v>0</v>
      </c>
      <c r="S553" s="39">
        <v>0</v>
      </c>
      <c r="T553" s="39">
        <v>0</v>
      </c>
      <c r="U553" s="39">
        <v>0</v>
      </c>
      <c r="V553" s="39">
        <v>228</v>
      </c>
      <c r="W553" s="40" t="s">
        <v>7669</v>
      </c>
      <c r="X553" s="39">
        <v>1</v>
      </c>
    </row>
    <row r="554" spans="1:24">
      <c r="A554" s="39">
        <v>1761</v>
      </c>
      <c r="B554" s="40" t="s">
        <v>7821</v>
      </c>
      <c r="C554" s="39">
        <v>0</v>
      </c>
      <c r="E554" s="39">
        <v>1</v>
      </c>
      <c r="F554" s="39">
        <v>1475</v>
      </c>
      <c r="G554" s="39">
        <v>1</v>
      </c>
      <c r="H554" s="39">
        <v>1</v>
      </c>
      <c r="I554" s="39">
        <v>1</v>
      </c>
      <c r="J554" s="39">
        <v>1</v>
      </c>
      <c r="K554" s="39">
        <v>0</v>
      </c>
      <c r="L554" s="39">
        <v>0</v>
      </c>
      <c r="M554" s="39">
        <v>0</v>
      </c>
      <c r="N554" s="39">
        <v>0</v>
      </c>
      <c r="O554" s="39">
        <v>0</v>
      </c>
      <c r="P554" s="39">
        <v>0</v>
      </c>
      <c r="Q554" s="39">
        <v>0</v>
      </c>
      <c r="R554" s="39">
        <v>0</v>
      </c>
      <c r="S554" s="39">
        <v>0</v>
      </c>
      <c r="T554" s="39">
        <v>0</v>
      </c>
      <c r="U554" s="39">
        <v>0</v>
      </c>
      <c r="V554" s="39">
        <v>244</v>
      </c>
      <c r="W554" s="40" t="s">
        <v>682</v>
      </c>
      <c r="X554" s="39">
        <v>1</v>
      </c>
    </row>
    <row r="555" spans="1:24">
      <c r="A555" s="39">
        <v>1232</v>
      </c>
      <c r="B555" s="40" t="s">
        <v>7821</v>
      </c>
      <c r="C555" s="39">
        <v>0</v>
      </c>
      <c r="E555" s="39">
        <v>1</v>
      </c>
      <c r="F555" s="39">
        <v>1475</v>
      </c>
      <c r="G555" s="39">
        <v>0</v>
      </c>
      <c r="H555" s="39">
        <v>0</v>
      </c>
      <c r="I555" s="39">
        <v>0</v>
      </c>
      <c r="J555" s="39">
        <v>0</v>
      </c>
      <c r="K555" s="39">
        <v>0</v>
      </c>
      <c r="L555" s="39">
        <v>0</v>
      </c>
      <c r="M555" s="39">
        <v>0</v>
      </c>
      <c r="N555" s="39">
        <v>0</v>
      </c>
      <c r="O555" s="39">
        <v>0</v>
      </c>
      <c r="P555" s="39">
        <v>0</v>
      </c>
      <c r="Q555" s="39">
        <v>0</v>
      </c>
      <c r="R555" s="39">
        <v>0</v>
      </c>
      <c r="S555" s="39">
        <v>0</v>
      </c>
      <c r="T555" s="39">
        <v>0</v>
      </c>
      <c r="U555" s="39">
        <v>0</v>
      </c>
      <c r="V555" s="39">
        <v>418</v>
      </c>
      <c r="W555" s="40" t="s">
        <v>7671</v>
      </c>
      <c r="X555" s="39">
        <v>1</v>
      </c>
    </row>
    <row r="556" spans="1:24">
      <c r="A556" s="39">
        <v>1422</v>
      </c>
      <c r="B556" s="40" t="s">
        <v>7821</v>
      </c>
      <c r="C556" s="39">
        <v>0</v>
      </c>
      <c r="E556" s="39">
        <v>1</v>
      </c>
      <c r="F556" s="39">
        <v>1475</v>
      </c>
      <c r="G556" s="39">
        <v>1</v>
      </c>
      <c r="H556" s="39">
        <v>1</v>
      </c>
      <c r="I556" s="39">
        <v>1</v>
      </c>
      <c r="J556" s="39">
        <v>1</v>
      </c>
      <c r="K556" s="39">
        <v>0</v>
      </c>
      <c r="L556" s="39">
        <v>0</v>
      </c>
      <c r="M556" s="39">
        <v>0</v>
      </c>
      <c r="N556" s="39">
        <v>0</v>
      </c>
      <c r="O556" s="39">
        <v>0</v>
      </c>
      <c r="P556" s="39">
        <v>0</v>
      </c>
      <c r="Q556" s="39">
        <v>0</v>
      </c>
      <c r="R556" s="39">
        <v>0</v>
      </c>
      <c r="S556" s="39">
        <v>0</v>
      </c>
      <c r="T556" s="39">
        <v>0</v>
      </c>
      <c r="U556" s="39">
        <v>0</v>
      </c>
      <c r="V556" s="39">
        <v>456</v>
      </c>
      <c r="W556" s="40" t="s">
        <v>7673</v>
      </c>
      <c r="X556" s="39">
        <v>1</v>
      </c>
    </row>
    <row r="557" spans="1:24">
      <c r="A557" s="39">
        <v>902</v>
      </c>
      <c r="B557" s="40" t="s">
        <v>7821</v>
      </c>
      <c r="C557" s="39">
        <v>0</v>
      </c>
      <c r="E557" s="39">
        <v>1</v>
      </c>
      <c r="F557" s="39">
        <v>1475</v>
      </c>
      <c r="G557" s="39">
        <v>0</v>
      </c>
      <c r="H557" s="39">
        <v>0</v>
      </c>
      <c r="I557" s="39">
        <v>0</v>
      </c>
      <c r="J557" s="39">
        <v>0</v>
      </c>
      <c r="K557" s="39">
        <v>0</v>
      </c>
      <c r="L557" s="39">
        <v>0</v>
      </c>
      <c r="M557" s="39">
        <v>0</v>
      </c>
      <c r="N557" s="39">
        <v>0</v>
      </c>
      <c r="O557" s="39">
        <v>0</v>
      </c>
      <c r="P557" s="39">
        <v>0</v>
      </c>
      <c r="Q557" s="39">
        <v>0</v>
      </c>
      <c r="R557" s="39">
        <v>0</v>
      </c>
      <c r="S557" s="39">
        <v>0</v>
      </c>
      <c r="T557" s="39">
        <v>0</v>
      </c>
      <c r="U557" s="39">
        <v>0</v>
      </c>
      <c r="V557" s="39">
        <v>458</v>
      </c>
      <c r="W557" s="40" t="s">
        <v>7694</v>
      </c>
      <c r="X557" s="39">
        <v>1</v>
      </c>
    </row>
    <row r="558" spans="1:24">
      <c r="A558" s="39">
        <v>1142</v>
      </c>
      <c r="B558" s="40" t="s">
        <v>7821</v>
      </c>
      <c r="C558" s="39">
        <v>0</v>
      </c>
      <c r="E558" s="39">
        <v>1</v>
      </c>
      <c r="F558" s="39">
        <v>1475</v>
      </c>
      <c r="G558" s="39">
        <v>0</v>
      </c>
      <c r="H558" s="39">
        <v>0</v>
      </c>
      <c r="I558" s="39">
        <v>0</v>
      </c>
      <c r="J558" s="39">
        <v>0</v>
      </c>
      <c r="K558" s="39">
        <v>0</v>
      </c>
      <c r="L558" s="39">
        <v>0</v>
      </c>
      <c r="M558" s="39">
        <v>0</v>
      </c>
      <c r="N558" s="39">
        <v>0</v>
      </c>
      <c r="O558" s="39">
        <v>0</v>
      </c>
      <c r="P558" s="39">
        <v>0</v>
      </c>
      <c r="Q558" s="39">
        <v>0</v>
      </c>
      <c r="R558" s="39">
        <v>0</v>
      </c>
      <c r="S558" s="39">
        <v>0</v>
      </c>
      <c r="T558" s="39">
        <v>0</v>
      </c>
      <c r="U558" s="39">
        <v>0</v>
      </c>
      <c r="V558" s="39">
        <v>459</v>
      </c>
      <c r="W558" s="40" t="s">
        <v>7674</v>
      </c>
      <c r="X558" s="39">
        <v>1</v>
      </c>
    </row>
    <row r="559" spans="1:24">
      <c r="A559" s="39">
        <v>605</v>
      </c>
      <c r="B559" s="40" t="s">
        <v>7821</v>
      </c>
      <c r="C559" s="39">
        <v>0</v>
      </c>
      <c r="E559" s="39">
        <v>1</v>
      </c>
      <c r="F559" s="39">
        <v>1475</v>
      </c>
      <c r="G559" s="39">
        <v>1</v>
      </c>
      <c r="H559" s="39">
        <v>1</v>
      </c>
      <c r="I559" s="39">
        <v>1</v>
      </c>
      <c r="J559" s="39">
        <v>0</v>
      </c>
      <c r="K559" s="39">
        <v>0</v>
      </c>
      <c r="L559" s="39">
        <v>0</v>
      </c>
      <c r="M559" s="39">
        <v>0</v>
      </c>
      <c r="N559" s="39">
        <v>0</v>
      </c>
      <c r="O559" s="39">
        <v>0</v>
      </c>
      <c r="P559" s="39">
        <v>0</v>
      </c>
      <c r="Q559" s="39">
        <v>0</v>
      </c>
      <c r="R559" s="39">
        <v>0</v>
      </c>
      <c r="S559" s="39">
        <v>0</v>
      </c>
      <c r="T559" s="39">
        <v>0</v>
      </c>
      <c r="U559" s="39">
        <v>0</v>
      </c>
      <c r="V559" s="39">
        <v>468</v>
      </c>
      <c r="W559" s="40" t="s">
        <v>7677</v>
      </c>
      <c r="X559" s="39">
        <v>1</v>
      </c>
    </row>
    <row r="560" spans="1:24">
      <c r="A560" s="39">
        <v>1046</v>
      </c>
      <c r="B560" s="40" t="s">
        <v>7821</v>
      </c>
      <c r="C560" s="39">
        <v>0</v>
      </c>
      <c r="E560" s="39">
        <v>1</v>
      </c>
      <c r="F560" s="39">
        <v>1475</v>
      </c>
      <c r="G560" s="39">
        <v>0</v>
      </c>
      <c r="H560" s="39">
        <v>0</v>
      </c>
      <c r="I560" s="39">
        <v>0</v>
      </c>
      <c r="J560" s="39">
        <v>0</v>
      </c>
      <c r="K560" s="39">
        <v>0</v>
      </c>
      <c r="L560" s="39">
        <v>0</v>
      </c>
      <c r="M560" s="39">
        <v>0</v>
      </c>
      <c r="N560" s="39">
        <v>0</v>
      </c>
      <c r="O560" s="39">
        <v>0</v>
      </c>
      <c r="P560" s="39">
        <v>0</v>
      </c>
      <c r="Q560" s="39">
        <v>0</v>
      </c>
      <c r="R560" s="39">
        <v>0</v>
      </c>
      <c r="S560" s="39">
        <v>0</v>
      </c>
      <c r="T560" s="39">
        <v>0</v>
      </c>
      <c r="U560" s="39">
        <v>0</v>
      </c>
      <c r="V560" s="39">
        <v>477</v>
      </c>
      <c r="W560" s="40" t="s">
        <v>7697</v>
      </c>
      <c r="X560" s="39">
        <v>1</v>
      </c>
    </row>
    <row r="561" spans="1:24">
      <c r="A561" s="39">
        <v>231</v>
      </c>
      <c r="B561" s="40" t="s">
        <v>7821</v>
      </c>
      <c r="C561" s="39">
        <v>0</v>
      </c>
      <c r="E561" s="39">
        <v>1</v>
      </c>
      <c r="F561" s="39">
        <v>1475</v>
      </c>
      <c r="G561" s="39">
        <v>0</v>
      </c>
      <c r="H561" s="39">
        <v>0</v>
      </c>
      <c r="I561" s="39">
        <v>0</v>
      </c>
      <c r="J561" s="39">
        <v>0</v>
      </c>
      <c r="K561" s="39">
        <v>0</v>
      </c>
      <c r="L561" s="39">
        <v>0</v>
      </c>
      <c r="M561" s="39">
        <v>0</v>
      </c>
      <c r="N561" s="39">
        <v>0</v>
      </c>
      <c r="O561" s="39">
        <v>0</v>
      </c>
      <c r="P561" s="39">
        <v>0</v>
      </c>
      <c r="Q561" s="39">
        <v>0</v>
      </c>
      <c r="R561" s="39">
        <v>0</v>
      </c>
      <c r="S561" s="39">
        <v>0</v>
      </c>
      <c r="T561" s="39">
        <v>0</v>
      </c>
      <c r="U561" s="39">
        <v>0</v>
      </c>
      <c r="V561" s="39">
        <v>590</v>
      </c>
      <c r="W561" s="40" t="s">
        <v>7679</v>
      </c>
      <c r="X561" s="39">
        <v>1</v>
      </c>
    </row>
    <row r="562" spans="1:24">
      <c r="A562" s="39">
        <v>779</v>
      </c>
      <c r="B562" s="40" t="s">
        <v>7821</v>
      </c>
      <c r="C562" s="39">
        <v>0</v>
      </c>
      <c r="E562" s="39">
        <v>1</v>
      </c>
      <c r="F562" s="39">
        <v>1475</v>
      </c>
      <c r="G562" s="39">
        <v>1</v>
      </c>
      <c r="H562" s="39">
        <v>1</v>
      </c>
      <c r="I562" s="39">
        <v>1</v>
      </c>
      <c r="J562" s="39">
        <v>1</v>
      </c>
      <c r="K562" s="39">
        <v>0</v>
      </c>
      <c r="L562" s="39">
        <v>0</v>
      </c>
      <c r="M562" s="39">
        <v>0</v>
      </c>
      <c r="N562" s="39">
        <v>0</v>
      </c>
      <c r="O562" s="39">
        <v>0</v>
      </c>
      <c r="P562" s="39">
        <v>0</v>
      </c>
      <c r="Q562" s="39">
        <v>0</v>
      </c>
      <c r="R562" s="39">
        <v>0</v>
      </c>
      <c r="S562" s="39">
        <v>0</v>
      </c>
      <c r="T562" s="39">
        <v>0</v>
      </c>
      <c r="U562" s="39">
        <v>0</v>
      </c>
      <c r="V562" s="39">
        <v>733</v>
      </c>
      <c r="W562" s="40" t="s">
        <v>7680</v>
      </c>
      <c r="X562" s="39">
        <v>1</v>
      </c>
    </row>
    <row r="563" spans="1:24">
      <c r="A563" s="39">
        <v>79</v>
      </c>
      <c r="B563" s="40" t="s">
        <v>7822</v>
      </c>
      <c r="C563" s="39">
        <v>0</v>
      </c>
      <c r="D563" s="40" t="s">
        <v>7823</v>
      </c>
      <c r="E563" s="39">
        <v>1</v>
      </c>
      <c r="F563" s="39">
        <v>81</v>
      </c>
      <c r="G563" s="39">
        <v>0</v>
      </c>
      <c r="H563" s="39">
        <v>1</v>
      </c>
      <c r="I563" s="39">
        <v>1</v>
      </c>
      <c r="J563" s="39">
        <v>1</v>
      </c>
      <c r="K563" s="39">
        <v>0</v>
      </c>
      <c r="L563" s="39">
        <v>0</v>
      </c>
      <c r="M563" s="39">
        <v>0</v>
      </c>
      <c r="N563" s="39">
        <v>0</v>
      </c>
      <c r="O563" s="39">
        <v>0</v>
      </c>
      <c r="P563" s="39">
        <v>0</v>
      </c>
      <c r="Q563" s="39">
        <v>0</v>
      </c>
      <c r="R563" s="39">
        <v>0</v>
      </c>
      <c r="S563" s="39">
        <v>0</v>
      </c>
      <c r="T563" s="39">
        <v>0</v>
      </c>
      <c r="U563" s="39">
        <v>0</v>
      </c>
      <c r="V563" s="39">
        <v>2</v>
      </c>
      <c r="W563" s="40" t="s">
        <v>40</v>
      </c>
      <c r="X563" s="39">
        <v>1</v>
      </c>
    </row>
    <row r="564" spans="1:24">
      <c r="A564" s="39">
        <v>149</v>
      </c>
      <c r="B564" s="40" t="s">
        <v>6996</v>
      </c>
      <c r="C564" s="39">
        <v>0</v>
      </c>
      <c r="E564" s="39">
        <v>1</v>
      </c>
      <c r="F564" s="39">
        <v>874</v>
      </c>
      <c r="G564" s="39">
        <v>1</v>
      </c>
      <c r="H564" s="39">
        <v>1</v>
      </c>
      <c r="I564" s="39">
        <v>1</v>
      </c>
      <c r="J564" s="39">
        <v>1</v>
      </c>
      <c r="K564" s="39">
        <v>0</v>
      </c>
      <c r="L564" s="39">
        <v>0</v>
      </c>
      <c r="M564" s="39">
        <v>0</v>
      </c>
      <c r="N564" s="39">
        <v>0</v>
      </c>
      <c r="O564" s="39">
        <v>0</v>
      </c>
      <c r="P564" s="39">
        <v>0</v>
      </c>
      <c r="Q564" s="39">
        <v>0</v>
      </c>
      <c r="R564" s="39">
        <v>0</v>
      </c>
      <c r="S564" s="39">
        <v>0</v>
      </c>
      <c r="T564" s="39">
        <v>0</v>
      </c>
      <c r="U564" s="39">
        <v>0</v>
      </c>
      <c r="V564" s="39">
        <v>1</v>
      </c>
      <c r="W564" s="40" t="s">
        <v>518</v>
      </c>
      <c r="X564" s="39">
        <v>1</v>
      </c>
    </row>
    <row r="565" spans="1:24">
      <c r="A565" s="39">
        <v>59</v>
      </c>
      <c r="B565" s="40" t="s">
        <v>6996</v>
      </c>
      <c r="C565" s="39">
        <v>0</v>
      </c>
      <c r="D565" s="40" t="s">
        <v>7824</v>
      </c>
      <c r="E565" s="39">
        <v>1</v>
      </c>
      <c r="F565" s="39">
        <v>81</v>
      </c>
      <c r="G565" s="39">
        <v>0</v>
      </c>
      <c r="H565" s="39">
        <v>1</v>
      </c>
      <c r="I565" s="39">
        <v>1</v>
      </c>
      <c r="J565" s="39">
        <v>1</v>
      </c>
      <c r="K565" s="39">
        <v>0</v>
      </c>
      <c r="L565" s="39">
        <v>0</v>
      </c>
      <c r="M565" s="39">
        <v>0</v>
      </c>
      <c r="N565" s="39">
        <v>0</v>
      </c>
      <c r="O565" s="39">
        <v>0</v>
      </c>
      <c r="P565" s="39">
        <v>0</v>
      </c>
      <c r="Q565" s="39">
        <v>0</v>
      </c>
      <c r="R565" s="39">
        <v>0</v>
      </c>
      <c r="S565" s="39">
        <v>0</v>
      </c>
      <c r="T565" s="39">
        <v>0</v>
      </c>
      <c r="U565" s="39">
        <v>0</v>
      </c>
      <c r="V565" s="39">
        <v>2</v>
      </c>
      <c r="W565" s="40" t="s">
        <v>40</v>
      </c>
      <c r="X565" s="39">
        <v>1</v>
      </c>
    </row>
    <row r="566" spans="1:24">
      <c r="A566" s="39">
        <v>964</v>
      </c>
      <c r="B566" s="40" t="s">
        <v>6996</v>
      </c>
      <c r="C566" s="39">
        <v>0</v>
      </c>
      <c r="E566" s="39">
        <v>1</v>
      </c>
      <c r="F566" s="39">
        <v>874</v>
      </c>
      <c r="G566" s="39">
        <v>1</v>
      </c>
      <c r="H566" s="39">
        <v>1</v>
      </c>
      <c r="I566" s="39">
        <v>1</v>
      </c>
      <c r="J566" s="39">
        <v>0</v>
      </c>
      <c r="K566" s="39">
        <v>0</v>
      </c>
      <c r="L566" s="39">
        <v>0</v>
      </c>
      <c r="M566" s="39">
        <v>0</v>
      </c>
      <c r="N566" s="39">
        <v>0</v>
      </c>
      <c r="O566" s="39">
        <v>0</v>
      </c>
      <c r="P566" s="39">
        <v>0</v>
      </c>
      <c r="Q566" s="39">
        <v>0</v>
      </c>
      <c r="R566" s="39">
        <v>0</v>
      </c>
      <c r="S566" s="39">
        <v>0</v>
      </c>
      <c r="T566" s="39">
        <v>0</v>
      </c>
      <c r="U566" s="39">
        <v>0</v>
      </c>
      <c r="V566" s="39">
        <v>158</v>
      </c>
      <c r="W566" s="40" t="s">
        <v>7667</v>
      </c>
      <c r="X566" s="39">
        <v>1</v>
      </c>
    </row>
    <row r="567" spans="1:24">
      <c r="A567" s="39">
        <v>453</v>
      </c>
      <c r="B567" s="40" t="s">
        <v>6996</v>
      </c>
      <c r="C567" s="39">
        <v>0</v>
      </c>
      <c r="E567" s="39">
        <v>1</v>
      </c>
      <c r="F567" s="39">
        <v>874</v>
      </c>
      <c r="G567" s="39">
        <v>1</v>
      </c>
      <c r="H567" s="39">
        <v>1</v>
      </c>
      <c r="I567" s="39">
        <v>1</v>
      </c>
      <c r="J567" s="39">
        <v>0</v>
      </c>
      <c r="K567" s="39">
        <v>0</v>
      </c>
      <c r="L567" s="39">
        <v>0</v>
      </c>
      <c r="M567" s="39">
        <v>0</v>
      </c>
      <c r="N567" s="39">
        <v>0</v>
      </c>
      <c r="O567" s="39">
        <v>0</v>
      </c>
      <c r="P567" s="39">
        <v>0</v>
      </c>
      <c r="Q567" s="39">
        <v>0</v>
      </c>
      <c r="R567" s="39">
        <v>0</v>
      </c>
      <c r="S567" s="39">
        <v>0</v>
      </c>
      <c r="T567" s="39">
        <v>0</v>
      </c>
      <c r="U567" s="39">
        <v>0</v>
      </c>
      <c r="V567" s="39">
        <v>175</v>
      </c>
      <c r="W567" s="40" t="s">
        <v>7689</v>
      </c>
      <c r="X567" s="39">
        <v>1</v>
      </c>
    </row>
    <row r="568" spans="1:24">
      <c r="A568" s="39">
        <v>346</v>
      </c>
      <c r="B568" s="40" t="s">
        <v>6996</v>
      </c>
      <c r="C568" s="39">
        <v>0</v>
      </c>
      <c r="E568" s="39">
        <v>1</v>
      </c>
      <c r="F568" s="39">
        <v>874</v>
      </c>
      <c r="G568" s="39">
        <v>1</v>
      </c>
      <c r="H568" s="39">
        <v>1</v>
      </c>
      <c r="I568" s="39">
        <v>1</v>
      </c>
      <c r="J568" s="39">
        <v>0</v>
      </c>
      <c r="K568" s="39">
        <v>0</v>
      </c>
      <c r="L568" s="39">
        <v>0</v>
      </c>
      <c r="M568" s="39">
        <v>0</v>
      </c>
      <c r="N568" s="39">
        <v>0</v>
      </c>
      <c r="O568" s="39">
        <v>0</v>
      </c>
      <c r="P568" s="39">
        <v>0</v>
      </c>
      <c r="Q568" s="39">
        <v>0</v>
      </c>
      <c r="R568" s="39">
        <v>0</v>
      </c>
      <c r="S568" s="39">
        <v>0</v>
      </c>
      <c r="T568" s="39">
        <v>0</v>
      </c>
      <c r="U568" s="39">
        <v>0</v>
      </c>
      <c r="V568" s="39">
        <v>228</v>
      </c>
      <c r="W568" s="40" t="s">
        <v>7669</v>
      </c>
      <c r="X568" s="39">
        <v>1</v>
      </c>
    </row>
    <row r="569" spans="1:24">
      <c r="A569" s="39">
        <v>1760</v>
      </c>
      <c r="B569" s="40" t="s">
        <v>6996</v>
      </c>
      <c r="C569" s="39">
        <v>0</v>
      </c>
      <c r="E569" s="39">
        <v>1</v>
      </c>
      <c r="F569" s="39">
        <v>874</v>
      </c>
      <c r="G569" s="39">
        <v>1</v>
      </c>
      <c r="H569" s="39">
        <v>1</v>
      </c>
      <c r="I569" s="39">
        <v>1</v>
      </c>
      <c r="J569" s="39">
        <v>1</v>
      </c>
      <c r="K569" s="39">
        <v>0</v>
      </c>
      <c r="L569" s="39">
        <v>0</v>
      </c>
      <c r="M569" s="39">
        <v>0</v>
      </c>
      <c r="N569" s="39">
        <v>0</v>
      </c>
      <c r="O569" s="39">
        <v>0</v>
      </c>
      <c r="P569" s="39">
        <v>0</v>
      </c>
      <c r="Q569" s="39">
        <v>0</v>
      </c>
      <c r="R569" s="39">
        <v>0</v>
      </c>
      <c r="S569" s="39">
        <v>0</v>
      </c>
      <c r="T569" s="39">
        <v>0</v>
      </c>
      <c r="U569" s="39">
        <v>0</v>
      </c>
      <c r="V569" s="39">
        <v>244</v>
      </c>
      <c r="W569" s="40" t="s">
        <v>682</v>
      </c>
      <c r="X569" s="39">
        <v>1</v>
      </c>
    </row>
    <row r="570" spans="1:24">
      <c r="A570" s="39">
        <v>1233</v>
      </c>
      <c r="B570" s="40" t="s">
        <v>6996</v>
      </c>
      <c r="C570" s="39">
        <v>0</v>
      </c>
      <c r="E570" s="39">
        <v>1</v>
      </c>
      <c r="F570" s="39">
        <v>874</v>
      </c>
      <c r="G570" s="39">
        <v>1</v>
      </c>
      <c r="H570" s="39">
        <v>1</v>
      </c>
      <c r="I570" s="39">
        <v>1</v>
      </c>
      <c r="J570" s="39">
        <v>0</v>
      </c>
      <c r="K570" s="39">
        <v>0</v>
      </c>
      <c r="L570" s="39">
        <v>0</v>
      </c>
      <c r="M570" s="39">
        <v>0</v>
      </c>
      <c r="N570" s="39">
        <v>0</v>
      </c>
      <c r="O570" s="39">
        <v>0</v>
      </c>
      <c r="P570" s="39">
        <v>0</v>
      </c>
      <c r="Q570" s="39">
        <v>0</v>
      </c>
      <c r="R570" s="39">
        <v>0</v>
      </c>
      <c r="S570" s="39">
        <v>0</v>
      </c>
      <c r="T570" s="39">
        <v>0</v>
      </c>
      <c r="U570" s="39">
        <v>0</v>
      </c>
      <c r="V570" s="39">
        <v>418</v>
      </c>
      <c r="W570" s="40" t="s">
        <v>7671</v>
      </c>
      <c r="X570" s="39">
        <v>1</v>
      </c>
    </row>
    <row r="571" spans="1:24">
      <c r="A571" s="39">
        <v>1421</v>
      </c>
      <c r="B571" s="40" t="s">
        <v>6996</v>
      </c>
      <c r="C571" s="39">
        <v>0</v>
      </c>
      <c r="E571" s="39">
        <v>1</v>
      </c>
      <c r="F571" s="39">
        <v>874</v>
      </c>
      <c r="G571" s="39">
        <v>1</v>
      </c>
      <c r="H571" s="39">
        <v>1</v>
      </c>
      <c r="I571" s="39">
        <v>1</v>
      </c>
      <c r="J571" s="39">
        <v>1</v>
      </c>
      <c r="K571" s="39">
        <v>0</v>
      </c>
      <c r="L571" s="39">
        <v>0</v>
      </c>
      <c r="M571" s="39">
        <v>0</v>
      </c>
      <c r="N571" s="39">
        <v>0</v>
      </c>
      <c r="O571" s="39">
        <v>0</v>
      </c>
      <c r="P571" s="39">
        <v>0</v>
      </c>
      <c r="Q571" s="39">
        <v>0</v>
      </c>
      <c r="R571" s="39">
        <v>0</v>
      </c>
      <c r="S571" s="39">
        <v>0</v>
      </c>
      <c r="T571" s="39">
        <v>0</v>
      </c>
      <c r="U571" s="39">
        <v>0</v>
      </c>
      <c r="V571" s="39">
        <v>456</v>
      </c>
      <c r="W571" s="40" t="s">
        <v>7673</v>
      </c>
      <c r="X571" s="39">
        <v>1</v>
      </c>
    </row>
    <row r="572" spans="1:24">
      <c r="A572" s="39">
        <v>903</v>
      </c>
      <c r="B572" s="40" t="s">
        <v>6996</v>
      </c>
      <c r="C572" s="39">
        <v>0</v>
      </c>
      <c r="E572" s="39">
        <v>1</v>
      </c>
      <c r="F572" s="39">
        <v>874</v>
      </c>
      <c r="G572" s="39">
        <v>1</v>
      </c>
      <c r="H572" s="39">
        <v>1</v>
      </c>
      <c r="I572" s="39">
        <v>1</v>
      </c>
      <c r="J572" s="39">
        <v>0</v>
      </c>
      <c r="K572" s="39">
        <v>0</v>
      </c>
      <c r="L572" s="39">
        <v>0</v>
      </c>
      <c r="M572" s="39">
        <v>0</v>
      </c>
      <c r="N572" s="39">
        <v>0</v>
      </c>
      <c r="O572" s="39">
        <v>0</v>
      </c>
      <c r="P572" s="39">
        <v>0</v>
      </c>
      <c r="Q572" s="39">
        <v>0</v>
      </c>
      <c r="R572" s="39">
        <v>0</v>
      </c>
      <c r="S572" s="39">
        <v>0</v>
      </c>
      <c r="T572" s="39">
        <v>0</v>
      </c>
      <c r="U572" s="39">
        <v>0</v>
      </c>
      <c r="V572" s="39">
        <v>458</v>
      </c>
      <c r="W572" s="40" t="s">
        <v>7694</v>
      </c>
      <c r="X572" s="39">
        <v>1</v>
      </c>
    </row>
    <row r="573" spans="1:24">
      <c r="A573" s="39">
        <v>1143</v>
      </c>
      <c r="B573" s="40" t="s">
        <v>6996</v>
      </c>
      <c r="C573" s="39">
        <v>0</v>
      </c>
      <c r="E573" s="39">
        <v>1</v>
      </c>
      <c r="F573" s="39">
        <v>874</v>
      </c>
      <c r="G573" s="39">
        <v>0</v>
      </c>
      <c r="H573" s="39">
        <v>0</v>
      </c>
      <c r="I573" s="39">
        <v>0</v>
      </c>
      <c r="J573" s="39">
        <v>0</v>
      </c>
      <c r="K573" s="39">
        <v>0</v>
      </c>
      <c r="L573" s="39">
        <v>0</v>
      </c>
      <c r="M573" s="39">
        <v>0</v>
      </c>
      <c r="N573" s="39">
        <v>0</v>
      </c>
      <c r="O573" s="39">
        <v>0</v>
      </c>
      <c r="P573" s="39">
        <v>0</v>
      </c>
      <c r="Q573" s="39">
        <v>0</v>
      </c>
      <c r="R573" s="39">
        <v>0</v>
      </c>
      <c r="S573" s="39">
        <v>0</v>
      </c>
      <c r="T573" s="39">
        <v>0</v>
      </c>
      <c r="U573" s="39">
        <v>0</v>
      </c>
      <c r="V573" s="39">
        <v>459</v>
      </c>
      <c r="W573" s="40" t="s">
        <v>7674</v>
      </c>
      <c r="X573" s="39">
        <v>1</v>
      </c>
    </row>
    <row r="574" spans="1:24">
      <c r="A574" s="39">
        <v>638</v>
      </c>
      <c r="B574" s="40" t="s">
        <v>6996</v>
      </c>
      <c r="C574" s="39">
        <v>0</v>
      </c>
      <c r="E574" s="39">
        <v>1</v>
      </c>
      <c r="F574" s="39">
        <v>874</v>
      </c>
      <c r="G574" s="39">
        <v>1</v>
      </c>
      <c r="H574" s="39">
        <v>1</v>
      </c>
      <c r="I574" s="39">
        <v>1</v>
      </c>
      <c r="J574" s="39">
        <v>0</v>
      </c>
      <c r="K574" s="39">
        <v>0</v>
      </c>
      <c r="L574" s="39">
        <v>0</v>
      </c>
      <c r="M574" s="39">
        <v>0</v>
      </c>
      <c r="N574" s="39">
        <v>0</v>
      </c>
      <c r="O574" s="39">
        <v>0</v>
      </c>
      <c r="P574" s="39">
        <v>0</v>
      </c>
      <c r="Q574" s="39">
        <v>0</v>
      </c>
      <c r="R574" s="39">
        <v>0</v>
      </c>
      <c r="S574" s="39">
        <v>0</v>
      </c>
      <c r="T574" s="39">
        <v>0</v>
      </c>
      <c r="U574" s="39">
        <v>0</v>
      </c>
      <c r="V574" s="39">
        <v>468</v>
      </c>
      <c r="W574" s="40" t="s">
        <v>7677</v>
      </c>
      <c r="X574" s="39">
        <v>1</v>
      </c>
    </row>
    <row r="575" spans="1:24">
      <c r="A575" s="39">
        <v>1047</v>
      </c>
      <c r="B575" s="40" t="s">
        <v>6996</v>
      </c>
      <c r="C575" s="39">
        <v>0</v>
      </c>
      <c r="E575" s="39">
        <v>1</v>
      </c>
      <c r="F575" s="39">
        <v>874</v>
      </c>
      <c r="G575" s="39">
        <v>1</v>
      </c>
      <c r="H575" s="39">
        <v>1</v>
      </c>
      <c r="I575" s="39">
        <v>1</v>
      </c>
      <c r="J575" s="39">
        <v>0</v>
      </c>
      <c r="K575" s="39">
        <v>0</v>
      </c>
      <c r="L575" s="39">
        <v>0</v>
      </c>
      <c r="M575" s="39">
        <v>0</v>
      </c>
      <c r="N575" s="39">
        <v>0</v>
      </c>
      <c r="O575" s="39">
        <v>0</v>
      </c>
      <c r="P575" s="39">
        <v>0</v>
      </c>
      <c r="Q575" s="39">
        <v>0</v>
      </c>
      <c r="R575" s="39">
        <v>0</v>
      </c>
      <c r="S575" s="39">
        <v>0</v>
      </c>
      <c r="T575" s="39">
        <v>0</v>
      </c>
      <c r="U575" s="39">
        <v>0</v>
      </c>
      <c r="V575" s="39">
        <v>477</v>
      </c>
      <c r="W575" s="40" t="s">
        <v>7697</v>
      </c>
      <c r="X575" s="39">
        <v>1</v>
      </c>
    </row>
    <row r="576" spans="1:24">
      <c r="A576" s="39">
        <v>232</v>
      </c>
      <c r="B576" s="40" t="s">
        <v>6996</v>
      </c>
      <c r="C576" s="39">
        <v>0</v>
      </c>
      <c r="E576" s="39">
        <v>1</v>
      </c>
      <c r="F576" s="39">
        <v>874</v>
      </c>
      <c r="G576" s="39">
        <v>1</v>
      </c>
      <c r="H576" s="39">
        <v>1</v>
      </c>
      <c r="I576" s="39">
        <v>1</v>
      </c>
      <c r="J576" s="39">
        <v>0</v>
      </c>
      <c r="K576" s="39">
        <v>0</v>
      </c>
      <c r="L576" s="39">
        <v>0</v>
      </c>
      <c r="M576" s="39">
        <v>0</v>
      </c>
      <c r="N576" s="39">
        <v>0</v>
      </c>
      <c r="O576" s="39">
        <v>0</v>
      </c>
      <c r="P576" s="39">
        <v>0</v>
      </c>
      <c r="Q576" s="39">
        <v>0</v>
      </c>
      <c r="R576" s="39">
        <v>0</v>
      </c>
      <c r="S576" s="39">
        <v>0</v>
      </c>
      <c r="T576" s="39">
        <v>0</v>
      </c>
      <c r="U576" s="39">
        <v>0</v>
      </c>
      <c r="V576" s="39">
        <v>590</v>
      </c>
      <c r="W576" s="40" t="s">
        <v>7679</v>
      </c>
      <c r="X576" s="39">
        <v>1</v>
      </c>
    </row>
    <row r="577" spans="1:24">
      <c r="A577" s="39">
        <v>780</v>
      </c>
      <c r="B577" s="40" t="s">
        <v>6996</v>
      </c>
      <c r="C577" s="39">
        <v>0</v>
      </c>
      <c r="E577" s="39">
        <v>1</v>
      </c>
      <c r="F577" s="39">
        <v>874</v>
      </c>
      <c r="G577" s="39">
        <v>1</v>
      </c>
      <c r="H577" s="39">
        <v>1</v>
      </c>
      <c r="I577" s="39">
        <v>1</v>
      </c>
      <c r="J577" s="39">
        <v>1</v>
      </c>
      <c r="K577" s="39">
        <v>0</v>
      </c>
      <c r="L577" s="39">
        <v>0</v>
      </c>
      <c r="M577" s="39">
        <v>0</v>
      </c>
      <c r="N577" s="39">
        <v>0</v>
      </c>
      <c r="O577" s="39">
        <v>0</v>
      </c>
      <c r="P577" s="39">
        <v>0</v>
      </c>
      <c r="Q577" s="39">
        <v>0</v>
      </c>
      <c r="R577" s="39">
        <v>0</v>
      </c>
      <c r="S577" s="39">
        <v>0</v>
      </c>
      <c r="T577" s="39">
        <v>0</v>
      </c>
      <c r="U577" s="39">
        <v>0</v>
      </c>
      <c r="V577" s="39">
        <v>733</v>
      </c>
      <c r="W577" s="40" t="s">
        <v>7680</v>
      </c>
      <c r="X577" s="39">
        <v>1</v>
      </c>
    </row>
    <row r="578" spans="1:24">
      <c r="A578" s="39">
        <v>148</v>
      </c>
      <c r="B578" s="40" t="s">
        <v>7825</v>
      </c>
      <c r="C578" s="39">
        <v>0</v>
      </c>
      <c r="E578" s="39">
        <v>1</v>
      </c>
      <c r="F578" s="39">
        <v>868</v>
      </c>
      <c r="G578" s="39">
        <v>1</v>
      </c>
      <c r="H578" s="39">
        <v>1</v>
      </c>
      <c r="I578" s="39">
        <v>1</v>
      </c>
      <c r="J578" s="39">
        <v>1</v>
      </c>
      <c r="K578" s="39">
        <v>0</v>
      </c>
      <c r="L578" s="39">
        <v>0</v>
      </c>
      <c r="M578" s="39">
        <v>0</v>
      </c>
      <c r="N578" s="39">
        <v>0</v>
      </c>
      <c r="O578" s="39">
        <v>0</v>
      </c>
      <c r="P578" s="39">
        <v>0</v>
      </c>
      <c r="Q578" s="39">
        <v>0</v>
      </c>
      <c r="R578" s="39">
        <v>0</v>
      </c>
      <c r="S578" s="39">
        <v>0</v>
      </c>
      <c r="T578" s="39">
        <v>0</v>
      </c>
      <c r="U578" s="39">
        <v>0</v>
      </c>
      <c r="V578" s="39">
        <v>1</v>
      </c>
      <c r="W578" s="40" t="s">
        <v>518</v>
      </c>
      <c r="X578" s="39">
        <v>1</v>
      </c>
    </row>
    <row r="579" spans="1:24">
      <c r="A579" s="39">
        <v>58</v>
      </c>
      <c r="B579" s="40" t="s">
        <v>7825</v>
      </c>
      <c r="C579" s="39">
        <v>0</v>
      </c>
      <c r="D579" s="40" t="s">
        <v>7826</v>
      </c>
      <c r="E579" s="39">
        <v>1</v>
      </c>
      <c r="F579" s="39">
        <v>80</v>
      </c>
      <c r="G579" s="39">
        <v>0</v>
      </c>
      <c r="H579" s="39">
        <v>1</v>
      </c>
      <c r="I579" s="39">
        <v>1</v>
      </c>
      <c r="J579" s="39">
        <v>1</v>
      </c>
      <c r="K579" s="39">
        <v>0</v>
      </c>
      <c r="L579" s="39">
        <v>0</v>
      </c>
      <c r="M579" s="39">
        <v>0</v>
      </c>
      <c r="N579" s="39">
        <v>0</v>
      </c>
      <c r="O579" s="39">
        <v>0</v>
      </c>
      <c r="P579" s="39">
        <v>0</v>
      </c>
      <c r="Q579" s="39">
        <v>0</v>
      </c>
      <c r="R579" s="39">
        <v>0</v>
      </c>
      <c r="S579" s="39">
        <v>0</v>
      </c>
      <c r="T579" s="39">
        <v>0</v>
      </c>
      <c r="U579" s="39">
        <v>0</v>
      </c>
      <c r="V579" s="39">
        <v>2</v>
      </c>
      <c r="W579" s="40" t="s">
        <v>40</v>
      </c>
      <c r="X579" s="39">
        <v>1</v>
      </c>
    </row>
    <row r="580" spans="1:24">
      <c r="A580" s="39">
        <v>965</v>
      </c>
      <c r="B580" s="40" t="s">
        <v>7825</v>
      </c>
      <c r="C580" s="39">
        <v>0</v>
      </c>
      <c r="E580" s="39">
        <v>1</v>
      </c>
      <c r="F580" s="39">
        <v>868</v>
      </c>
      <c r="G580" s="39">
        <v>1</v>
      </c>
      <c r="H580" s="39">
        <v>1</v>
      </c>
      <c r="I580" s="39">
        <v>1</v>
      </c>
      <c r="J580" s="39">
        <v>0</v>
      </c>
      <c r="K580" s="39">
        <v>0</v>
      </c>
      <c r="L580" s="39">
        <v>0</v>
      </c>
      <c r="M580" s="39">
        <v>0</v>
      </c>
      <c r="N580" s="39">
        <v>0</v>
      </c>
      <c r="O580" s="39">
        <v>0</v>
      </c>
      <c r="P580" s="39">
        <v>0</v>
      </c>
      <c r="Q580" s="39">
        <v>0</v>
      </c>
      <c r="R580" s="39">
        <v>0</v>
      </c>
      <c r="S580" s="39">
        <v>0</v>
      </c>
      <c r="T580" s="39">
        <v>0</v>
      </c>
      <c r="U580" s="39">
        <v>0</v>
      </c>
      <c r="V580" s="39">
        <v>158</v>
      </c>
      <c r="W580" s="40" t="s">
        <v>7667</v>
      </c>
      <c r="X580" s="39">
        <v>1</v>
      </c>
    </row>
    <row r="581" spans="1:24">
      <c r="A581" s="39">
        <v>454</v>
      </c>
      <c r="B581" s="40" t="s">
        <v>7825</v>
      </c>
      <c r="C581" s="39">
        <v>0</v>
      </c>
      <c r="E581" s="39">
        <v>1</v>
      </c>
      <c r="F581" s="39">
        <v>868</v>
      </c>
      <c r="G581" s="39">
        <v>1</v>
      </c>
      <c r="H581" s="39">
        <v>1</v>
      </c>
      <c r="I581" s="39">
        <v>1</v>
      </c>
      <c r="J581" s="39">
        <v>0</v>
      </c>
      <c r="K581" s="39">
        <v>0</v>
      </c>
      <c r="L581" s="39">
        <v>0</v>
      </c>
      <c r="M581" s="39">
        <v>0</v>
      </c>
      <c r="N581" s="39">
        <v>0</v>
      </c>
      <c r="O581" s="39">
        <v>0</v>
      </c>
      <c r="P581" s="39">
        <v>0</v>
      </c>
      <c r="Q581" s="39">
        <v>0</v>
      </c>
      <c r="R581" s="39">
        <v>0</v>
      </c>
      <c r="S581" s="39">
        <v>0</v>
      </c>
      <c r="T581" s="39">
        <v>0</v>
      </c>
      <c r="U581" s="39">
        <v>0</v>
      </c>
      <c r="V581" s="39">
        <v>175</v>
      </c>
      <c r="W581" s="40" t="s">
        <v>7689</v>
      </c>
      <c r="X581" s="39">
        <v>1</v>
      </c>
    </row>
    <row r="582" spans="1:24">
      <c r="A582" s="39">
        <v>347</v>
      </c>
      <c r="B582" s="40" t="s">
        <v>7825</v>
      </c>
      <c r="C582" s="39">
        <v>0</v>
      </c>
      <c r="E582" s="39">
        <v>1</v>
      </c>
      <c r="F582" s="39">
        <v>868</v>
      </c>
      <c r="G582" s="39">
        <v>1</v>
      </c>
      <c r="H582" s="39">
        <v>1</v>
      </c>
      <c r="I582" s="39">
        <v>1</v>
      </c>
      <c r="J582" s="39">
        <v>0</v>
      </c>
      <c r="K582" s="39">
        <v>0</v>
      </c>
      <c r="L582" s="39">
        <v>0</v>
      </c>
      <c r="M582" s="39">
        <v>0</v>
      </c>
      <c r="N582" s="39">
        <v>0</v>
      </c>
      <c r="O582" s="39">
        <v>0</v>
      </c>
      <c r="P582" s="39">
        <v>0</v>
      </c>
      <c r="Q582" s="39">
        <v>0</v>
      </c>
      <c r="R582" s="39">
        <v>0</v>
      </c>
      <c r="S582" s="39">
        <v>0</v>
      </c>
      <c r="T582" s="39">
        <v>0</v>
      </c>
      <c r="U582" s="39">
        <v>0</v>
      </c>
      <c r="V582" s="39">
        <v>228</v>
      </c>
      <c r="W582" s="40" t="s">
        <v>7669</v>
      </c>
      <c r="X582" s="39">
        <v>1</v>
      </c>
    </row>
    <row r="583" spans="1:24">
      <c r="A583" s="39">
        <v>1759</v>
      </c>
      <c r="B583" s="40" t="s">
        <v>7825</v>
      </c>
      <c r="C583" s="39">
        <v>0</v>
      </c>
      <c r="E583" s="39">
        <v>1</v>
      </c>
      <c r="F583" s="39">
        <v>868</v>
      </c>
      <c r="G583" s="39">
        <v>1</v>
      </c>
      <c r="H583" s="39">
        <v>1</v>
      </c>
      <c r="I583" s="39">
        <v>1</v>
      </c>
      <c r="J583" s="39">
        <v>1</v>
      </c>
      <c r="K583" s="39">
        <v>0</v>
      </c>
      <c r="L583" s="39">
        <v>0</v>
      </c>
      <c r="M583" s="39">
        <v>0</v>
      </c>
      <c r="N583" s="39">
        <v>0</v>
      </c>
      <c r="O583" s="39">
        <v>0</v>
      </c>
      <c r="P583" s="39">
        <v>0</v>
      </c>
      <c r="Q583" s="39">
        <v>0</v>
      </c>
      <c r="R583" s="39">
        <v>0</v>
      </c>
      <c r="S583" s="39">
        <v>0</v>
      </c>
      <c r="T583" s="39">
        <v>0</v>
      </c>
      <c r="U583" s="39">
        <v>0</v>
      </c>
      <c r="V583" s="39">
        <v>244</v>
      </c>
      <c r="W583" s="40" t="s">
        <v>682</v>
      </c>
      <c r="X583" s="39">
        <v>1</v>
      </c>
    </row>
    <row r="584" spans="1:24">
      <c r="A584" s="39">
        <v>1234</v>
      </c>
      <c r="B584" s="40" t="s">
        <v>7825</v>
      </c>
      <c r="C584" s="39">
        <v>0</v>
      </c>
      <c r="E584" s="39">
        <v>1</v>
      </c>
      <c r="F584" s="39">
        <v>868</v>
      </c>
      <c r="G584" s="39">
        <v>1</v>
      </c>
      <c r="H584" s="39">
        <v>1</v>
      </c>
      <c r="I584" s="39">
        <v>1</v>
      </c>
      <c r="J584" s="39">
        <v>0</v>
      </c>
      <c r="K584" s="39">
        <v>0</v>
      </c>
      <c r="L584" s="39">
        <v>0</v>
      </c>
      <c r="M584" s="39">
        <v>0</v>
      </c>
      <c r="N584" s="39">
        <v>0</v>
      </c>
      <c r="O584" s="39">
        <v>0</v>
      </c>
      <c r="P584" s="39">
        <v>0</v>
      </c>
      <c r="Q584" s="39">
        <v>0</v>
      </c>
      <c r="R584" s="39">
        <v>0</v>
      </c>
      <c r="S584" s="39">
        <v>0</v>
      </c>
      <c r="T584" s="39">
        <v>0</v>
      </c>
      <c r="U584" s="39">
        <v>0</v>
      </c>
      <c r="V584" s="39">
        <v>418</v>
      </c>
      <c r="W584" s="40" t="s">
        <v>7671</v>
      </c>
      <c r="X584" s="39">
        <v>1</v>
      </c>
    </row>
    <row r="585" spans="1:24">
      <c r="A585" s="39">
        <v>1420</v>
      </c>
      <c r="B585" s="40" t="s">
        <v>7825</v>
      </c>
      <c r="C585" s="39">
        <v>0</v>
      </c>
      <c r="E585" s="39">
        <v>1</v>
      </c>
      <c r="F585" s="39">
        <v>868</v>
      </c>
      <c r="G585" s="39">
        <v>1</v>
      </c>
      <c r="H585" s="39">
        <v>1</v>
      </c>
      <c r="I585" s="39">
        <v>1</v>
      </c>
      <c r="J585" s="39">
        <v>1</v>
      </c>
      <c r="K585" s="39">
        <v>0</v>
      </c>
      <c r="L585" s="39">
        <v>0</v>
      </c>
      <c r="M585" s="39">
        <v>0</v>
      </c>
      <c r="N585" s="39">
        <v>0</v>
      </c>
      <c r="O585" s="39">
        <v>0</v>
      </c>
      <c r="P585" s="39">
        <v>0</v>
      </c>
      <c r="Q585" s="39">
        <v>0</v>
      </c>
      <c r="R585" s="39">
        <v>0</v>
      </c>
      <c r="S585" s="39">
        <v>0</v>
      </c>
      <c r="T585" s="39">
        <v>0</v>
      </c>
      <c r="U585" s="39">
        <v>0</v>
      </c>
      <c r="V585" s="39">
        <v>456</v>
      </c>
      <c r="W585" s="40" t="s">
        <v>7673</v>
      </c>
      <c r="X585" s="39">
        <v>1</v>
      </c>
    </row>
    <row r="586" spans="1:24">
      <c r="A586" s="39">
        <v>904</v>
      </c>
      <c r="B586" s="40" t="s">
        <v>7825</v>
      </c>
      <c r="C586" s="39">
        <v>0</v>
      </c>
      <c r="E586" s="39">
        <v>1</v>
      </c>
      <c r="F586" s="39">
        <v>868</v>
      </c>
      <c r="G586" s="39">
        <v>1</v>
      </c>
      <c r="H586" s="39">
        <v>1</v>
      </c>
      <c r="I586" s="39">
        <v>1</v>
      </c>
      <c r="J586" s="39">
        <v>0</v>
      </c>
      <c r="K586" s="39">
        <v>0</v>
      </c>
      <c r="L586" s="39">
        <v>0</v>
      </c>
      <c r="M586" s="39">
        <v>0</v>
      </c>
      <c r="N586" s="39">
        <v>0</v>
      </c>
      <c r="O586" s="39">
        <v>0</v>
      </c>
      <c r="P586" s="39">
        <v>0</v>
      </c>
      <c r="Q586" s="39">
        <v>0</v>
      </c>
      <c r="R586" s="39">
        <v>0</v>
      </c>
      <c r="S586" s="39">
        <v>0</v>
      </c>
      <c r="T586" s="39">
        <v>0</v>
      </c>
      <c r="U586" s="39">
        <v>0</v>
      </c>
      <c r="V586" s="39">
        <v>458</v>
      </c>
      <c r="W586" s="40" t="s">
        <v>7694</v>
      </c>
      <c r="X586" s="39">
        <v>1</v>
      </c>
    </row>
    <row r="587" spans="1:24">
      <c r="A587" s="39">
        <v>1144</v>
      </c>
      <c r="B587" s="40" t="s">
        <v>7825</v>
      </c>
      <c r="C587" s="39">
        <v>0</v>
      </c>
      <c r="E587" s="39">
        <v>1</v>
      </c>
      <c r="F587" s="39">
        <v>868</v>
      </c>
      <c r="G587" s="39">
        <v>0</v>
      </c>
      <c r="H587" s="39">
        <v>0</v>
      </c>
      <c r="I587" s="39">
        <v>0</v>
      </c>
      <c r="J587" s="39">
        <v>0</v>
      </c>
      <c r="K587" s="39">
        <v>0</v>
      </c>
      <c r="L587" s="39">
        <v>0</v>
      </c>
      <c r="M587" s="39">
        <v>0</v>
      </c>
      <c r="N587" s="39">
        <v>0</v>
      </c>
      <c r="O587" s="39">
        <v>0</v>
      </c>
      <c r="P587" s="39">
        <v>0</v>
      </c>
      <c r="Q587" s="39">
        <v>0</v>
      </c>
      <c r="R587" s="39">
        <v>0</v>
      </c>
      <c r="S587" s="39">
        <v>0</v>
      </c>
      <c r="T587" s="39">
        <v>0</v>
      </c>
      <c r="U587" s="39">
        <v>0</v>
      </c>
      <c r="V587" s="39">
        <v>459</v>
      </c>
      <c r="W587" s="40" t="s">
        <v>7674</v>
      </c>
      <c r="X587" s="39">
        <v>1</v>
      </c>
    </row>
    <row r="588" spans="1:24">
      <c r="A588" s="39">
        <v>639</v>
      </c>
      <c r="B588" s="40" t="s">
        <v>7825</v>
      </c>
      <c r="C588" s="39">
        <v>0</v>
      </c>
      <c r="E588" s="39">
        <v>1</v>
      </c>
      <c r="F588" s="39">
        <v>868</v>
      </c>
      <c r="G588" s="39">
        <v>1</v>
      </c>
      <c r="H588" s="39">
        <v>1</v>
      </c>
      <c r="I588" s="39">
        <v>1</v>
      </c>
      <c r="J588" s="39">
        <v>0</v>
      </c>
      <c r="K588" s="39">
        <v>0</v>
      </c>
      <c r="L588" s="39">
        <v>0</v>
      </c>
      <c r="M588" s="39">
        <v>0</v>
      </c>
      <c r="N588" s="39">
        <v>0</v>
      </c>
      <c r="O588" s="39">
        <v>0</v>
      </c>
      <c r="P588" s="39">
        <v>0</v>
      </c>
      <c r="Q588" s="39">
        <v>0</v>
      </c>
      <c r="R588" s="39">
        <v>0</v>
      </c>
      <c r="S588" s="39">
        <v>0</v>
      </c>
      <c r="T588" s="39">
        <v>0</v>
      </c>
      <c r="U588" s="39">
        <v>0</v>
      </c>
      <c r="V588" s="39">
        <v>468</v>
      </c>
      <c r="W588" s="40" t="s">
        <v>7677</v>
      </c>
      <c r="X588" s="39">
        <v>1</v>
      </c>
    </row>
    <row r="589" spans="1:24">
      <c r="A589" s="39">
        <v>1048</v>
      </c>
      <c r="B589" s="40" t="s">
        <v>7825</v>
      </c>
      <c r="C589" s="39">
        <v>0</v>
      </c>
      <c r="E589" s="39">
        <v>1</v>
      </c>
      <c r="F589" s="39">
        <v>868</v>
      </c>
      <c r="G589" s="39">
        <v>1</v>
      </c>
      <c r="H589" s="39">
        <v>1</v>
      </c>
      <c r="I589" s="39">
        <v>1</v>
      </c>
      <c r="J589" s="39">
        <v>0</v>
      </c>
      <c r="K589" s="39">
        <v>0</v>
      </c>
      <c r="L589" s="39">
        <v>0</v>
      </c>
      <c r="M589" s="39">
        <v>0</v>
      </c>
      <c r="N589" s="39">
        <v>0</v>
      </c>
      <c r="O589" s="39">
        <v>0</v>
      </c>
      <c r="P589" s="39">
        <v>0</v>
      </c>
      <c r="Q589" s="39">
        <v>0</v>
      </c>
      <c r="R589" s="39">
        <v>0</v>
      </c>
      <c r="S589" s="39">
        <v>0</v>
      </c>
      <c r="T589" s="39">
        <v>0</v>
      </c>
      <c r="U589" s="39">
        <v>0</v>
      </c>
      <c r="V589" s="39">
        <v>477</v>
      </c>
      <c r="W589" s="40" t="s">
        <v>7697</v>
      </c>
      <c r="X589" s="39">
        <v>1</v>
      </c>
    </row>
    <row r="590" spans="1:24">
      <c r="A590" s="39">
        <v>233</v>
      </c>
      <c r="B590" s="40" t="s">
        <v>7825</v>
      </c>
      <c r="C590" s="39">
        <v>0</v>
      </c>
      <c r="E590" s="39">
        <v>1</v>
      </c>
      <c r="F590" s="39">
        <v>868</v>
      </c>
      <c r="G590" s="39">
        <v>1</v>
      </c>
      <c r="H590" s="39">
        <v>1</v>
      </c>
      <c r="I590" s="39">
        <v>1</v>
      </c>
      <c r="J590" s="39">
        <v>0</v>
      </c>
      <c r="K590" s="39">
        <v>0</v>
      </c>
      <c r="L590" s="39">
        <v>0</v>
      </c>
      <c r="M590" s="39">
        <v>0</v>
      </c>
      <c r="N590" s="39">
        <v>0</v>
      </c>
      <c r="O590" s="39">
        <v>0</v>
      </c>
      <c r="P590" s="39">
        <v>0</v>
      </c>
      <c r="Q590" s="39">
        <v>0</v>
      </c>
      <c r="R590" s="39">
        <v>0</v>
      </c>
      <c r="S590" s="39">
        <v>0</v>
      </c>
      <c r="T590" s="39">
        <v>0</v>
      </c>
      <c r="U590" s="39">
        <v>0</v>
      </c>
      <c r="V590" s="39">
        <v>590</v>
      </c>
      <c r="W590" s="40" t="s">
        <v>7679</v>
      </c>
      <c r="X590" s="39">
        <v>1</v>
      </c>
    </row>
    <row r="591" spans="1:24">
      <c r="A591" s="39">
        <v>781</v>
      </c>
      <c r="B591" s="40" t="s">
        <v>7825</v>
      </c>
      <c r="C591" s="39">
        <v>0</v>
      </c>
      <c r="E591" s="39">
        <v>1</v>
      </c>
      <c r="F591" s="39">
        <v>868</v>
      </c>
      <c r="G591" s="39">
        <v>1</v>
      </c>
      <c r="H591" s="39">
        <v>1</v>
      </c>
      <c r="I591" s="39">
        <v>1</v>
      </c>
      <c r="J591" s="39">
        <v>1</v>
      </c>
      <c r="K591" s="39">
        <v>0</v>
      </c>
      <c r="L591" s="39">
        <v>0</v>
      </c>
      <c r="M591" s="39">
        <v>0</v>
      </c>
      <c r="N591" s="39">
        <v>0</v>
      </c>
      <c r="O591" s="39">
        <v>0</v>
      </c>
      <c r="P591" s="39">
        <v>0</v>
      </c>
      <c r="Q591" s="39">
        <v>0</v>
      </c>
      <c r="R591" s="39">
        <v>0</v>
      </c>
      <c r="S591" s="39">
        <v>0</v>
      </c>
      <c r="T591" s="39">
        <v>0</v>
      </c>
      <c r="U591" s="39">
        <v>0</v>
      </c>
      <c r="V591" s="39">
        <v>733</v>
      </c>
      <c r="W591" s="40" t="s">
        <v>7680</v>
      </c>
      <c r="X591" s="39">
        <v>1</v>
      </c>
    </row>
    <row r="592" spans="1:24">
      <c r="A592" s="39">
        <v>151</v>
      </c>
      <c r="B592" s="40" t="s">
        <v>6895</v>
      </c>
      <c r="C592" s="39">
        <v>0</v>
      </c>
      <c r="E592" s="39">
        <v>1</v>
      </c>
      <c r="F592" s="39">
        <v>870</v>
      </c>
      <c r="G592" s="39">
        <v>1</v>
      </c>
      <c r="H592" s="39">
        <v>1</v>
      </c>
      <c r="I592" s="39">
        <v>1</v>
      </c>
      <c r="J592" s="39">
        <v>1</v>
      </c>
      <c r="K592" s="39">
        <v>0</v>
      </c>
      <c r="L592" s="39">
        <v>0</v>
      </c>
      <c r="M592" s="39">
        <v>0</v>
      </c>
      <c r="N592" s="39">
        <v>0</v>
      </c>
      <c r="O592" s="39">
        <v>0</v>
      </c>
      <c r="P592" s="39">
        <v>0</v>
      </c>
      <c r="Q592" s="39">
        <v>0</v>
      </c>
      <c r="R592" s="39">
        <v>0</v>
      </c>
      <c r="S592" s="39">
        <v>0</v>
      </c>
      <c r="T592" s="39">
        <v>0</v>
      </c>
      <c r="U592" s="39">
        <v>0</v>
      </c>
      <c r="V592" s="39">
        <v>1</v>
      </c>
      <c r="W592" s="40" t="s">
        <v>518</v>
      </c>
      <c r="X592" s="39">
        <v>1</v>
      </c>
    </row>
    <row r="593" spans="1:24">
      <c r="A593" s="39">
        <v>60</v>
      </c>
      <c r="B593" s="40" t="s">
        <v>6895</v>
      </c>
      <c r="C593" s="39">
        <v>0</v>
      </c>
      <c r="D593" s="40" t="s">
        <v>7827</v>
      </c>
      <c r="E593" s="39">
        <v>1</v>
      </c>
      <c r="F593" s="39">
        <v>81</v>
      </c>
      <c r="G593" s="39">
        <v>0</v>
      </c>
      <c r="H593" s="39">
        <v>1</v>
      </c>
      <c r="I593" s="39">
        <v>1</v>
      </c>
      <c r="J593" s="39">
        <v>1</v>
      </c>
      <c r="K593" s="39">
        <v>0</v>
      </c>
      <c r="L593" s="39">
        <v>0</v>
      </c>
      <c r="M593" s="39">
        <v>0</v>
      </c>
      <c r="N593" s="39">
        <v>0</v>
      </c>
      <c r="O593" s="39">
        <v>0</v>
      </c>
      <c r="P593" s="39">
        <v>0</v>
      </c>
      <c r="Q593" s="39">
        <v>0</v>
      </c>
      <c r="R593" s="39">
        <v>0</v>
      </c>
      <c r="S593" s="39">
        <v>0</v>
      </c>
      <c r="T593" s="39">
        <v>0</v>
      </c>
      <c r="U593" s="39">
        <v>0</v>
      </c>
      <c r="V593" s="39">
        <v>2</v>
      </c>
      <c r="W593" s="40" t="s">
        <v>40</v>
      </c>
      <c r="X593" s="39">
        <v>1</v>
      </c>
    </row>
    <row r="594" spans="1:24">
      <c r="A594" s="39">
        <v>966</v>
      </c>
      <c r="B594" s="40" t="s">
        <v>6895</v>
      </c>
      <c r="C594" s="39">
        <v>0</v>
      </c>
      <c r="E594" s="39">
        <v>1</v>
      </c>
      <c r="F594" s="39">
        <v>870</v>
      </c>
      <c r="G594" s="39">
        <v>1</v>
      </c>
      <c r="H594" s="39">
        <v>1</v>
      </c>
      <c r="I594" s="39">
        <v>1</v>
      </c>
      <c r="J594" s="39">
        <v>0</v>
      </c>
      <c r="K594" s="39">
        <v>0</v>
      </c>
      <c r="L594" s="39">
        <v>0</v>
      </c>
      <c r="M594" s="39">
        <v>0</v>
      </c>
      <c r="N594" s="39">
        <v>0</v>
      </c>
      <c r="O594" s="39">
        <v>0</v>
      </c>
      <c r="P594" s="39">
        <v>0</v>
      </c>
      <c r="Q594" s="39">
        <v>0</v>
      </c>
      <c r="R594" s="39">
        <v>0</v>
      </c>
      <c r="S594" s="39">
        <v>0</v>
      </c>
      <c r="T594" s="39">
        <v>0</v>
      </c>
      <c r="U594" s="39">
        <v>0</v>
      </c>
      <c r="V594" s="39">
        <v>158</v>
      </c>
      <c r="W594" s="40" t="s">
        <v>7667</v>
      </c>
      <c r="X594" s="39">
        <v>1</v>
      </c>
    </row>
    <row r="595" spans="1:24">
      <c r="A595" s="39">
        <v>455</v>
      </c>
      <c r="B595" s="40" t="s">
        <v>6895</v>
      </c>
      <c r="C595" s="39">
        <v>0</v>
      </c>
      <c r="E595" s="39">
        <v>1</v>
      </c>
      <c r="F595" s="39">
        <v>870</v>
      </c>
      <c r="G595" s="39">
        <v>1</v>
      </c>
      <c r="H595" s="39">
        <v>1</v>
      </c>
      <c r="I595" s="39">
        <v>1</v>
      </c>
      <c r="J595" s="39">
        <v>0</v>
      </c>
      <c r="K595" s="39">
        <v>0</v>
      </c>
      <c r="L595" s="39">
        <v>0</v>
      </c>
      <c r="M595" s="39">
        <v>0</v>
      </c>
      <c r="N595" s="39">
        <v>0</v>
      </c>
      <c r="O595" s="39">
        <v>0</v>
      </c>
      <c r="P595" s="39">
        <v>0</v>
      </c>
      <c r="Q595" s="39">
        <v>0</v>
      </c>
      <c r="R595" s="39">
        <v>0</v>
      </c>
      <c r="S595" s="39">
        <v>0</v>
      </c>
      <c r="T595" s="39">
        <v>0</v>
      </c>
      <c r="U595" s="39">
        <v>0</v>
      </c>
      <c r="V595" s="39">
        <v>175</v>
      </c>
      <c r="W595" s="40" t="s">
        <v>7689</v>
      </c>
      <c r="X595" s="39">
        <v>1</v>
      </c>
    </row>
    <row r="596" spans="1:24">
      <c r="A596" s="39">
        <v>348</v>
      </c>
      <c r="B596" s="40" t="s">
        <v>6895</v>
      </c>
      <c r="C596" s="39">
        <v>0</v>
      </c>
      <c r="E596" s="39">
        <v>1</v>
      </c>
      <c r="F596" s="39">
        <v>870</v>
      </c>
      <c r="G596" s="39">
        <v>1</v>
      </c>
      <c r="H596" s="39">
        <v>1</v>
      </c>
      <c r="I596" s="39">
        <v>1</v>
      </c>
      <c r="J596" s="39">
        <v>0</v>
      </c>
      <c r="K596" s="39">
        <v>0</v>
      </c>
      <c r="L596" s="39">
        <v>0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39">
        <v>0</v>
      </c>
      <c r="S596" s="39">
        <v>0</v>
      </c>
      <c r="T596" s="39">
        <v>0</v>
      </c>
      <c r="U596" s="39">
        <v>0</v>
      </c>
      <c r="V596" s="39">
        <v>228</v>
      </c>
      <c r="W596" s="40" t="s">
        <v>7669</v>
      </c>
      <c r="X596" s="39">
        <v>1</v>
      </c>
    </row>
    <row r="597" spans="1:24">
      <c r="A597" s="39">
        <v>1762</v>
      </c>
      <c r="B597" s="40" t="s">
        <v>6895</v>
      </c>
      <c r="C597" s="39">
        <v>0</v>
      </c>
      <c r="E597" s="39">
        <v>1</v>
      </c>
      <c r="F597" s="39">
        <v>870</v>
      </c>
      <c r="G597" s="39">
        <v>1</v>
      </c>
      <c r="H597" s="39">
        <v>1</v>
      </c>
      <c r="I597" s="39">
        <v>1</v>
      </c>
      <c r="J597" s="39">
        <v>1</v>
      </c>
      <c r="K597" s="39">
        <v>0</v>
      </c>
      <c r="L597" s="39">
        <v>0</v>
      </c>
      <c r="M597" s="39">
        <v>0</v>
      </c>
      <c r="N597" s="39">
        <v>0</v>
      </c>
      <c r="O597" s="39">
        <v>0</v>
      </c>
      <c r="P597" s="39">
        <v>0</v>
      </c>
      <c r="Q597" s="39">
        <v>0</v>
      </c>
      <c r="R597" s="39">
        <v>0</v>
      </c>
      <c r="S597" s="39">
        <v>0</v>
      </c>
      <c r="T597" s="39">
        <v>0</v>
      </c>
      <c r="U597" s="39">
        <v>0</v>
      </c>
      <c r="V597" s="39">
        <v>244</v>
      </c>
      <c r="W597" s="40" t="s">
        <v>682</v>
      </c>
      <c r="X597" s="39">
        <v>1</v>
      </c>
    </row>
    <row r="598" spans="1:24">
      <c r="A598" s="39">
        <v>1235</v>
      </c>
      <c r="B598" s="40" t="s">
        <v>6895</v>
      </c>
      <c r="C598" s="39">
        <v>0</v>
      </c>
      <c r="E598" s="39">
        <v>1</v>
      </c>
      <c r="F598" s="39">
        <v>870</v>
      </c>
      <c r="G598" s="39">
        <v>1</v>
      </c>
      <c r="H598" s="39">
        <v>1</v>
      </c>
      <c r="I598" s="39">
        <v>1</v>
      </c>
      <c r="J598" s="39">
        <v>0</v>
      </c>
      <c r="K598" s="39">
        <v>0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39">
        <v>0</v>
      </c>
      <c r="S598" s="39">
        <v>0</v>
      </c>
      <c r="T598" s="39">
        <v>0</v>
      </c>
      <c r="U598" s="39">
        <v>0</v>
      </c>
      <c r="V598" s="39">
        <v>418</v>
      </c>
      <c r="W598" s="40" t="s">
        <v>7671</v>
      </c>
      <c r="X598" s="39">
        <v>1</v>
      </c>
    </row>
    <row r="599" spans="1:24">
      <c r="A599" s="39">
        <v>1423</v>
      </c>
      <c r="B599" s="40" t="s">
        <v>6895</v>
      </c>
      <c r="C599" s="39">
        <v>0</v>
      </c>
      <c r="E599" s="39">
        <v>1</v>
      </c>
      <c r="F599" s="39">
        <v>870</v>
      </c>
      <c r="G599" s="39">
        <v>1</v>
      </c>
      <c r="H599" s="39">
        <v>1</v>
      </c>
      <c r="I599" s="39">
        <v>1</v>
      </c>
      <c r="J599" s="39">
        <v>1</v>
      </c>
      <c r="K599" s="39">
        <v>0</v>
      </c>
      <c r="L599" s="39">
        <v>0</v>
      </c>
      <c r="M599" s="39">
        <v>0</v>
      </c>
      <c r="N599" s="39">
        <v>0</v>
      </c>
      <c r="O599" s="39">
        <v>0</v>
      </c>
      <c r="P599" s="39">
        <v>0</v>
      </c>
      <c r="Q599" s="39">
        <v>0</v>
      </c>
      <c r="R599" s="39">
        <v>0</v>
      </c>
      <c r="S599" s="39">
        <v>0</v>
      </c>
      <c r="T599" s="39">
        <v>0</v>
      </c>
      <c r="U599" s="39">
        <v>0</v>
      </c>
      <c r="V599" s="39">
        <v>456</v>
      </c>
      <c r="W599" s="40" t="s">
        <v>7673</v>
      </c>
      <c r="X599" s="39">
        <v>1</v>
      </c>
    </row>
    <row r="600" spans="1:24">
      <c r="A600" s="39">
        <v>905</v>
      </c>
      <c r="B600" s="40" t="s">
        <v>6895</v>
      </c>
      <c r="C600" s="39">
        <v>0</v>
      </c>
      <c r="E600" s="39">
        <v>1</v>
      </c>
      <c r="F600" s="39">
        <v>870</v>
      </c>
      <c r="G600" s="39">
        <v>1</v>
      </c>
      <c r="H600" s="39">
        <v>1</v>
      </c>
      <c r="I600" s="39">
        <v>1</v>
      </c>
      <c r="J600" s="39">
        <v>0</v>
      </c>
      <c r="K600" s="39">
        <v>0</v>
      </c>
      <c r="L600" s="39">
        <v>0</v>
      </c>
      <c r="M600" s="39">
        <v>0</v>
      </c>
      <c r="N600" s="39">
        <v>0</v>
      </c>
      <c r="O600" s="39">
        <v>0</v>
      </c>
      <c r="P600" s="39">
        <v>0</v>
      </c>
      <c r="Q600" s="39">
        <v>0</v>
      </c>
      <c r="R600" s="39">
        <v>0</v>
      </c>
      <c r="S600" s="39">
        <v>0</v>
      </c>
      <c r="T600" s="39">
        <v>0</v>
      </c>
      <c r="U600" s="39">
        <v>0</v>
      </c>
      <c r="V600" s="39">
        <v>458</v>
      </c>
      <c r="W600" s="40" t="s">
        <v>7694</v>
      </c>
      <c r="X600" s="39">
        <v>1</v>
      </c>
    </row>
    <row r="601" spans="1:24">
      <c r="A601" s="39">
        <v>1145</v>
      </c>
      <c r="B601" s="40" t="s">
        <v>6895</v>
      </c>
      <c r="C601" s="39">
        <v>0</v>
      </c>
      <c r="E601" s="39">
        <v>1</v>
      </c>
      <c r="F601" s="39">
        <v>870</v>
      </c>
      <c r="G601" s="39">
        <v>0</v>
      </c>
      <c r="H601" s="39">
        <v>0</v>
      </c>
      <c r="I601" s="39">
        <v>0</v>
      </c>
      <c r="J601" s="39">
        <v>0</v>
      </c>
      <c r="K601" s="39">
        <v>0</v>
      </c>
      <c r="L601" s="39">
        <v>0</v>
      </c>
      <c r="M601" s="39">
        <v>0</v>
      </c>
      <c r="N601" s="39">
        <v>0</v>
      </c>
      <c r="O601" s="39">
        <v>0</v>
      </c>
      <c r="P601" s="39">
        <v>0</v>
      </c>
      <c r="Q601" s="39">
        <v>0</v>
      </c>
      <c r="R601" s="39">
        <v>0</v>
      </c>
      <c r="S601" s="39">
        <v>0</v>
      </c>
      <c r="T601" s="39">
        <v>0</v>
      </c>
      <c r="U601" s="39">
        <v>0</v>
      </c>
      <c r="V601" s="39">
        <v>459</v>
      </c>
      <c r="W601" s="40" t="s">
        <v>7674</v>
      </c>
      <c r="X601" s="39">
        <v>1</v>
      </c>
    </row>
    <row r="602" spans="1:24">
      <c r="A602" s="39">
        <v>640</v>
      </c>
      <c r="B602" s="40" t="s">
        <v>6895</v>
      </c>
      <c r="C602" s="39">
        <v>0</v>
      </c>
      <c r="E602" s="39">
        <v>1</v>
      </c>
      <c r="F602" s="39">
        <v>870</v>
      </c>
      <c r="G602" s="39">
        <v>1</v>
      </c>
      <c r="H602" s="39">
        <v>1</v>
      </c>
      <c r="I602" s="39">
        <v>1</v>
      </c>
      <c r="J602" s="39">
        <v>0</v>
      </c>
      <c r="K602" s="39">
        <v>0</v>
      </c>
      <c r="L602" s="39">
        <v>0</v>
      </c>
      <c r="M602" s="39">
        <v>0</v>
      </c>
      <c r="N602" s="39">
        <v>0</v>
      </c>
      <c r="O602" s="39">
        <v>0</v>
      </c>
      <c r="P602" s="39">
        <v>0</v>
      </c>
      <c r="Q602" s="39">
        <v>0</v>
      </c>
      <c r="R602" s="39">
        <v>0</v>
      </c>
      <c r="S602" s="39">
        <v>0</v>
      </c>
      <c r="T602" s="39">
        <v>0</v>
      </c>
      <c r="U602" s="39">
        <v>0</v>
      </c>
      <c r="V602" s="39">
        <v>468</v>
      </c>
      <c r="W602" s="40" t="s">
        <v>7677</v>
      </c>
      <c r="X602" s="39">
        <v>1</v>
      </c>
    </row>
    <row r="603" spans="1:24">
      <c r="A603" s="39">
        <v>1049</v>
      </c>
      <c r="B603" s="40" t="s">
        <v>6895</v>
      </c>
      <c r="C603" s="39">
        <v>0</v>
      </c>
      <c r="E603" s="39">
        <v>1</v>
      </c>
      <c r="F603" s="39">
        <v>870</v>
      </c>
      <c r="G603" s="39">
        <v>1</v>
      </c>
      <c r="H603" s="39">
        <v>1</v>
      </c>
      <c r="I603" s="39">
        <v>1</v>
      </c>
      <c r="J603" s="39">
        <v>0</v>
      </c>
      <c r="K603" s="39">
        <v>0</v>
      </c>
      <c r="L603" s="39">
        <v>0</v>
      </c>
      <c r="M603" s="39">
        <v>0</v>
      </c>
      <c r="N603" s="39">
        <v>0</v>
      </c>
      <c r="O603" s="39">
        <v>0</v>
      </c>
      <c r="P603" s="39">
        <v>0</v>
      </c>
      <c r="Q603" s="39">
        <v>0</v>
      </c>
      <c r="R603" s="39">
        <v>0</v>
      </c>
      <c r="S603" s="39">
        <v>0</v>
      </c>
      <c r="T603" s="39">
        <v>0</v>
      </c>
      <c r="U603" s="39">
        <v>0</v>
      </c>
      <c r="V603" s="39">
        <v>477</v>
      </c>
      <c r="W603" s="40" t="s">
        <v>7697</v>
      </c>
      <c r="X603" s="39">
        <v>1</v>
      </c>
    </row>
    <row r="604" spans="1:24">
      <c r="A604" s="39">
        <v>234</v>
      </c>
      <c r="B604" s="40" t="s">
        <v>6895</v>
      </c>
      <c r="C604" s="39">
        <v>0</v>
      </c>
      <c r="E604" s="39">
        <v>1</v>
      </c>
      <c r="F604" s="39">
        <v>870</v>
      </c>
      <c r="G604" s="39">
        <v>1</v>
      </c>
      <c r="H604" s="39">
        <v>1</v>
      </c>
      <c r="I604" s="39">
        <v>1</v>
      </c>
      <c r="J604" s="39">
        <v>0</v>
      </c>
      <c r="K604" s="39">
        <v>0</v>
      </c>
      <c r="L604" s="39">
        <v>0</v>
      </c>
      <c r="M604" s="39">
        <v>0</v>
      </c>
      <c r="N604" s="39">
        <v>0</v>
      </c>
      <c r="O604" s="39">
        <v>0</v>
      </c>
      <c r="P604" s="39">
        <v>0</v>
      </c>
      <c r="Q604" s="39">
        <v>0</v>
      </c>
      <c r="R604" s="39">
        <v>0</v>
      </c>
      <c r="S604" s="39">
        <v>0</v>
      </c>
      <c r="T604" s="39">
        <v>0</v>
      </c>
      <c r="U604" s="39">
        <v>0</v>
      </c>
      <c r="V604" s="39">
        <v>590</v>
      </c>
      <c r="W604" s="40" t="s">
        <v>7679</v>
      </c>
      <c r="X604" s="39">
        <v>1</v>
      </c>
    </row>
    <row r="605" spans="1:24">
      <c r="A605" s="39">
        <v>782</v>
      </c>
      <c r="B605" s="40" t="s">
        <v>6895</v>
      </c>
      <c r="C605" s="39">
        <v>0</v>
      </c>
      <c r="E605" s="39">
        <v>1</v>
      </c>
      <c r="F605" s="39">
        <v>870</v>
      </c>
      <c r="G605" s="39">
        <v>1</v>
      </c>
      <c r="H605" s="39">
        <v>1</v>
      </c>
      <c r="I605" s="39">
        <v>1</v>
      </c>
      <c r="J605" s="39">
        <v>1</v>
      </c>
      <c r="K605" s="39">
        <v>0</v>
      </c>
      <c r="L605" s="39">
        <v>0</v>
      </c>
      <c r="M605" s="39">
        <v>0</v>
      </c>
      <c r="N605" s="39">
        <v>0</v>
      </c>
      <c r="O605" s="39">
        <v>0</v>
      </c>
      <c r="P605" s="39">
        <v>0</v>
      </c>
      <c r="Q605" s="39">
        <v>0</v>
      </c>
      <c r="R605" s="39">
        <v>0</v>
      </c>
      <c r="S605" s="39">
        <v>0</v>
      </c>
      <c r="T605" s="39">
        <v>0</v>
      </c>
      <c r="U605" s="39">
        <v>0</v>
      </c>
      <c r="V605" s="39">
        <v>733</v>
      </c>
      <c r="W605" s="40" t="s">
        <v>7680</v>
      </c>
      <c r="X605" s="39">
        <v>1</v>
      </c>
    </row>
    <row r="606" spans="1:24">
      <c r="A606" s="39">
        <v>46</v>
      </c>
      <c r="B606" s="40" t="s">
        <v>281</v>
      </c>
      <c r="C606" s="39">
        <v>0</v>
      </c>
      <c r="D606" s="40" t="s">
        <v>7828</v>
      </c>
      <c r="E606" s="39">
        <v>1</v>
      </c>
      <c r="F606" s="39">
        <v>44</v>
      </c>
      <c r="G606" s="39">
        <v>0</v>
      </c>
      <c r="H606" s="39">
        <v>1</v>
      </c>
      <c r="I606" s="39">
        <v>1</v>
      </c>
      <c r="J606" s="39">
        <v>1</v>
      </c>
      <c r="K606" s="39">
        <v>0</v>
      </c>
      <c r="L606" s="39">
        <v>0</v>
      </c>
      <c r="M606" s="39">
        <v>0</v>
      </c>
      <c r="N606" s="39">
        <v>0</v>
      </c>
      <c r="O606" s="39">
        <v>0</v>
      </c>
      <c r="P606" s="39">
        <v>0</v>
      </c>
      <c r="Q606" s="39">
        <v>0</v>
      </c>
      <c r="R606" s="39">
        <v>0</v>
      </c>
      <c r="S606" s="39">
        <v>0</v>
      </c>
      <c r="T606" s="39">
        <v>0</v>
      </c>
      <c r="U606" s="39">
        <v>0</v>
      </c>
      <c r="V606" s="39">
        <v>2</v>
      </c>
      <c r="W606" s="40" t="s">
        <v>40</v>
      </c>
      <c r="X606" s="39">
        <v>1</v>
      </c>
    </row>
    <row r="607" spans="1:24">
      <c r="A607" s="39">
        <v>967</v>
      </c>
      <c r="B607" s="40" t="s">
        <v>281</v>
      </c>
      <c r="C607" s="39">
        <v>0</v>
      </c>
      <c r="E607" s="39">
        <v>1</v>
      </c>
      <c r="F607" s="39">
        <v>1485</v>
      </c>
      <c r="G607" s="39">
        <v>1</v>
      </c>
      <c r="H607" s="39">
        <v>1</v>
      </c>
      <c r="I607" s="39">
        <v>1</v>
      </c>
      <c r="J607" s="39">
        <v>0</v>
      </c>
      <c r="K607" s="39">
        <v>0</v>
      </c>
      <c r="L607" s="39">
        <v>0</v>
      </c>
      <c r="M607" s="39">
        <v>0</v>
      </c>
      <c r="N607" s="39">
        <v>0</v>
      </c>
      <c r="O607" s="39">
        <v>0</v>
      </c>
      <c r="P607" s="39">
        <v>0</v>
      </c>
      <c r="Q607" s="39">
        <v>0</v>
      </c>
      <c r="R607" s="39">
        <v>0</v>
      </c>
      <c r="S607" s="39">
        <v>0</v>
      </c>
      <c r="T607" s="39">
        <v>0</v>
      </c>
      <c r="U607" s="39">
        <v>0</v>
      </c>
      <c r="V607" s="39">
        <v>158</v>
      </c>
      <c r="W607" s="40" t="s">
        <v>7667</v>
      </c>
      <c r="X607" s="39">
        <v>1</v>
      </c>
    </row>
    <row r="608" spans="1:24">
      <c r="A608" s="39">
        <v>456</v>
      </c>
      <c r="B608" s="40" t="s">
        <v>281</v>
      </c>
      <c r="C608" s="39">
        <v>0</v>
      </c>
      <c r="E608" s="39">
        <v>0</v>
      </c>
      <c r="F608" s="39">
        <v>2065</v>
      </c>
      <c r="G608" s="39">
        <v>1</v>
      </c>
      <c r="H608" s="39">
        <v>1</v>
      </c>
      <c r="I608" s="39">
        <v>1</v>
      </c>
      <c r="J608" s="39">
        <v>0</v>
      </c>
      <c r="K608" s="39">
        <v>0</v>
      </c>
      <c r="L608" s="39">
        <v>0</v>
      </c>
      <c r="M608" s="39">
        <v>0</v>
      </c>
      <c r="N608" s="39">
        <v>0</v>
      </c>
      <c r="O608" s="39">
        <v>0</v>
      </c>
      <c r="P608" s="39">
        <v>0</v>
      </c>
      <c r="Q608" s="39">
        <v>0</v>
      </c>
      <c r="R608" s="39">
        <v>0</v>
      </c>
      <c r="S608" s="39">
        <v>0</v>
      </c>
      <c r="T608" s="39">
        <v>0</v>
      </c>
      <c r="U608" s="39">
        <v>0</v>
      </c>
      <c r="V608" s="39">
        <v>175</v>
      </c>
      <c r="W608" s="40" t="s">
        <v>7689</v>
      </c>
      <c r="X608" s="39">
        <v>1</v>
      </c>
    </row>
    <row r="609" spans="1:24">
      <c r="A609" s="39">
        <v>284</v>
      </c>
      <c r="B609" s="40" t="s">
        <v>281</v>
      </c>
      <c r="C609" s="39">
        <v>0</v>
      </c>
      <c r="E609" s="39">
        <v>0</v>
      </c>
      <c r="F609" s="39">
        <v>2065</v>
      </c>
      <c r="G609" s="39">
        <v>1</v>
      </c>
      <c r="H609" s="39">
        <v>1</v>
      </c>
      <c r="I609" s="39">
        <v>1</v>
      </c>
      <c r="J609" s="39">
        <v>0</v>
      </c>
      <c r="K609" s="39">
        <v>0</v>
      </c>
      <c r="L609" s="39">
        <v>0</v>
      </c>
      <c r="M609" s="39">
        <v>0</v>
      </c>
      <c r="N609" s="39">
        <v>0</v>
      </c>
      <c r="O609" s="39">
        <v>0</v>
      </c>
      <c r="P609" s="39">
        <v>0</v>
      </c>
      <c r="Q609" s="39">
        <v>0</v>
      </c>
      <c r="R609" s="39">
        <v>0</v>
      </c>
      <c r="S609" s="39">
        <v>0</v>
      </c>
      <c r="T609" s="39">
        <v>0</v>
      </c>
      <c r="U609" s="39">
        <v>0</v>
      </c>
      <c r="V609" s="39">
        <v>228</v>
      </c>
      <c r="W609" s="40" t="s">
        <v>7669</v>
      </c>
      <c r="X609" s="39">
        <v>1</v>
      </c>
    </row>
    <row r="610" spans="1:24">
      <c r="A610" s="39">
        <v>1745</v>
      </c>
      <c r="B610" s="40" t="s">
        <v>281</v>
      </c>
      <c r="C610" s="39">
        <v>0</v>
      </c>
      <c r="E610" s="39">
        <v>0</v>
      </c>
      <c r="F610" s="39">
        <v>1485</v>
      </c>
      <c r="G610" s="39">
        <v>0</v>
      </c>
      <c r="H610" s="39">
        <v>0</v>
      </c>
      <c r="I610" s="39">
        <v>0</v>
      </c>
      <c r="J610" s="39">
        <v>0</v>
      </c>
      <c r="K610" s="39">
        <v>0</v>
      </c>
      <c r="L610" s="39">
        <v>0</v>
      </c>
      <c r="M610" s="39">
        <v>0</v>
      </c>
      <c r="N610" s="39">
        <v>0</v>
      </c>
      <c r="O610" s="39">
        <v>0</v>
      </c>
      <c r="P610" s="39">
        <v>0</v>
      </c>
      <c r="Q610" s="39">
        <v>0</v>
      </c>
      <c r="R610" s="39">
        <v>0</v>
      </c>
      <c r="S610" s="39">
        <v>0</v>
      </c>
      <c r="T610" s="39">
        <v>0</v>
      </c>
      <c r="U610" s="39">
        <v>0</v>
      </c>
      <c r="V610" s="39">
        <v>244</v>
      </c>
      <c r="W610" s="40" t="s">
        <v>682</v>
      </c>
      <c r="X610" s="39">
        <v>1</v>
      </c>
    </row>
    <row r="611" spans="1:24">
      <c r="A611" s="39">
        <v>1236</v>
      </c>
      <c r="B611" s="40" t="s">
        <v>281</v>
      </c>
      <c r="C611" s="39">
        <v>0</v>
      </c>
      <c r="E611" s="39">
        <v>1</v>
      </c>
      <c r="F611" s="39">
        <v>1485</v>
      </c>
      <c r="G611" s="39">
        <v>1</v>
      </c>
      <c r="H611" s="39">
        <v>1</v>
      </c>
      <c r="I611" s="39">
        <v>1</v>
      </c>
      <c r="J611" s="39">
        <v>0</v>
      </c>
      <c r="K611" s="39">
        <v>0</v>
      </c>
      <c r="L611" s="39">
        <v>0</v>
      </c>
      <c r="M611" s="39">
        <v>0</v>
      </c>
      <c r="N611" s="39">
        <v>0</v>
      </c>
      <c r="O611" s="39">
        <v>0</v>
      </c>
      <c r="P611" s="39">
        <v>0</v>
      </c>
      <c r="Q611" s="39">
        <v>0</v>
      </c>
      <c r="R611" s="39">
        <v>0</v>
      </c>
      <c r="S611" s="39">
        <v>0</v>
      </c>
      <c r="T611" s="39">
        <v>0</v>
      </c>
      <c r="U611" s="39">
        <v>0</v>
      </c>
      <c r="V611" s="39">
        <v>418</v>
      </c>
      <c r="W611" s="40" t="s">
        <v>7671</v>
      </c>
      <c r="X611" s="39">
        <v>1</v>
      </c>
    </row>
    <row r="612" spans="1:24">
      <c r="A612" s="39">
        <v>1406</v>
      </c>
      <c r="B612" s="40" t="s">
        <v>281</v>
      </c>
      <c r="C612" s="39">
        <v>0</v>
      </c>
      <c r="E612" s="39">
        <v>0</v>
      </c>
      <c r="F612" s="39">
        <v>1485</v>
      </c>
      <c r="G612" s="39">
        <v>0</v>
      </c>
      <c r="H612" s="39">
        <v>0</v>
      </c>
      <c r="I612" s="39">
        <v>0</v>
      </c>
      <c r="J612" s="39">
        <v>0</v>
      </c>
      <c r="K612" s="39">
        <v>0</v>
      </c>
      <c r="L612" s="39">
        <v>0</v>
      </c>
      <c r="M612" s="39">
        <v>0</v>
      </c>
      <c r="N612" s="39">
        <v>0</v>
      </c>
      <c r="O612" s="39">
        <v>0</v>
      </c>
      <c r="P612" s="39">
        <v>0</v>
      </c>
      <c r="Q612" s="39">
        <v>0</v>
      </c>
      <c r="R612" s="39">
        <v>0</v>
      </c>
      <c r="S612" s="39">
        <v>0</v>
      </c>
      <c r="T612" s="39">
        <v>0</v>
      </c>
      <c r="U612" s="39">
        <v>0</v>
      </c>
      <c r="V612" s="39">
        <v>456</v>
      </c>
      <c r="W612" s="40" t="s">
        <v>7673</v>
      </c>
      <c r="X612" s="39">
        <v>1</v>
      </c>
    </row>
    <row r="613" spans="1:24">
      <c r="A613" s="39">
        <v>906</v>
      </c>
      <c r="B613" s="40" t="s">
        <v>281</v>
      </c>
      <c r="C613" s="39">
        <v>0</v>
      </c>
      <c r="E613" s="39">
        <v>1</v>
      </c>
      <c r="F613" s="39">
        <v>2065</v>
      </c>
      <c r="G613" s="39">
        <v>1</v>
      </c>
      <c r="H613" s="39">
        <v>1</v>
      </c>
      <c r="I613" s="39">
        <v>1</v>
      </c>
      <c r="J613" s="39">
        <v>0</v>
      </c>
      <c r="K613" s="39">
        <v>0</v>
      </c>
      <c r="L613" s="39">
        <v>0</v>
      </c>
      <c r="M613" s="39">
        <v>0</v>
      </c>
      <c r="N613" s="39">
        <v>0</v>
      </c>
      <c r="O613" s="39">
        <v>0</v>
      </c>
      <c r="P613" s="39">
        <v>0</v>
      </c>
      <c r="Q613" s="39">
        <v>0</v>
      </c>
      <c r="R613" s="39">
        <v>0</v>
      </c>
      <c r="S613" s="39">
        <v>0</v>
      </c>
      <c r="T613" s="39">
        <v>0</v>
      </c>
      <c r="U613" s="39">
        <v>0</v>
      </c>
      <c r="V613" s="39">
        <v>458</v>
      </c>
      <c r="W613" s="40" t="s">
        <v>7694</v>
      </c>
      <c r="X613" s="39">
        <v>1</v>
      </c>
    </row>
    <row r="614" spans="1:24">
      <c r="A614" s="39">
        <v>1146</v>
      </c>
      <c r="B614" s="40" t="s">
        <v>281</v>
      </c>
      <c r="C614" s="39">
        <v>0</v>
      </c>
      <c r="E614" s="39">
        <v>1</v>
      </c>
      <c r="F614" s="39">
        <v>2065</v>
      </c>
      <c r="G614" s="39">
        <v>0</v>
      </c>
      <c r="H614" s="39">
        <v>0</v>
      </c>
      <c r="I614" s="39">
        <v>0</v>
      </c>
      <c r="J614" s="39">
        <v>0</v>
      </c>
      <c r="K614" s="39">
        <v>0</v>
      </c>
      <c r="L614" s="39">
        <v>0</v>
      </c>
      <c r="M614" s="39">
        <v>0</v>
      </c>
      <c r="N614" s="39">
        <v>0</v>
      </c>
      <c r="O614" s="39">
        <v>0</v>
      </c>
      <c r="P614" s="39">
        <v>0</v>
      </c>
      <c r="Q614" s="39">
        <v>0</v>
      </c>
      <c r="R614" s="39">
        <v>0</v>
      </c>
      <c r="S614" s="39">
        <v>0</v>
      </c>
      <c r="T614" s="39">
        <v>0</v>
      </c>
      <c r="U614" s="39">
        <v>0</v>
      </c>
      <c r="V614" s="39">
        <v>459</v>
      </c>
      <c r="W614" s="40" t="s">
        <v>7674</v>
      </c>
      <c r="X614" s="39">
        <v>1</v>
      </c>
    </row>
    <row r="615" spans="1:24">
      <c r="A615" s="39">
        <v>641</v>
      </c>
      <c r="B615" s="40" t="s">
        <v>281</v>
      </c>
      <c r="C615" s="39">
        <v>0</v>
      </c>
      <c r="E615" s="39">
        <v>1</v>
      </c>
      <c r="F615" s="39">
        <v>2065</v>
      </c>
      <c r="G615" s="39">
        <v>1</v>
      </c>
      <c r="H615" s="39">
        <v>1</v>
      </c>
      <c r="I615" s="39">
        <v>1</v>
      </c>
      <c r="J615" s="39">
        <v>0</v>
      </c>
      <c r="K615" s="39">
        <v>0</v>
      </c>
      <c r="L615" s="39">
        <v>0</v>
      </c>
      <c r="M615" s="39">
        <v>0</v>
      </c>
      <c r="N615" s="39">
        <v>0</v>
      </c>
      <c r="O615" s="39">
        <v>0</v>
      </c>
      <c r="P615" s="39">
        <v>0</v>
      </c>
      <c r="Q615" s="39">
        <v>0</v>
      </c>
      <c r="R615" s="39">
        <v>0</v>
      </c>
      <c r="S615" s="39">
        <v>0</v>
      </c>
      <c r="T615" s="39">
        <v>0</v>
      </c>
      <c r="U615" s="39">
        <v>0</v>
      </c>
      <c r="V615" s="39">
        <v>468</v>
      </c>
      <c r="W615" s="40" t="s">
        <v>7677</v>
      </c>
      <c r="X615" s="39">
        <v>1</v>
      </c>
    </row>
    <row r="616" spans="1:24">
      <c r="A616" s="39">
        <v>1050</v>
      </c>
      <c r="B616" s="40" t="s">
        <v>281</v>
      </c>
      <c r="C616" s="39">
        <v>0</v>
      </c>
      <c r="E616" s="39">
        <v>1</v>
      </c>
      <c r="F616" s="39">
        <v>2065</v>
      </c>
      <c r="G616" s="39">
        <v>1</v>
      </c>
      <c r="H616" s="39">
        <v>1</v>
      </c>
      <c r="I616" s="39">
        <v>1</v>
      </c>
      <c r="J616" s="39">
        <v>0</v>
      </c>
      <c r="K616" s="39">
        <v>0</v>
      </c>
      <c r="L616" s="39">
        <v>0</v>
      </c>
      <c r="M616" s="39">
        <v>0</v>
      </c>
      <c r="N616" s="39">
        <v>0</v>
      </c>
      <c r="O616" s="39">
        <v>0</v>
      </c>
      <c r="P616" s="39">
        <v>0</v>
      </c>
      <c r="Q616" s="39">
        <v>0</v>
      </c>
      <c r="R616" s="39">
        <v>0</v>
      </c>
      <c r="S616" s="39">
        <v>0</v>
      </c>
      <c r="T616" s="39">
        <v>0</v>
      </c>
      <c r="U616" s="39">
        <v>0</v>
      </c>
      <c r="V616" s="39">
        <v>477</v>
      </c>
      <c r="W616" s="40" t="s">
        <v>7697</v>
      </c>
      <c r="X616" s="39">
        <v>1</v>
      </c>
    </row>
    <row r="617" spans="1:24">
      <c r="A617" s="39">
        <v>235</v>
      </c>
      <c r="B617" s="40" t="s">
        <v>281</v>
      </c>
      <c r="C617" s="39">
        <v>0</v>
      </c>
      <c r="E617" s="39">
        <v>1</v>
      </c>
      <c r="F617" s="39">
        <v>2065</v>
      </c>
      <c r="G617" s="39">
        <v>1</v>
      </c>
      <c r="H617" s="39">
        <v>1</v>
      </c>
      <c r="I617" s="39">
        <v>1</v>
      </c>
      <c r="J617" s="39">
        <v>0</v>
      </c>
      <c r="K617" s="39">
        <v>0</v>
      </c>
      <c r="L617" s="39">
        <v>0</v>
      </c>
      <c r="M617" s="39">
        <v>0</v>
      </c>
      <c r="N617" s="39">
        <v>0</v>
      </c>
      <c r="O617" s="39">
        <v>0</v>
      </c>
      <c r="P617" s="39">
        <v>0</v>
      </c>
      <c r="Q617" s="39">
        <v>0</v>
      </c>
      <c r="R617" s="39">
        <v>0</v>
      </c>
      <c r="S617" s="39">
        <v>0</v>
      </c>
      <c r="T617" s="39">
        <v>0</v>
      </c>
      <c r="U617" s="39">
        <v>0</v>
      </c>
      <c r="V617" s="39">
        <v>590</v>
      </c>
      <c r="W617" s="40" t="s">
        <v>7679</v>
      </c>
      <c r="X617" s="39">
        <v>1</v>
      </c>
    </row>
    <row r="618" spans="1:24">
      <c r="A618" s="39">
        <v>783</v>
      </c>
      <c r="B618" s="40" t="s">
        <v>281</v>
      </c>
      <c r="C618" s="39">
        <v>0</v>
      </c>
      <c r="E618" s="39">
        <v>1</v>
      </c>
      <c r="F618" s="39">
        <v>2065</v>
      </c>
      <c r="G618" s="39">
        <v>1</v>
      </c>
      <c r="H618" s="39">
        <v>1</v>
      </c>
      <c r="I618" s="39">
        <v>1</v>
      </c>
      <c r="J618" s="39">
        <v>0</v>
      </c>
      <c r="K618" s="39">
        <v>0</v>
      </c>
      <c r="L618" s="39">
        <v>0</v>
      </c>
      <c r="M618" s="39">
        <v>0</v>
      </c>
      <c r="N618" s="39">
        <v>0</v>
      </c>
      <c r="O618" s="39">
        <v>0</v>
      </c>
      <c r="P618" s="39">
        <v>0</v>
      </c>
      <c r="Q618" s="39">
        <v>0</v>
      </c>
      <c r="R618" s="39">
        <v>0</v>
      </c>
      <c r="S618" s="39">
        <v>0</v>
      </c>
      <c r="T618" s="39">
        <v>0</v>
      </c>
      <c r="U618" s="39">
        <v>0</v>
      </c>
      <c r="V618" s="39">
        <v>733</v>
      </c>
      <c r="W618" s="40" t="s">
        <v>7680</v>
      </c>
      <c r="X618" s="39">
        <v>1</v>
      </c>
    </row>
    <row r="619" spans="1:24">
      <c r="A619" s="39">
        <v>147</v>
      </c>
      <c r="B619" s="40" t="s">
        <v>5235</v>
      </c>
      <c r="C619" s="39">
        <v>0</v>
      </c>
      <c r="E619" s="39">
        <v>1</v>
      </c>
      <c r="F619" s="39">
        <v>864</v>
      </c>
      <c r="G619" s="39">
        <v>1</v>
      </c>
      <c r="H619" s="39">
        <v>1</v>
      </c>
      <c r="I619" s="39">
        <v>1</v>
      </c>
      <c r="J619" s="39">
        <v>1</v>
      </c>
      <c r="K619" s="39">
        <v>0</v>
      </c>
      <c r="L619" s="39">
        <v>0</v>
      </c>
      <c r="M619" s="39">
        <v>0</v>
      </c>
      <c r="N619" s="39">
        <v>0</v>
      </c>
      <c r="O619" s="39">
        <v>0</v>
      </c>
      <c r="P619" s="39">
        <v>0</v>
      </c>
      <c r="Q619" s="39">
        <v>0</v>
      </c>
      <c r="R619" s="39">
        <v>0</v>
      </c>
      <c r="S619" s="39">
        <v>0</v>
      </c>
      <c r="T619" s="39">
        <v>0</v>
      </c>
      <c r="U619" s="39">
        <v>0</v>
      </c>
      <c r="V619" s="39">
        <v>1</v>
      </c>
      <c r="W619" s="40" t="s">
        <v>518</v>
      </c>
      <c r="X619" s="39">
        <v>1</v>
      </c>
    </row>
    <row r="620" spans="1:24">
      <c r="A620" s="39">
        <v>57</v>
      </c>
      <c r="B620" s="40" t="s">
        <v>5235</v>
      </c>
      <c r="C620" s="39">
        <v>0</v>
      </c>
      <c r="D620" s="40" t="s">
        <v>7829</v>
      </c>
      <c r="E620" s="39">
        <v>1</v>
      </c>
      <c r="F620" s="39">
        <v>60</v>
      </c>
      <c r="G620" s="39">
        <v>0</v>
      </c>
      <c r="H620" s="39">
        <v>1</v>
      </c>
      <c r="I620" s="39">
        <v>1</v>
      </c>
      <c r="J620" s="39">
        <v>1</v>
      </c>
      <c r="K620" s="39">
        <v>0</v>
      </c>
      <c r="L620" s="39">
        <v>0</v>
      </c>
      <c r="M620" s="39">
        <v>0</v>
      </c>
      <c r="N620" s="39">
        <v>0</v>
      </c>
      <c r="O620" s="39">
        <v>0</v>
      </c>
      <c r="P620" s="39">
        <v>0</v>
      </c>
      <c r="Q620" s="39">
        <v>0</v>
      </c>
      <c r="R620" s="39">
        <v>0</v>
      </c>
      <c r="S620" s="39">
        <v>0</v>
      </c>
      <c r="T620" s="39">
        <v>0</v>
      </c>
      <c r="U620" s="39">
        <v>0</v>
      </c>
      <c r="V620" s="39">
        <v>2</v>
      </c>
      <c r="W620" s="40" t="s">
        <v>40</v>
      </c>
      <c r="X620" s="39">
        <v>1</v>
      </c>
    </row>
    <row r="621" spans="1:24">
      <c r="A621" s="39">
        <v>968</v>
      </c>
      <c r="B621" s="40" t="s">
        <v>5235</v>
      </c>
      <c r="C621" s="39">
        <v>0</v>
      </c>
      <c r="E621" s="39">
        <v>1</v>
      </c>
      <c r="F621" s="39">
        <v>864</v>
      </c>
      <c r="G621" s="39">
        <v>1</v>
      </c>
      <c r="H621" s="39">
        <v>1</v>
      </c>
      <c r="I621" s="39">
        <v>1</v>
      </c>
      <c r="J621" s="39">
        <v>0</v>
      </c>
      <c r="K621" s="39">
        <v>0</v>
      </c>
      <c r="L621" s="39">
        <v>0</v>
      </c>
      <c r="M621" s="39">
        <v>0</v>
      </c>
      <c r="N621" s="39">
        <v>0</v>
      </c>
      <c r="O621" s="39">
        <v>0</v>
      </c>
      <c r="P621" s="39">
        <v>0</v>
      </c>
      <c r="Q621" s="39">
        <v>0</v>
      </c>
      <c r="R621" s="39">
        <v>0</v>
      </c>
      <c r="S621" s="39">
        <v>0</v>
      </c>
      <c r="T621" s="39">
        <v>0</v>
      </c>
      <c r="U621" s="39">
        <v>0</v>
      </c>
      <c r="V621" s="39">
        <v>158</v>
      </c>
      <c r="W621" s="40" t="s">
        <v>7667</v>
      </c>
      <c r="X621" s="39">
        <v>1</v>
      </c>
    </row>
    <row r="622" spans="1:24">
      <c r="A622" s="39">
        <v>457</v>
      </c>
      <c r="B622" s="40" t="s">
        <v>5235</v>
      </c>
      <c r="C622" s="39">
        <v>0</v>
      </c>
      <c r="E622" s="39">
        <v>1</v>
      </c>
      <c r="F622" s="39">
        <v>864</v>
      </c>
      <c r="G622" s="39">
        <v>1</v>
      </c>
      <c r="H622" s="39">
        <v>1</v>
      </c>
      <c r="I622" s="39">
        <v>1</v>
      </c>
      <c r="J622" s="39">
        <v>0</v>
      </c>
      <c r="K622" s="39">
        <v>0</v>
      </c>
      <c r="L622" s="39">
        <v>0</v>
      </c>
      <c r="M622" s="39">
        <v>0</v>
      </c>
      <c r="N622" s="39">
        <v>0</v>
      </c>
      <c r="O622" s="39">
        <v>0</v>
      </c>
      <c r="P622" s="39">
        <v>0</v>
      </c>
      <c r="Q622" s="39">
        <v>0</v>
      </c>
      <c r="R622" s="39">
        <v>0</v>
      </c>
      <c r="S622" s="39">
        <v>0</v>
      </c>
      <c r="T622" s="39">
        <v>0</v>
      </c>
      <c r="U622" s="39">
        <v>0</v>
      </c>
      <c r="V622" s="39">
        <v>175</v>
      </c>
      <c r="W622" s="40" t="s">
        <v>7689</v>
      </c>
      <c r="X622" s="39">
        <v>1</v>
      </c>
    </row>
    <row r="623" spans="1:24">
      <c r="A623" s="39">
        <v>283</v>
      </c>
      <c r="B623" s="40" t="s">
        <v>5235</v>
      </c>
      <c r="C623" s="39">
        <v>0</v>
      </c>
      <c r="E623" s="39">
        <v>1</v>
      </c>
      <c r="F623" s="39">
        <v>864</v>
      </c>
      <c r="G623" s="39">
        <v>1</v>
      </c>
      <c r="H623" s="39">
        <v>1</v>
      </c>
      <c r="I623" s="39">
        <v>1</v>
      </c>
      <c r="J623" s="39">
        <v>0</v>
      </c>
      <c r="K623" s="39">
        <v>0</v>
      </c>
      <c r="L623" s="39">
        <v>0</v>
      </c>
      <c r="M623" s="39">
        <v>0</v>
      </c>
      <c r="N623" s="39">
        <v>0</v>
      </c>
      <c r="O623" s="39">
        <v>0</v>
      </c>
      <c r="P623" s="39">
        <v>0</v>
      </c>
      <c r="Q623" s="39">
        <v>0</v>
      </c>
      <c r="R623" s="39">
        <v>0</v>
      </c>
      <c r="S623" s="39">
        <v>0</v>
      </c>
      <c r="T623" s="39">
        <v>0</v>
      </c>
      <c r="U623" s="39">
        <v>0</v>
      </c>
      <c r="V623" s="39">
        <v>228</v>
      </c>
      <c r="W623" s="40" t="s">
        <v>7669</v>
      </c>
      <c r="X623" s="39">
        <v>1</v>
      </c>
    </row>
    <row r="624" spans="1:24">
      <c r="A624" s="39">
        <v>1758</v>
      </c>
      <c r="B624" s="40" t="s">
        <v>5235</v>
      </c>
      <c r="C624" s="39">
        <v>0</v>
      </c>
      <c r="E624" s="39">
        <v>1</v>
      </c>
      <c r="F624" s="39">
        <v>864</v>
      </c>
      <c r="G624" s="39">
        <v>1</v>
      </c>
      <c r="H624" s="39">
        <v>1</v>
      </c>
      <c r="I624" s="39">
        <v>1</v>
      </c>
      <c r="J624" s="39">
        <v>1</v>
      </c>
      <c r="K624" s="39">
        <v>0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39">
        <v>0</v>
      </c>
      <c r="S624" s="39">
        <v>0</v>
      </c>
      <c r="T624" s="39">
        <v>0</v>
      </c>
      <c r="U624" s="39">
        <v>0</v>
      </c>
      <c r="V624" s="39">
        <v>244</v>
      </c>
      <c r="W624" s="40" t="s">
        <v>682</v>
      </c>
      <c r="X624" s="39">
        <v>1</v>
      </c>
    </row>
    <row r="625" spans="1:24">
      <c r="A625" s="39">
        <v>1237</v>
      </c>
      <c r="B625" s="40" t="s">
        <v>5235</v>
      </c>
      <c r="C625" s="39">
        <v>0</v>
      </c>
      <c r="E625" s="39">
        <v>1</v>
      </c>
      <c r="F625" s="39">
        <v>864</v>
      </c>
      <c r="G625" s="39">
        <v>1</v>
      </c>
      <c r="H625" s="39">
        <v>1</v>
      </c>
      <c r="I625" s="39">
        <v>1</v>
      </c>
      <c r="J625" s="39">
        <v>0</v>
      </c>
      <c r="K625" s="39">
        <v>0</v>
      </c>
      <c r="L625" s="39">
        <v>0</v>
      </c>
      <c r="M625" s="39">
        <v>0</v>
      </c>
      <c r="N625" s="39">
        <v>0</v>
      </c>
      <c r="O625" s="39">
        <v>0</v>
      </c>
      <c r="P625" s="39">
        <v>0</v>
      </c>
      <c r="Q625" s="39">
        <v>0</v>
      </c>
      <c r="R625" s="39">
        <v>0</v>
      </c>
      <c r="S625" s="39">
        <v>0</v>
      </c>
      <c r="T625" s="39">
        <v>0</v>
      </c>
      <c r="U625" s="39">
        <v>0</v>
      </c>
      <c r="V625" s="39">
        <v>418</v>
      </c>
      <c r="W625" s="40" t="s">
        <v>7671</v>
      </c>
      <c r="X625" s="39">
        <v>1</v>
      </c>
    </row>
    <row r="626" spans="1:24">
      <c r="A626" s="39">
        <v>1419</v>
      </c>
      <c r="B626" s="40" t="s">
        <v>5235</v>
      </c>
      <c r="C626" s="39">
        <v>0</v>
      </c>
      <c r="E626" s="39">
        <v>1</v>
      </c>
      <c r="F626" s="39">
        <v>864</v>
      </c>
      <c r="G626" s="39">
        <v>1</v>
      </c>
      <c r="H626" s="39">
        <v>1</v>
      </c>
      <c r="I626" s="39">
        <v>1</v>
      </c>
      <c r="J626" s="39">
        <v>1</v>
      </c>
      <c r="K626" s="39">
        <v>0</v>
      </c>
      <c r="L626" s="39">
        <v>0</v>
      </c>
      <c r="M626" s="39">
        <v>0</v>
      </c>
      <c r="N626" s="39">
        <v>0</v>
      </c>
      <c r="O626" s="39">
        <v>0</v>
      </c>
      <c r="P626" s="39">
        <v>0</v>
      </c>
      <c r="Q626" s="39">
        <v>0</v>
      </c>
      <c r="R626" s="39">
        <v>0</v>
      </c>
      <c r="S626" s="39">
        <v>0</v>
      </c>
      <c r="T626" s="39">
        <v>0</v>
      </c>
      <c r="U626" s="39">
        <v>0</v>
      </c>
      <c r="V626" s="39">
        <v>456</v>
      </c>
      <c r="W626" s="40" t="s">
        <v>7673</v>
      </c>
      <c r="X626" s="39">
        <v>1</v>
      </c>
    </row>
    <row r="627" spans="1:24">
      <c r="A627" s="39">
        <v>907</v>
      </c>
      <c r="B627" s="40" t="s">
        <v>5235</v>
      </c>
      <c r="C627" s="39">
        <v>0</v>
      </c>
      <c r="E627" s="39">
        <v>1</v>
      </c>
      <c r="F627" s="39">
        <v>864</v>
      </c>
      <c r="G627" s="39">
        <v>1</v>
      </c>
      <c r="H627" s="39">
        <v>1</v>
      </c>
      <c r="I627" s="39">
        <v>1</v>
      </c>
      <c r="J627" s="39">
        <v>0</v>
      </c>
      <c r="K627" s="39">
        <v>0</v>
      </c>
      <c r="L627" s="39">
        <v>0</v>
      </c>
      <c r="M627" s="39">
        <v>0</v>
      </c>
      <c r="N627" s="39">
        <v>0</v>
      </c>
      <c r="O627" s="39">
        <v>0</v>
      </c>
      <c r="P627" s="39">
        <v>0</v>
      </c>
      <c r="Q627" s="39">
        <v>0</v>
      </c>
      <c r="R627" s="39">
        <v>0</v>
      </c>
      <c r="S627" s="39">
        <v>0</v>
      </c>
      <c r="T627" s="39">
        <v>0</v>
      </c>
      <c r="U627" s="39">
        <v>0</v>
      </c>
      <c r="V627" s="39">
        <v>458</v>
      </c>
      <c r="W627" s="40" t="s">
        <v>7694</v>
      </c>
      <c r="X627" s="39">
        <v>1</v>
      </c>
    </row>
    <row r="628" spans="1:24">
      <c r="A628" s="39">
        <v>1147</v>
      </c>
      <c r="B628" s="40" t="s">
        <v>5235</v>
      </c>
      <c r="C628" s="39">
        <v>0</v>
      </c>
      <c r="E628" s="39">
        <v>1</v>
      </c>
      <c r="F628" s="39">
        <v>864</v>
      </c>
      <c r="G628" s="39">
        <v>0</v>
      </c>
      <c r="H628" s="39">
        <v>0</v>
      </c>
      <c r="I628" s="39">
        <v>0</v>
      </c>
      <c r="J628" s="39">
        <v>0</v>
      </c>
      <c r="K628" s="39">
        <v>0</v>
      </c>
      <c r="L628" s="39">
        <v>0</v>
      </c>
      <c r="M628" s="39">
        <v>0</v>
      </c>
      <c r="N628" s="39">
        <v>0</v>
      </c>
      <c r="O628" s="39">
        <v>0</v>
      </c>
      <c r="P628" s="39">
        <v>0</v>
      </c>
      <c r="Q628" s="39">
        <v>0</v>
      </c>
      <c r="R628" s="39">
        <v>0</v>
      </c>
      <c r="S628" s="39">
        <v>0</v>
      </c>
      <c r="T628" s="39">
        <v>0</v>
      </c>
      <c r="U628" s="39">
        <v>0</v>
      </c>
      <c r="V628" s="39">
        <v>459</v>
      </c>
      <c r="W628" s="40" t="s">
        <v>7674</v>
      </c>
      <c r="X628" s="39">
        <v>1</v>
      </c>
    </row>
    <row r="629" spans="1:24">
      <c r="A629" s="39">
        <v>642</v>
      </c>
      <c r="B629" s="40" t="s">
        <v>5235</v>
      </c>
      <c r="C629" s="39">
        <v>0</v>
      </c>
      <c r="E629" s="39">
        <v>1</v>
      </c>
      <c r="F629" s="39">
        <v>864</v>
      </c>
      <c r="G629" s="39">
        <v>1</v>
      </c>
      <c r="H629" s="39">
        <v>1</v>
      </c>
      <c r="I629" s="39">
        <v>1</v>
      </c>
      <c r="J629" s="39">
        <v>0</v>
      </c>
      <c r="K629" s="39">
        <v>0</v>
      </c>
      <c r="L629" s="39">
        <v>0</v>
      </c>
      <c r="M629" s="39">
        <v>0</v>
      </c>
      <c r="N629" s="39">
        <v>0</v>
      </c>
      <c r="O629" s="39">
        <v>0</v>
      </c>
      <c r="P629" s="39">
        <v>0</v>
      </c>
      <c r="Q629" s="39">
        <v>0</v>
      </c>
      <c r="R629" s="39">
        <v>0</v>
      </c>
      <c r="S629" s="39">
        <v>0</v>
      </c>
      <c r="T629" s="39">
        <v>0</v>
      </c>
      <c r="U629" s="39">
        <v>0</v>
      </c>
      <c r="V629" s="39">
        <v>468</v>
      </c>
      <c r="W629" s="40" t="s">
        <v>7677</v>
      </c>
      <c r="X629" s="39">
        <v>1</v>
      </c>
    </row>
    <row r="630" spans="1:24">
      <c r="A630" s="39">
        <v>1051</v>
      </c>
      <c r="B630" s="40" t="s">
        <v>5235</v>
      </c>
      <c r="C630" s="39">
        <v>0</v>
      </c>
      <c r="E630" s="39">
        <v>1</v>
      </c>
      <c r="F630" s="39">
        <v>864</v>
      </c>
      <c r="G630" s="39">
        <v>1</v>
      </c>
      <c r="H630" s="39">
        <v>1</v>
      </c>
      <c r="I630" s="39">
        <v>1</v>
      </c>
      <c r="J630" s="39">
        <v>0</v>
      </c>
      <c r="K630" s="39">
        <v>0</v>
      </c>
      <c r="L630" s="39">
        <v>0</v>
      </c>
      <c r="M630" s="39">
        <v>0</v>
      </c>
      <c r="N630" s="39">
        <v>0</v>
      </c>
      <c r="O630" s="39">
        <v>0</v>
      </c>
      <c r="P630" s="39">
        <v>0</v>
      </c>
      <c r="Q630" s="39">
        <v>0</v>
      </c>
      <c r="R630" s="39">
        <v>0</v>
      </c>
      <c r="S630" s="39">
        <v>0</v>
      </c>
      <c r="T630" s="39">
        <v>0</v>
      </c>
      <c r="U630" s="39">
        <v>0</v>
      </c>
      <c r="V630" s="39">
        <v>477</v>
      </c>
      <c r="W630" s="40" t="s">
        <v>7697</v>
      </c>
      <c r="X630" s="39">
        <v>1</v>
      </c>
    </row>
    <row r="631" spans="1:24">
      <c r="A631" s="39">
        <v>236</v>
      </c>
      <c r="B631" s="40" t="s">
        <v>5235</v>
      </c>
      <c r="C631" s="39">
        <v>0</v>
      </c>
      <c r="E631" s="39">
        <v>1</v>
      </c>
      <c r="F631" s="39">
        <v>864</v>
      </c>
      <c r="G631" s="39">
        <v>1</v>
      </c>
      <c r="H631" s="39">
        <v>1</v>
      </c>
      <c r="I631" s="39">
        <v>1</v>
      </c>
      <c r="J631" s="39">
        <v>0</v>
      </c>
      <c r="K631" s="39">
        <v>0</v>
      </c>
      <c r="L631" s="39">
        <v>0</v>
      </c>
      <c r="M631" s="39">
        <v>0</v>
      </c>
      <c r="N631" s="39">
        <v>0</v>
      </c>
      <c r="O631" s="39">
        <v>0</v>
      </c>
      <c r="P631" s="39">
        <v>0</v>
      </c>
      <c r="Q631" s="39">
        <v>0</v>
      </c>
      <c r="R631" s="39">
        <v>0</v>
      </c>
      <c r="S631" s="39">
        <v>0</v>
      </c>
      <c r="T631" s="39">
        <v>0</v>
      </c>
      <c r="U631" s="39">
        <v>0</v>
      </c>
      <c r="V631" s="39">
        <v>590</v>
      </c>
      <c r="W631" s="40" t="s">
        <v>7679</v>
      </c>
      <c r="X631" s="39">
        <v>1</v>
      </c>
    </row>
    <row r="632" spans="1:24">
      <c r="A632" s="39">
        <v>784</v>
      </c>
      <c r="B632" s="40" t="s">
        <v>5235</v>
      </c>
      <c r="C632" s="39">
        <v>0</v>
      </c>
      <c r="E632" s="39">
        <v>1</v>
      </c>
      <c r="F632" s="39">
        <v>864</v>
      </c>
      <c r="G632" s="39">
        <v>1</v>
      </c>
      <c r="H632" s="39">
        <v>1</v>
      </c>
      <c r="I632" s="39">
        <v>1</v>
      </c>
      <c r="J632" s="39">
        <v>1</v>
      </c>
      <c r="K632" s="39">
        <v>0</v>
      </c>
      <c r="L632" s="39">
        <v>0</v>
      </c>
      <c r="M632" s="39">
        <v>0</v>
      </c>
      <c r="N632" s="39">
        <v>0</v>
      </c>
      <c r="O632" s="39">
        <v>0</v>
      </c>
      <c r="P632" s="39">
        <v>0</v>
      </c>
      <c r="Q632" s="39">
        <v>0</v>
      </c>
      <c r="R632" s="39">
        <v>0</v>
      </c>
      <c r="S632" s="39">
        <v>0</v>
      </c>
      <c r="T632" s="39">
        <v>0</v>
      </c>
      <c r="U632" s="39">
        <v>0</v>
      </c>
      <c r="V632" s="39">
        <v>733</v>
      </c>
      <c r="W632" s="40" t="s">
        <v>7680</v>
      </c>
      <c r="X632" s="39">
        <v>1</v>
      </c>
    </row>
    <row r="633" spans="1:24">
      <c r="A633" s="39">
        <v>135</v>
      </c>
      <c r="B633" s="40" t="s">
        <v>6894</v>
      </c>
      <c r="C633" s="39">
        <v>0</v>
      </c>
      <c r="E633" s="39">
        <v>1</v>
      </c>
      <c r="F633" s="39">
        <v>838</v>
      </c>
      <c r="G633" s="39">
        <v>1</v>
      </c>
      <c r="H633" s="39">
        <v>1</v>
      </c>
      <c r="I633" s="39">
        <v>1</v>
      </c>
      <c r="J633" s="39">
        <v>1</v>
      </c>
      <c r="K633" s="39">
        <v>0</v>
      </c>
      <c r="L633" s="39">
        <v>0</v>
      </c>
      <c r="M633" s="39">
        <v>0</v>
      </c>
      <c r="N633" s="39">
        <v>0</v>
      </c>
      <c r="O633" s="39">
        <v>0</v>
      </c>
      <c r="P633" s="39">
        <v>0</v>
      </c>
      <c r="Q633" s="39">
        <v>0</v>
      </c>
      <c r="R633" s="39">
        <v>0</v>
      </c>
      <c r="S633" s="39">
        <v>0</v>
      </c>
      <c r="T633" s="39">
        <v>0</v>
      </c>
      <c r="U633" s="39">
        <v>0</v>
      </c>
      <c r="V633" s="39">
        <v>1</v>
      </c>
      <c r="W633" s="40" t="s">
        <v>518</v>
      </c>
      <c r="X633" s="39">
        <v>1</v>
      </c>
    </row>
    <row r="634" spans="1:24">
      <c r="A634" s="39">
        <v>47</v>
      </c>
      <c r="B634" s="40" t="s">
        <v>6894</v>
      </c>
      <c r="C634" s="39">
        <v>0</v>
      </c>
      <c r="D634" s="40" t="s">
        <v>7830</v>
      </c>
      <c r="E634" s="39">
        <v>1</v>
      </c>
      <c r="F634" s="39">
        <v>42</v>
      </c>
      <c r="G634" s="39">
        <v>0</v>
      </c>
      <c r="H634" s="39">
        <v>1</v>
      </c>
      <c r="I634" s="39">
        <v>1</v>
      </c>
      <c r="J634" s="39">
        <v>1</v>
      </c>
      <c r="K634" s="39">
        <v>0</v>
      </c>
      <c r="L634" s="39">
        <v>0</v>
      </c>
      <c r="M634" s="39">
        <v>0</v>
      </c>
      <c r="N634" s="39">
        <v>0</v>
      </c>
      <c r="O634" s="39">
        <v>0</v>
      </c>
      <c r="P634" s="39">
        <v>0</v>
      </c>
      <c r="Q634" s="39">
        <v>0</v>
      </c>
      <c r="R634" s="39">
        <v>0</v>
      </c>
      <c r="S634" s="39">
        <v>0</v>
      </c>
      <c r="T634" s="39">
        <v>0</v>
      </c>
      <c r="U634" s="39">
        <v>0</v>
      </c>
      <c r="V634" s="39">
        <v>2</v>
      </c>
      <c r="W634" s="40" t="s">
        <v>40</v>
      </c>
      <c r="X634" s="39">
        <v>1</v>
      </c>
    </row>
    <row r="635" spans="1:24">
      <c r="A635" s="39">
        <v>1746</v>
      </c>
      <c r="B635" s="40" t="s">
        <v>6894</v>
      </c>
      <c r="C635" s="39">
        <v>0</v>
      </c>
      <c r="E635" s="39">
        <v>1</v>
      </c>
      <c r="F635" s="39">
        <v>838</v>
      </c>
      <c r="G635" s="39">
        <v>1</v>
      </c>
      <c r="H635" s="39">
        <v>1</v>
      </c>
      <c r="I635" s="39">
        <v>1</v>
      </c>
      <c r="J635" s="39">
        <v>1</v>
      </c>
      <c r="K635" s="39">
        <v>0</v>
      </c>
      <c r="L635" s="39">
        <v>0</v>
      </c>
      <c r="M635" s="39">
        <v>0</v>
      </c>
      <c r="N635" s="39">
        <v>0</v>
      </c>
      <c r="O635" s="39">
        <v>0</v>
      </c>
      <c r="P635" s="39">
        <v>0</v>
      </c>
      <c r="Q635" s="39">
        <v>0</v>
      </c>
      <c r="R635" s="39">
        <v>0</v>
      </c>
      <c r="S635" s="39">
        <v>0</v>
      </c>
      <c r="T635" s="39">
        <v>0</v>
      </c>
      <c r="U635" s="39">
        <v>0</v>
      </c>
      <c r="V635" s="39">
        <v>244</v>
      </c>
      <c r="W635" s="40" t="s">
        <v>682</v>
      </c>
      <c r="X635" s="39">
        <v>1</v>
      </c>
    </row>
    <row r="636" spans="1:24">
      <c r="A636" s="39">
        <v>1238</v>
      </c>
      <c r="B636" s="40" t="s">
        <v>6894</v>
      </c>
      <c r="C636" s="39">
        <v>0</v>
      </c>
      <c r="E636" s="39">
        <v>1</v>
      </c>
      <c r="F636" s="39">
        <v>838</v>
      </c>
      <c r="G636" s="39">
        <v>0</v>
      </c>
      <c r="H636" s="39">
        <v>0</v>
      </c>
      <c r="I636" s="39">
        <v>0</v>
      </c>
      <c r="J636" s="39">
        <v>0</v>
      </c>
      <c r="K636" s="39">
        <v>0</v>
      </c>
      <c r="L636" s="39">
        <v>0</v>
      </c>
      <c r="M636" s="39">
        <v>0</v>
      </c>
      <c r="N636" s="39">
        <v>0</v>
      </c>
      <c r="O636" s="39">
        <v>0</v>
      </c>
      <c r="P636" s="39">
        <v>0</v>
      </c>
      <c r="Q636" s="39">
        <v>0</v>
      </c>
      <c r="R636" s="39">
        <v>0</v>
      </c>
      <c r="S636" s="39">
        <v>0</v>
      </c>
      <c r="T636" s="39">
        <v>0</v>
      </c>
      <c r="U636" s="39">
        <v>0</v>
      </c>
      <c r="V636" s="39">
        <v>418</v>
      </c>
      <c r="W636" s="40" t="s">
        <v>7671</v>
      </c>
      <c r="X636" s="39">
        <v>1</v>
      </c>
    </row>
    <row r="637" spans="1:24">
      <c r="A637" s="39">
        <v>1407</v>
      </c>
      <c r="B637" s="40" t="s">
        <v>6894</v>
      </c>
      <c r="C637" s="39">
        <v>0</v>
      </c>
      <c r="E637" s="39">
        <v>1</v>
      </c>
      <c r="F637" s="39">
        <v>838</v>
      </c>
      <c r="G637" s="39">
        <v>1</v>
      </c>
      <c r="H637" s="39">
        <v>1</v>
      </c>
      <c r="I637" s="39">
        <v>1</v>
      </c>
      <c r="J637" s="39">
        <v>1</v>
      </c>
      <c r="K637" s="39">
        <v>0</v>
      </c>
      <c r="L637" s="39">
        <v>0</v>
      </c>
      <c r="M637" s="39">
        <v>0</v>
      </c>
      <c r="N637" s="39">
        <v>0</v>
      </c>
      <c r="O637" s="39">
        <v>0</v>
      </c>
      <c r="P637" s="39">
        <v>0</v>
      </c>
      <c r="Q637" s="39">
        <v>0</v>
      </c>
      <c r="R637" s="39">
        <v>0</v>
      </c>
      <c r="S637" s="39">
        <v>0</v>
      </c>
      <c r="T637" s="39">
        <v>0</v>
      </c>
      <c r="U637" s="39">
        <v>0</v>
      </c>
      <c r="V637" s="39">
        <v>456</v>
      </c>
      <c r="W637" s="40" t="s">
        <v>7673</v>
      </c>
      <c r="X637" s="39">
        <v>1</v>
      </c>
    </row>
    <row r="638" spans="1:24">
      <c r="A638" s="39">
        <v>838</v>
      </c>
      <c r="B638" s="40" t="s">
        <v>6894</v>
      </c>
      <c r="C638" s="39">
        <v>0</v>
      </c>
      <c r="E638" s="39">
        <v>1</v>
      </c>
      <c r="F638" s="39">
        <v>838</v>
      </c>
      <c r="G638" s="39">
        <v>1</v>
      </c>
      <c r="H638" s="39">
        <v>1</v>
      </c>
      <c r="I638" s="39">
        <v>1</v>
      </c>
      <c r="J638" s="39">
        <v>1</v>
      </c>
      <c r="K638" s="39">
        <v>0</v>
      </c>
      <c r="L638" s="39">
        <v>0</v>
      </c>
      <c r="M638" s="39">
        <v>0</v>
      </c>
      <c r="N638" s="39">
        <v>0</v>
      </c>
      <c r="O638" s="39">
        <v>0</v>
      </c>
      <c r="P638" s="39">
        <v>0</v>
      </c>
      <c r="Q638" s="39">
        <v>0</v>
      </c>
      <c r="R638" s="39">
        <v>0</v>
      </c>
      <c r="S638" s="39">
        <v>0</v>
      </c>
      <c r="T638" s="39">
        <v>0</v>
      </c>
      <c r="U638" s="39">
        <v>0</v>
      </c>
      <c r="V638" s="39">
        <v>733</v>
      </c>
      <c r="W638" s="40" t="s">
        <v>7680</v>
      </c>
      <c r="X638" s="39">
        <v>1</v>
      </c>
    </row>
    <row r="639" spans="1:24">
      <c r="A639" s="39">
        <v>157</v>
      </c>
      <c r="B639" s="40" t="s">
        <v>1383</v>
      </c>
      <c r="C639" s="39">
        <v>0</v>
      </c>
      <c r="E639" s="39">
        <v>0</v>
      </c>
      <c r="F639" s="39">
        <v>881</v>
      </c>
      <c r="G639" s="39">
        <v>0</v>
      </c>
      <c r="H639" s="39">
        <v>0</v>
      </c>
      <c r="I639" s="39">
        <v>0</v>
      </c>
      <c r="J639" s="39">
        <v>0</v>
      </c>
      <c r="K639" s="39">
        <v>0</v>
      </c>
      <c r="L639" s="39">
        <v>0</v>
      </c>
      <c r="M639" s="39">
        <v>0</v>
      </c>
      <c r="N639" s="39">
        <v>0</v>
      </c>
      <c r="O639" s="39">
        <v>0</v>
      </c>
      <c r="P639" s="39">
        <v>0</v>
      </c>
      <c r="Q639" s="39">
        <v>0</v>
      </c>
      <c r="R639" s="39">
        <v>0</v>
      </c>
      <c r="S639" s="39">
        <v>0</v>
      </c>
      <c r="T639" s="39">
        <v>0</v>
      </c>
      <c r="U639" s="39">
        <v>0</v>
      </c>
      <c r="V639" s="39">
        <v>1</v>
      </c>
      <c r="W639" s="40" t="s">
        <v>518</v>
      </c>
      <c r="X639" s="39">
        <v>1</v>
      </c>
    </row>
    <row r="640" spans="1:24">
      <c r="A640" s="39">
        <v>67</v>
      </c>
      <c r="B640" s="40" t="s">
        <v>1383</v>
      </c>
      <c r="C640" s="39">
        <v>0</v>
      </c>
      <c r="E640" s="39">
        <v>0</v>
      </c>
      <c r="F640" s="39">
        <v>48</v>
      </c>
      <c r="G640" s="39">
        <v>0</v>
      </c>
      <c r="H640" s="39">
        <v>0</v>
      </c>
      <c r="I640" s="39">
        <v>0</v>
      </c>
      <c r="J640" s="39">
        <v>0</v>
      </c>
      <c r="K640" s="39">
        <v>0</v>
      </c>
      <c r="L640" s="39">
        <v>0</v>
      </c>
      <c r="M640" s="39">
        <v>0</v>
      </c>
      <c r="N640" s="39">
        <v>0</v>
      </c>
      <c r="O640" s="39">
        <v>0</v>
      </c>
      <c r="P640" s="39">
        <v>0</v>
      </c>
      <c r="Q640" s="39">
        <v>0</v>
      </c>
      <c r="R640" s="39">
        <v>0</v>
      </c>
      <c r="S640" s="39">
        <v>0</v>
      </c>
      <c r="T640" s="39">
        <v>0</v>
      </c>
      <c r="U640" s="39">
        <v>0</v>
      </c>
      <c r="V640" s="39">
        <v>2</v>
      </c>
      <c r="W640" s="40" t="s">
        <v>40</v>
      </c>
      <c r="X640" s="39">
        <v>1</v>
      </c>
    </row>
    <row r="641" spans="1:24">
      <c r="A641" s="39">
        <v>969</v>
      </c>
      <c r="B641" s="40" t="s">
        <v>1383</v>
      </c>
      <c r="C641" s="39">
        <v>0</v>
      </c>
      <c r="E641" s="39">
        <v>0</v>
      </c>
      <c r="F641" s="39">
        <v>881</v>
      </c>
      <c r="G641" s="39">
        <v>1</v>
      </c>
      <c r="H641" s="39">
        <v>0</v>
      </c>
      <c r="I641" s="39">
        <v>0</v>
      </c>
      <c r="J641" s="39">
        <v>0</v>
      </c>
      <c r="K641" s="39">
        <v>0</v>
      </c>
      <c r="L641" s="39">
        <v>0</v>
      </c>
      <c r="M641" s="39">
        <v>0</v>
      </c>
      <c r="N641" s="39">
        <v>0</v>
      </c>
      <c r="O641" s="39">
        <v>0</v>
      </c>
      <c r="P641" s="39">
        <v>0</v>
      </c>
      <c r="Q641" s="39">
        <v>0</v>
      </c>
      <c r="R641" s="39">
        <v>0</v>
      </c>
      <c r="S641" s="39">
        <v>0</v>
      </c>
      <c r="T641" s="39">
        <v>0</v>
      </c>
      <c r="U641" s="39">
        <v>0</v>
      </c>
      <c r="V641" s="39">
        <v>158</v>
      </c>
      <c r="W641" s="40" t="s">
        <v>7667</v>
      </c>
      <c r="X641" s="39">
        <v>1</v>
      </c>
    </row>
    <row r="642" spans="1:24">
      <c r="A642" s="39">
        <v>666</v>
      </c>
      <c r="B642" s="40" t="s">
        <v>1383</v>
      </c>
      <c r="C642" s="39">
        <v>0</v>
      </c>
      <c r="E642" s="39">
        <v>0</v>
      </c>
      <c r="F642" s="39">
        <v>881</v>
      </c>
      <c r="G642" s="39">
        <v>0</v>
      </c>
      <c r="H642" s="39">
        <v>0</v>
      </c>
      <c r="I642" s="39">
        <v>0</v>
      </c>
      <c r="J642" s="39">
        <v>0</v>
      </c>
      <c r="K642" s="39">
        <v>0</v>
      </c>
      <c r="L642" s="39">
        <v>0</v>
      </c>
      <c r="M642" s="39">
        <v>0</v>
      </c>
      <c r="N642" s="39">
        <v>0</v>
      </c>
      <c r="O642" s="39">
        <v>0</v>
      </c>
      <c r="P642" s="39">
        <v>0</v>
      </c>
      <c r="Q642" s="39">
        <v>0</v>
      </c>
      <c r="R642" s="39">
        <v>0</v>
      </c>
      <c r="S642" s="39">
        <v>0</v>
      </c>
      <c r="T642" s="39">
        <v>0</v>
      </c>
      <c r="U642" s="39">
        <v>0</v>
      </c>
      <c r="V642" s="39">
        <v>228</v>
      </c>
      <c r="W642" s="40" t="s">
        <v>7669</v>
      </c>
      <c r="X642" s="39">
        <v>1</v>
      </c>
    </row>
    <row r="643" spans="1:24">
      <c r="A643" s="39">
        <v>1768</v>
      </c>
      <c r="B643" s="40" t="s">
        <v>1383</v>
      </c>
      <c r="C643" s="39">
        <v>0</v>
      </c>
      <c r="E643" s="39">
        <v>0</v>
      </c>
      <c r="F643" s="39">
        <v>881</v>
      </c>
      <c r="G643" s="39">
        <v>0</v>
      </c>
      <c r="H643" s="39">
        <v>0</v>
      </c>
      <c r="I643" s="39">
        <v>0</v>
      </c>
      <c r="J643" s="39">
        <v>0</v>
      </c>
      <c r="K643" s="39">
        <v>0</v>
      </c>
      <c r="L643" s="39">
        <v>0</v>
      </c>
      <c r="M643" s="39">
        <v>0</v>
      </c>
      <c r="N643" s="39">
        <v>0</v>
      </c>
      <c r="O643" s="39">
        <v>0</v>
      </c>
      <c r="P643" s="39">
        <v>0</v>
      </c>
      <c r="Q643" s="39">
        <v>0</v>
      </c>
      <c r="R643" s="39">
        <v>0</v>
      </c>
      <c r="S643" s="39">
        <v>0</v>
      </c>
      <c r="T643" s="39">
        <v>0</v>
      </c>
      <c r="U643" s="39">
        <v>0</v>
      </c>
      <c r="V643" s="39">
        <v>244</v>
      </c>
      <c r="W643" s="40" t="s">
        <v>682</v>
      </c>
      <c r="X643" s="39">
        <v>1</v>
      </c>
    </row>
    <row r="644" spans="1:24">
      <c r="A644" s="39">
        <v>1239</v>
      </c>
      <c r="B644" s="40" t="s">
        <v>1383</v>
      </c>
      <c r="C644" s="39">
        <v>0</v>
      </c>
      <c r="E644" s="39">
        <v>0</v>
      </c>
      <c r="F644" s="39">
        <v>881</v>
      </c>
      <c r="G644" s="39">
        <v>0</v>
      </c>
      <c r="H644" s="39">
        <v>1</v>
      </c>
      <c r="I644" s="39">
        <v>1</v>
      </c>
      <c r="J644" s="39">
        <v>0</v>
      </c>
      <c r="K644" s="39">
        <v>0</v>
      </c>
      <c r="L644" s="39">
        <v>0</v>
      </c>
      <c r="M644" s="39">
        <v>0</v>
      </c>
      <c r="N644" s="39">
        <v>0</v>
      </c>
      <c r="O644" s="39">
        <v>0</v>
      </c>
      <c r="P644" s="39">
        <v>0</v>
      </c>
      <c r="Q644" s="39">
        <v>0</v>
      </c>
      <c r="R644" s="39">
        <v>0</v>
      </c>
      <c r="S644" s="39">
        <v>0</v>
      </c>
      <c r="T644" s="39">
        <v>0</v>
      </c>
      <c r="U644" s="39">
        <v>0</v>
      </c>
      <c r="V644" s="39">
        <v>418</v>
      </c>
      <c r="W644" s="40" t="s">
        <v>7671</v>
      </c>
      <c r="X644" s="39">
        <v>1</v>
      </c>
    </row>
    <row r="645" spans="1:24">
      <c r="A645" s="39">
        <v>1429</v>
      </c>
      <c r="B645" s="40" t="s">
        <v>1383</v>
      </c>
      <c r="C645" s="39">
        <v>0</v>
      </c>
      <c r="E645" s="39">
        <v>0</v>
      </c>
      <c r="F645" s="39">
        <v>881</v>
      </c>
      <c r="G645" s="39">
        <v>0</v>
      </c>
      <c r="H645" s="39">
        <v>0</v>
      </c>
      <c r="I645" s="39">
        <v>0</v>
      </c>
      <c r="J645" s="39">
        <v>0</v>
      </c>
      <c r="K645" s="39">
        <v>0</v>
      </c>
      <c r="L645" s="39">
        <v>0</v>
      </c>
      <c r="M645" s="39">
        <v>0</v>
      </c>
      <c r="N645" s="39">
        <v>0</v>
      </c>
      <c r="O645" s="39">
        <v>0</v>
      </c>
      <c r="P645" s="39">
        <v>0</v>
      </c>
      <c r="Q645" s="39">
        <v>0</v>
      </c>
      <c r="R645" s="39">
        <v>0</v>
      </c>
      <c r="S645" s="39">
        <v>0</v>
      </c>
      <c r="T645" s="39">
        <v>0</v>
      </c>
      <c r="U645" s="39">
        <v>0</v>
      </c>
      <c r="V645" s="39">
        <v>456</v>
      </c>
      <c r="W645" s="40" t="s">
        <v>7673</v>
      </c>
      <c r="X645" s="39">
        <v>1</v>
      </c>
    </row>
    <row r="646" spans="1:24">
      <c r="A646" s="39">
        <v>1148</v>
      </c>
      <c r="B646" s="40" t="s">
        <v>1383</v>
      </c>
      <c r="C646" s="39">
        <v>0</v>
      </c>
      <c r="E646" s="39">
        <v>1</v>
      </c>
      <c r="F646" s="39">
        <v>881</v>
      </c>
      <c r="G646" s="39">
        <v>0</v>
      </c>
      <c r="H646" s="39">
        <v>0</v>
      </c>
      <c r="I646" s="39">
        <v>0</v>
      </c>
      <c r="J646" s="39">
        <v>0</v>
      </c>
      <c r="K646" s="39">
        <v>0</v>
      </c>
      <c r="L646" s="39">
        <v>0</v>
      </c>
      <c r="M646" s="39">
        <v>0</v>
      </c>
      <c r="N646" s="39">
        <v>0</v>
      </c>
      <c r="O646" s="39">
        <v>0</v>
      </c>
      <c r="P646" s="39">
        <v>0</v>
      </c>
      <c r="Q646" s="39">
        <v>0</v>
      </c>
      <c r="R646" s="39">
        <v>0</v>
      </c>
      <c r="S646" s="39">
        <v>0</v>
      </c>
      <c r="T646" s="39">
        <v>0</v>
      </c>
      <c r="U646" s="39">
        <v>0</v>
      </c>
      <c r="V646" s="39">
        <v>459</v>
      </c>
      <c r="W646" s="40" t="s">
        <v>7674</v>
      </c>
      <c r="X646" s="39">
        <v>1</v>
      </c>
    </row>
    <row r="647" spans="1:24">
      <c r="A647" s="39">
        <v>1313</v>
      </c>
      <c r="B647" s="40" t="s">
        <v>1383</v>
      </c>
      <c r="C647" s="39">
        <v>0</v>
      </c>
      <c r="E647" s="39">
        <v>1</v>
      </c>
      <c r="F647" s="39">
        <v>881</v>
      </c>
      <c r="G647" s="39">
        <v>1</v>
      </c>
      <c r="H647" s="39">
        <v>1</v>
      </c>
      <c r="I647" s="39">
        <v>1</v>
      </c>
      <c r="J647" s="39">
        <v>0</v>
      </c>
      <c r="K647" s="39">
        <v>0</v>
      </c>
      <c r="L647" s="39">
        <v>0</v>
      </c>
      <c r="M647" s="39">
        <v>0</v>
      </c>
      <c r="N647" s="39">
        <v>0</v>
      </c>
      <c r="O647" s="39">
        <v>0</v>
      </c>
      <c r="P647" s="39">
        <v>0</v>
      </c>
      <c r="Q647" s="39">
        <v>0</v>
      </c>
      <c r="R647" s="39">
        <v>0</v>
      </c>
      <c r="S647" s="39">
        <v>0</v>
      </c>
      <c r="T647" s="39">
        <v>0</v>
      </c>
      <c r="U647" s="39">
        <v>0</v>
      </c>
      <c r="V647" s="39">
        <v>468</v>
      </c>
      <c r="W647" s="40" t="s">
        <v>7677</v>
      </c>
      <c r="X647" s="39">
        <v>1</v>
      </c>
    </row>
    <row r="648" spans="1:24">
      <c r="A648" s="39">
        <v>1052</v>
      </c>
      <c r="B648" s="40" t="s">
        <v>1383</v>
      </c>
      <c r="C648" s="39">
        <v>0</v>
      </c>
      <c r="E648" s="39">
        <v>0</v>
      </c>
      <c r="F648" s="39">
        <v>881</v>
      </c>
      <c r="G648" s="39">
        <v>1</v>
      </c>
      <c r="H648" s="39">
        <v>0</v>
      </c>
      <c r="I648" s="39">
        <v>0</v>
      </c>
      <c r="J648" s="39">
        <v>0</v>
      </c>
      <c r="K648" s="39">
        <v>0</v>
      </c>
      <c r="L648" s="39">
        <v>0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39">
        <v>0</v>
      </c>
      <c r="S648" s="39">
        <v>0</v>
      </c>
      <c r="T648" s="39">
        <v>0</v>
      </c>
      <c r="U648" s="39">
        <v>0</v>
      </c>
      <c r="V648" s="39">
        <v>477</v>
      </c>
      <c r="W648" s="40" t="s">
        <v>7697</v>
      </c>
      <c r="X648" s="39">
        <v>1</v>
      </c>
    </row>
    <row r="649" spans="1:24">
      <c r="A649" s="39">
        <v>305</v>
      </c>
      <c r="B649" s="40" t="s">
        <v>1383</v>
      </c>
      <c r="C649" s="39">
        <v>0</v>
      </c>
      <c r="D649" s="40" t="s">
        <v>7831</v>
      </c>
      <c r="E649" s="39">
        <v>1</v>
      </c>
      <c r="F649" s="39">
        <v>881</v>
      </c>
      <c r="G649" s="39">
        <v>0</v>
      </c>
      <c r="H649" s="39">
        <v>0</v>
      </c>
      <c r="I649" s="39">
        <v>0</v>
      </c>
      <c r="J649" s="39">
        <v>0</v>
      </c>
      <c r="K649" s="39">
        <v>0</v>
      </c>
      <c r="L649" s="39">
        <v>0</v>
      </c>
      <c r="M649" s="39">
        <v>0</v>
      </c>
      <c r="N649" s="39">
        <v>0</v>
      </c>
      <c r="O649" s="39">
        <v>0</v>
      </c>
      <c r="P649" s="39">
        <v>0</v>
      </c>
      <c r="Q649" s="39">
        <v>0</v>
      </c>
      <c r="R649" s="39">
        <v>0</v>
      </c>
      <c r="S649" s="39">
        <v>0</v>
      </c>
      <c r="T649" s="39">
        <v>0</v>
      </c>
      <c r="U649" s="39">
        <v>0</v>
      </c>
      <c r="V649" s="39">
        <v>590</v>
      </c>
      <c r="W649" s="40" t="s">
        <v>7679</v>
      </c>
      <c r="X649" s="39">
        <v>1</v>
      </c>
    </row>
    <row r="650" spans="1:24">
      <c r="A650" s="39">
        <v>839</v>
      </c>
      <c r="B650" s="40" t="s">
        <v>1383</v>
      </c>
      <c r="C650" s="39">
        <v>0</v>
      </c>
      <c r="E650" s="39">
        <v>0</v>
      </c>
      <c r="F650" s="39">
        <v>881</v>
      </c>
      <c r="G650" s="39">
        <v>0</v>
      </c>
      <c r="H650" s="39">
        <v>0</v>
      </c>
      <c r="I650" s="39">
        <v>0</v>
      </c>
      <c r="J650" s="39">
        <v>0</v>
      </c>
      <c r="K650" s="39">
        <v>0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39">
        <v>0</v>
      </c>
      <c r="S650" s="39">
        <v>0</v>
      </c>
      <c r="T650" s="39">
        <v>0</v>
      </c>
      <c r="U650" s="39">
        <v>0</v>
      </c>
      <c r="V650" s="39">
        <v>733</v>
      </c>
      <c r="W650" s="40" t="s">
        <v>7680</v>
      </c>
      <c r="X650" s="39">
        <v>1</v>
      </c>
    </row>
    <row r="651" spans="1:24">
      <c r="A651" s="39">
        <v>2032</v>
      </c>
      <c r="B651" s="40" t="s">
        <v>7832</v>
      </c>
      <c r="C651" s="39">
        <v>0</v>
      </c>
      <c r="E651" s="39">
        <v>0</v>
      </c>
      <c r="F651" s="39">
        <v>841</v>
      </c>
      <c r="G651" s="39">
        <v>1</v>
      </c>
      <c r="H651" s="39">
        <v>1</v>
      </c>
      <c r="I651" s="39">
        <v>1</v>
      </c>
      <c r="J651" s="39">
        <v>1</v>
      </c>
      <c r="K651" s="39">
        <v>0</v>
      </c>
      <c r="L651" s="39">
        <v>0</v>
      </c>
      <c r="M651" s="39">
        <v>0</v>
      </c>
      <c r="N651" s="39">
        <v>0</v>
      </c>
      <c r="O651" s="39">
        <v>0</v>
      </c>
      <c r="P651" s="39">
        <v>0</v>
      </c>
      <c r="Q651" s="39">
        <v>0</v>
      </c>
      <c r="R651" s="39">
        <v>0</v>
      </c>
      <c r="S651" s="39">
        <v>0</v>
      </c>
      <c r="T651" s="39">
        <v>0</v>
      </c>
      <c r="U651" s="39">
        <v>1</v>
      </c>
      <c r="V651" s="39">
        <v>1</v>
      </c>
      <c r="W651" s="40" t="s">
        <v>518</v>
      </c>
      <c r="X651" s="39">
        <v>1</v>
      </c>
    </row>
    <row r="652" spans="1:24">
      <c r="A652" s="39">
        <v>2053</v>
      </c>
      <c r="B652" s="40" t="s">
        <v>7832</v>
      </c>
      <c r="C652" s="39">
        <v>0</v>
      </c>
      <c r="E652" s="39">
        <v>0</v>
      </c>
      <c r="F652" s="39">
        <v>44</v>
      </c>
      <c r="G652" s="39">
        <v>1</v>
      </c>
      <c r="H652" s="39">
        <v>1</v>
      </c>
      <c r="I652" s="39">
        <v>1</v>
      </c>
      <c r="J652" s="39">
        <v>1</v>
      </c>
      <c r="K652" s="39">
        <v>0</v>
      </c>
      <c r="L652" s="39">
        <v>0</v>
      </c>
      <c r="M652" s="39">
        <v>0</v>
      </c>
      <c r="N652" s="39">
        <v>0</v>
      </c>
      <c r="O652" s="39">
        <v>0</v>
      </c>
      <c r="P652" s="39">
        <v>0</v>
      </c>
      <c r="Q652" s="39">
        <v>0</v>
      </c>
      <c r="R652" s="39">
        <v>0</v>
      </c>
      <c r="S652" s="39">
        <v>0</v>
      </c>
      <c r="T652" s="39">
        <v>0</v>
      </c>
      <c r="U652" s="39">
        <v>0</v>
      </c>
      <c r="V652" s="39">
        <v>2</v>
      </c>
      <c r="W652" s="40" t="s">
        <v>40</v>
      </c>
      <c r="X652" s="39">
        <v>1</v>
      </c>
    </row>
    <row r="653" spans="1:24">
      <c r="A653" s="39">
        <v>2072</v>
      </c>
      <c r="B653" s="40" t="s">
        <v>7832</v>
      </c>
      <c r="C653" s="39">
        <v>0</v>
      </c>
      <c r="E653" s="39">
        <v>0</v>
      </c>
      <c r="F653" s="39">
        <v>831</v>
      </c>
      <c r="G653" s="39">
        <v>1</v>
      </c>
      <c r="H653" s="39">
        <v>1</v>
      </c>
      <c r="I653" s="39">
        <v>1</v>
      </c>
      <c r="J653" s="39">
        <v>1</v>
      </c>
      <c r="K653" s="39">
        <v>0</v>
      </c>
      <c r="L653" s="39">
        <v>0</v>
      </c>
      <c r="M653" s="39">
        <v>0</v>
      </c>
      <c r="N653" s="39">
        <v>0</v>
      </c>
      <c r="O653" s="39">
        <v>0</v>
      </c>
      <c r="P653" s="39">
        <v>0</v>
      </c>
      <c r="Q653" s="39">
        <v>0</v>
      </c>
      <c r="R653" s="39">
        <v>0</v>
      </c>
      <c r="S653" s="39">
        <v>0</v>
      </c>
      <c r="T653" s="39">
        <v>0</v>
      </c>
      <c r="U653" s="39">
        <v>0</v>
      </c>
      <c r="V653" s="39">
        <v>244</v>
      </c>
      <c r="W653" s="40" t="s">
        <v>682</v>
      </c>
      <c r="X653" s="39">
        <v>1</v>
      </c>
    </row>
    <row r="654" spans="1:24">
      <c r="A654" s="39">
        <v>1240</v>
      </c>
      <c r="B654" s="40" t="s">
        <v>5373</v>
      </c>
      <c r="C654" s="39">
        <v>0</v>
      </c>
      <c r="D654" s="40" t="s">
        <v>7833</v>
      </c>
      <c r="E654" s="39">
        <v>0</v>
      </c>
      <c r="F654" s="39">
        <v>2072</v>
      </c>
      <c r="G654" s="39">
        <v>0</v>
      </c>
      <c r="H654" s="39">
        <v>0</v>
      </c>
      <c r="I654" s="39">
        <v>0</v>
      </c>
      <c r="J654" s="39">
        <v>0</v>
      </c>
      <c r="K654" s="39">
        <v>0</v>
      </c>
      <c r="L654" s="39">
        <v>0</v>
      </c>
      <c r="M654" s="39">
        <v>0</v>
      </c>
      <c r="N654" s="39">
        <v>0</v>
      </c>
      <c r="O654" s="39">
        <v>0</v>
      </c>
      <c r="P654" s="39">
        <v>0</v>
      </c>
      <c r="Q654" s="39">
        <v>0</v>
      </c>
      <c r="R654" s="39">
        <v>0</v>
      </c>
      <c r="S654" s="39">
        <v>0</v>
      </c>
      <c r="T654" s="39">
        <v>0</v>
      </c>
      <c r="U654" s="39">
        <v>0</v>
      </c>
      <c r="V654" s="39">
        <v>418</v>
      </c>
      <c r="W654" s="40" t="s">
        <v>7671</v>
      </c>
      <c r="X654" s="39">
        <v>1</v>
      </c>
    </row>
    <row r="655" spans="1:24">
      <c r="A655" s="39">
        <v>152</v>
      </c>
      <c r="B655" s="40" t="s">
        <v>7834</v>
      </c>
      <c r="C655" s="39">
        <v>0</v>
      </c>
      <c r="E655" s="39">
        <v>0</v>
      </c>
      <c r="F655" s="39">
        <v>1580</v>
      </c>
      <c r="G655" s="39">
        <v>0</v>
      </c>
      <c r="H655" s="39">
        <v>0</v>
      </c>
      <c r="I655" s="39">
        <v>0</v>
      </c>
      <c r="J655" s="39">
        <v>0</v>
      </c>
      <c r="K655" s="39">
        <v>0</v>
      </c>
      <c r="L655" s="39">
        <v>0</v>
      </c>
      <c r="M655" s="39">
        <v>0</v>
      </c>
      <c r="N655" s="39">
        <v>0</v>
      </c>
      <c r="O655" s="39">
        <v>0</v>
      </c>
      <c r="P655" s="39">
        <v>0</v>
      </c>
      <c r="Q655" s="39">
        <v>0</v>
      </c>
      <c r="R655" s="39">
        <v>0</v>
      </c>
      <c r="S655" s="39">
        <v>0</v>
      </c>
      <c r="T655" s="39">
        <v>0</v>
      </c>
      <c r="U655" s="39">
        <v>0</v>
      </c>
      <c r="V655" s="39">
        <v>1</v>
      </c>
      <c r="W655" s="40" t="s">
        <v>518</v>
      </c>
      <c r="X655" s="39">
        <v>1</v>
      </c>
    </row>
    <row r="656" spans="1:24">
      <c r="A656" s="39">
        <v>1763</v>
      </c>
      <c r="B656" s="40" t="s">
        <v>7834</v>
      </c>
      <c r="C656" s="39">
        <v>0</v>
      </c>
      <c r="E656" s="39">
        <v>0</v>
      </c>
      <c r="F656" s="39">
        <v>1580</v>
      </c>
      <c r="G656" s="39">
        <v>0</v>
      </c>
      <c r="H656" s="39">
        <v>0</v>
      </c>
      <c r="I656" s="39">
        <v>0</v>
      </c>
      <c r="J656" s="39">
        <v>0</v>
      </c>
      <c r="K656" s="39">
        <v>0</v>
      </c>
      <c r="L656" s="39">
        <v>0</v>
      </c>
      <c r="M656" s="39">
        <v>0</v>
      </c>
      <c r="N656" s="39">
        <v>0</v>
      </c>
      <c r="O656" s="39">
        <v>0</v>
      </c>
      <c r="P656" s="39">
        <v>0</v>
      </c>
      <c r="Q656" s="39">
        <v>0</v>
      </c>
      <c r="R656" s="39">
        <v>0</v>
      </c>
      <c r="S656" s="39">
        <v>0</v>
      </c>
      <c r="T656" s="39">
        <v>0</v>
      </c>
      <c r="U656" s="39">
        <v>0</v>
      </c>
      <c r="V656" s="39">
        <v>244</v>
      </c>
      <c r="W656" s="40" t="s">
        <v>682</v>
      </c>
      <c r="X656" s="39">
        <v>1</v>
      </c>
    </row>
    <row r="657" spans="1:24">
      <c r="A657" s="39">
        <v>1424</v>
      </c>
      <c r="B657" s="40" t="s">
        <v>7834</v>
      </c>
      <c r="C657" s="39">
        <v>0</v>
      </c>
      <c r="E657" s="39">
        <v>0</v>
      </c>
      <c r="F657" s="39">
        <v>1580</v>
      </c>
      <c r="G657" s="39">
        <v>0</v>
      </c>
      <c r="H657" s="39">
        <v>0</v>
      </c>
      <c r="I657" s="39">
        <v>0</v>
      </c>
      <c r="J657" s="39">
        <v>0</v>
      </c>
      <c r="K657" s="39">
        <v>0</v>
      </c>
      <c r="L657" s="39">
        <v>0</v>
      </c>
      <c r="M657" s="39">
        <v>0</v>
      </c>
      <c r="N657" s="39">
        <v>0</v>
      </c>
      <c r="O657" s="39">
        <v>0</v>
      </c>
      <c r="P657" s="39">
        <v>0</v>
      </c>
      <c r="Q657" s="39">
        <v>0</v>
      </c>
      <c r="R657" s="39">
        <v>0</v>
      </c>
      <c r="S657" s="39">
        <v>0</v>
      </c>
      <c r="T657" s="39">
        <v>0</v>
      </c>
      <c r="U657" s="39">
        <v>0</v>
      </c>
      <c r="V657" s="39">
        <v>456</v>
      </c>
      <c r="W657" s="40" t="s">
        <v>7673</v>
      </c>
      <c r="X657" s="39">
        <v>1</v>
      </c>
    </row>
    <row r="658" spans="1:24">
      <c r="A658" s="39">
        <v>840</v>
      </c>
      <c r="B658" s="40" t="s">
        <v>7834</v>
      </c>
      <c r="C658" s="39">
        <v>0</v>
      </c>
      <c r="E658" s="39">
        <v>0</v>
      </c>
      <c r="F658" s="39">
        <v>1580</v>
      </c>
      <c r="G658" s="39">
        <v>0</v>
      </c>
      <c r="H658" s="39">
        <v>0</v>
      </c>
      <c r="I658" s="39">
        <v>0</v>
      </c>
      <c r="J658" s="39">
        <v>0</v>
      </c>
      <c r="K658" s="39">
        <v>0</v>
      </c>
      <c r="L658" s="39">
        <v>0</v>
      </c>
      <c r="M658" s="39">
        <v>0</v>
      </c>
      <c r="N658" s="39">
        <v>0</v>
      </c>
      <c r="O658" s="39">
        <v>0</v>
      </c>
      <c r="P658" s="39">
        <v>0</v>
      </c>
      <c r="Q658" s="39">
        <v>0</v>
      </c>
      <c r="R658" s="39">
        <v>0</v>
      </c>
      <c r="S658" s="39">
        <v>0</v>
      </c>
      <c r="T658" s="39">
        <v>0</v>
      </c>
      <c r="U658" s="39">
        <v>0</v>
      </c>
      <c r="V658" s="39">
        <v>733</v>
      </c>
      <c r="W658" s="40" t="s">
        <v>7680</v>
      </c>
      <c r="X658" s="39">
        <v>1</v>
      </c>
    </row>
    <row r="659" spans="1:24">
      <c r="A659" s="39">
        <v>1241</v>
      </c>
      <c r="B659" s="40" t="s">
        <v>7835</v>
      </c>
      <c r="C659" s="39">
        <v>0</v>
      </c>
      <c r="D659" s="40" t="s">
        <v>7836</v>
      </c>
      <c r="E659" s="39">
        <v>0</v>
      </c>
      <c r="F659" s="39">
        <v>2073</v>
      </c>
      <c r="G659" s="39">
        <v>0</v>
      </c>
      <c r="H659" s="39">
        <v>0</v>
      </c>
      <c r="I659" s="39">
        <v>0</v>
      </c>
      <c r="J659" s="39">
        <v>0</v>
      </c>
      <c r="K659" s="39">
        <v>0</v>
      </c>
      <c r="L659" s="39">
        <v>0</v>
      </c>
      <c r="M659" s="39">
        <v>0</v>
      </c>
      <c r="N659" s="39">
        <v>0</v>
      </c>
      <c r="O659" s="39">
        <v>0</v>
      </c>
      <c r="P659" s="39">
        <v>0</v>
      </c>
      <c r="Q659" s="39">
        <v>0</v>
      </c>
      <c r="R659" s="39">
        <v>0</v>
      </c>
      <c r="S659" s="39">
        <v>0</v>
      </c>
      <c r="T659" s="39">
        <v>0</v>
      </c>
      <c r="U659" s="39">
        <v>0</v>
      </c>
      <c r="V659" s="39">
        <v>418</v>
      </c>
      <c r="W659" s="40" t="s">
        <v>7671</v>
      </c>
      <c r="X659" s="39">
        <v>1</v>
      </c>
    </row>
    <row r="660" spans="1:24">
      <c r="A660" s="39">
        <v>306</v>
      </c>
      <c r="B660" s="40" t="s">
        <v>7837</v>
      </c>
      <c r="C660" s="39">
        <v>0</v>
      </c>
      <c r="D660" s="40" t="s">
        <v>7838</v>
      </c>
      <c r="E660" s="39">
        <v>0</v>
      </c>
      <c r="F660" s="39">
        <v>2043</v>
      </c>
      <c r="G660" s="39">
        <v>0</v>
      </c>
      <c r="H660" s="39">
        <v>0</v>
      </c>
      <c r="I660" s="39">
        <v>0</v>
      </c>
      <c r="J660" s="39">
        <v>0</v>
      </c>
      <c r="K660" s="39">
        <v>0</v>
      </c>
      <c r="L660" s="39">
        <v>0</v>
      </c>
      <c r="M660" s="39">
        <v>0</v>
      </c>
      <c r="N660" s="39">
        <v>0</v>
      </c>
      <c r="O660" s="39">
        <v>0</v>
      </c>
      <c r="P660" s="39">
        <v>0</v>
      </c>
      <c r="Q660" s="39">
        <v>0</v>
      </c>
      <c r="R660" s="39">
        <v>0</v>
      </c>
      <c r="S660" s="39">
        <v>0</v>
      </c>
      <c r="T660" s="39">
        <v>0</v>
      </c>
      <c r="U660" s="39">
        <v>0</v>
      </c>
      <c r="V660" s="39">
        <v>590</v>
      </c>
      <c r="W660" s="40" t="s">
        <v>7679</v>
      </c>
      <c r="X660" s="39">
        <v>1</v>
      </c>
    </row>
    <row r="661" spans="1:24">
      <c r="A661" s="39">
        <v>1651</v>
      </c>
      <c r="B661" s="50" t="s">
        <v>3902</v>
      </c>
      <c r="C661" s="39">
        <v>1</v>
      </c>
      <c r="D661" s="40" t="s">
        <v>7839</v>
      </c>
      <c r="E661" s="39">
        <v>1</v>
      </c>
      <c r="F661" s="39">
        <v>330</v>
      </c>
      <c r="G661" s="39">
        <v>0</v>
      </c>
      <c r="H661" s="39">
        <v>0</v>
      </c>
      <c r="I661" s="39">
        <v>0</v>
      </c>
      <c r="J661" s="39">
        <v>0</v>
      </c>
      <c r="K661" s="39">
        <v>0</v>
      </c>
      <c r="L661" s="39">
        <v>0</v>
      </c>
      <c r="M661" s="39">
        <v>0</v>
      </c>
      <c r="N661" s="39">
        <v>0</v>
      </c>
      <c r="O661" s="39">
        <v>0</v>
      </c>
      <c r="P661" s="39">
        <v>0</v>
      </c>
      <c r="Q661" s="39">
        <v>0</v>
      </c>
      <c r="R661" s="39">
        <v>0</v>
      </c>
      <c r="S661" s="39">
        <v>0</v>
      </c>
      <c r="T661" s="39">
        <v>0</v>
      </c>
      <c r="U661" s="39">
        <v>0</v>
      </c>
      <c r="V661" s="39">
        <v>1</v>
      </c>
      <c r="W661" s="40" t="s">
        <v>518</v>
      </c>
      <c r="X661" s="39">
        <v>1</v>
      </c>
    </row>
    <row r="662" spans="1:24">
      <c r="A662" s="39">
        <v>1591</v>
      </c>
      <c r="B662" s="40" t="s">
        <v>3902</v>
      </c>
      <c r="C662" s="39">
        <v>1</v>
      </c>
      <c r="D662" s="40" t="s">
        <v>7839</v>
      </c>
      <c r="E662" s="39">
        <v>1</v>
      </c>
      <c r="F662" s="39">
        <v>31</v>
      </c>
      <c r="G662" s="39">
        <v>0</v>
      </c>
      <c r="H662" s="39">
        <v>0</v>
      </c>
      <c r="I662" s="39">
        <v>0</v>
      </c>
      <c r="J662" s="39">
        <v>0</v>
      </c>
      <c r="K662" s="39">
        <v>0</v>
      </c>
      <c r="L662" s="39">
        <v>0</v>
      </c>
      <c r="M662" s="39">
        <v>0</v>
      </c>
      <c r="N662" s="39">
        <v>0</v>
      </c>
      <c r="O662" s="39">
        <v>0</v>
      </c>
      <c r="P662" s="39">
        <v>0</v>
      </c>
      <c r="Q662" s="39">
        <v>0</v>
      </c>
      <c r="R662" s="39">
        <v>0</v>
      </c>
      <c r="S662" s="39">
        <v>0</v>
      </c>
      <c r="T662" s="39">
        <v>0</v>
      </c>
      <c r="U662" s="39">
        <v>0</v>
      </c>
      <c r="V662" s="39">
        <v>2</v>
      </c>
      <c r="W662" s="40" t="s">
        <v>40</v>
      </c>
      <c r="X662" s="39">
        <v>1</v>
      </c>
    </row>
    <row r="663" spans="1:24">
      <c r="A663" s="39">
        <v>1780</v>
      </c>
      <c r="B663" s="40" t="s">
        <v>3902</v>
      </c>
      <c r="C663" s="39">
        <v>1</v>
      </c>
      <c r="D663" s="40" t="s">
        <v>7839</v>
      </c>
      <c r="E663" s="39">
        <v>1</v>
      </c>
      <c r="F663" s="39">
        <v>330</v>
      </c>
      <c r="G663" s="39">
        <v>0</v>
      </c>
      <c r="H663" s="39">
        <v>0</v>
      </c>
      <c r="I663" s="39">
        <v>0</v>
      </c>
      <c r="J663" s="39">
        <v>0</v>
      </c>
      <c r="K663" s="39">
        <v>0</v>
      </c>
      <c r="L663" s="39">
        <v>0</v>
      </c>
      <c r="M663" s="39">
        <v>0</v>
      </c>
      <c r="N663" s="39">
        <v>0</v>
      </c>
      <c r="O663" s="39">
        <v>0</v>
      </c>
      <c r="P663" s="39">
        <v>0</v>
      </c>
      <c r="Q663" s="39">
        <v>0</v>
      </c>
      <c r="R663" s="39">
        <v>0</v>
      </c>
      <c r="S663" s="39">
        <v>0</v>
      </c>
      <c r="T663" s="39">
        <v>0</v>
      </c>
      <c r="U663" s="39">
        <v>0</v>
      </c>
      <c r="V663" s="39">
        <v>244</v>
      </c>
      <c r="W663" s="40" t="s">
        <v>682</v>
      </c>
      <c r="X663" s="39">
        <v>1</v>
      </c>
    </row>
    <row r="664" spans="1:24">
      <c r="A664" s="39">
        <v>1691</v>
      </c>
      <c r="B664" s="50" t="s">
        <v>7670</v>
      </c>
      <c r="C664" s="39">
        <v>1</v>
      </c>
      <c r="D664" s="40" t="s">
        <v>7840</v>
      </c>
      <c r="E664" s="39">
        <v>1</v>
      </c>
      <c r="F664" s="39">
        <v>50</v>
      </c>
      <c r="G664" s="39">
        <v>0</v>
      </c>
      <c r="H664" s="39">
        <v>0</v>
      </c>
      <c r="I664" s="39">
        <v>0</v>
      </c>
      <c r="J664" s="39">
        <v>0</v>
      </c>
      <c r="K664" s="39">
        <v>0</v>
      </c>
      <c r="L664" s="39">
        <v>0</v>
      </c>
      <c r="M664" s="39">
        <v>0</v>
      </c>
      <c r="N664" s="39">
        <v>0</v>
      </c>
      <c r="O664" s="39">
        <v>0</v>
      </c>
      <c r="P664" s="39">
        <v>0</v>
      </c>
      <c r="Q664" s="39">
        <v>0</v>
      </c>
      <c r="R664" s="39">
        <v>0</v>
      </c>
      <c r="S664" s="39">
        <v>0</v>
      </c>
      <c r="T664" s="39">
        <v>0</v>
      </c>
      <c r="U664" s="39">
        <v>0</v>
      </c>
      <c r="V664" s="39">
        <v>1</v>
      </c>
      <c r="W664" s="40" t="s">
        <v>518</v>
      </c>
      <c r="X664" s="39">
        <v>1</v>
      </c>
    </row>
    <row r="665" spans="1:24">
      <c r="A665" s="39">
        <v>1596</v>
      </c>
      <c r="B665" s="40" t="s">
        <v>7670</v>
      </c>
      <c r="C665" s="39">
        <v>1</v>
      </c>
      <c r="D665" s="40" t="s">
        <v>7840</v>
      </c>
      <c r="E665" s="39">
        <v>1</v>
      </c>
      <c r="F665" s="39">
        <v>50</v>
      </c>
      <c r="G665" s="39">
        <v>0</v>
      </c>
      <c r="H665" s="39">
        <v>0</v>
      </c>
      <c r="I665" s="39">
        <v>0</v>
      </c>
      <c r="J665" s="39">
        <v>0</v>
      </c>
      <c r="K665" s="39">
        <v>0</v>
      </c>
      <c r="L665" s="39">
        <v>0</v>
      </c>
      <c r="M665" s="39">
        <v>0</v>
      </c>
      <c r="N665" s="39">
        <v>0</v>
      </c>
      <c r="O665" s="39">
        <v>0</v>
      </c>
      <c r="P665" s="39">
        <v>0</v>
      </c>
      <c r="Q665" s="39">
        <v>0</v>
      </c>
      <c r="R665" s="39">
        <v>0</v>
      </c>
      <c r="S665" s="39">
        <v>0</v>
      </c>
      <c r="T665" s="39">
        <v>0</v>
      </c>
      <c r="U665" s="39">
        <v>0</v>
      </c>
      <c r="V665" s="39">
        <v>2</v>
      </c>
      <c r="W665" s="40" t="s">
        <v>40</v>
      </c>
      <c r="X665" s="39">
        <v>1</v>
      </c>
    </row>
    <row r="666" spans="1:24">
      <c r="A666" s="39">
        <v>1781</v>
      </c>
      <c r="B666" s="40" t="s">
        <v>7670</v>
      </c>
      <c r="C666" s="39">
        <v>1</v>
      </c>
      <c r="D666" s="40" t="s">
        <v>7840</v>
      </c>
      <c r="E666" s="39">
        <v>1</v>
      </c>
      <c r="F666" s="39">
        <v>50</v>
      </c>
      <c r="G666" s="39">
        <v>0</v>
      </c>
      <c r="H666" s="39">
        <v>0</v>
      </c>
      <c r="I666" s="39">
        <v>0</v>
      </c>
      <c r="J666" s="39">
        <v>0</v>
      </c>
      <c r="K666" s="39">
        <v>0</v>
      </c>
      <c r="L666" s="39">
        <v>0</v>
      </c>
      <c r="M666" s="39">
        <v>0</v>
      </c>
      <c r="N666" s="39">
        <v>0</v>
      </c>
      <c r="O666" s="39">
        <v>0</v>
      </c>
      <c r="P666" s="39">
        <v>0</v>
      </c>
      <c r="Q666" s="39">
        <v>0</v>
      </c>
      <c r="R666" s="39">
        <v>0</v>
      </c>
      <c r="S666" s="39">
        <v>0</v>
      </c>
      <c r="T666" s="39">
        <v>0</v>
      </c>
      <c r="U666" s="39">
        <v>0</v>
      </c>
      <c r="V666" s="39">
        <v>244</v>
      </c>
      <c r="W666" s="40" t="s">
        <v>682</v>
      </c>
      <c r="X666" s="39">
        <v>1</v>
      </c>
    </row>
    <row r="667" spans="1:24">
      <c r="A667" s="39">
        <v>106</v>
      </c>
      <c r="B667" s="50" t="s">
        <v>7672</v>
      </c>
      <c r="C667" s="39">
        <v>1</v>
      </c>
      <c r="E667" s="39">
        <v>1</v>
      </c>
      <c r="F667" s="39">
        <v>585</v>
      </c>
      <c r="G667" s="39">
        <v>0</v>
      </c>
      <c r="H667" s="39">
        <v>0</v>
      </c>
      <c r="I667" s="39">
        <v>0</v>
      </c>
      <c r="J667" s="39">
        <v>0</v>
      </c>
      <c r="K667" s="39">
        <v>0</v>
      </c>
      <c r="L667" s="39">
        <v>0</v>
      </c>
      <c r="M667" s="39">
        <v>0</v>
      </c>
      <c r="N667" s="39">
        <v>0</v>
      </c>
      <c r="O667" s="39">
        <v>0</v>
      </c>
      <c r="P667" s="39">
        <v>0</v>
      </c>
      <c r="Q667" s="39">
        <v>0</v>
      </c>
      <c r="R667" s="39">
        <v>0</v>
      </c>
      <c r="S667" s="39">
        <v>0</v>
      </c>
      <c r="T667" s="39">
        <v>0</v>
      </c>
      <c r="U667" s="39">
        <v>0</v>
      </c>
      <c r="V667" s="39">
        <v>1</v>
      </c>
      <c r="W667" s="40" t="s">
        <v>518</v>
      </c>
      <c r="X667" s="39">
        <v>1</v>
      </c>
    </row>
    <row r="668" spans="1:24">
      <c r="A668" s="39">
        <v>18</v>
      </c>
      <c r="B668" s="40" t="s">
        <v>7672</v>
      </c>
      <c r="C668" s="39">
        <v>1</v>
      </c>
      <c r="D668" s="40" t="s">
        <v>7841</v>
      </c>
      <c r="E668" s="39">
        <v>1</v>
      </c>
      <c r="F668" s="39">
        <v>10</v>
      </c>
      <c r="G668" s="39">
        <v>0</v>
      </c>
      <c r="H668" s="39">
        <v>0</v>
      </c>
      <c r="I668" s="39">
        <v>0</v>
      </c>
      <c r="J668" s="39">
        <v>0</v>
      </c>
      <c r="K668" s="39">
        <v>0</v>
      </c>
      <c r="L668" s="39">
        <v>0</v>
      </c>
      <c r="M668" s="39">
        <v>0</v>
      </c>
      <c r="N668" s="39">
        <v>0</v>
      </c>
      <c r="O668" s="39">
        <v>0</v>
      </c>
      <c r="P668" s="39">
        <v>0</v>
      </c>
      <c r="Q668" s="39">
        <v>0</v>
      </c>
      <c r="R668" s="39">
        <v>0</v>
      </c>
      <c r="S668" s="39">
        <v>0</v>
      </c>
      <c r="T668" s="39">
        <v>0</v>
      </c>
      <c r="U668" s="39">
        <v>0</v>
      </c>
      <c r="V668" s="39">
        <v>2</v>
      </c>
      <c r="W668" s="40" t="s">
        <v>40</v>
      </c>
      <c r="X668" s="39">
        <v>1</v>
      </c>
    </row>
    <row r="669" spans="1:24">
      <c r="A669" s="39">
        <v>970</v>
      </c>
      <c r="B669" s="40" t="s">
        <v>7672</v>
      </c>
      <c r="C669" s="39">
        <v>1</v>
      </c>
      <c r="E669" s="39">
        <v>1</v>
      </c>
      <c r="F669" s="39">
        <v>585</v>
      </c>
      <c r="G669" s="39">
        <v>1</v>
      </c>
      <c r="H669" s="39">
        <v>1</v>
      </c>
      <c r="I669" s="39">
        <v>1</v>
      </c>
      <c r="J669" s="39">
        <v>0</v>
      </c>
      <c r="K669" s="39">
        <v>0</v>
      </c>
      <c r="L669" s="39">
        <v>0</v>
      </c>
      <c r="M669" s="39">
        <v>0</v>
      </c>
      <c r="N669" s="39">
        <v>0</v>
      </c>
      <c r="O669" s="39">
        <v>0</v>
      </c>
      <c r="P669" s="39">
        <v>0</v>
      </c>
      <c r="Q669" s="39">
        <v>0</v>
      </c>
      <c r="R669" s="39">
        <v>0</v>
      </c>
      <c r="S669" s="39">
        <v>0</v>
      </c>
      <c r="T669" s="39">
        <v>0</v>
      </c>
      <c r="U669" s="39">
        <v>0</v>
      </c>
      <c r="V669" s="39">
        <v>158</v>
      </c>
      <c r="W669" s="40" t="s">
        <v>7667</v>
      </c>
      <c r="X669" s="39">
        <v>1</v>
      </c>
    </row>
    <row r="670" spans="1:24">
      <c r="A670" s="39">
        <v>458</v>
      </c>
      <c r="B670" s="40" t="s">
        <v>7672</v>
      </c>
      <c r="C670" s="39">
        <v>1</v>
      </c>
      <c r="E670" s="39">
        <v>1</v>
      </c>
      <c r="F670" s="39">
        <v>385</v>
      </c>
      <c r="G670" s="39">
        <v>0</v>
      </c>
      <c r="H670" s="39">
        <v>0</v>
      </c>
      <c r="I670" s="39">
        <v>0</v>
      </c>
      <c r="J670" s="39">
        <v>0</v>
      </c>
      <c r="K670" s="39">
        <v>0</v>
      </c>
      <c r="L670" s="39">
        <v>0</v>
      </c>
      <c r="M670" s="39">
        <v>0</v>
      </c>
      <c r="N670" s="39">
        <v>0</v>
      </c>
      <c r="O670" s="39">
        <v>0</v>
      </c>
      <c r="P670" s="39">
        <v>0</v>
      </c>
      <c r="Q670" s="39">
        <v>0</v>
      </c>
      <c r="R670" s="39">
        <v>0</v>
      </c>
      <c r="S670" s="39">
        <v>0</v>
      </c>
      <c r="T670" s="39">
        <v>0</v>
      </c>
      <c r="U670" s="39">
        <v>0</v>
      </c>
      <c r="V670" s="39">
        <v>175</v>
      </c>
      <c r="W670" s="40" t="s">
        <v>7689</v>
      </c>
      <c r="X670" s="39">
        <v>1</v>
      </c>
    </row>
    <row r="671" spans="1:24">
      <c r="A671" s="39">
        <v>349</v>
      </c>
      <c r="B671" s="40" t="s">
        <v>7672</v>
      </c>
      <c r="C671" s="39">
        <v>1</v>
      </c>
      <c r="E671" s="39">
        <v>1</v>
      </c>
      <c r="F671" s="39">
        <v>385</v>
      </c>
      <c r="G671" s="39">
        <v>1</v>
      </c>
      <c r="H671" s="39">
        <v>1</v>
      </c>
      <c r="I671" s="39">
        <v>1</v>
      </c>
      <c r="J671" s="39">
        <v>0</v>
      </c>
      <c r="K671" s="39">
        <v>0</v>
      </c>
      <c r="L671" s="39">
        <v>0</v>
      </c>
      <c r="M671" s="39">
        <v>0</v>
      </c>
      <c r="N671" s="39">
        <v>0</v>
      </c>
      <c r="O671" s="39">
        <v>0</v>
      </c>
      <c r="P671" s="39">
        <v>0</v>
      </c>
      <c r="Q671" s="39">
        <v>0</v>
      </c>
      <c r="R671" s="39">
        <v>0</v>
      </c>
      <c r="S671" s="39">
        <v>0</v>
      </c>
      <c r="T671" s="39">
        <v>0</v>
      </c>
      <c r="U671" s="39">
        <v>0</v>
      </c>
      <c r="V671" s="39">
        <v>228</v>
      </c>
      <c r="W671" s="40" t="s">
        <v>7669</v>
      </c>
      <c r="X671" s="39">
        <v>1</v>
      </c>
    </row>
    <row r="672" spans="1:24">
      <c r="A672" s="39">
        <v>1717</v>
      </c>
      <c r="B672" s="40" t="s">
        <v>7672</v>
      </c>
      <c r="C672" s="39">
        <v>1</v>
      </c>
      <c r="E672" s="39">
        <v>1</v>
      </c>
      <c r="F672" s="39">
        <v>585</v>
      </c>
      <c r="G672" s="39">
        <v>0</v>
      </c>
      <c r="H672" s="39">
        <v>0</v>
      </c>
      <c r="I672" s="39">
        <v>0</v>
      </c>
      <c r="J672" s="39">
        <v>0</v>
      </c>
      <c r="K672" s="39">
        <v>0</v>
      </c>
      <c r="L672" s="39">
        <v>0</v>
      </c>
      <c r="M672" s="39">
        <v>0</v>
      </c>
      <c r="N672" s="39">
        <v>0</v>
      </c>
      <c r="O672" s="39">
        <v>0</v>
      </c>
      <c r="P672" s="39">
        <v>0</v>
      </c>
      <c r="Q672" s="39">
        <v>0</v>
      </c>
      <c r="R672" s="39">
        <v>0</v>
      </c>
      <c r="S672" s="39">
        <v>0</v>
      </c>
      <c r="T672" s="39">
        <v>0</v>
      </c>
      <c r="U672" s="39">
        <v>0</v>
      </c>
      <c r="V672" s="39">
        <v>244</v>
      </c>
      <c r="W672" s="40" t="s">
        <v>682</v>
      </c>
      <c r="X672" s="39">
        <v>1</v>
      </c>
    </row>
    <row r="673" spans="1:24">
      <c r="A673" s="39">
        <v>715</v>
      </c>
      <c r="B673" s="40" t="s">
        <v>7672</v>
      </c>
      <c r="C673" s="39">
        <v>1</v>
      </c>
      <c r="E673" s="39">
        <v>1</v>
      </c>
      <c r="F673" s="39">
        <v>385</v>
      </c>
      <c r="G673" s="39">
        <v>0</v>
      </c>
      <c r="H673" s="39">
        <v>0</v>
      </c>
      <c r="I673" s="39">
        <v>0</v>
      </c>
      <c r="J673" s="39">
        <v>0</v>
      </c>
      <c r="K673" s="39">
        <v>0</v>
      </c>
      <c r="L673" s="39">
        <v>0</v>
      </c>
      <c r="M673" s="39">
        <v>0</v>
      </c>
      <c r="N673" s="39">
        <v>0</v>
      </c>
      <c r="O673" s="39">
        <v>0</v>
      </c>
      <c r="P673" s="39">
        <v>0</v>
      </c>
      <c r="Q673" s="39">
        <v>0</v>
      </c>
      <c r="R673" s="39">
        <v>0</v>
      </c>
      <c r="S673" s="39">
        <v>0</v>
      </c>
      <c r="T673" s="39">
        <v>0</v>
      </c>
      <c r="U673" s="39">
        <v>0</v>
      </c>
      <c r="V673" s="39">
        <v>381</v>
      </c>
      <c r="W673" s="40" t="s">
        <v>7805</v>
      </c>
      <c r="X673" s="39">
        <v>1</v>
      </c>
    </row>
    <row r="674" spans="1:24">
      <c r="A674" s="39">
        <v>1242</v>
      </c>
      <c r="B674" s="40" t="s">
        <v>7672</v>
      </c>
      <c r="C674" s="39">
        <v>1</v>
      </c>
      <c r="E674" s="39">
        <v>1</v>
      </c>
      <c r="F674" s="39">
        <v>585</v>
      </c>
      <c r="G674" s="39">
        <v>1</v>
      </c>
      <c r="H674" s="39">
        <v>1</v>
      </c>
      <c r="I674" s="39">
        <v>1</v>
      </c>
      <c r="J674" s="39">
        <v>0</v>
      </c>
      <c r="K674" s="39">
        <v>0</v>
      </c>
      <c r="L674" s="39">
        <v>0</v>
      </c>
      <c r="M674" s="39">
        <v>0</v>
      </c>
      <c r="N674" s="39">
        <v>0</v>
      </c>
      <c r="O674" s="39">
        <v>0</v>
      </c>
      <c r="P674" s="39">
        <v>0</v>
      </c>
      <c r="Q674" s="39">
        <v>0</v>
      </c>
      <c r="R674" s="39">
        <v>0</v>
      </c>
      <c r="S674" s="39">
        <v>0</v>
      </c>
      <c r="T674" s="39">
        <v>0</v>
      </c>
      <c r="U674" s="39">
        <v>0</v>
      </c>
      <c r="V674" s="39">
        <v>418</v>
      </c>
      <c r="W674" s="40" t="s">
        <v>7671</v>
      </c>
      <c r="X674" s="39">
        <v>1</v>
      </c>
    </row>
    <row r="675" spans="1:24">
      <c r="A675" s="39">
        <v>1378</v>
      </c>
      <c r="B675" s="40" t="s">
        <v>7672</v>
      </c>
      <c r="C675" s="39">
        <v>1</v>
      </c>
      <c r="E675" s="39">
        <v>1</v>
      </c>
      <c r="F675" s="39">
        <v>585</v>
      </c>
      <c r="G675" s="39">
        <v>0</v>
      </c>
      <c r="H675" s="39">
        <v>0</v>
      </c>
      <c r="I675" s="39">
        <v>0</v>
      </c>
      <c r="J675" s="39">
        <v>0</v>
      </c>
      <c r="K675" s="39">
        <v>0</v>
      </c>
      <c r="L675" s="39">
        <v>0</v>
      </c>
      <c r="M675" s="39">
        <v>0</v>
      </c>
      <c r="N675" s="39">
        <v>0</v>
      </c>
      <c r="O675" s="39">
        <v>0</v>
      </c>
      <c r="P675" s="39">
        <v>0</v>
      </c>
      <c r="Q675" s="39">
        <v>0</v>
      </c>
      <c r="R675" s="39">
        <v>0</v>
      </c>
      <c r="S675" s="39">
        <v>0</v>
      </c>
      <c r="T675" s="39">
        <v>0</v>
      </c>
      <c r="U675" s="39">
        <v>0</v>
      </c>
      <c r="V675" s="39">
        <v>456</v>
      </c>
      <c r="W675" s="40" t="s">
        <v>7673</v>
      </c>
      <c r="X675" s="39">
        <v>1</v>
      </c>
    </row>
    <row r="676" spans="1:24">
      <c r="A676" s="39">
        <v>856</v>
      </c>
      <c r="B676" s="40" t="s">
        <v>7672</v>
      </c>
      <c r="C676" s="39">
        <v>1</v>
      </c>
      <c r="E676" s="39">
        <v>1</v>
      </c>
      <c r="F676" s="39">
        <v>385</v>
      </c>
      <c r="G676" s="39">
        <v>1</v>
      </c>
      <c r="H676" s="39">
        <v>1</v>
      </c>
      <c r="I676" s="39">
        <v>1</v>
      </c>
      <c r="J676" s="39">
        <v>0</v>
      </c>
      <c r="K676" s="39">
        <v>0</v>
      </c>
      <c r="L676" s="39">
        <v>0</v>
      </c>
      <c r="M676" s="39">
        <v>0</v>
      </c>
      <c r="N676" s="39">
        <v>0</v>
      </c>
      <c r="O676" s="39">
        <v>0</v>
      </c>
      <c r="P676" s="39">
        <v>0</v>
      </c>
      <c r="Q676" s="39">
        <v>0</v>
      </c>
      <c r="R676" s="39">
        <v>0</v>
      </c>
      <c r="S676" s="39">
        <v>0</v>
      </c>
      <c r="T676" s="39">
        <v>0</v>
      </c>
      <c r="U676" s="39">
        <v>0</v>
      </c>
      <c r="V676" s="39">
        <v>458</v>
      </c>
      <c r="W676" s="40" t="s">
        <v>7694</v>
      </c>
      <c r="X676" s="39">
        <v>1</v>
      </c>
    </row>
    <row r="677" spans="1:24">
      <c r="A677" s="39">
        <v>1149</v>
      </c>
      <c r="B677" s="40" t="s">
        <v>7672</v>
      </c>
      <c r="C677" s="39">
        <v>1</v>
      </c>
      <c r="E677" s="39">
        <v>1</v>
      </c>
      <c r="F677" s="39">
        <v>385</v>
      </c>
      <c r="G677" s="39">
        <v>1</v>
      </c>
      <c r="H677" s="39">
        <v>1</v>
      </c>
      <c r="I677" s="39">
        <v>1</v>
      </c>
      <c r="J677" s="39">
        <v>0</v>
      </c>
      <c r="K677" s="39">
        <v>0</v>
      </c>
      <c r="L677" s="39">
        <v>0</v>
      </c>
      <c r="M677" s="39">
        <v>0</v>
      </c>
      <c r="N677" s="39">
        <v>0</v>
      </c>
      <c r="O677" s="39">
        <v>0</v>
      </c>
      <c r="P677" s="39">
        <v>0</v>
      </c>
      <c r="Q677" s="39">
        <v>0</v>
      </c>
      <c r="R677" s="39">
        <v>0</v>
      </c>
      <c r="S677" s="39">
        <v>0</v>
      </c>
      <c r="T677" s="39">
        <v>0</v>
      </c>
      <c r="U677" s="39">
        <v>0</v>
      </c>
      <c r="V677" s="39">
        <v>459</v>
      </c>
      <c r="W677" s="40" t="s">
        <v>7674</v>
      </c>
      <c r="X677" s="39">
        <v>1</v>
      </c>
    </row>
    <row r="678" spans="1:24">
      <c r="A678" s="39">
        <v>606</v>
      </c>
      <c r="B678" s="40" t="s">
        <v>7672</v>
      </c>
      <c r="C678" s="39">
        <v>1</v>
      </c>
      <c r="E678" s="39">
        <v>1</v>
      </c>
      <c r="F678" s="39">
        <v>385</v>
      </c>
      <c r="G678" s="39">
        <v>1</v>
      </c>
      <c r="H678" s="39">
        <v>1</v>
      </c>
      <c r="I678" s="39">
        <v>1</v>
      </c>
      <c r="J678" s="39">
        <v>0</v>
      </c>
      <c r="K678" s="39">
        <v>0</v>
      </c>
      <c r="L678" s="39">
        <v>0</v>
      </c>
      <c r="M678" s="39">
        <v>0</v>
      </c>
      <c r="N678" s="39">
        <v>0</v>
      </c>
      <c r="O678" s="39">
        <v>0</v>
      </c>
      <c r="P678" s="39">
        <v>0</v>
      </c>
      <c r="Q678" s="39">
        <v>0</v>
      </c>
      <c r="R678" s="39">
        <v>0</v>
      </c>
      <c r="S678" s="39">
        <v>0</v>
      </c>
      <c r="T678" s="39">
        <v>0</v>
      </c>
      <c r="U678" s="39">
        <v>0</v>
      </c>
      <c r="V678" s="39">
        <v>468</v>
      </c>
      <c r="W678" s="40" t="s">
        <v>7677</v>
      </c>
      <c r="X678" s="39">
        <v>1</v>
      </c>
    </row>
    <row r="679" spans="1:24">
      <c r="A679" s="39">
        <v>1053</v>
      </c>
      <c r="B679" s="40" t="s">
        <v>7672</v>
      </c>
      <c r="C679" s="39">
        <v>1</v>
      </c>
      <c r="E679" s="39">
        <v>1</v>
      </c>
      <c r="F679" s="39">
        <v>385</v>
      </c>
      <c r="G679" s="39">
        <v>1</v>
      </c>
      <c r="H679" s="39">
        <v>1</v>
      </c>
      <c r="I679" s="39">
        <v>1</v>
      </c>
      <c r="J679" s="39">
        <v>1</v>
      </c>
      <c r="K679" s="39">
        <v>0</v>
      </c>
      <c r="L679" s="39">
        <v>0</v>
      </c>
      <c r="M679" s="39">
        <v>0</v>
      </c>
      <c r="N679" s="39">
        <v>0</v>
      </c>
      <c r="O679" s="39">
        <v>0</v>
      </c>
      <c r="P679" s="39">
        <v>0</v>
      </c>
      <c r="Q679" s="39">
        <v>0</v>
      </c>
      <c r="R679" s="39">
        <v>0</v>
      </c>
      <c r="S679" s="39">
        <v>0</v>
      </c>
      <c r="T679" s="39">
        <v>0</v>
      </c>
      <c r="U679" s="39">
        <v>0</v>
      </c>
      <c r="V679" s="39">
        <v>477</v>
      </c>
      <c r="W679" s="40" t="s">
        <v>7697</v>
      </c>
      <c r="X679" s="39">
        <v>1</v>
      </c>
    </row>
    <row r="680" spans="1:24">
      <c r="A680" s="39">
        <v>237</v>
      </c>
      <c r="B680" s="40" t="s">
        <v>7672</v>
      </c>
      <c r="C680" s="39">
        <v>1</v>
      </c>
      <c r="E680" s="39">
        <v>1</v>
      </c>
      <c r="F680" s="39">
        <v>585</v>
      </c>
      <c r="G680" s="39">
        <v>1</v>
      </c>
      <c r="H680" s="39">
        <v>1</v>
      </c>
      <c r="I680" s="39">
        <v>1</v>
      </c>
      <c r="J680" s="39">
        <v>0</v>
      </c>
      <c r="K680" s="39">
        <v>0</v>
      </c>
      <c r="L680" s="39">
        <v>0</v>
      </c>
      <c r="M680" s="39">
        <v>0</v>
      </c>
      <c r="N680" s="39">
        <v>0</v>
      </c>
      <c r="O680" s="39">
        <v>0</v>
      </c>
      <c r="P680" s="39">
        <v>0</v>
      </c>
      <c r="Q680" s="39">
        <v>0</v>
      </c>
      <c r="R680" s="39">
        <v>0</v>
      </c>
      <c r="S680" s="39">
        <v>0</v>
      </c>
      <c r="T680" s="39">
        <v>0</v>
      </c>
      <c r="U680" s="39">
        <v>0</v>
      </c>
      <c r="V680" s="39">
        <v>590</v>
      </c>
      <c r="W680" s="40" t="s">
        <v>7679</v>
      </c>
      <c r="X680" s="39">
        <v>1</v>
      </c>
    </row>
    <row r="681" spans="1:24">
      <c r="A681" s="39">
        <v>785</v>
      </c>
      <c r="B681" s="40" t="s">
        <v>7672</v>
      </c>
      <c r="C681" s="39">
        <v>1</v>
      </c>
      <c r="E681" s="39">
        <v>1</v>
      </c>
      <c r="F681" s="39">
        <v>385</v>
      </c>
      <c r="G681" s="39">
        <v>1</v>
      </c>
      <c r="H681" s="39">
        <v>1</v>
      </c>
      <c r="I681" s="39">
        <v>1</v>
      </c>
      <c r="J681" s="39">
        <v>0</v>
      </c>
      <c r="K681" s="39">
        <v>0</v>
      </c>
      <c r="L681" s="39">
        <v>0</v>
      </c>
      <c r="M681" s="39">
        <v>0</v>
      </c>
      <c r="N681" s="39">
        <v>0</v>
      </c>
      <c r="O681" s="39">
        <v>0</v>
      </c>
      <c r="P681" s="39">
        <v>0</v>
      </c>
      <c r="Q681" s="39">
        <v>0</v>
      </c>
      <c r="R681" s="39">
        <v>0</v>
      </c>
      <c r="S681" s="39">
        <v>0</v>
      </c>
      <c r="T681" s="39">
        <v>0</v>
      </c>
      <c r="U681" s="39">
        <v>0</v>
      </c>
      <c r="V681" s="39">
        <v>733</v>
      </c>
      <c r="W681" s="40" t="s">
        <v>7680</v>
      </c>
      <c r="X681" s="39">
        <v>1</v>
      </c>
    </row>
    <row r="682" spans="1:24">
      <c r="A682" s="39">
        <v>107</v>
      </c>
      <c r="B682" s="50" t="s">
        <v>4006</v>
      </c>
      <c r="C682" s="39">
        <v>1</v>
      </c>
      <c r="E682" s="39">
        <v>1</v>
      </c>
      <c r="F682" s="39">
        <v>360</v>
      </c>
      <c r="G682" s="39">
        <v>0</v>
      </c>
      <c r="H682" s="39">
        <v>0</v>
      </c>
      <c r="I682" s="39">
        <v>0</v>
      </c>
      <c r="J682" s="39">
        <v>0</v>
      </c>
      <c r="K682" s="39">
        <v>0</v>
      </c>
      <c r="L682" s="39">
        <v>0</v>
      </c>
      <c r="M682" s="39">
        <v>0</v>
      </c>
      <c r="N682" s="39">
        <v>0</v>
      </c>
      <c r="O682" s="39">
        <v>0</v>
      </c>
      <c r="P682" s="39">
        <v>0</v>
      </c>
      <c r="Q682" s="39">
        <v>0</v>
      </c>
      <c r="R682" s="39">
        <v>0</v>
      </c>
      <c r="S682" s="39">
        <v>0</v>
      </c>
      <c r="T682" s="39">
        <v>0</v>
      </c>
      <c r="U682" s="39">
        <v>0</v>
      </c>
      <c r="V682" s="39">
        <v>1</v>
      </c>
      <c r="W682" s="40" t="s">
        <v>518</v>
      </c>
      <c r="X682" s="39">
        <v>1</v>
      </c>
    </row>
    <row r="683" spans="1:24">
      <c r="A683" s="39">
        <v>19</v>
      </c>
      <c r="B683" s="40" t="s">
        <v>4006</v>
      </c>
      <c r="C683" s="39">
        <v>1</v>
      </c>
      <c r="D683" s="40" t="s">
        <v>7842</v>
      </c>
      <c r="E683" s="39">
        <v>1</v>
      </c>
      <c r="F683" s="39">
        <v>31</v>
      </c>
      <c r="G683" s="39">
        <v>0</v>
      </c>
      <c r="H683" s="39">
        <v>0</v>
      </c>
      <c r="I683" s="39">
        <v>0</v>
      </c>
      <c r="J683" s="39">
        <v>0</v>
      </c>
      <c r="K683" s="39">
        <v>0</v>
      </c>
      <c r="L683" s="39">
        <v>0</v>
      </c>
      <c r="M683" s="39">
        <v>0</v>
      </c>
      <c r="N683" s="39">
        <v>0</v>
      </c>
      <c r="O683" s="39">
        <v>0</v>
      </c>
      <c r="P683" s="39">
        <v>0</v>
      </c>
      <c r="Q683" s="39">
        <v>0</v>
      </c>
      <c r="R683" s="39">
        <v>0</v>
      </c>
      <c r="S683" s="39">
        <v>0</v>
      </c>
      <c r="T683" s="39">
        <v>0</v>
      </c>
      <c r="U683" s="39">
        <v>0</v>
      </c>
      <c r="V683" s="39">
        <v>2</v>
      </c>
      <c r="W683" s="40" t="s">
        <v>40</v>
      </c>
      <c r="X683" s="39">
        <v>1</v>
      </c>
    </row>
    <row r="684" spans="1:24">
      <c r="A684" s="39">
        <v>971</v>
      </c>
      <c r="B684" s="40" t="s">
        <v>4006</v>
      </c>
      <c r="C684" s="39">
        <v>1</v>
      </c>
      <c r="E684" s="39">
        <v>1</v>
      </c>
      <c r="F684" s="39">
        <v>360</v>
      </c>
      <c r="G684" s="39">
        <v>1</v>
      </c>
      <c r="H684" s="39">
        <v>1</v>
      </c>
      <c r="I684" s="39">
        <v>1</v>
      </c>
      <c r="J684" s="39">
        <v>0</v>
      </c>
      <c r="K684" s="39">
        <v>0</v>
      </c>
      <c r="L684" s="39">
        <v>0</v>
      </c>
      <c r="M684" s="39">
        <v>0</v>
      </c>
      <c r="N684" s="39">
        <v>0</v>
      </c>
      <c r="O684" s="39">
        <v>0</v>
      </c>
      <c r="P684" s="39">
        <v>0</v>
      </c>
      <c r="Q684" s="39">
        <v>0</v>
      </c>
      <c r="R684" s="39">
        <v>0</v>
      </c>
      <c r="S684" s="39">
        <v>0</v>
      </c>
      <c r="T684" s="39">
        <v>0</v>
      </c>
      <c r="U684" s="39">
        <v>0</v>
      </c>
      <c r="V684" s="39">
        <v>158</v>
      </c>
      <c r="W684" s="40" t="s">
        <v>7667</v>
      </c>
      <c r="X684" s="39">
        <v>1</v>
      </c>
    </row>
    <row r="685" spans="1:24">
      <c r="A685" s="39">
        <v>459</v>
      </c>
      <c r="B685" s="40" t="s">
        <v>4006</v>
      </c>
      <c r="C685" s="39">
        <v>1</v>
      </c>
      <c r="E685" s="39">
        <v>1</v>
      </c>
      <c r="F685" s="39">
        <v>360</v>
      </c>
      <c r="G685" s="39">
        <v>0</v>
      </c>
      <c r="H685" s="39">
        <v>0</v>
      </c>
      <c r="I685" s="39">
        <v>0</v>
      </c>
      <c r="J685" s="39">
        <v>0</v>
      </c>
      <c r="K685" s="39">
        <v>0</v>
      </c>
      <c r="L685" s="39">
        <v>0</v>
      </c>
      <c r="M685" s="39">
        <v>0</v>
      </c>
      <c r="N685" s="39">
        <v>0</v>
      </c>
      <c r="O685" s="39">
        <v>0</v>
      </c>
      <c r="P685" s="39">
        <v>0</v>
      </c>
      <c r="Q685" s="39">
        <v>0</v>
      </c>
      <c r="R685" s="39">
        <v>0</v>
      </c>
      <c r="S685" s="39">
        <v>0</v>
      </c>
      <c r="T685" s="39">
        <v>0</v>
      </c>
      <c r="U685" s="39">
        <v>0</v>
      </c>
      <c r="V685" s="39">
        <v>175</v>
      </c>
      <c r="W685" s="40" t="s">
        <v>7689</v>
      </c>
      <c r="X685" s="39">
        <v>1</v>
      </c>
    </row>
    <row r="686" spans="1:24">
      <c r="A686" s="39">
        <v>318</v>
      </c>
      <c r="B686" s="40" t="s">
        <v>4006</v>
      </c>
      <c r="C686" s="39">
        <v>1</v>
      </c>
      <c r="E686" s="39">
        <v>1</v>
      </c>
      <c r="F686" s="39">
        <v>360</v>
      </c>
      <c r="G686" s="39">
        <v>1</v>
      </c>
      <c r="H686" s="39">
        <v>1</v>
      </c>
      <c r="I686" s="39">
        <v>1</v>
      </c>
      <c r="J686" s="39">
        <v>0</v>
      </c>
      <c r="K686" s="39">
        <v>0</v>
      </c>
      <c r="L686" s="39">
        <v>0</v>
      </c>
      <c r="M686" s="39">
        <v>0</v>
      </c>
      <c r="N686" s="39">
        <v>0</v>
      </c>
      <c r="O686" s="39">
        <v>0</v>
      </c>
      <c r="P686" s="39">
        <v>0</v>
      </c>
      <c r="Q686" s="39">
        <v>0</v>
      </c>
      <c r="R686" s="39">
        <v>0</v>
      </c>
      <c r="S686" s="39">
        <v>0</v>
      </c>
      <c r="T686" s="39">
        <v>0</v>
      </c>
      <c r="U686" s="39">
        <v>0</v>
      </c>
      <c r="V686" s="39">
        <v>228</v>
      </c>
      <c r="W686" s="40" t="s">
        <v>7669</v>
      </c>
      <c r="X686" s="39">
        <v>1</v>
      </c>
    </row>
    <row r="687" spans="1:24">
      <c r="A687" s="39">
        <v>1718</v>
      </c>
      <c r="B687" s="40" t="s">
        <v>4006</v>
      </c>
      <c r="C687" s="39">
        <v>1</v>
      </c>
      <c r="E687" s="39">
        <v>1</v>
      </c>
      <c r="F687" s="39">
        <v>360</v>
      </c>
      <c r="G687" s="39">
        <v>0</v>
      </c>
      <c r="H687" s="39">
        <v>0</v>
      </c>
      <c r="I687" s="39">
        <v>0</v>
      </c>
      <c r="J687" s="39">
        <v>0</v>
      </c>
      <c r="K687" s="39">
        <v>0</v>
      </c>
      <c r="L687" s="39">
        <v>0</v>
      </c>
      <c r="M687" s="39">
        <v>0</v>
      </c>
      <c r="N687" s="39">
        <v>0</v>
      </c>
      <c r="O687" s="39">
        <v>0</v>
      </c>
      <c r="P687" s="39">
        <v>0</v>
      </c>
      <c r="Q687" s="39">
        <v>0</v>
      </c>
      <c r="R687" s="39">
        <v>0</v>
      </c>
      <c r="S687" s="39">
        <v>0</v>
      </c>
      <c r="T687" s="39">
        <v>0</v>
      </c>
      <c r="U687" s="39">
        <v>0</v>
      </c>
      <c r="V687" s="39">
        <v>244</v>
      </c>
      <c r="W687" s="40" t="s">
        <v>682</v>
      </c>
      <c r="X687" s="39">
        <v>1</v>
      </c>
    </row>
    <row r="688" spans="1:24">
      <c r="A688" s="39">
        <v>716</v>
      </c>
      <c r="B688" s="40" t="s">
        <v>4006</v>
      </c>
      <c r="C688" s="39">
        <v>1</v>
      </c>
      <c r="E688" s="39">
        <v>1</v>
      </c>
      <c r="F688" s="39">
        <v>360</v>
      </c>
      <c r="G688" s="39">
        <v>0</v>
      </c>
      <c r="H688" s="39">
        <v>0</v>
      </c>
      <c r="I688" s="39">
        <v>0</v>
      </c>
      <c r="J688" s="39">
        <v>0</v>
      </c>
      <c r="K688" s="39">
        <v>0</v>
      </c>
      <c r="L688" s="39">
        <v>0</v>
      </c>
      <c r="M688" s="39">
        <v>0</v>
      </c>
      <c r="N688" s="39">
        <v>0</v>
      </c>
      <c r="O688" s="39">
        <v>0</v>
      </c>
      <c r="P688" s="39">
        <v>0</v>
      </c>
      <c r="Q688" s="39">
        <v>0</v>
      </c>
      <c r="R688" s="39">
        <v>0</v>
      </c>
      <c r="S688" s="39">
        <v>0</v>
      </c>
      <c r="T688" s="39">
        <v>0</v>
      </c>
      <c r="U688" s="39">
        <v>0</v>
      </c>
      <c r="V688" s="39">
        <v>381</v>
      </c>
      <c r="W688" s="40" t="s">
        <v>7805</v>
      </c>
      <c r="X688" s="39">
        <v>1</v>
      </c>
    </row>
    <row r="689" spans="1:24">
      <c r="A689" s="39">
        <v>1243</v>
      </c>
      <c r="B689" s="40" t="s">
        <v>4006</v>
      </c>
      <c r="C689" s="39">
        <v>1</v>
      </c>
      <c r="E689" s="39">
        <v>1</v>
      </c>
      <c r="F689" s="39">
        <v>360</v>
      </c>
      <c r="G689" s="39">
        <v>1</v>
      </c>
      <c r="H689" s="39">
        <v>1</v>
      </c>
      <c r="I689" s="39">
        <v>1</v>
      </c>
      <c r="J689" s="39">
        <v>1</v>
      </c>
      <c r="K689" s="39">
        <v>0</v>
      </c>
      <c r="L689" s="39">
        <v>0</v>
      </c>
      <c r="M689" s="39">
        <v>0</v>
      </c>
      <c r="N689" s="39">
        <v>0</v>
      </c>
      <c r="O689" s="39">
        <v>0</v>
      </c>
      <c r="P689" s="39">
        <v>0</v>
      </c>
      <c r="Q689" s="39">
        <v>0</v>
      </c>
      <c r="R689" s="39">
        <v>0</v>
      </c>
      <c r="S689" s="39">
        <v>0</v>
      </c>
      <c r="T689" s="39">
        <v>0</v>
      </c>
      <c r="U689" s="39">
        <v>0</v>
      </c>
      <c r="V689" s="39">
        <v>418</v>
      </c>
      <c r="W689" s="40" t="s">
        <v>7671</v>
      </c>
      <c r="X689" s="39">
        <v>1</v>
      </c>
    </row>
    <row r="690" spans="1:24">
      <c r="A690" s="39">
        <v>1379</v>
      </c>
      <c r="B690" s="40" t="s">
        <v>4006</v>
      </c>
      <c r="C690" s="39">
        <v>1</v>
      </c>
      <c r="E690" s="39">
        <v>1</v>
      </c>
      <c r="F690" s="39">
        <v>360</v>
      </c>
      <c r="G690" s="39">
        <v>0</v>
      </c>
      <c r="H690" s="39">
        <v>0</v>
      </c>
      <c r="I690" s="39">
        <v>0</v>
      </c>
      <c r="J690" s="39">
        <v>0</v>
      </c>
      <c r="K690" s="39">
        <v>0</v>
      </c>
      <c r="L690" s="39">
        <v>0</v>
      </c>
      <c r="M690" s="39">
        <v>0</v>
      </c>
      <c r="N690" s="39">
        <v>0</v>
      </c>
      <c r="O690" s="39">
        <v>0</v>
      </c>
      <c r="P690" s="39">
        <v>0</v>
      </c>
      <c r="Q690" s="39">
        <v>0</v>
      </c>
      <c r="R690" s="39">
        <v>0</v>
      </c>
      <c r="S690" s="39">
        <v>0</v>
      </c>
      <c r="T690" s="39">
        <v>0</v>
      </c>
      <c r="U690" s="39">
        <v>0</v>
      </c>
      <c r="V690" s="39">
        <v>456</v>
      </c>
      <c r="W690" s="40" t="s">
        <v>7673</v>
      </c>
      <c r="X690" s="39">
        <v>1</v>
      </c>
    </row>
    <row r="691" spans="1:24">
      <c r="A691" s="39">
        <v>857</v>
      </c>
      <c r="B691" s="40" t="s">
        <v>4006</v>
      </c>
      <c r="C691" s="39">
        <v>1</v>
      </c>
      <c r="E691" s="39">
        <v>1</v>
      </c>
      <c r="F691" s="39">
        <v>360</v>
      </c>
      <c r="G691" s="39">
        <v>1</v>
      </c>
      <c r="H691" s="39">
        <v>1</v>
      </c>
      <c r="I691" s="39">
        <v>1</v>
      </c>
      <c r="J691" s="39">
        <v>0</v>
      </c>
      <c r="K691" s="39">
        <v>0</v>
      </c>
      <c r="L691" s="39">
        <v>0</v>
      </c>
      <c r="M691" s="39">
        <v>0</v>
      </c>
      <c r="N691" s="39">
        <v>0</v>
      </c>
      <c r="O691" s="39">
        <v>0</v>
      </c>
      <c r="P691" s="39">
        <v>0</v>
      </c>
      <c r="Q691" s="39">
        <v>0</v>
      </c>
      <c r="R691" s="39">
        <v>0</v>
      </c>
      <c r="S691" s="39">
        <v>0</v>
      </c>
      <c r="T691" s="39">
        <v>0</v>
      </c>
      <c r="U691" s="39">
        <v>0</v>
      </c>
      <c r="V691" s="39">
        <v>458</v>
      </c>
      <c r="W691" s="40" t="s">
        <v>7694</v>
      </c>
      <c r="X691" s="39">
        <v>1</v>
      </c>
    </row>
    <row r="692" spans="1:24">
      <c r="A692" s="39">
        <v>1150</v>
      </c>
      <c r="B692" s="40" t="s">
        <v>4006</v>
      </c>
      <c r="C692" s="39">
        <v>1</v>
      </c>
      <c r="E692" s="39">
        <v>1</v>
      </c>
      <c r="F692" s="39">
        <v>360</v>
      </c>
      <c r="G692" s="39">
        <v>1</v>
      </c>
      <c r="H692" s="39">
        <v>1</v>
      </c>
      <c r="I692" s="39">
        <v>1</v>
      </c>
      <c r="J692" s="39">
        <v>0</v>
      </c>
      <c r="K692" s="39">
        <v>0</v>
      </c>
      <c r="L692" s="39">
        <v>0</v>
      </c>
      <c r="M692" s="39">
        <v>0</v>
      </c>
      <c r="N692" s="39">
        <v>0</v>
      </c>
      <c r="O692" s="39">
        <v>0</v>
      </c>
      <c r="P692" s="39">
        <v>0</v>
      </c>
      <c r="Q692" s="39">
        <v>0</v>
      </c>
      <c r="R692" s="39">
        <v>0</v>
      </c>
      <c r="S692" s="39">
        <v>0</v>
      </c>
      <c r="T692" s="39">
        <v>0</v>
      </c>
      <c r="U692" s="39">
        <v>0</v>
      </c>
      <c r="V692" s="39">
        <v>459</v>
      </c>
      <c r="W692" s="40" t="s">
        <v>7674</v>
      </c>
      <c r="X692" s="39">
        <v>1</v>
      </c>
    </row>
    <row r="693" spans="1:24">
      <c r="A693" s="39">
        <v>607</v>
      </c>
      <c r="B693" s="40" t="s">
        <v>4006</v>
      </c>
      <c r="C693" s="39">
        <v>1</v>
      </c>
      <c r="E693" s="39">
        <v>1</v>
      </c>
      <c r="F693" s="39">
        <v>360</v>
      </c>
      <c r="G693" s="39">
        <v>1</v>
      </c>
      <c r="H693" s="39">
        <v>1</v>
      </c>
      <c r="I693" s="39">
        <v>1</v>
      </c>
      <c r="J693" s="39">
        <v>0</v>
      </c>
      <c r="K693" s="39">
        <v>0</v>
      </c>
      <c r="L693" s="39">
        <v>0</v>
      </c>
      <c r="M693" s="39">
        <v>0</v>
      </c>
      <c r="N693" s="39">
        <v>0</v>
      </c>
      <c r="O693" s="39">
        <v>0</v>
      </c>
      <c r="P693" s="39">
        <v>0</v>
      </c>
      <c r="Q693" s="39">
        <v>0</v>
      </c>
      <c r="R693" s="39">
        <v>0</v>
      </c>
      <c r="S693" s="39">
        <v>0</v>
      </c>
      <c r="T693" s="39">
        <v>0</v>
      </c>
      <c r="U693" s="39">
        <v>0</v>
      </c>
      <c r="V693" s="39">
        <v>468</v>
      </c>
      <c r="W693" s="40" t="s">
        <v>7677</v>
      </c>
      <c r="X693" s="39">
        <v>1</v>
      </c>
    </row>
    <row r="694" spans="1:24">
      <c r="A694" s="39">
        <v>1054</v>
      </c>
      <c r="B694" s="40" t="s">
        <v>4006</v>
      </c>
      <c r="C694" s="39">
        <v>1</v>
      </c>
      <c r="E694" s="39">
        <v>1</v>
      </c>
      <c r="F694" s="39">
        <v>360</v>
      </c>
      <c r="G694" s="39">
        <v>1</v>
      </c>
      <c r="H694" s="39">
        <v>1</v>
      </c>
      <c r="I694" s="39">
        <v>1</v>
      </c>
      <c r="J694" s="39">
        <v>1</v>
      </c>
      <c r="K694" s="39">
        <v>0</v>
      </c>
      <c r="L694" s="39">
        <v>0</v>
      </c>
      <c r="M694" s="39">
        <v>0</v>
      </c>
      <c r="N694" s="39">
        <v>0</v>
      </c>
      <c r="O694" s="39">
        <v>0</v>
      </c>
      <c r="P694" s="39">
        <v>0</v>
      </c>
      <c r="Q694" s="39">
        <v>0</v>
      </c>
      <c r="R694" s="39">
        <v>0</v>
      </c>
      <c r="S694" s="39">
        <v>0</v>
      </c>
      <c r="T694" s="39">
        <v>0</v>
      </c>
      <c r="U694" s="39">
        <v>0</v>
      </c>
      <c r="V694" s="39">
        <v>477</v>
      </c>
      <c r="W694" s="40" t="s">
        <v>7697</v>
      </c>
      <c r="X694" s="39">
        <v>1</v>
      </c>
    </row>
    <row r="695" spans="1:24">
      <c r="A695" s="39">
        <v>238</v>
      </c>
      <c r="B695" s="40" t="s">
        <v>4006</v>
      </c>
      <c r="C695" s="39">
        <v>1</v>
      </c>
      <c r="E695" s="39">
        <v>1</v>
      </c>
      <c r="F695" s="39">
        <v>360</v>
      </c>
      <c r="G695" s="39">
        <v>1</v>
      </c>
      <c r="H695" s="39">
        <v>1</v>
      </c>
      <c r="I695" s="39">
        <v>1</v>
      </c>
      <c r="J695" s="39">
        <v>0</v>
      </c>
      <c r="K695" s="39">
        <v>0</v>
      </c>
      <c r="L695" s="39">
        <v>0</v>
      </c>
      <c r="M695" s="39">
        <v>0</v>
      </c>
      <c r="N695" s="39">
        <v>0</v>
      </c>
      <c r="O695" s="39">
        <v>0</v>
      </c>
      <c r="P695" s="39">
        <v>0</v>
      </c>
      <c r="Q695" s="39">
        <v>0</v>
      </c>
      <c r="R695" s="39">
        <v>0</v>
      </c>
      <c r="S695" s="39">
        <v>0</v>
      </c>
      <c r="T695" s="39">
        <v>0</v>
      </c>
      <c r="U695" s="39">
        <v>0</v>
      </c>
      <c r="V695" s="39">
        <v>590</v>
      </c>
      <c r="W695" s="40" t="s">
        <v>7679</v>
      </c>
      <c r="X695" s="39">
        <v>1</v>
      </c>
    </row>
    <row r="696" spans="1:24">
      <c r="A696" s="39">
        <v>786</v>
      </c>
      <c r="B696" s="40" t="s">
        <v>4006</v>
      </c>
      <c r="C696" s="39">
        <v>1</v>
      </c>
      <c r="E696" s="39">
        <v>1</v>
      </c>
      <c r="F696" s="39">
        <v>360</v>
      </c>
      <c r="G696" s="39">
        <v>1</v>
      </c>
      <c r="H696" s="39">
        <v>1</v>
      </c>
      <c r="I696" s="39">
        <v>1</v>
      </c>
      <c r="J696" s="39">
        <v>0</v>
      </c>
      <c r="K696" s="39">
        <v>0</v>
      </c>
      <c r="L696" s="39">
        <v>0</v>
      </c>
      <c r="M696" s="39">
        <v>0</v>
      </c>
      <c r="N696" s="39">
        <v>0</v>
      </c>
      <c r="O696" s="39">
        <v>0</v>
      </c>
      <c r="P696" s="39">
        <v>0</v>
      </c>
      <c r="Q696" s="39">
        <v>0</v>
      </c>
      <c r="R696" s="39">
        <v>0</v>
      </c>
      <c r="S696" s="39">
        <v>0</v>
      </c>
      <c r="T696" s="39">
        <v>0</v>
      </c>
      <c r="U696" s="39">
        <v>0</v>
      </c>
      <c r="V696" s="39">
        <v>733</v>
      </c>
      <c r="W696" s="40" t="s">
        <v>7680</v>
      </c>
      <c r="X696" s="39">
        <v>1</v>
      </c>
    </row>
    <row r="697" spans="1:24">
      <c r="A697" s="39">
        <v>108</v>
      </c>
      <c r="B697" s="50" t="s">
        <v>7676</v>
      </c>
      <c r="C697" s="39">
        <v>1</v>
      </c>
      <c r="E697" s="39">
        <v>1</v>
      </c>
      <c r="F697" s="39">
        <v>380</v>
      </c>
      <c r="G697" s="39">
        <v>0</v>
      </c>
      <c r="H697" s="39">
        <v>0</v>
      </c>
      <c r="I697" s="39">
        <v>0</v>
      </c>
      <c r="J697" s="39">
        <v>0</v>
      </c>
      <c r="K697" s="39">
        <v>0</v>
      </c>
      <c r="L697" s="39">
        <v>0</v>
      </c>
      <c r="M697" s="39">
        <v>0</v>
      </c>
      <c r="N697" s="39">
        <v>0</v>
      </c>
      <c r="O697" s="39">
        <v>0</v>
      </c>
      <c r="P697" s="39">
        <v>0</v>
      </c>
      <c r="Q697" s="39">
        <v>0</v>
      </c>
      <c r="R697" s="39">
        <v>0</v>
      </c>
      <c r="S697" s="39">
        <v>0</v>
      </c>
      <c r="T697" s="39">
        <v>0</v>
      </c>
      <c r="U697" s="39">
        <v>0</v>
      </c>
      <c r="V697" s="39">
        <v>1</v>
      </c>
      <c r="W697" s="40" t="s">
        <v>518</v>
      </c>
      <c r="X697" s="39">
        <v>1</v>
      </c>
    </row>
    <row r="698" spans="1:24">
      <c r="A698" s="39">
        <v>20</v>
      </c>
      <c r="B698" s="40" t="s">
        <v>7676</v>
      </c>
      <c r="C698" s="39">
        <v>1</v>
      </c>
      <c r="E698" s="39">
        <v>1</v>
      </c>
      <c r="F698" s="39">
        <v>10</v>
      </c>
      <c r="G698" s="39">
        <v>0</v>
      </c>
      <c r="H698" s="39">
        <v>0</v>
      </c>
      <c r="I698" s="39">
        <v>0</v>
      </c>
      <c r="J698" s="39">
        <v>0</v>
      </c>
      <c r="K698" s="39">
        <v>0</v>
      </c>
      <c r="L698" s="39">
        <v>0</v>
      </c>
      <c r="M698" s="39">
        <v>0</v>
      </c>
      <c r="N698" s="39">
        <v>0</v>
      </c>
      <c r="O698" s="39">
        <v>0</v>
      </c>
      <c r="P698" s="39">
        <v>0</v>
      </c>
      <c r="Q698" s="39">
        <v>0</v>
      </c>
      <c r="R698" s="39">
        <v>0</v>
      </c>
      <c r="S698" s="39">
        <v>0</v>
      </c>
      <c r="T698" s="39">
        <v>0</v>
      </c>
      <c r="U698" s="39">
        <v>0</v>
      </c>
      <c r="V698" s="39">
        <v>2</v>
      </c>
      <c r="W698" s="40" t="s">
        <v>40</v>
      </c>
      <c r="X698" s="39">
        <v>1</v>
      </c>
    </row>
    <row r="699" spans="1:24">
      <c r="A699" s="39">
        <v>460</v>
      </c>
      <c r="B699" s="40" t="s">
        <v>7676</v>
      </c>
      <c r="C699" s="39">
        <v>1</v>
      </c>
      <c r="E699" s="39">
        <v>1</v>
      </c>
      <c r="F699" s="39">
        <v>380</v>
      </c>
      <c r="G699" s="39">
        <v>0</v>
      </c>
      <c r="H699" s="39">
        <v>0</v>
      </c>
      <c r="I699" s="39">
        <v>0</v>
      </c>
      <c r="J699" s="39">
        <v>0</v>
      </c>
      <c r="K699" s="39">
        <v>0</v>
      </c>
      <c r="L699" s="39">
        <v>0</v>
      </c>
      <c r="M699" s="39">
        <v>0</v>
      </c>
      <c r="N699" s="39">
        <v>0</v>
      </c>
      <c r="O699" s="39">
        <v>0</v>
      </c>
      <c r="P699" s="39">
        <v>0</v>
      </c>
      <c r="Q699" s="39">
        <v>0</v>
      </c>
      <c r="R699" s="39">
        <v>0</v>
      </c>
      <c r="S699" s="39">
        <v>0</v>
      </c>
      <c r="T699" s="39">
        <v>0</v>
      </c>
      <c r="U699" s="39">
        <v>0</v>
      </c>
      <c r="V699" s="39">
        <v>175</v>
      </c>
      <c r="W699" s="40" t="s">
        <v>7689</v>
      </c>
      <c r="X699" s="39">
        <v>1</v>
      </c>
    </row>
    <row r="700" spans="1:24">
      <c r="A700" s="39">
        <v>350</v>
      </c>
      <c r="B700" s="40" t="s">
        <v>7676</v>
      </c>
      <c r="C700" s="39">
        <v>1</v>
      </c>
      <c r="E700" s="39">
        <v>1</v>
      </c>
      <c r="F700" s="39">
        <v>380</v>
      </c>
      <c r="G700" s="39">
        <v>1</v>
      </c>
      <c r="H700" s="39">
        <v>1</v>
      </c>
      <c r="I700" s="39">
        <v>1</v>
      </c>
      <c r="J700" s="39">
        <v>0</v>
      </c>
      <c r="K700" s="39">
        <v>0</v>
      </c>
      <c r="L700" s="39">
        <v>0</v>
      </c>
      <c r="M700" s="39">
        <v>0</v>
      </c>
      <c r="N700" s="39">
        <v>0</v>
      </c>
      <c r="O700" s="39">
        <v>0</v>
      </c>
      <c r="P700" s="39">
        <v>0</v>
      </c>
      <c r="Q700" s="39">
        <v>0</v>
      </c>
      <c r="R700" s="39">
        <v>0</v>
      </c>
      <c r="S700" s="39">
        <v>0</v>
      </c>
      <c r="T700" s="39">
        <v>0</v>
      </c>
      <c r="U700" s="39">
        <v>0</v>
      </c>
      <c r="V700" s="39">
        <v>228</v>
      </c>
      <c r="W700" s="40" t="s">
        <v>7669</v>
      </c>
      <c r="X700" s="39">
        <v>1</v>
      </c>
    </row>
    <row r="701" spans="1:24">
      <c r="A701" s="39">
        <v>1719</v>
      </c>
      <c r="B701" s="40" t="s">
        <v>7676</v>
      </c>
      <c r="C701" s="39">
        <v>1</v>
      </c>
      <c r="E701" s="39">
        <v>1</v>
      </c>
      <c r="F701" s="39">
        <v>380</v>
      </c>
      <c r="G701" s="39">
        <v>0</v>
      </c>
      <c r="H701" s="39">
        <v>0</v>
      </c>
      <c r="I701" s="39">
        <v>0</v>
      </c>
      <c r="J701" s="39">
        <v>0</v>
      </c>
      <c r="K701" s="39">
        <v>0</v>
      </c>
      <c r="L701" s="39">
        <v>0</v>
      </c>
      <c r="M701" s="39">
        <v>0</v>
      </c>
      <c r="N701" s="39">
        <v>0</v>
      </c>
      <c r="O701" s="39">
        <v>0</v>
      </c>
      <c r="P701" s="39">
        <v>0</v>
      </c>
      <c r="Q701" s="39">
        <v>0</v>
      </c>
      <c r="R701" s="39">
        <v>0</v>
      </c>
      <c r="S701" s="39">
        <v>0</v>
      </c>
      <c r="T701" s="39">
        <v>0</v>
      </c>
      <c r="U701" s="39">
        <v>0</v>
      </c>
      <c r="V701" s="39">
        <v>244</v>
      </c>
      <c r="W701" s="40" t="s">
        <v>682</v>
      </c>
      <c r="X701" s="39">
        <v>1</v>
      </c>
    </row>
    <row r="702" spans="1:24">
      <c r="A702" s="39">
        <v>717</v>
      </c>
      <c r="B702" s="40" t="s">
        <v>7676</v>
      </c>
      <c r="C702" s="39">
        <v>1</v>
      </c>
      <c r="E702" s="39">
        <v>1</v>
      </c>
      <c r="F702" s="39">
        <v>380</v>
      </c>
      <c r="G702" s="39">
        <v>0</v>
      </c>
      <c r="H702" s="39">
        <v>0</v>
      </c>
      <c r="I702" s="39">
        <v>0</v>
      </c>
      <c r="J702" s="39">
        <v>0</v>
      </c>
      <c r="K702" s="39">
        <v>0</v>
      </c>
      <c r="L702" s="39">
        <v>0</v>
      </c>
      <c r="M702" s="39">
        <v>0</v>
      </c>
      <c r="N702" s="39">
        <v>0</v>
      </c>
      <c r="O702" s="39">
        <v>0</v>
      </c>
      <c r="P702" s="39">
        <v>0</v>
      </c>
      <c r="Q702" s="39">
        <v>0</v>
      </c>
      <c r="R702" s="39">
        <v>0</v>
      </c>
      <c r="S702" s="39">
        <v>0</v>
      </c>
      <c r="T702" s="39">
        <v>0</v>
      </c>
      <c r="U702" s="39">
        <v>0</v>
      </c>
      <c r="V702" s="39">
        <v>381</v>
      </c>
      <c r="W702" s="40" t="s">
        <v>7805</v>
      </c>
      <c r="X702" s="39">
        <v>1</v>
      </c>
    </row>
    <row r="703" spans="1:24">
      <c r="A703" s="39">
        <v>1244</v>
      </c>
      <c r="B703" s="40" t="s">
        <v>7676</v>
      </c>
      <c r="C703" s="39">
        <v>1</v>
      </c>
      <c r="E703" s="39">
        <v>1</v>
      </c>
      <c r="F703" s="39">
        <v>380</v>
      </c>
      <c r="G703" s="39">
        <v>1</v>
      </c>
      <c r="H703" s="39">
        <v>1</v>
      </c>
      <c r="I703" s="39">
        <v>1</v>
      </c>
      <c r="J703" s="39">
        <v>1</v>
      </c>
      <c r="K703" s="39">
        <v>0</v>
      </c>
      <c r="L703" s="39">
        <v>0</v>
      </c>
      <c r="M703" s="39">
        <v>0</v>
      </c>
      <c r="N703" s="39">
        <v>0</v>
      </c>
      <c r="O703" s="39">
        <v>0</v>
      </c>
      <c r="P703" s="39">
        <v>0</v>
      </c>
      <c r="Q703" s="39">
        <v>0</v>
      </c>
      <c r="R703" s="39">
        <v>0</v>
      </c>
      <c r="S703" s="39">
        <v>0</v>
      </c>
      <c r="T703" s="39">
        <v>0</v>
      </c>
      <c r="U703" s="39">
        <v>0</v>
      </c>
      <c r="V703" s="39">
        <v>418</v>
      </c>
      <c r="W703" s="40" t="s">
        <v>7671</v>
      </c>
      <c r="X703" s="39">
        <v>1</v>
      </c>
    </row>
    <row r="704" spans="1:24">
      <c r="A704" s="39">
        <v>1380</v>
      </c>
      <c r="B704" s="40" t="s">
        <v>7676</v>
      </c>
      <c r="C704" s="39">
        <v>1</v>
      </c>
      <c r="E704" s="39">
        <v>1</v>
      </c>
      <c r="F704" s="39">
        <v>380</v>
      </c>
      <c r="G704" s="39">
        <v>0</v>
      </c>
      <c r="H704" s="39">
        <v>0</v>
      </c>
      <c r="I704" s="39">
        <v>0</v>
      </c>
      <c r="J704" s="39">
        <v>0</v>
      </c>
      <c r="K704" s="39">
        <v>0</v>
      </c>
      <c r="L704" s="39">
        <v>0</v>
      </c>
      <c r="M704" s="39">
        <v>0</v>
      </c>
      <c r="N704" s="39">
        <v>0</v>
      </c>
      <c r="O704" s="39">
        <v>0</v>
      </c>
      <c r="P704" s="39">
        <v>0</v>
      </c>
      <c r="Q704" s="39">
        <v>0</v>
      </c>
      <c r="R704" s="39">
        <v>0</v>
      </c>
      <c r="S704" s="39">
        <v>0</v>
      </c>
      <c r="T704" s="39">
        <v>0</v>
      </c>
      <c r="U704" s="39">
        <v>0</v>
      </c>
      <c r="V704" s="39">
        <v>456</v>
      </c>
      <c r="W704" s="40" t="s">
        <v>7673</v>
      </c>
      <c r="X704" s="39">
        <v>1</v>
      </c>
    </row>
    <row r="705" spans="1:24">
      <c r="A705" s="39">
        <v>643</v>
      </c>
      <c r="B705" s="40" t="s">
        <v>7676</v>
      </c>
      <c r="C705" s="39">
        <v>1</v>
      </c>
      <c r="E705" s="39">
        <v>1</v>
      </c>
      <c r="F705" s="39">
        <v>380</v>
      </c>
      <c r="G705" s="39">
        <v>1</v>
      </c>
      <c r="H705" s="39">
        <v>1</v>
      </c>
      <c r="I705" s="39">
        <v>1</v>
      </c>
      <c r="J705" s="39">
        <v>0</v>
      </c>
      <c r="K705" s="39">
        <v>0</v>
      </c>
      <c r="L705" s="39">
        <v>0</v>
      </c>
      <c r="M705" s="39">
        <v>0</v>
      </c>
      <c r="N705" s="39">
        <v>0</v>
      </c>
      <c r="O705" s="39">
        <v>0</v>
      </c>
      <c r="P705" s="39">
        <v>0</v>
      </c>
      <c r="Q705" s="39">
        <v>0</v>
      </c>
      <c r="R705" s="39">
        <v>0</v>
      </c>
      <c r="S705" s="39">
        <v>0</v>
      </c>
      <c r="T705" s="39">
        <v>0</v>
      </c>
      <c r="U705" s="39">
        <v>0</v>
      </c>
      <c r="V705" s="39">
        <v>468</v>
      </c>
      <c r="W705" s="40" t="s">
        <v>7677</v>
      </c>
      <c r="X705" s="39">
        <v>1</v>
      </c>
    </row>
    <row r="706" spans="1:24">
      <c r="A706" s="39">
        <v>239</v>
      </c>
      <c r="B706" s="40" t="s">
        <v>7676</v>
      </c>
      <c r="C706" s="39">
        <v>1</v>
      </c>
      <c r="E706" s="39">
        <v>1</v>
      </c>
      <c r="F706" s="39">
        <v>380</v>
      </c>
      <c r="G706" s="39">
        <v>1</v>
      </c>
      <c r="H706" s="39">
        <v>1</v>
      </c>
      <c r="I706" s="39">
        <v>1</v>
      </c>
      <c r="J706" s="39">
        <v>0</v>
      </c>
      <c r="K706" s="39">
        <v>0</v>
      </c>
      <c r="L706" s="39">
        <v>0</v>
      </c>
      <c r="M706" s="39">
        <v>0</v>
      </c>
      <c r="N706" s="39">
        <v>0</v>
      </c>
      <c r="O706" s="39">
        <v>0</v>
      </c>
      <c r="P706" s="39">
        <v>0</v>
      </c>
      <c r="Q706" s="39">
        <v>0</v>
      </c>
      <c r="R706" s="39">
        <v>0</v>
      </c>
      <c r="S706" s="39">
        <v>0</v>
      </c>
      <c r="T706" s="39">
        <v>0</v>
      </c>
      <c r="U706" s="39">
        <v>0</v>
      </c>
      <c r="V706" s="39">
        <v>590</v>
      </c>
      <c r="W706" s="40" t="s">
        <v>7679</v>
      </c>
      <c r="X706" s="39">
        <v>1</v>
      </c>
    </row>
    <row r="707" spans="1:24">
      <c r="A707" s="39">
        <v>787</v>
      </c>
      <c r="B707" s="40" t="s">
        <v>7676</v>
      </c>
      <c r="C707" s="39">
        <v>1</v>
      </c>
      <c r="E707" s="39">
        <v>1</v>
      </c>
      <c r="F707" s="39">
        <v>380</v>
      </c>
      <c r="G707" s="39">
        <v>1</v>
      </c>
      <c r="H707" s="39">
        <v>1</v>
      </c>
      <c r="I707" s="39">
        <v>1</v>
      </c>
      <c r="J707" s="39">
        <v>0</v>
      </c>
      <c r="K707" s="39">
        <v>0</v>
      </c>
      <c r="L707" s="39">
        <v>0</v>
      </c>
      <c r="M707" s="39">
        <v>0</v>
      </c>
      <c r="N707" s="39">
        <v>0</v>
      </c>
      <c r="O707" s="39">
        <v>0</v>
      </c>
      <c r="P707" s="39">
        <v>0</v>
      </c>
      <c r="Q707" s="39">
        <v>0</v>
      </c>
      <c r="R707" s="39">
        <v>0</v>
      </c>
      <c r="S707" s="39">
        <v>0</v>
      </c>
      <c r="T707" s="39">
        <v>0</v>
      </c>
      <c r="U707" s="39">
        <v>0</v>
      </c>
      <c r="V707" s="39">
        <v>733</v>
      </c>
      <c r="W707" s="40" t="s">
        <v>7680</v>
      </c>
      <c r="X707" s="39">
        <v>1</v>
      </c>
    </row>
    <row r="708" spans="1:24">
      <c r="A708" s="39">
        <v>131</v>
      </c>
      <c r="B708" s="50" t="s">
        <v>2616</v>
      </c>
      <c r="C708" s="39">
        <v>1</v>
      </c>
      <c r="E708" s="39">
        <v>0</v>
      </c>
      <c r="F708" s="39">
        <v>810</v>
      </c>
      <c r="G708" s="39">
        <v>0</v>
      </c>
      <c r="H708" s="39">
        <v>0</v>
      </c>
      <c r="I708" s="39">
        <v>0</v>
      </c>
      <c r="J708" s="39">
        <v>0</v>
      </c>
      <c r="K708" s="39">
        <v>0</v>
      </c>
      <c r="L708" s="39">
        <v>0</v>
      </c>
      <c r="M708" s="39">
        <v>0</v>
      </c>
      <c r="N708" s="39">
        <v>0</v>
      </c>
      <c r="O708" s="39">
        <v>0</v>
      </c>
      <c r="P708" s="39">
        <v>0</v>
      </c>
      <c r="Q708" s="39">
        <v>0</v>
      </c>
      <c r="R708" s="39">
        <v>0</v>
      </c>
      <c r="S708" s="39">
        <v>0</v>
      </c>
      <c r="T708" s="39">
        <v>0</v>
      </c>
      <c r="U708" s="39">
        <v>0</v>
      </c>
      <c r="V708" s="39">
        <v>1</v>
      </c>
      <c r="W708" s="40" t="s">
        <v>518</v>
      </c>
      <c r="X708" s="39">
        <v>1</v>
      </c>
    </row>
    <row r="709" spans="1:24">
      <c r="A709" s="39">
        <v>43</v>
      </c>
      <c r="B709" s="40" t="s">
        <v>2616</v>
      </c>
      <c r="C709" s="39">
        <v>0</v>
      </c>
      <c r="D709" s="40" t="s">
        <v>7843</v>
      </c>
      <c r="E709" s="39">
        <v>1</v>
      </c>
      <c r="F709" s="39">
        <v>31</v>
      </c>
      <c r="G709" s="39">
        <v>1</v>
      </c>
      <c r="H709" s="39">
        <v>0</v>
      </c>
      <c r="I709" s="39">
        <v>0</v>
      </c>
      <c r="J709" s="39">
        <v>0</v>
      </c>
      <c r="K709" s="39">
        <v>0</v>
      </c>
      <c r="L709" s="39">
        <v>0</v>
      </c>
      <c r="M709" s="39">
        <v>0</v>
      </c>
      <c r="N709" s="39">
        <v>0</v>
      </c>
      <c r="O709" s="39">
        <v>0</v>
      </c>
      <c r="P709" s="39">
        <v>0</v>
      </c>
      <c r="Q709" s="39">
        <v>0</v>
      </c>
      <c r="R709" s="39">
        <v>0</v>
      </c>
      <c r="S709" s="39">
        <v>0</v>
      </c>
      <c r="T709" s="39">
        <v>0</v>
      </c>
      <c r="U709" s="39">
        <v>0</v>
      </c>
      <c r="V709" s="39">
        <v>2</v>
      </c>
      <c r="W709" s="40" t="s">
        <v>40</v>
      </c>
      <c r="X709" s="39">
        <v>1</v>
      </c>
    </row>
    <row r="710" spans="1:24">
      <c r="A710" s="39">
        <v>972</v>
      </c>
      <c r="B710" s="40" t="s">
        <v>2616</v>
      </c>
      <c r="C710" s="39">
        <v>1</v>
      </c>
      <c r="E710" s="39">
        <v>1</v>
      </c>
      <c r="F710" s="39">
        <v>810</v>
      </c>
      <c r="G710" s="39">
        <v>1</v>
      </c>
      <c r="H710" s="39">
        <v>1</v>
      </c>
      <c r="I710" s="39">
        <v>1</v>
      </c>
      <c r="J710" s="39">
        <v>0</v>
      </c>
      <c r="K710" s="39">
        <v>0</v>
      </c>
      <c r="L710" s="39">
        <v>0</v>
      </c>
      <c r="M710" s="39">
        <v>0</v>
      </c>
      <c r="N710" s="39">
        <v>0</v>
      </c>
      <c r="O710" s="39">
        <v>0</v>
      </c>
      <c r="P710" s="39">
        <v>0</v>
      </c>
      <c r="Q710" s="39">
        <v>0</v>
      </c>
      <c r="R710" s="39">
        <v>0</v>
      </c>
      <c r="S710" s="39">
        <v>0</v>
      </c>
      <c r="T710" s="39">
        <v>0</v>
      </c>
      <c r="U710" s="39">
        <v>0</v>
      </c>
      <c r="V710" s="39">
        <v>158</v>
      </c>
      <c r="W710" s="40" t="s">
        <v>7667</v>
      </c>
      <c r="X710" s="39">
        <v>1</v>
      </c>
    </row>
    <row r="711" spans="1:24">
      <c r="A711" s="39">
        <v>461</v>
      </c>
      <c r="B711" s="40" t="s">
        <v>2616</v>
      </c>
      <c r="C711" s="39">
        <v>1</v>
      </c>
      <c r="E711" s="39">
        <v>1</v>
      </c>
      <c r="F711" s="39">
        <v>810</v>
      </c>
      <c r="G711" s="39">
        <v>0</v>
      </c>
      <c r="H711" s="39">
        <v>0</v>
      </c>
      <c r="I711" s="39">
        <v>0</v>
      </c>
      <c r="J711" s="39">
        <v>0</v>
      </c>
      <c r="K711" s="39">
        <v>0</v>
      </c>
      <c r="L711" s="39">
        <v>0</v>
      </c>
      <c r="M711" s="39">
        <v>0</v>
      </c>
      <c r="N711" s="39">
        <v>0</v>
      </c>
      <c r="O711" s="39">
        <v>0</v>
      </c>
      <c r="P711" s="39">
        <v>0</v>
      </c>
      <c r="Q711" s="39">
        <v>0</v>
      </c>
      <c r="R711" s="39">
        <v>0</v>
      </c>
      <c r="S711" s="39">
        <v>0</v>
      </c>
      <c r="T711" s="39">
        <v>0</v>
      </c>
      <c r="U711" s="39">
        <v>0</v>
      </c>
      <c r="V711" s="39">
        <v>175</v>
      </c>
      <c r="W711" s="40" t="s">
        <v>7689</v>
      </c>
      <c r="X711" s="39">
        <v>1</v>
      </c>
    </row>
    <row r="712" spans="1:24">
      <c r="A712" s="39">
        <v>351</v>
      </c>
      <c r="B712" s="40" t="s">
        <v>2616</v>
      </c>
      <c r="C712" s="39">
        <v>1</v>
      </c>
      <c r="E712" s="39">
        <v>1</v>
      </c>
      <c r="F712" s="39">
        <v>810</v>
      </c>
      <c r="G712" s="39">
        <v>1</v>
      </c>
      <c r="H712" s="39">
        <v>1</v>
      </c>
      <c r="I712" s="39">
        <v>1</v>
      </c>
      <c r="J712" s="39">
        <v>0</v>
      </c>
      <c r="K712" s="39">
        <v>0</v>
      </c>
      <c r="L712" s="39">
        <v>0</v>
      </c>
      <c r="M712" s="39">
        <v>0</v>
      </c>
      <c r="N712" s="39">
        <v>0</v>
      </c>
      <c r="O712" s="39">
        <v>0</v>
      </c>
      <c r="P712" s="39">
        <v>0</v>
      </c>
      <c r="Q712" s="39">
        <v>0</v>
      </c>
      <c r="R712" s="39">
        <v>0</v>
      </c>
      <c r="S712" s="39">
        <v>0</v>
      </c>
      <c r="T712" s="39">
        <v>0</v>
      </c>
      <c r="U712" s="39">
        <v>0</v>
      </c>
      <c r="V712" s="39">
        <v>228</v>
      </c>
      <c r="W712" s="40" t="s">
        <v>7669</v>
      </c>
      <c r="X712" s="39">
        <v>1</v>
      </c>
    </row>
    <row r="713" spans="1:24">
      <c r="A713" s="39">
        <v>1742</v>
      </c>
      <c r="B713" s="40" t="s">
        <v>2616</v>
      </c>
      <c r="C713" s="39">
        <v>1</v>
      </c>
      <c r="E713" s="39">
        <v>0</v>
      </c>
      <c r="F713" s="39">
        <v>810</v>
      </c>
      <c r="G713" s="39">
        <v>0</v>
      </c>
      <c r="H713" s="39">
        <v>0</v>
      </c>
      <c r="I713" s="39">
        <v>0</v>
      </c>
      <c r="J713" s="39">
        <v>0</v>
      </c>
      <c r="K713" s="39">
        <v>0</v>
      </c>
      <c r="L713" s="39">
        <v>0</v>
      </c>
      <c r="M713" s="39">
        <v>0</v>
      </c>
      <c r="N713" s="39">
        <v>0</v>
      </c>
      <c r="O713" s="39">
        <v>0</v>
      </c>
      <c r="P713" s="39">
        <v>0</v>
      </c>
      <c r="Q713" s="39">
        <v>0</v>
      </c>
      <c r="R713" s="39">
        <v>0</v>
      </c>
      <c r="S713" s="39">
        <v>0</v>
      </c>
      <c r="T713" s="39">
        <v>0</v>
      </c>
      <c r="U713" s="39">
        <v>0</v>
      </c>
      <c r="V713" s="39">
        <v>244</v>
      </c>
      <c r="W713" s="40" t="s">
        <v>682</v>
      </c>
      <c r="X713" s="39">
        <v>1</v>
      </c>
    </row>
    <row r="714" spans="1:24">
      <c r="A714" s="39">
        <v>718</v>
      </c>
      <c r="B714" s="40" t="s">
        <v>2616</v>
      </c>
      <c r="C714" s="39">
        <v>1</v>
      </c>
      <c r="E714" s="39">
        <v>1</v>
      </c>
      <c r="F714" s="39">
        <v>810</v>
      </c>
      <c r="G714" s="39">
        <v>0</v>
      </c>
      <c r="H714" s="39">
        <v>0</v>
      </c>
      <c r="I714" s="39">
        <v>0</v>
      </c>
      <c r="J714" s="39">
        <v>0</v>
      </c>
      <c r="K714" s="39">
        <v>0</v>
      </c>
      <c r="L714" s="39">
        <v>0</v>
      </c>
      <c r="M714" s="39">
        <v>0</v>
      </c>
      <c r="N714" s="39">
        <v>0</v>
      </c>
      <c r="O714" s="39">
        <v>0</v>
      </c>
      <c r="P714" s="39">
        <v>0</v>
      </c>
      <c r="Q714" s="39">
        <v>0</v>
      </c>
      <c r="R714" s="39">
        <v>0</v>
      </c>
      <c r="S714" s="39">
        <v>0</v>
      </c>
      <c r="T714" s="39">
        <v>0</v>
      </c>
      <c r="U714" s="39">
        <v>0</v>
      </c>
      <c r="V714" s="39">
        <v>381</v>
      </c>
      <c r="W714" s="40" t="s">
        <v>7805</v>
      </c>
      <c r="X714" s="39">
        <v>1</v>
      </c>
    </row>
    <row r="715" spans="1:24">
      <c r="A715" s="39">
        <v>1245</v>
      </c>
      <c r="B715" s="40" t="s">
        <v>2616</v>
      </c>
      <c r="C715" s="39">
        <v>1</v>
      </c>
      <c r="E715" s="39">
        <v>1</v>
      </c>
      <c r="F715" s="39">
        <v>810</v>
      </c>
      <c r="G715" s="39">
        <v>1</v>
      </c>
      <c r="H715" s="39">
        <v>1</v>
      </c>
      <c r="I715" s="39">
        <v>1</v>
      </c>
      <c r="J715" s="39">
        <v>1</v>
      </c>
      <c r="K715" s="39">
        <v>0</v>
      </c>
      <c r="L715" s="39">
        <v>0</v>
      </c>
      <c r="M715" s="39">
        <v>0</v>
      </c>
      <c r="N715" s="39">
        <v>0</v>
      </c>
      <c r="O715" s="39">
        <v>0</v>
      </c>
      <c r="P715" s="39">
        <v>0</v>
      </c>
      <c r="Q715" s="39">
        <v>0</v>
      </c>
      <c r="R715" s="39">
        <v>0</v>
      </c>
      <c r="S715" s="39">
        <v>0</v>
      </c>
      <c r="T715" s="39">
        <v>0</v>
      </c>
      <c r="U715" s="39">
        <v>0</v>
      </c>
      <c r="V715" s="39">
        <v>418</v>
      </c>
      <c r="W715" s="40" t="s">
        <v>7671</v>
      </c>
      <c r="X715" s="39">
        <v>1</v>
      </c>
    </row>
    <row r="716" spans="1:24">
      <c r="A716" s="39">
        <v>1403</v>
      </c>
      <c r="B716" s="40" t="s">
        <v>2616</v>
      </c>
      <c r="C716" s="39">
        <v>1</v>
      </c>
      <c r="E716" s="39">
        <v>0</v>
      </c>
      <c r="F716" s="39">
        <v>810</v>
      </c>
      <c r="G716" s="39">
        <v>0</v>
      </c>
      <c r="H716" s="39">
        <v>0</v>
      </c>
      <c r="I716" s="39">
        <v>0</v>
      </c>
      <c r="J716" s="39">
        <v>0</v>
      </c>
      <c r="K716" s="39">
        <v>0</v>
      </c>
      <c r="L716" s="39">
        <v>0</v>
      </c>
      <c r="M716" s="39">
        <v>0</v>
      </c>
      <c r="N716" s="39">
        <v>0</v>
      </c>
      <c r="O716" s="39">
        <v>0</v>
      </c>
      <c r="P716" s="39">
        <v>0</v>
      </c>
      <c r="Q716" s="39">
        <v>0</v>
      </c>
      <c r="R716" s="39">
        <v>0</v>
      </c>
      <c r="S716" s="39">
        <v>0</v>
      </c>
      <c r="T716" s="39">
        <v>0</v>
      </c>
      <c r="U716" s="39">
        <v>0</v>
      </c>
      <c r="V716" s="39">
        <v>456</v>
      </c>
      <c r="W716" s="40" t="s">
        <v>7673</v>
      </c>
      <c r="X716" s="39">
        <v>1</v>
      </c>
    </row>
    <row r="717" spans="1:24">
      <c r="A717" s="39">
        <v>858</v>
      </c>
      <c r="B717" s="40" t="s">
        <v>2616</v>
      </c>
      <c r="C717" s="39">
        <v>1</v>
      </c>
      <c r="E717" s="39">
        <v>1</v>
      </c>
      <c r="F717" s="39">
        <v>810</v>
      </c>
      <c r="G717" s="39">
        <v>1</v>
      </c>
      <c r="H717" s="39">
        <v>1</v>
      </c>
      <c r="I717" s="39">
        <v>1</v>
      </c>
      <c r="J717" s="39">
        <v>0</v>
      </c>
      <c r="K717" s="39">
        <v>0</v>
      </c>
      <c r="L717" s="39">
        <v>0</v>
      </c>
      <c r="M717" s="39">
        <v>0</v>
      </c>
      <c r="N717" s="39">
        <v>0</v>
      </c>
      <c r="O717" s="39">
        <v>0</v>
      </c>
      <c r="P717" s="39">
        <v>0</v>
      </c>
      <c r="Q717" s="39">
        <v>0</v>
      </c>
      <c r="R717" s="39">
        <v>0</v>
      </c>
      <c r="S717" s="39">
        <v>0</v>
      </c>
      <c r="T717" s="39">
        <v>0</v>
      </c>
      <c r="U717" s="39">
        <v>0</v>
      </c>
      <c r="V717" s="39">
        <v>458</v>
      </c>
      <c r="W717" s="40" t="s">
        <v>7694</v>
      </c>
      <c r="X717" s="39">
        <v>1</v>
      </c>
    </row>
    <row r="718" spans="1:24">
      <c r="A718" s="39">
        <v>1151</v>
      </c>
      <c r="B718" s="40" t="s">
        <v>2616</v>
      </c>
      <c r="C718" s="39">
        <v>1</v>
      </c>
      <c r="E718" s="39">
        <v>1</v>
      </c>
      <c r="F718" s="39">
        <v>810</v>
      </c>
      <c r="G718" s="39">
        <v>1</v>
      </c>
      <c r="H718" s="39">
        <v>1</v>
      </c>
      <c r="I718" s="39">
        <v>1</v>
      </c>
      <c r="J718" s="39">
        <v>0</v>
      </c>
      <c r="K718" s="39">
        <v>0</v>
      </c>
      <c r="L718" s="39">
        <v>0</v>
      </c>
      <c r="M718" s="39">
        <v>0</v>
      </c>
      <c r="N718" s="39">
        <v>0</v>
      </c>
      <c r="O718" s="39">
        <v>0</v>
      </c>
      <c r="P718" s="39">
        <v>0</v>
      </c>
      <c r="Q718" s="39">
        <v>0</v>
      </c>
      <c r="R718" s="39">
        <v>0</v>
      </c>
      <c r="S718" s="39">
        <v>0</v>
      </c>
      <c r="T718" s="39">
        <v>0</v>
      </c>
      <c r="U718" s="39">
        <v>0</v>
      </c>
      <c r="V718" s="39">
        <v>459</v>
      </c>
      <c r="W718" s="40" t="s">
        <v>7674</v>
      </c>
      <c r="X718" s="39">
        <v>1</v>
      </c>
    </row>
    <row r="719" spans="1:24">
      <c r="A719" s="39">
        <v>608</v>
      </c>
      <c r="B719" s="40" t="s">
        <v>2616</v>
      </c>
      <c r="C719" s="39">
        <v>1</v>
      </c>
      <c r="E719" s="39">
        <v>1</v>
      </c>
      <c r="F719" s="39">
        <v>810</v>
      </c>
      <c r="G719" s="39">
        <v>1</v>
      </c>
      <c r="H719" s="39">
        <v>1</v>
      </c>
      <c r="I719" s="39">
        <v>1</v>
      </c>
      <c r="J719" s="39">
        <v>0</v>
      </c>
      <c r="K719" s="39">
        <v>0</v>
      </c>
      <c r="L719" s="39">
        <v>0</v>
      </c>
      <c r="M719" s="39">
        <v>0</v>
      </c>
      <c r="N719" s="39">
        <v>0</v>
      </c>
      <c r="O719" s="39">
        <v>0</v>
      </c>
      <c r="P719" s="39">
        <v>0</v>
      </c>
      <c r="Q719" s="39">
        <v>0</v>
      </c>
      <c r="R719" s="39">
        <v>0</v>
      </c>
      <c r="S719" s="39">
        <v>0</v>
      </c>
      <c r="T719" s="39">
        <v>0</v>
      </c>
      <c r="U719" s="39">
        <v>0</v>
      </c>
      <c r="V719" s="39">
        <v>468</v>
      </c>
      <c r="W719" s="40" t="s">
        <v>7677</v>
      </c>
      <c r="X719" s="39">
        <v>1</v>
      </c>
    </row>
    <row r="720" spans="1:24">
      <c r="A720" s="39">
        <v>1055</v>
      </c>
      <c r="B720" s="40" t="s">
        <v>2616</v>
      </c>
      <c r="C720" s="39">
        <v>1</v>
      </c>
      <c r="E720" s="39">
        <v>1</v>
      </c>
      <c r="F720" s="39">
        <v>810</v>
      </c>
      <c r="G720" s="39">
        <v>1</v>
      </c>
      <c r="H720" s="39">
        <v>1</v>
      </c>
      <c r="I720" s="39">
        <v>1</v>
      </c>
      <c r="J720" s="39">
        <v>0</v>
      </c>
      <c r="K720" s="39">
        <v>0</v>
      </c>
      <c r="L720" s="39">
        <v>0</v>
      </c>
      <c r="M720" s="39">
        <v>0</v>
      </c>
      <c r="N720" s="39">
        <v>0</v>
      </c>
      <c r="O720" s="39">
        <v>0</v>
      </c>
      <c r="P720" s="39">
        <v>0</v>
      </c>
      <c r="Q720" s="39">
        <v>0</v>
      </c>
      <c r="R720" s="39">
        <v>0</v>
      </c>
      <c r="S720" s="39">
        <v>0</v>
      </c>
      <c r="T720" s="39">
        <v>0</v>
      </c>
      <c r="U720" s="39">
        <v>0</v>
      </c>
      <c r="V720" s="39">
        <v>477</v>
      </c>
      <c r="W720" s="40" t="s">
        <v>7697</v>
      </c>
      <c r="X720" s="39">
        <v>1</v>
      </c>
    </row>
    <row r="721" spans="1:24">
      <c r="A721" s="39">
        <v>240</v>
      </c>
      <c r="B721" s="40" t="s">
        <v>2616</v>
      </c>
      <c r="C721" s="39">
        <v>1</v>
      </c>
      <c r="E721" s="39">
        <v>1</v>
      </c>
      <c r="F721" s="39">
        <v>810</v>
      </c>
      <c r="G721" s="39">
        <v>1</v>
      </c>
      <c r="H721" s="39">
        <v>1</v>
      </c>
      <c r="I721" s="39">
        <v>1</v>
      </c>
      <c r="J721" s="39">
        <v>0</v>
      </c>
      <c r="K721" s="39">
        <v>0</v>
      </c>
      <c r="L721" s="39">
        <v>0</v>
      </c>
      <c r="M721" s="39">
        <v>0</v>
      </c>
      <c r="N721" s="39">
        <v>0</v>
      </c>
      <c r="O721" s="39">
        <v>0</v>
      </c>
      <c r="P721" s="39">
        <v>0</v>
      </c>
      <c r="Q721" s="39">
        <v>0</v>
      </c>
      <c r="R721" s="39">
        <v>0</v>
      </c>
      <c r="S721" s="39">
        <v>0</v>
      </c>
      <c r="T721" s="39">
        <v>0</v>
      </c>
      <c r="U721" s="39">
        <v>0</v>
      </c>
      <c r="V721" s="39">
        <v>590</v>
      </c>
      <c r="W721" s="40" t="s">
        <v>7679</v>
      </c>
      <c r="X721" s="39">
        <v>1</v>
      </c>
    </row>
    <row r="722" spans="1:24">
      <c r="A722" s="39">
        <v>788</v>
      </c>
      <c r="B722" s="40" t="s">
        <v>2616</v>
      </c>
      <c r="C722" s="39">
        <v>1</v>
      </c>
      <c r="E722" s="39">
        <v>1</v>
      </c>
      <c r="F722" s="39">
        <v>810</v>
      </c>
      <c r="G722" s="39">
        <v>1</v>
      </c>
      <c r="H722" s="39">
        <v>1</v>
      </c>
      <c r="I722" s="39">
        <v>1</v>
      </c>
      <c r="J722" s="39">
        <v>0</v>
      </c>
      <c r="K722" s="39">
        <v>0</v>
      </c>
      <c r="L722" s="39">
        <v>0</v>
      </c>
      <c r="M722" s="39">
        <v>0</v>
      </c>
      <c r="N722" s="39">
        <v>0</v>
      </c>
      <c r="O722" s="39">
        <v>0</v>
      </c>
      <c r="P722" s="39">
        <v>0</v>
      </c>
      <c r="Q722" s="39">
        <v>0</v>
      </c>
      <c r="R722" s="39">
        <v>0</v>
      </c>
      <c r="S722" s="39">
        <v>0</v>
      </c>
      <c r="T722" s="39">
        <v>0</v>
      </c>
      <c r="U722" s="39">
        <v>0</v>
      </c>
      <c r="V722" s="39">
        <v>733</v>
      </c>
      <c r="W722" s="40" t="s">
        <v>7680</v>
      </c>
      <c r="X722" s="39">
        <v>1</v>
      </c>
    </row>
    <row r="723" spans="1:24">
      <c r="A723" s="39">
        <v>132</v>
      </c>
      <c r="B723" s="50" t="s">
        <v>1080</v>
      </c>
      <c r="C723" s="39">
        <v>1</v>
      </c>
      <c r="E723" s="39">
        <v>0</v>
      </c>
      <c r="F723" s="39">
        <v>815</v>
      </c>
      <c r="G723" s="39">
        <v>0</v>
      </c>
      <c r="H723" s="39">
        <v>0</v>
      </c>
      <c r="I723" s="39">
        <v>0</v>
      </c>
      <c r="J723" s="39">
        <v>0</v>
      </c>
      <c r="K723" s="39">
        <v>0</v>
      </c>
      <c r="L723" s="39">
        <v>0</v>
      </c>
      <c r="M723" s="39">
        <v>0</v>
      </c>
      <c r="N723" s="39">
        <v>0</v>
      </c>
      <c r="O723" s="39">
        <v>0</v>
      </c>
      <c r="P723" s="39">
        <v>0</v>
      </c>
      <c r="Q723" s="39">
        <v>0</v>
      </c>
      <c r="R723" s="39">
        <v>0</v>
      </c>
      <c r="S723" s="39">
        <v>0</v>
      </c>
      <c r="T723" s="39">
        <v>0</v>
      </c>
      <c r="U723" s="39">
        <v>0</v>
      </c>
      <c r="V723" s="39">
        <v>1</v>
      </c>
      <c r="W723" s="40" t="s">
        <v>518</v>
      </c>
      <c r="X723" s="39">
        <v>1</v>
      </c>
    </row>
    <row r="724" spans="1:24">
      <c r="A724" s="39">
        <v>44</v>
      </c>
      <c r="B724" s="40" t="s">
        <v>1080</v>
      </c>
      <c r="C724" s="39">
        <v>0</v>
      </c>
      <c r="D724" s="40" t="s">
        <v>7844</v>
      </c>
      <c r="E724" s="39">
        <v>1</v>
      </c>
      <c r="F724" s="39">
        <v>43</v>
      </c>
      <c r="G724" s="39">
        <v>1</v>
      </c>
      <c r="H724" s="39">
        <v>0</v>
      </c>
      <c r="I724" s="39">
        <v>0</v>
      </c>
      <c r="J724" s="39">
        <v>0</v>
      </c>
      <c r="K724" s="39">
        <v>0</v>
      </c>
      <c r="L724" s="39">
        <v>0</v>
      </c>
      <c r="M724" s="39">
        <v>0</v>
      </c>
      <c r="N724" s="39">
        <v>0</v>
      </c>
      <c r="O724" s="39">
        <v>0</v>
      </c>
      <c r="P724" s="39">
        <v>0</v>
      </c>
      <c r="Q724" s="39">
        <v>0</v>
      </c>
      <c r="R724" s="39">
        <v>0</v>
      </c>
      <c r="S724" s="39">
        <v>0</v>
      </c>
      <c r="T724" s="39">
        <v>0</v>
      </c>
      <c r="U724" s="39">
        <v>0</v>
      </c>
      <c r="V724" s="39">
        <v>2</v>
      </c>
      <c r="W724" s="40" t="s">
        <v>40</v>
      </c>
      <c r="X724" s="39">
        <v>1</v>
      </c>
    </row>
    <row r="725" spans="1:24">
      <c r="A725" s="39">
        <v>973</v>
      </c>
      <c r="B725" s="40" t="s">
        <v>1080</v>
      </c>
      <c r="C725" s="39">
        <v>1</v>
      </c>
      <c r="E725" s="39">
        <v>0</v>
      </c>
      <c r="F725" s="39">
        <v>815</v>
      </c>
      <c r="G725" s="39">
        <v>1</v>
      </c>
      <c r="H725" s="39">
        <v>1</v>
      </c>
      <c r="I725" s="39">
        <v>1</v>
      </c>
      <c r="J725" s="39">
        <v>0</v>
      </c>
      <c r="K725" s="39">
        <v>0</v>
      </c>
      <c r="L725" s="39">
        <v>0</v>
      </c>
      <c r="M725" s="39">
        <v>0</v>
      </c>
      <c r="N725" s="39">
        <v>0</v>
      </c>
      <c r="O725" s="39">
        <v>0</v>
      </c>
      <c r="P725" s="39">
        <v>0</v>
      </c>
      <c r="Q725" s="39">
        <v>0</v>
      </c>
      <c r="R725" s="39">
        <v>0</v>
      </c>
      <c r="S725" s="39">
        <v>0</v>
      </c>
      <c r="T725" s="39">
        <v>0</v>
      </c>
      <c r="U725" s="39">
        <v>0</v>
      </c>
      <c r="V725" s="39">
        <v>158</v>
      </c>
      <c r="W725" s="40" t="s">
        <v>7667</v>
      </c>
      <c r="X725" s="39">
        <v>1</v>
      </c>
    </row>
    <row r="726" spans="1:24">
      <c r="A726" s="39">
        <v>462</v>
      </c>
      <c r="B726" s="40" t="s">
        <v>1080</v>
      </c>
      <c r="C726" s="39">
        <v>1</v>
      </c>
      <c r="E726" s="39">
        <v>1</v>
      </c>
      <c r="F726" s="39">
        <v>815</v>
      </c>
      <c r="G726" s="39">
        <v>0</v>
      </c>
      <c r="H726" s="39">
        <v>0</v>
      </c>
      <c r="I726" s="39">
        <v>0</v>
      </c>
      <c r="J726" s="39">
        <v>0</v>
      </c>
      <c r="K726" s="39">
        <v>0</v>
      </c>
      <c r="L726" s="39">
        <v>0</v>
      </c>
      <c r="M726" s="39">
        <v>0</v>
      </c>
      <c r="N726" s="39">
        <v>0</v>
      </c>
      <c r="O726" s="39">
        <v>0</v>
      </c>
      <c r="P726" s="39">
        <v>0</v>
      </c>
      <c r="Q726" s="39">
        <v>0</v>
      </c>
      <c r="R726" s="39">
        <v>0</v>
      </c>
      <c r="S726" s="39">
        <v>0</v>
      </c>
      <c r="T726" s="39">
        <v>0</v>
      </c>
      <c r="U726" s="39">
        <v>0</v>
      </c>
      <c r="V726" s="39">
        <v>175</v>
      </c>
      <c r="W726" s="40" t="s">
        <v>7689</v>
      </c>
      <c r="X726" s="39">
        <v>1</v>
      </c>
    </row>
    <row r="727" spans="1:24">
      <c r="A727" s="39">
        <v>352</v>
      </c>
      <c r="B727" s="40" t="s">
        <v>1080</v>
      </c>
      <c r="C727" s="39">
        <v>1</v>
      </c>
      <c r="E727" s="39">
        <v>1</v>
      </c>
      <c r="F727" s="39">
        <v>815</v>
      </c>
      <c r="G727" s="39">
        <v>1</v>
      </c>
      <c r="H727" s="39">
        <v>1</v>
      </c>
      <c r="I727" s="39">
        <v>1</v>
      </c>
      <c r="J727" s="39">
        <v>0</v>
      </c>
      <c r="K727" s="39">
        <v>0</v>
      </c>
      <c r="L727" s="39">
        <v>0</v>
      </c>
      <c r="M727" s="39">
        <v>0</v>
      </c>
      <c r="N727" s="39">
        <v>0</v>
      </c>
      <c r="O727" s="39">
        <v>0</v>
      </c>
      <c r="P727" s="39">
        <v>0</v>
      </c>
      <c r="Q727" s="39">
        <v>0</v>
      </c>
      <c r="R727" s="39">
        <v>0</v>
      </c>
      <c r="S727" s="39">
        <v>0</v>
      </c>
      <c r="T727" s="39">
        <v>0</v>
      </c>
      <c r="U727" s="39">
        <v>0</v>
      </c>
      <c r="V727" s="39">
        <v>228</v>
      </c>
      <c r="W727" s="40" t="s">
        <v>7669</v>
      </c>
      <c r="X727" s="39">
        <v>1</v>
      </c>
    </row>
    <row r="728" spans="1:24">
      <c r="A728" s="39">
        <v>1743</v>
      </c>
      <c r="B728" s="40" t="s">
        <v>1080</v>
      </c>
      <c r="C728" s="39">
        <v>1</v>
      </c>
      <c r="E728" s="39">
        <v>0</v>
      </c>
      <c r="F728" s="39">
        <v>815</v>
      </c>
      <c r="G728" s="39">
        <v>0</v>
      </c>
      <c r="H728" s="39">
        <v>0</v>
      </c>
      <c r="I728" s="39">
        <v>0</v>
      </c>
      <c r="J728" s="39">
        <v>0</v>
      </c>
      <c r="K728" s="39">
        <v>0</v>
      </c>
      <c r="L728" s="39">
        <v>0</v>
      </c>
      <c r="M728" s="39">
        <v>0</v>
      </c>
      <c r="N728" s="39">
        <v>0</v>
      </c>
      <c r="O728" s="39">
        <v>0</v>
      </c>
      <c r="P728" s="39">
        <v>0</v>
      </c>
      <c r="Q728" s="39">
        <v>0</v>
      </c>
      <c r="R728" s="39">
        <v>0</v>
      </c>
      <c r="S728" s="39">
        <v>0</v>
      </c>
      <c r="T728" s="39">
        <v>0</v>
      </c>
      <c r="U728" s="39">
        <v>0</v>
      </c>
      <c r="V728" s="39">
        <v>244</v>
      </c>
      <c r="W728" s="40" t="s">
        <v>682</v>
      </c>
      <c r="X728" s="39">
        <v>1</v>
      </c>
    </row>
    <row r="729" spans="1:24">
      <c r="A729" s="39">
        <v>719</v>
      </c>
      <c r="B729" s="40" t="s">
        <v>1080</v>
      </c>
      <c r="C729" s="39">
        <v>1</v>
      </c>
      <c r="E729" s="39">
        <v>1</v>
      </c>
      <c r="F729" s="39">
        <v>815</v>
      </c>
      <c r="G729" s="39">
        <v>0</v>
      </c>
      <c r="H729" s="39">
        <v>0</v>
      </c>
      <c r="I729" s="39">
        <v>0</v>
      </c>
      <c r="J729" s="39">
        <v>0</v>
      </c>
      <c r="K729" s="39">
        <v>0</v>
      </c>
      <c r="L729" s="39">
        <v>0</v>
      </c>
      <c r="M729" s="39">
        <v>0</v>
      </c>
      <c r="N729" s="39">
        <v>0</v>
      </c>
      <c r="O729" s="39">
        <v>0</v>
      </c>
      <c r="P729" s="39">
        <v>0</v>
      </c>
      <c r="Q729" s="39">
        <v>0</v>
      </c>
      <c r="R729" s="39">
        <v>0</v>
      </c>
      <c r="S729" s="39">
        <v>0</v>
      </c>
      <c r="T729" s="39">
        <v>0</v>
      </c>
      <c r="U729" s="39">
        <v>0</v>
      </c>
      <c r="V729" s="39">
        <v>381</v>
      </c>
      <c r="W729" s="40" t="s">
        <v>7805</v>
      </c>
      <c r="X729" s="39">
        <v>1</v>
      </c>
    </row>
    <row r="730" spans="1:24">
      <c r="A730" s="39">
        <v>1246</v>
      </c>
      <c r="B730" s="40" t="s">
        <v>1080</v>
      </c>
      <c r="C730" s="39">
        <v>1</v>
      </c>
      <c r="E730" s="39">
        <v>0</v>
      </c>
      <c r="F730" s="39">
        <v>815</v>
      </c>
      <c r="G730" s="39">
        <v>0</v>
      </c>
      <c r="H730" s="39">
        <v>0</v>
      </c>
      <c r="I730" s="39">
        <v>0</v>
      </c>
      <c r="J730" s="39">
        <v>0</v>
      </c>
      <c r="K730" s="39">
        <v>0</v>
      </c>
      <c r="L730" s="39">
        <v>0</v>
      </c>
      <c r="M730" s="39">
        <v>0</v>
      </c>
      <c r="N730" s="39">
        <v>0</v>
      </c>
      <c r="O730" s="39">
        <v>0</v>
      </c>
      <c r="P730" s="39">
        <v>0</v>
      </c>
      <c r="Q730" s="39">
        <v>0</v>
      </c>
      <c r="R730" s="39">
        <v>0</v>
      </c>
      <c r="S730" s="39">
        <v>0</v>
      </c>
      <c r="T730" s="39">
        <v>0</v>
      </c>
      <c r="U730" s="39">
        <v>0</v>
      </c>
      <c r="V730" s="39">
        <v>418</v>
      </c>
      <c r="W730" s="40" t="s">
        <v>7671</v>
      </c>
      <c r="X730" s="39">
        <v>1</v>
      </c>
    </row>
    <row r="731" spans="1:24">
      <c r="A731" s="39">
        <v>1404</v>
      </c>
      <c r="B731" s="40" t="s">
        <v>1080</v>
      </c>
      <c r="C731" s="39">
        <v>1</v>
      </c>
      <c r="E731" s="39">
        <v>0</v>
      </c>
      <c r="F731" s="39">
        <v>815</v>
      </c>
      <c r="G731" s="39">
        <v>0</v>
      </c>
      <c r="H731" s="39">
        <v>0</v>
      </c>
      <c r="I731" s="39">
        <v>0</v>
      </c>
      <c r="J731" s="39">
        <v>0</v>
      </c>
      <c r="K731" s="39">
        <v>0</v>
      </c>
      <c r="L731" s="39">
        <v>0</v>
      </c>
      <c r="M731" s="39">
        <v>0</v>
      </c>
      <c r="N731" s="39">
        <v>0</v>
      </c>
      <c r="O731" s="39">
        <v>0</v>
      </c>
      <c r="P731" s="39">
        <v>0</v>
      </c>
      <c r="Q731" s="39">
        <v>0</v>
      </c>
      <c r="R731" s="39">
        <v>0</v>
      </c>
      <c r="S731" s="39">
        <v>0</v>
      </c>
      <c r="T731" s="39">
        <v>0</v>
      </c>
      <c r="U731" s="39">
        <v>0</v>
      </c>
      <c r="V731" s="39">
        <v>456</v>
      </c>
      <c r="W731" s="40" t="s">
        <v>7673</v>
      </c>
      <c r="X731" s="39">
        <v>1</v>
      </c>
    </row>
    <row r="732" spans="1:24">
      <c r="A732" s="39">
        <v>859</v>
      </c>
      <c r="B732" s="40" t="s">
        <v>1080</v>
      </c>
      <c r="C732" s="39">
        <v>1</v>
      </c>
      <c r="E732" s="39">
        <v>0</v>
      </c>
      <c r="F732" s="39">
        <v>815</v>
      </c>
      <c r="G732" s="39">
        <v>1</v>
      </c>
      <c r="H732" s="39">
        <v>1</v>
      </c>
      <c r="I732" s="39">
        <v>1</v>
      </c>
      <c r="J732" s="39">
        <v>0</v>
      </c>
      <c r="K732" s="39">
        <v>0</v>
      </c>
      <c r="L732" s="39">
        <v>0</v>
      </c>
      <c r="M732" s="39">
        <v>0</v>
      </c>
      <c r="N732" s="39">
        <v>0</v>
      </c>
      <c r="O732" s="39">
        <v>0</v>
      </c>
      <c r="P732" s="39">
        <v>0</v>
      </c>
      <c r="Q732" s="39">
        <v>0</v>
      </c>
      <c r="R732" s="39">
        <v>0</v>
      </c>
      <c r="S732" s="39">
        <v>0</v>
      </c>
      <c r="T732" s="39">
        <v>0</v>
      </c>
      <c r="U732" s="39">
        <v>0</v>
      </c>
      <c r="V732" s="39">
        <v>458</v>
      </c>
      <c r="W732" s="40" t="s">
        <v>7694</v>
      </c>
      <c r="X732" s="39">
        <v>1</v>
      </c>
    </row>
    <row r="733" spans="1:24">
      <c r="A733" s="39">
        <v>1152</v>
      </c>
      <c r="B733" s="40" t="s">
        <v>1080</v>
      </c>
      <c r="C733" s="39">
        <v>1</v>
      </c>
      <c r="E733" s="39">
        <v>0</v>
      </c>
      <c r="F733" s="39">
        <v>815</v>
      </c>
      <c r="G733" s="39">
        <v>1</v>
      </c>
      <c r="H733" s="39">
        <v>1</v>
      </c>
      <c r="I733" s="39">
        <v>1</v>
      </c>
      <c r="J733" s="39">
        <v>0</v>
      </c>
      <c r="K733" s="39">
        <v>0</v>
      </c>
      <c r="L733" s="39">
        <v>0</v>
      </c>
      <c r="M733" s="39">
        <v>0</v>
      </c>
      <c r="N733" s="39">
        <v>0</v>
      </c>
      <c r="O733" s="39">
        <v>0</v>
      </c>
      <c r="P733" s="39">
        <v>0</v>
      </c>
      <c r="Q733" s="39">
        <v>0</v>
      </c>
      <c r="R733" s="39">
        <v>0</v>
      </c>
      <c r="S733" s="39">
        <v>0</v>
      </c>
      <c r="T733" s="39">
        <v>0</v>
      </c>
      <c r="U733" s="39">
        <v>0</v>
      </c>
      <c r="V733" s="39">
        <v>459</v>
      </c>
      <c r="W733" s="40" t="s">
        <v>7674</v>
      </c>
      <c r="X733" s="39">
        <v>1</v>
      </c>
    </row>
    <row r="734" spans="1:24">
      <c r="A734" s="39">
        <v>609</v>
      </c>
      <c r="B734" s="40" t="s">
        <v>1080</v>
      </c>
      <c r="C734" s="39">
        <v>1</v>
      </c>
      <c r="E734" s="39">
        <v>0</v>
      </c>
      <c r="F734" s="39">
        <v>815</v>
      </c>
      <c r="G734" s="39">
        <v>1</v>
      </c>
      <c r="H734" s="39">
        <v>1</v>
      </c>
      <c r="I734" s="39">
        <v>1</v>
      </c>
      <c r="J734" s="39">
        <v>0</v>
      </c>
      <c r="K734" s="39">
        <v>0</v>
      </c>
      <c r="L734" s="39">
        <v>0</v>
      </c>
      <c r="M734" s="39">
        <v>0</v>
      </c>
      <c r="N734" s="39">
        <v>0</v>
      </c>
      <c r="O734" s="39">
        <v>0</v>
      </c>
      <c r="P734" s="39">
        <v>0</v>
      </c>
      <c r="Q734" s="39">
        <v>0</v>
      </c>
      <c r="R734" s="39">
        <v>0</v>
      </c>
      <c r="S734" s="39">
        <v>0</v>
      </c>
      <c r="T734" s="39">
        <v>0</v>
      </c>
      <c r="U734" s="39">
        <v>0</v>
      </c>
      <c r="V734" s="39">
        <v>468</v>
      </c>
      <c r="W734" s="40" t="s">
        <v>7677</v>
      </c>
      <c r="X734" s="39">
        <v>1</v>
      </c>
    </row>
    <row r="735" spans="1:24">
      <c r="A735" s="39">
        <v>1056</v>
      </c>
      <c r="B735" s="40" t="s">
        <v>1080</v>
      </c>
      <c r="C735" s="39">
        <v>1</v>
      </c>
      <c r="E735" s="39">
        <v>1</v>
      </c>
      <c r="F735" s="39">
        <v>815</v>
      </c>
      <c r="G735" s="39">
        <v>1</v>
      </c>
      <c r="H735" s="39">
        <v>1</v>
      </c>
      <c r="I735" s="39">
        <v>1</v>
      </c>
      <c r="J735" s="39">
        <v>1</v>
      </c>
      <c r="K735" s="39">
        <v>0</v>
      </c>
      <c r="L735" s="39">
        <v>0</v>
      </c>
      <c r="M735" s="39">
        <v>0</v>
      </c>
      <c r="N735" s="39">
        <v>0</v>
      </c>
      <c r="O735" s="39">
        <v>0</v>
      </c>
      <c r="P735" s="39">
        <v>0</v>
      </c>
      <c r="Q735" s="39">
        <v>0</v>
      </c>
      <c r="R735" s="39">
        <v>0</v>
      </c>
      <c r="S735" s="39">
        <v>0</v>
      </c>
      <c r="T735" s="39">
        <v>0</v>
      </c>
      <c r="U735" s="39">
        <v>0</v>
      </c>
      <c r="V735" s="39">
        <v>477</v>
      </c>
      <c r="W735" s="40" t="s">
        <v>7697</v>
      </c>
      <c r="X735" s="39">
        <v>1</v>
      </c>
    </row>
    <row r="736" spans="1:24">
      <c r="A736" s="39">
        <v>241</v>
      </c>
      <c r="B736" s="40" t="s">
        <v>1080</v>
      </c>
      <c r="C736" s="39">
        <v>1</v>
      </c>
      <c r="E736" s="39">
        <v>1</v>
      </c>
      <c r="F736" s="39">
        <v>815</v>
      </c>
      <c r="G736" s="39">
        <v>1</v>
      </c>
      <c r="H736" s="39">
        <v>1</v>
      </c>
      <c r="I736" s="39">
        <v>1</v>
      </c>
      <c r="J736" s="39">
        <v>0</v>
      </c>
      <c r="K736" s="39">
        <v>0</v>
      </c>
      <c r="L736" s="39">
        <v>0</v>
      </c>
      <c r="M736" s="39">
        <v>0</v>
      </c>
      <c r="N736" s="39">
        <v>0</v>
      </c>
      <c r="O736" s="39">
        <v>0</v>
      </c>
      <c r="P736" s="39">
        <v>0</v>
      </c>
      <c r="Q736" s="39">
        <v>0</v>
      </c>
      <c r="R736" s="39">
        <v>0</v>
      </c>
      <c r="S736" s="39">
        <v>0</v>
      </c>
      <c r="T736" s="39">
        <v>0</v>
      </c>
      <c r="U736" s="39">
        <v>0</v>
      </c>
      <c r="V736" s="39">
        <v>590</v>
      </c>
      <c r="W736" s="40" t="s">
        <v>7679</v>
      </c>
      <c r="X736" s="39">
        <v>1</v>
      </c>
    </row>
    <row r="737" spans="1:24">
      <c r="A737" s="39">
        <v>789</v>
      </c>
      <c r="B737" s="40" t="s">
        <v>1080</v>
      </c>
      <c r="C737" s="39">
        <v>1</v>
      </c>
      <c r="E737" s="39">
        <v>0</v>
      </c>
      <c r="F737" s="39">
        <v>815</v>
      </c>
      <c r="G737" s="39">
        <v>1</v>
      </c>
      <c r="H737" s="39">
        <v>1</v>
      </c>
      <c r="I737" s="39">
        <v>1</v>
      </c>
      <c r="J737" s="39">
        <v>0</v>
      </c>
      <c r="K737" s="39">
        <v>0</v>
      </c>
      <c r="L737" s="39">
        <v>0</v>
      </c>
      <c r="M737" s="39">
        <v>0</v>
      </c>
      <c r="N737" s="39">
        <v>0</v>
      </c>
      <c r="O737" s="39">
        <v>0</v>
      </c>
      <c r="P737" s="39">
        <v>0</v>
      </c>
      <c r="Q737" s="39">
        <v>0</v>
      </c>
      <c r="R737" s="39">
        <v>0</v>
      </c>
      <c r="S737" s="39">
        <v>0</v>
      </c>
      <c r="T737" s="39">
        <v>0</v>
      </c>
      <c r="U737" s="39">
        <v>0</v>
      </c>
      <c r="V737" s="39">
        <v>733</v>
      </c>
      <c r="W737" s="40" t="s">
        <v>7680</v>
      </c>
      <c r="X737" s="39">
        <v>1</v>
      </c>
    </row>
    <row r="738" spans="1:24">
      <c r="A738" s="39">
        <v>109</v>
      </c>
      <c r="B738" s="50" t="s">
        <v>7681</v>
      </c>
      <c r="C738" s="39">
        <v>1</v>
      </c>
      <c r="E738" s="39">
        <v>1</v>
      </c>
      <c r="F738" s="39">
        <v>400</v>
      </c>
      <c r="G738" s="39">
        <v>0</v>
      </c>
      <c r="H738" s="39">
        <v>0</v>
      </c>
      <c r="I738" s="39">
        <v>0</v>
      </c>
      <c r="J738" s="39">
        <v>0</v>
      </c>
      <c r="K738" s="39">
        <v>0</v>
      </c>
      <c r="L738" s="39">
        <v>0</v>
      </c>
      <c r="M738" s="39">
        <v>0</v>
      </c>
      <c r="N738" s="39">
        <v>0</v>
      </c>
      <c r="O738" s="39">
        <v>0</v>
      </c>
      <c r="P738" s="39">
        <v>0</v>
      </c>
      <c r="Q738" s="39">
        <v>0</v>
      </c>
      <c r="R738" s="39">
        <v>0</v>
      </c>
      <c r="S738" s="39">
        <v>0</v>
      </c>
      <c r="T738" s="39">
        <v>0</v>
      </c>
      <c r="U738" s="39">
        <v>0</v>
      </c>
      <c r="V738" s="39">
        <v>1</v>
      </c>
      <c r="W738" s="40" t="s">
        <v>518</v>
      </c>
      <c r="X738" s="39">
        <v>1</v>
      </c>
    </row>
    <row r="739" spans="1:24">
      <c r="A739" s="39">
        <v>21</v>
      </c>
      <c r="B739" s="40" t="s">
        <v>7681</v>
      </c>
      <c r="C739" s="39">
        <v>1</v>
      </c>
      <c r="E739" s="39">
        <v>1</v>
      </c>
      <c r="F739" s="39">
        <v>10</v>
      </c>
      <c r="G739" s="39">
        <v>0</v>
      </c>
      <c r="H739" s="39">
        <v>0</v>
      </c>
      <c r="I739" s="39">
        <v>0</v>
      </c>
      <c r="J739" s="39">
        <v>0</v>
      </c>
      <c r="K739" s="39">
        <v>0</v>
      </c>
      <c r="L739" s="39">
        <v>0</v>
      </c>
      <c r="M739" s="39">
        <v>0</v>
      </c>
      <c r="N739" s="39">
        <v>0</v>
      </c>
      <c r="O739" s="39">
        <v>0</v>
      </c>
      <c r="P739" s="39">
        <v>0</v>
      </c>
      <c r="Q739" s="39">
        <v>0</v>
      </c>
      <c r="R739" s="39">
        <v>0</v>
      </c>
      <c r="S739" s="39">
        <v>0</v>
      </c>
      <c r="T739" s="39">
        <v>0</v>
      </c>
      <c r="U739" s="39">
        <v>0</v>
      </c>
      <c r="V739" s="39">
        <v>2</v>
      </c>
      <c r="W739" s="40" t="s">
        <v>40</v>
      </c>
      <c r="X739" s="39">
        <v>1</v>
      </c>
    </row>
    <row r="740" spans="1:24">
      <c r="A740" s="39">
        <v>463</v>
      </c>
      <c r="B740" s="40" t="s">
        <v>7681</v>
      </c>
      <c r="C740" s="39">
        <v>1</v>
      </c>
      <c r="E740" s="39">
        <v>1</v>
      </c>
      <c r="F740" s="39">
        <v>400</v>
      </c>
      <c r="G740" s="39">
        <v>0</v>
      </c>
      <c r="H740" s="39">
        <v>0</v>
      </c>
      <c r="I740" s="39">
        <v>0</v>
      </c>
      <c r="J740" s="39">
        <v>0</v>
      </c>
      <c r="K740" s="39">
        <v>0</v>
      </c>
      <c r="L740" s="39">
        <v>0</v>
      </c>
      <c r="M740" s="39">
        <v>0</v>
      </c>
      <c r="N740" s="39">
        <v>0</v>
      </c>
      <c r="O740" s="39">
        <v>0</v>
      </c>
      <c r="P740" s="39">
        <v>0</v>
      </c>
      <c r="Q740" s="39">
        <v>0</v>
      </c>
      <c r="R740" s="39">
        <v>0</v>
      </c>
      <c r="S740" s="39">
        <v>0</v>
      </c>
      <c r="T740" s="39">
        <v>0</v>
      </c>
      <c r="U740" s="39">
        <v>0</v>
      </c>
      <c r="V740" s="39">
        <v>175</v>
      </c>
      <c r="W740" s="40" t="s">
        <v>7689</v>
      </c>
      <c r="X740" s="39">
        <v>1</v>
      </c>
    </row>
    <row r="741" spans="1:24">
      <c r="A741" s="39">
        <v>353</v>
      </c>
      <c r="B741" s="40" t="s">
        <v>7681</v>
      </c>
      <c r="C741" s="39">
        <v>1</v>
      </c>
      <c r="E741" s="39">
        <v>1</v>
      </c>
      <c r="F741" s="39">
        <v>400</v>
      </c>
      <c r="G741" s="39">
        <v>1</v>
      </c>
      <c r="H741" s="39">
        <v>1</v>
      </c>
      <c r="I741" s="39">
        <v>1</v>
      </c>
      <c r="J741" s="39">
        <v>0</v>
      </c>
      <c r="K741" s="39">
        <v>0</v>
      </c>
      <c r="L741" s="39">
        <v>0</v>
      </c>
      <c r="M741" s="39">
        <v>0</v>
      </c>
      <c r="N741" s="39">
        <v>0</v>
      </c>
      <c r="O741" s="39">
        <v>0</v>
      </c>
      <c r="P741" s="39">
        <v>0</v>
      </c>
      <c r="Q741" s="39">
        <v>0</v>
      </c>
      <c r="R741" s="39">
        <v>0</v>
      </c>
      <c r="S741" s="39">
        <v>0</v>
      </c>
      <c r="T741" s="39">
        <v>0</v>
      </c>
      <c r="U741" s="39">
        <v>0</v>
      </c>
      <c r="V741" s="39">
        <v>228</v>
      </c>
      <c r="W741" s="40" t="s">
        <v>7669</v>
      </c>
      <c r="X741" s="39">
        <v>1</v>
      </c>
    </row>
    <row r="742" spans="1:24">
      <c r="A742" s="39">
        <v>1720</v>
      </c>
      <c r="B742" s="40" t="s">
        <v>7681</v>
      </c>
      <c r="C742" s="39">
        <v>1</v>
      </c>
      <c r="E742" s="39">
        <v>1</v>
      </c>
      <c r="F742" s="39">
        <v>400</v>
      </c>
      <c r="G742" s="39">
        <v>0</v>
      </c>
      <c r="H742" s="39">
        <v>0</v>
      </c>
      <c r="I742" s="39">
        <v>0</v>
      </c>
      <c r="J742" s="39">
        <v>0</v>
      </c>
      <c r="K742" s="39">
        <v>0</v>
      </c>
      <c r="L742" s="39">
        <v>0</v>
      </c>
      <c r="M742" s="39">
        <v>0</v>
      </c>
      <c r="N742" s="39">
        <v>0</v>
      </c>
      <c r="O742" s="39">
        <v>0</v>
      </c>
      <c r="P742" s="39">
        <v>0</v>
      </c>
      <c r="Q742" s="39">
        <v>0</v>
      </c>
      <c r="R742" s="39">
        <v>0</v>
      </c>
      <c r="S742" s="39">
        <v>0</v>
      </c>
      <c r="T742" s="39">
        <v>0</v>
      </c>
      <c r="U742" s="39">
        <v>0</v>
      </c>
      <c r="V742" s="39">
        <v>244</v>
      </c>
      <c r="W742" s="40" t="s">
        <v>682</v>
      </c>
      <c r="X742" s="39">
        <v>1</v>
      </c>
    </row>
    <row r="743" spans="1:24">
      <c r="A743" s="39">
        <v>720</v>
      </c>
      <c r="B743" s="40" t="s">
        <v>7681</v>
      </c>
      <c r="C743" s="39">
        <v>1</v>
      </c>
      <c r="E743" s="39">
        <v>1</v>
      </c>
      <c r="F743" s="39">
        <v>400</v>
      </c>
      <c r="G743" s="39">
        <v>0</v>
      </c>
      <c r="H743" s="39">
        <v>0</v>
      </c>
      <c r="I743" s="39">
        <v>0</v>
      </c>
      <c r="J743" s="39">
        <v>0</v>
      </c>
      <c r="K743" s="39">
        <v>0</v>
      </c>
      <c r="L743" s="39">
        <v>0</v>
      </c>
      <c r="M743" s="39">
        <v>0</v>
      </c>
      <c r="N743" s="39">
        <v>0</v>
      </c>
      <c r="O743" s="39">
        <v>0</v>
      </c>
      <c r="P743" s="39">
        <v>0</v>
      </c>
      <c r="Q743" s="39">
        <v>0</v>
      </c>
      <c r="R743" s="39">
        <v>0</v>
      </c>
      <c r="S743" s="39">
        <v>0</v>
      </c>
      <c r="T743" s="39">
        <v>0</v>
      </c>
      <c r="U743" s="39">
        <v>0</v>
      </c>
      <c r="V743" s="39">
        <v>381</v>
      </c>
      <c r="W743" s="40" t="s">
        <v>7805</v>
      </c>
      <c r="X743" s="39">
        <v>1</v>
      </c>
    </row>
    <row r="744" spans="1:24">
      <c r="A744" s="39">
        <v>1247</v>
      </c>
      <c r="B744" s="40" t="s">
        <v>7681</v>
      </c>
      <c r="C744" s="39">
        <v>1</v>
      </c>
      <c r="E744" s="39">
        <v>1</v>
      </c>
      <c r="F744" s="39">
        <v>400</v>
      </c>
      <c r="G744" s="39">
        <v>1</v>
      </c>
      <c r="H744" s="39">
        <v>1</v>
      </c>
      <c r="I744" s="39">
        <v>1</v>
      </c>
      <c r="J744" s="39">
        <v>1</v>
      </c>
      <c r="K744" s="39">
        <v>0</v>
      </c>
      <c r="L744" s="39">
        <v>0</v>
      </c>
      <c r="M744" s="39">
        <v>0</v>
      </c>
      <c r="N744" s="39">
        <v>0</v>
      </c>
      <c r="O744" s="39">
        <v>0</v>
      </c>
      <c r="P744" s="39">
        <v>0</v>
      </c>
      <c r="Q744" s="39">
        <v>0</v>
      </c>
      <c r="R744" s="39">
        <v>0</v>
      </c>
      <c r="S744" s="39">
        <v>0</v>
      </c>
      <c r="T744" s="39">
        <v>0</v>
      </c>
      <c r="U744" s="39">
        <v>0</v>
      </c>
      <c r="V744" s="39">
        <v>418</v>
      </c>
      <c r="W744" s="40" t="s">
        <v>7671</v>
      </c>
      <c r="X744" s="39">
        <v>1</v>
      </c>
    </row>
    <row r="745" spans="1:24">
      <c r="A745" s="39">
        <v>1381</v>
      </c>
      <c r="B745" s="40" t="s">
        <v>7681</v>
      </c>
      <c r="C745" s="39">
        <v>1</v>
      </c>
      <c r="E745" s="39">
        <v>1</v>
      </c>
      <c r="F745" s="39">
        <v>400</v>
      </c>
      <c r="G745" s="39">
        <v>0</v>
      </c>
      <c r="H745" s="39">
        <v>0</v>
      </c>
      <c r="I745" s="39">
        <v>0</v>
      </c>
      <c r="J745" s="39">
        <v>0</v>
      </c>
      <c r="K745" s="39">
        <v>0</v>
      </c>
      <c r="L745" s="39">
        <v>0</v>
      </c>
      <c r="M745" s="39">
        <v>0</v>
      </c>
      <c r="N745" s="39">
        <v>0</v>
      </c>
      <c r="O745" s="39">
        <v>0</v>
      </c>
      <c r="P745" s="39">
        <v>0</v>
      </c>
      <c r="Q745" s="39">
        <v>0</v>
      </c>
      <c r="R745" s="39">
        <v>0</v>
      </c>
      <c r="S745" s="39">
        <v>0</v>
      </c>
      <c r="T745" s="39">
        <v>0</v>
      </c>
      <c r="U745" s="39">
        <v>0</v>
      </c>
      <c r="V745" s="39">
        <v>456</v>
      </c>
      <c r="W745" s="40" t="s">
        <v>7673</v>
      </c>
      <c r="X745" s="39">
        <v>1</v>
      </c>
    </row>
    <row r="746" spans="1:24">
      <c r="A746" s="39">
        <v>644</v>
      </c>
      <c r="B746" s="40" t="s">
        <v>7681</v>
      </c>
      <c r="C746" s="39">
        <v>1</v>
      </c>
      <c r="E746" s="39">
        <v>1</v>
      </c>
      <c r="F746" s="39">
        <v>400</v>
      </c>
      <c r="G746" s="39">
        <v>1</v>
      </c>
      <c r="H746" s="39">
        <v>1</v>
      </c>
      <c r="I746" s="39">
        <v>1</v>
      </c>
      <c r="J746" s="39">
        <v>0</v>
      </c>
      <c r="K746" s="39">
        <v>0</v>
      </c>
      <c r="L746" s="39">
        <v>0</v>
      </c>
      <c r="M746" s="39">
        <v>0</v>
      </c>
      <c r="N746" s="39">
        <v>0</v>
      </c>
      <c r="O746" s="39">
        <v>0</v>
      </c>
      <c r="P746" s="39">
        <v>0</v>
      </c>
      <c r="Q746" s="39">
        <v>0</v>
      </c>
      <c r="R746" s="39">
        <v>0</v>
      </c>
      <c r="S746" s="39">
        <v>0</v>
      </c>
      <c r="T746" s="39">
        <v>0</v>
      </c>
      <c r="U746" s="39">
        <v>0</v>
      </c>
      <c r="V746" s="39">
        <v>468</v>
      </c>
      <c r="W746" s="40" t="s">
        <v>7677</v>
      </c>
      <c r="X746" s="39">
        <v>1</v>
      </c>
    </row>
    <row r="747" spans="1:24">
      <c r="A747" s="39">
        <v>242</v>
      </c>
      <c r="B747" s="40" t="s">
        <v>7681</v>
      </c>
      <c r="C747" s="39">
        <v>1</v>
      </c>
      <c r="E747" s="39">
        <v>1</v>
      </c>
      <c r="F747" s="39">
        <v>400</v>
      </c>
      <c r="G747" s="39">
        <v>1</v>
      </c>
      <c r="H747" s="39">
        <v>1</v>
      </c>
      <c r="I747" s="39">
        <v>1</v>
      </c>
      <c r="J747" s="39">
        <v>0</v>
      </c>
      <c r="K747" s="39">
        <v>0</v>
      </c>
      <c r="L747" s="39">
        <v>0</v>
      </c>
      <c r="M747" s="39">
        <v>0</v>
      </c>
      <c r="N747" s="39">
        <v>0</v>
      </c>
      <c r="O747" s="39">
        <v>0</v>
      </c>
      <c r="P747" s="39">
        <v>0</v>
      </c>
      <c r="Q747" s="39">
        <v>0</v>
      </c>
      <c r="R747" s="39">
        <v>0</v>
      </c>
      <c r="S747" s="39">
        <v>0</v>
      </c>
      <c r="T747" s="39">
        <v>0</v>
      </c>
      <c r="U747" s="39">
        <v>0</v>
      </c>
      <c r="V747" s="39">
        <v>590</v>
      </c>
      <c r="W747" s="40" t="s">
        <v>7679</v>
      </c>
      <c r="X747" s="39">
        <v>1</v>
      </c>
    </row>
    <row r="748" spans="1:24">
      <c r="A748" s="39">
        <v>790</v>
      </c>
      <c r="B748" s="40" t="s">
        <v>7681</v>
      </c>
      <c r="C748" s="39">
        <v>1</v>
      </c>
      <c r="E748" s="39">
        <v>1</v>
      </c>
      <c r="F748" s="39">
        <v>400</v>
      </c>
      <c r="G748" s="39">
        <v>1</v>
      </c>
      <c r="H748" s="39">
        <v>1</v>
      </c>
      <c r="I748" s="39">
        <v>1</v>
      </c>
      <c r="J748" s="39">
        <v>0</v>
      </c>
      <c r="K748" s="39">
        <v>0</v>
      </c>
      <c r="L748" s="39">
        <v>0</v>
      </c>
      <c r="M748" s="39">
        <v>0</v>
      </c>
      <c r="N748" s="39">
        <v>0</v>
      </c>
      <c r="O748" s="39">
        <v>0</v>
      </c>
      <c r="P748" s="39">
        <v>0</v>
      </c>
      <c r="Q748" s="39">
        <v>0</v>
      </c>
      <c r="R748" s="39">
        <v>0</v>
      </c>
      <c r="S748" s="39">
        <v>0</v>
      </c>
      <c r="T748" s="39">
        <v>0</v>
      </c>
      <c r="U748" s="39">
        <v>0</v>
      </c>
      <c r="V748" s="39">
        <v>733</v>
      </c>
      <c r="W748" s="40" t="s">
        <v>7680</v>
      </c>
      <c r="X748" s="39">
        <v>1</v>
      </c>
    </row>
    <row r="749" spans="1:24">
      <c r="A749" s="39">
        <v>110</v>
      </c>
      <c r="B749" s="50" t="s">
        <v>4196</v>
      </c>
      <c r="C749" s="39">
        <v>1</v>
      </c>
      <c r="E749" s="39">
        <v>1</v>
      </c>
      <c r="F749" s="39">
        <v>420</v>
      </c>
      <c r="G749" s="39">
        <v>0</v>
      </c>
      <c r="H749" s="39">
        <v>0</v>
      </c>
      <c r="I749" s="39">
        <v>0</v>
      </c>
      <c r="J749" s="39">
        <v>0</v>
      </c>
      <c r="K749" s="39">
        <v>0</v>
      </c>
      <c r="L749" s="39">
        <v>0</v>
      </c>
      <c r="M749" s="39">
        <v>0</v>
      </c>
      <c r="N749" s="39">
        <v>0</v>
      </c>
      <c r="O749" s="39">
        <v>0</v>
      </c>
      <c r="P749" s="39">
        <v>0</v>
      </c>
      <c r="Q749" s="39">
        <v>0</v>
      </c>
      <c r="R749" s="39">
        <v>0</v>
      </c>
      <c r="S749" s="39">
        <v>0</v>
      </c>
      <c r="T749" s="39">
        <v>0</v>
      </c>
      <c r="U749" s="39">
        <v>0</v>
      </c>
      <c r="V749" s="39">
        <v>1</v>
      </c>
      <c r="W749" s="40" t="s">
        <v>518</v>
      </c>
      <c r="X749" s="39">
        <v>1</v>
      </c>
    </row>
    <row r="750" spans="1:24">
      <c r="A750" s="39">
        <v>22</v>
      </c>
      <c r="B750" s="40" t="s">
        <v>4196</v>
      </c>
      <c r="C750" s="39">
        <v>1</v>
      </c>
      <c r="D750" s="40" t="s">
        <v>7845</v>
      </c>
      <c r="E750" s="39">
        <v>1</v>
      </c>
      <c r="F750" s="39">
        <v>10</v>
      </c>
      <c r="G750" s="39">
        <v>0</v>
      </c>
      <c r="H750" s="39">
        <v>0</v>
      </c>
      <c r="I750" s="39">
        <v>0</v>
      </c>
      <c r="J750" s="39">
        <v>0</v>
      </c>
      <c r="K750" s="39">
        <v>0</v>
      </c>
      <c r="L750" s="39">
        <v>0</v>
      </c>
      <c r="M750" s="39">
        <v>0</v>
      </c>
      <c r="N750" s="39">
        <v>0</v>
      </c>
      <c r="O750" s="39">
        <v>0</v>
      </c>
      <c r="P750" s="39">
        <v>0</v>
      </c>
      <c r="Q750" s="39">
        <v>0</v>
      </c>
      <c r="R750" s="39">
        <v>0</v>
      </c>
      <c r="S750" s="39">
        <v>0</v>
      </c>
      <c r="T750" s="39">
        <v>0</v>
      </c>
      <c r="U750" s="39">
        <v>0</v>
      </c>
      <c r="V750" s="39">
        <v>2</v>
      </c>
      <c r="W750" s="40" t="s">
        <v>40</v>
      </c>
      <c r="X750" s="39">
        <v>1</v>
      </c>
    </row>
    <row r="751" spans="1:24">
      <c r="A751" s="39">
        <v>974</v>
      </c>
      <c r="B751" s="40" t="s">
        <v>4196</v>
      </c>
      <c r="C751" s="39">
        <v>1</v>
      </c>
      <c r="E751" s="39">
        <v>1</v>
      </c>
      <c r="F751" s="39">
        <v>420</v>
      </c>
      <c r="G751" s="39">
        <v>1</v>
      </c>
      <c r="H751" s="39">
        <v>1</v>
      </c>
      <c r="I751" s="39">
        <v>1</v>
      </c>
      <c r="J751" s="39">
        <v>0</v>
      </c>
      <c r="K751" s="39">
        <v>0</v>
      </c>
      <c r="L751" s="39">
        <v>0</v>
      </c>
      <c r="M751" s="39">
        <v>0</v>
      </c>
      <c r="N751" s="39">
        <v>0</v>
      </c>
      <c r="O751" s="39">
        <v>0</v>
      </c>
      <c r="P751" s="39">
        <v>0</v>
      </c>
      <c r="Q751" s="39">
        <v>0</v>
      </c>
      <c r="R751" s="39">
        <v>0</v>
      </c>
      <c r="S751" s="39">
        <v>0</v>
      </c>
      <c r="T751" s="39">
        <v>0</v>
      </c>
      <c r="U751" s="39">
        <v>0</v>
      </c>
      <c r="V751" s="39">
        <v>158</v>
      </c>
      <c r="W751" s="40" t="s">
        <v>7667</v>
      </c>
      <c r="X751" s="39">
        <v>1</v>
      </c>
    </row>
    <row r="752" spans="1:24">
      <c r="A752" s="39">
        <v>464</v>
      </c>
      <c r="B752" s="40" t="s">
        <v>4196</v>
      </c>
      <c r="C752" s="39">
        <v>1</v>
      </c>
      <c r="E752" s="39">
        <v>1</v>
      </c>
      <c r="F752" s="39">
        <v>420</v>
      </c>
      <c r="G752" s="39">
        <v>0</v>
      </c>
      <c r="H752" s="39">
        <v>0</v>
      </c>
      <c r="I752" s="39">
        <v>0</v>
      </c>
      <c r="J752" s="39">
        <v>0</v>
      </c>
      <c r="K752" s="39">
        <v>0</v>
      </c>
      <c r="L752" s="39">
        <v>0</v>
      </c>
      <c r="M752" s="39">
        <v>0</v>
      </c>
      <c r="N752" s="39">
        <v>0</v>
      </c>
      <c r="O752" s="39">
        <v>0</v>
      </c>
      <c r="P752" s="39">
        <v>0</v>
      </c>
      <c r="Q752" s="39">
        <v>0</v>
      </c>
      <c r="R752" s="39">
        <v>0</v>
      </c>
      <c r="S752" s="39">
        <v>0</v>
      </c>
      <c r="T752" s="39">
        <v>0</v>
      </c>
      <c r="U752" s="39">
        <v>0</v>
      </c>
      <c r="V752" s="39">
        <v>175</v>
      </c>
      <c r="W752" s="40" t="s">
        <v>7689</v>
      </c>
      <c r="X752" s="39">
        <v>1</v>
      </c>
    </row>
    <row r="753" spans="1:24">
      <c r="A753" s="39">
        <v>360</v>
      </c>
      <c r="B753" s="40" t="s">
        <v>4196</v>
      </c>
      <c r="C753" s="39">
        <v>1</v>
      </c>
      <c r="E753" s="39">
        <v>1</v>
      </c>
      <c r="F753" s="39">
        <v>420</v>
      </c>
      <c r="G753" s="39">
        <v>1</v>
      </c>
      <c r="H753" s="39">
        <v>1</v>
      </c>
      <c r="I753" s="39">
        <v>1</v>
      </c>
      <c r="J753" s="39">
        <v>0</v>
      </c>
      <c r="K753" s="39">
        <v>0</v>
      </c>
      <c r="L753" s="39">
        <v>0</v>
      </c>
      <c r="M753" s="39">
        <v>0</v>
      </c>
      <c r="N753" s="39">
        <v>0</v>
      </c>
      <c r="O753" s="39">
        <v>0</v>
      </c>
      <c r="P753" s="39">
        <v>0</v>
      </c>
      <c r="Q753" s="39">
        <v>0</v>
      </c>
      <c r="R753" s="39">
        <v>0</v>
      </c>
      <c r="S753" s="39">
        <v>0</v>
      </c>
      <c r="T753" s="39">
        <v>0</v>
      </c>
      <c r="U753" s="39">
        <v>0</v>
      </c>
      <c r="V753" s="39">
        <v>228</v>
      </c>
      <c r="W753" s="40" t="s">
        <v>7669</v>
      </c>
      <c r="X753" s="39">
        <v>1</v>
      </c>
    </row>
    <row r="754" spans="1:24">
      <c r="A754" s="39">
        <v>1721</v>
      </c>
      <c r="B754" s="40" t="s">
        <v>4196</v>
      </c>
      <c r="C754" s="39">
        <v>1</v>
      </c>
      <c r="E754" s="39">
        <v>1</v>
      </c>
      <c r="F754" s="39">
        <v>420</v>
      </c>
      <c r="G754" s="39">
        <v>0</v>
      </c>
      <c r="H754" s="39">
        <v>0</v>
      </c>
      <c r="I754" s="39">
        <v>0</v>
      </c>
      <c r="J754" s="39">
        <v>0</v>
      </c>
      <c r="K754" s="39">
        <v>0</v>
      </c>
      <c r="L754" s="39">
        <v>0</v>
      </c>
      <c r="M754" s="39">
        <v>0</v>
      </c>
      <c r="N754" s="39">
        <v>0</v>
      </c>
      <c r="O754" s="39">
        <v>0</v>
      </c>
      <c r="P754" s="39">
        <v>0</v>
      </c>
      <c r="Q754" s="39">
        <v>0</v>
      </c>
      <c r="R754" s="39">
        <v>0</v>
      </c>
      <c r="S754" s="39">
        <v>0</v>
      </c>
      <c r="T754" s="39">
        <v>0</v>
      </c>
      <c r="U754" s="39">
        <v>0</v>
      </c>
      <c r="V754" s="39">
        <v>244</v>
      </c>
      <c r="W754" s="40" t="s">
        <v>682</v>
      </c>
      <c r="X754" s="39">
        <v>1</v>
      </c>
    </row>
    <row r="755" spans="1:24">
      <c r="A755" s="39">
        <v>721</v>
      </c>
      <c r="B755" s="40" t="s">
        <v>4196</v>
      </c>
      <c r="C755" s="39">
        <v>1</v>
      </c>
      <c r="E755" s="39">
        <v>1</v>
      </c>
      <c r="F755" s="39">
        <v>420</v>
      </c>
      <c r="G755" s="39">
        <v>0</v>
      </c>
      <c r="H755" s="39">
        <v>0</v>
      </c>
      <c r="I755" s="39">
        <v>0</v>
      </c>
      <c r="J755" s="39">
        <v>0</v>
      </c>
      <c r="K755" s="39">
        <v>0</v>
      </c>
      <c r="L755" s="39">
        <v>0</v>
      </c>
      <c r="M755" s="39">
        <v>0</v>
      </c>
      <c r="N755" s="39">
        <v>0</v>
      </c>
      <c r="O755" s="39">
        <v>0</v>
      </c>
      <c r="P755" s="39">
        <v>0</v>
      </c>
      <c r="Q755" s="39">
        <v>0</v>
      </c>
      <c r="R755" s="39">
        <v>0</v>
      </c>
      <c r="S755" s="39">
        <v>0</v>
      </c>
      <c r="T755" s="39">
        <v>0</v>
      </c>
      <c r="U755" s="39">
        <v>0</v>
      </c>
      <c r="V755" s="39">
        <v>381</v>
      </c>
      <c r="W755" s="40" t="s">
        <v>7805</v>
      </c>
      <c r="X755" s="39">
        <v>1</v>
      </c>
    </row>
    <row r="756" spans="1:24">
      <c r="A756" s="39">
        <v>1248</v>
      </c>
      <c r="B756" s="40" t="s">
        <v>4196</v>
      </c>
      <c r="C756" s="39">
        <v>1</v>
      </c>
      <c r="E756" s="39">
        <v>1</v>
      </c>
      <c r="F756" s="39">
        <v>420</v>
      </c>
      <c r="G756" s="39">
        <v>1</v>
      </c>
      <c r="H756" s="39">
        <v>1</v>
      </c>
      <c r="I756" s="39">
        <v>1</v>
      </c>
      <c r="J756" s="39">
        <v>1</v>
      </c>
      <c r="K756" s="39">
        <v>0</v>
      </c>
      <c r="L756" s="39">
        <v>0</v>
      </c>
      <c r="M756" s="39">
        <v>0</v>
      </c>
      <c r="N756" s="39">
        <v>0</v>
      </c>
      <c r="O756" s="39">
        <v>0</v>
      </c>
      <c r="P756" s="39">
        <v>0</v>
      </c>
      <c r="Q756" s="39">
        <v>0</v>
      </c>
      <c r="R756" s="39">
        <v>0</v>
      </c>
      <c r="S756" s="39">
        <v>0</v>
      </c>
      <c r="T756" s="39">
        <v>0</v>
      </c>
      <c r="U756" s="39">
        <v>0</v>
      </c>
      <c r="V756" s="39">
        <v>418</v>
      </c>
      <c r="W756" s="40" t="s">
        <v>7671</v>
      </c>
      <c r="X756" s="39">
        <v>1</v>
      </c>
    </row>
    <row r="757" spans="1:24">
      <c r="A757" s="39">
        <v>1382</v>
      </c>
      <c r="B757" s="40" t="s">
        <v>4196</v>
      </c>
      <c r="C757" s="39">
        <v>1</v>
      </c>
      <c r="E757" s="39">
        <v>1</v>
      </c>
      <c r="F757" s="39">
        <v>420</v>
      </c>
      <c r="G757" s="39">
        <v>0</v>
      </c>
      <c r="H757" s="39">
        <v>0</v>
      </c>
      <c r="I757" s="39">
        <v>0</v>
      </c>
      <c r="J757" s="39">
        <v>0</v>
      </c>
      <c r="K757" s="39">
        <v>0</v>
      </c>
      <c r="L757" s="39">
        <v>0</v>
      </c>
      <c r="M757" s="39">
        <v>0</v>
      </c>
      <c r="N757" s="39">
        <v>0</v>
      </c>
      <c r="O757" s="39">
        <v>0</v>
      </c>
      <c r="P757" s="39">
        <v>0</v>
      </c>
      <c r="Q757" s="39">
        <v>0</v>
      </c>
      <c r="R757" s="39">
        <v>0</v>
      </c>
      <c r="S757" s="39">
        <v>0</v>
      </c>
      <c r="T757" s="39">
        <v>0</v>
      </c>
      <c r="U757" s="39">
        <v>0</v>
      </c>
      <c r="V757" s="39">
        <v>456</v>
      </c>
      <c r="W757" s="40" t="s">
        <v>7673</v>
      </c>
      <c r="X757" s="39">
        <v>1</v>
      </c>
    </row>
    <row r="758" spans="1:24">
      <c r="A758" s="39">
        <v>860</v>
      </c>
      <c r="B758" s="40" t="s">
        <v>4196</v>
      </c>
      <c r="C758" s="39">
        <v>1</v>
      </c>
      <c r="E758" s="39">
        <v>1</v>
      </c>
      <c r="F758" s="39">
        <v>420</v>
      </c>
      <c r="G758" s="39">
        <v>1</v>
      </c>
      <c r="H758" s="39">
        <v>1</v>
      </c>
      <c r="I758" s="39">
        <v>1</v>
      </c>
      <c r="J758" s="39">
        <v>0</v>
      </c>
      <c r="K758" s="39">
        <v>0</v>
      </c>
      <c r="L758" s="39">
        <v>0</v>
      </c>
      <c r="M758" s="39">
        <v>0</v>
      </c>
      <c r="N758" s="39">
        <v>0</v>
      </c>
      <c r="O758" s="39">
        <v>0</v>
      </c>
      <c r="P758" s="39">
        <v>0</v>
      </c>
      <c r="Q758" s="39">
        <v>0</v>
      </c>
      <c r="R758" s="39">
        <v>0</v>
      </c>
      <c r="S758" s="39">
        <v>0</v>
      </c>
      <c r="T758" s="39">
        <v>0</v>
      </c>
      <c r="U758" s="39">
        <v>0</v>
      </c>
      <c r="V758" s="39">
        <v>458</v>
      </c>
      <c r="W758" s="40" t="s">
        <v>7694</v>
      </c>
      <c r="X758" s="39">
        <v>1</v>
      </c>
    </row>
    <row r="759" spans="1:24">
      <c r="A759" s="39">
        <v>1153</v>
      </c>
      <c r="B759" s="40" t="s">
        <v>4196</v>
      </c>
      <c r="C759" s="39">
        <v>1</v>
      </c>
      <c r="E759" s="39">
        <v>1</v>
      </c>
      <c r="F759" s="39">
        <v>420</v>
      </c>
      <c r="G759" s="39">
        <v>1</v>
      </c>
      <c r="H759" s="39">
        <v>1</v>
      </c>
      <c r="I759" s="39">
        <v>1</v>
      </c>
      <c r="J759" s="39">
        <v>0</v>
      </c>
      <c r="K759" s="39">
        <v>0</v>
      </c>
      <c r="L759" s="39">
        <v>0</v>
      </c>
      <c r="M759" s="39">
        <v>0</v>
      </c>
      <c r="N759" s="39">
        <v>0</v>
      </c>
      <c r="O759" s="39">
        <v>0</v>
      </c>
      <c r="P759" s="39">
        <v>0</v>
      </c>
      <c r="Q759" s="39">
        <v>0</v>
      </c>
      <c r="R759" s="39">
        <v>0</v>
      </c>
      <c r="S759" s="39">
        <v>0</v>
      </c>
      <c r="T759" s="39">
        <v>0</v>
      </c>
      <c r="U759" s="39">
        <v>0</v>
      </c>
      <c r="V759" s="39">
        <v>459</v>
      </c>
      <c r="W759" s="40" t="s">
        <v>7674</v>
      </c>
      <c r="X759" s="39">
        <v>1</v>
      </c>
    </row>
    <row r="760" spans="1:24">
      <c r="A760" s="39">
        <v>610</v>
      </c>
      <c r="B760" s="40" t="s">
        <v>4196</v>
      </c>
      <c r="C760" s="39">
        <v>1</v>
      </c>
      <c r="E760" s="39">
        <v>1</v>
      </c>
      <c r="F760" s="39">
        <v>420</v>
      </c>
      <c r="G760" s="39">
        <v>1</v>
      </c>
      <c r="H760" s="39">
        <v>1</v>
      </c>
      <c r="I760" s="39">
        <v>1</v>
      </c>
      <c r="J760" s="39">
        <v>0</v>
      </c>
      <c r="K760" s="39">
        <v>0</v>
      </c>
      <c r="L760" s="39">
        <v>0</v>
      </c>
      <c r="M760" s="39">
        <v>0</v>
      </c>
      <c r="N760" s="39">
        <v>0</v>
      </c>
      <c r="O760" s="39">
        <v>0</v>
      </c>
      <c r="P760" s="39">
        <v>0</v>
      </c>
      <c r="Q760" s="39">
        <v>0</v>
      </c>
      <c r="R760" s="39">
        <v>0</v>
      </c>
      <c r="S760" s="39">
        <v>0</v>
      </c>
      <c r="T760" s="39">
        <v>0</v>
      </c>
      <c r="U760" s="39">
        <v>0</v>
      </c>
      <c r="V760" s="39">
        <v>468</v>
      </c>
      <c r="W760" s="40" t="s">
        <v>7677</v>
      </c>
      <c r="X760" s="39">
        <v>1</v>
      </c>
    </row>
    <row r="761" spans="1:24">
      <c r="A761" s="39">
        <v>1057</v>
      </c>
      <c r="B761" s="40" t="s">
        <v>4196</v>
      </c>
      <c r="C761" s="39">
        <v>1</v>
      </c>
      <c r="E761" s="39">
        <v>1</v>
      </c>
      <c r="F761" s="39">
        <v>420</v>
      </c>
      <c r="G761" s="39">
        <v>1</v>
      </c>
      <c r="H761" s="39">
        <v>1</v>
      </c>
      <c r="I761" s="39">
        <v>1</v>
      </c>
      <c r="J761" s="39">
        <v>1</v>
      </c>
      <c r="K761" s="39">
        <v>0</v>
      </c>
      <c r="L761" s="39">
        <v>0</v>
      </c>
      <c r="M761" s="39">
        <v>0</v>
      </c>
      <c r="N761" s="39">
        <v>0</v>
      </c>
      <c r="O761" s="39">
        <v>0</v>
      </c>
      <c r="P761" s="39">
        <v>0</v>
      </c>
      <c r="Q761" s="39">
        <v>0</v>
      </c>
      <c r="R761" s="39">
        <v>0</v>
      </c>
      <c r="S761" s="39">
        <v>0</v>
      </c>
      <c r="T761" s="39">
        <v>0</v>
      </c>
      <c r="U761" s="39">
        <v>0</v>
      </c>
      <c r="V761" s="39">
        <v>477</v>
      </c>
      <c r="W761" s="40" t="s">
        <v>7697</v>
      </c>
      <c r="X761" s="39">
        <v>1</v>
      </c>
    </row>
    <row r="762" spans="1:24">
      <c r="A762" s="39">
        <v>243</v>
      </c>
      <c r="B762" s="40" t="s">
        <v>4196</v>
      </c>
      <c r="C762" s="39">
        <v>1</v>
      </c>
      <c r="E762" s="39">
        <v>1</v>
      </c>
      <c r="F762" s="39">
        <v>420</v>
      </c>
      <c r="G762" s="39">
        <v>1</v>
      </c>
      <c r="H762" s="39">
        <v>1</v>
      </c>
      <c r="I762" s="39">
        <v>1</v>
      </c>
      <c r="J762" s="39">
        <v>0</v>
      </c>
      <c r="K762" s="39">
        <v>0</v>
      </c>
      <c r="L762" s="39">
        <v>0</v>
      </c>
      <c r="M762" s="39">
        <v>0</v>
      </c>
      <c r="N762" s="39">
        <v>0</v>
      </c>
      <c r="O762" s="39">
        <v>0</v>
      </c>
      <c r="P762" s="39">
        <v>0</v>
      </c>
      <c r="Q762" s="39">
        <v>0</v>
      </c>
      <c r="R762" s="39">
        <v>0</v>
      </c>
      <c r="S762" s="39">
        <v>0</v>
      </c>
      <c r="T762" s="39">
        <v>0</v>
      </c>
      <c r="U762" s="39">
        <v>0</v>
      </c>
      <c r="V762" s="39">
        <v>590</v>
      </c>
      <c r="W762" s="40" t="s">
        <v>7679</v>
      </c>
      <c r="X762" s="39">
        <v>1</v>
      </c>
    </row>
    <row r="763" spans="1:24">
      <c r="A763" s="39">
        <v>791</v>
      </c>
      <c r="B763" s="40" t="s">
        <v>4196</v>
      </c>
      <c r="C763" s="39">
        <v>1</v>
      </c>
      <c r="E763" s="39">
        <v>1</v>
      </c>
      <c r="F763" s="39">
        <v>420</v>
      </c>
      <c r="G763" s="39">
        <v>1</v>
      </c>
      <c r="H763" s="39">
        <v>1</v>
      </c>
      <c r="I763" s="39">
        <v>1</v>
      </c>
      <c r="J763" s="39">
        <v>0</v>
      </c>
      <c r="K763" s="39">
        <v>0</v>
      </c>
      <c r="L763" s="39">
        <v>0</v>
      </c>
      <c r="M763" s="39">
        <v>0</v>
      </c>
      <c r="N763" s="39">
        <v>0</v>
      </c>
      <c r="O763" s="39">
        <v>0</v>
      </c>
      <c r="P763" s="39">
        <v>0</v>
      </c>
      <c r="Q763" s="39">
        <v>0</v>
      </c>
      <c r="R763" s="39">
        <v>0</v>
      </c>
      <c r="S763" s="39">
        <v>0</v>
      </c>
      <c r="T763" s="39">
        <v>0</v>
      </c>
      <c r="U763" s="39">
        <v>0</v>
      </c>
      <c r="V763" s="39">
        <v>733</v>
      </c>
      <c r="W763" s="40" t="s">
        <v>7680</v>
      </c>
      <c r="X763" s="39">
        <v>1</v>
      </c>
    </row>
    <row r="764" spans="1:24">
      <c r="A764" s="39">
        <v>111</v>
      </c>
      <c r="B764" s="50" t="s">
        <v>1415</v>
      </c>
      <c r="C764" s="39">
        <v>1</v>
      </c>
      <c r="E764" s="39">
        <v>1</v>
      </c>
      <c r="F764" s="39">
        <v>440</v>
      </c>
      <c r="G764" s="39">
        <v>0</v>
      </c>
      <c r="H764" s="39">
        <v>0</v>
      </c>
      <c r="I764" s="39">
        <v>0</v>
      </c>
      <c r="J764" s="39">
        <v>0</v>
      </c>
      <c r="K764" s="39">
        <v>0</v>
      </c>
      <c r="L764" s="39">
        <v>0</v>
      </c>
      <c r="M764" s="39">
        <v>0</v>
      </c>
      <c r="N764" s="39">
        <v>0</v>
      </c>
      <c r="O764" s="39">
        <v>0</v>
      </c>
      <c r="P764" s="39">
        <v>0</v>
      </c>
      <c r="Q764" s="39">
        <v>0</v>
      </c>
      <c r="R764" s="39">
        <v>0</v>
      </c>
      <c r="S764" s="39">
        <v>0</v>
      </c>
      <c r="T764" s="39">
        <v>0</v>
      </c>
      <c r="U764" s="39">
        <v>0</v>
      </c>
      <c r="V764" s="39">
        <v>1</v>
      </c>
      <c r="W764" s="40" t="s">
        <v>518</v>
      </c>
      <c r="X764" s="39">
        <v>1</v>
      </c>
    </row>
    <row r="765" spans="1:24">
      <c r="A765" s="39">
        <v>23</v>
      </c>
      <c r="B765" s="40" t="s">
        <v>1415</v>
      </c>
      <c r="C765" s="39">
        <v>1</v>
      </c>
      <c r="D765" s="40" t="s">
        <v>7846</v>
      </c>
      <c r="E765" s="39">
        <v>1</v>
      </c>
      <c r="F765" s="39">
        <v>10</v>
      </c>
      <c r="G765" s="39">
        <v>0</v>
      </c>
      <c r="H765" s="39">
        <v>0</v>
      </c>
      <c r="I765" s="39">
        <v>0</v>
      </c>
      <c r="J765" s="39">
        <v>0</v>
      </c>
      <c r="K765" s="39">
        <v>0</v>
      </c>
      <c r="L765" s="39">
        <v>0</v>
      </c>
      <c r="M765" s="39">
        <v>0</v>
      </c>
      <c r="N765" s="39">
        <v>0</v>
      </c>
      <c r="O765" s="39">
        <v>0</v>
      </c>
      <c r="P765" s="39">
        <v>0</v>
      </c>
      <c r="Q765" s="39">
        <v>0</v>
      </c>
      <c r="R765" s="39">
        <v>0</v>
      </c>
      <c r="S765" s="39">
        <v>0</v>
      </c>
      <c r="T765" s="39">
        <v>0</v>
      </c>
      <c r="U765" s="39">
        <v>0</v>
      </c>
      <c r="V765" s="39">
        <v>2</v>
      </c>
      <c r="W765" s="40" t="s">
        <v>40</v>
      </c>
      <c r="X765" s="39">
        <v>1</v>
      </c>
    </row>
    <row r="766" spans="1:24">
      <c r="A766" s="39">
        <v>975</v>
      </c>
      <c r="B766" s="40" t="s">
        <v>1415</v>
      </c>
      <c r="C766" s="39">
        <v>1</v>
      </c>
      <c r="E766" s="39">
        <v>1</v>
      </c>
      <c r="F766" s="39">
        <v>440</v>
      </c>
      <c r="G766" s="39">
        <v>1</v>
      </c>
      <c r="H766" s="39">
        <v>1</v>
      </c>
      <c r="I766" s="39">
        <v>1</v>
      </c>
      <c r="J766" s="39">
        <v>0</v>
      </c>
      <c r="K766" s="39">
        <v>0</v>
      </c>
      <c r="L766" s="39">
        <v>0</v>
      </c>
      <c r="M766" s="39">
        <v>0</v>
      </c>
      <c r="N766" s="39">
        <v>0</v>
      </c>
      <c r="O766" s="39">
        <v>0</v>
      </c>
      <c r="P766" s="39">
        <v>0</v>
      </c>
      <c r="Q766" s="39">
        <v>0</v>
      </c>
      <c r="R766" s="39">
        <v>0</v>
      </c>
      <c r="S766" s="39">
        <v>0</v>
      </c>
      <c r="T766" s="39">
        <v>0</v>
      </c>
      <c r="U766" s="39">
        <v>0</v>
      </c>
      <c r="V766" s="39">
        <v>158</v>
      </c>
      <c r="W766" s="40" t="s">
        <v>7667</v>
      </c>
      <c r="X766" s="39">
        <v>1</v>
      </c>
    </row>
    <row r="767" spans="1:24">
      <c r="A767" s="39">
        <v>465</v>
      </c>
      <c r="B767" s="40" t="s">
        <v>1415</v>
      </c>
      <c r="C767" s="39">
        <v>1</v>
      </c>
      <c r="E767" s="39">
        <v>1</v>
      </c>
      <c r="F767" s="39">
        <v>440</v>
      </c>
      <c r="G767" s="39">
        <v>0</v>
      </c>
      <c r="H767" s="39">
        <v>0</v>
      </c>
      <c r="I767" s="39">
        <v>0</v>
      </c>
      <c r="J767" s="39">
        <v>0</v>
      </c>
      <c r="K767" s="39">
        <v>0</v>
      </c>
      <c r="L767" s="39">
        <v>0</v>
      </c>
      <c r="M767" s="39">
        <v>0</v>
      </c>
      <c r="N767" s="39">
        <v>0</v>
      </c>
      <c r="O767" s="39">
        <v>0</v>
      </c>
      <c r="P767" s="39">
        <v>0</v>
      </c>
      <c r="Q767" s="39">
        <v>0</v>
      </c>
      <c r="R767" s="39">
        <v>0</v>
      </c>
      <c r="S767" s="39">
        <v>0</v>
      </c>
      <c r="T767" s="39">
        <v>0</v>
      </c>
      <c r="U767" s="39">
        <v>0</v>
      </c>
      <c r="V767" s="39">
        <v>175</v>
      </c>
      <c r="W767" s="40" t="s">
        <v>7689</v>
      </c>
      <c r="X767" s="39">
        <v>1</v>
      </c>
    </row>
    <row r="768" spans="1:24">
      <c r="A768" s="39">
        <v>317</v>
      </c>
      <c r="B768" s="40" t="s">
        <v>1415</v>
      </c>
      <c r="C768" s="39">
        <v>1</v>
      </c>
      <c r="E768" s="39">
        <v>1</v>
      </c>
      <c r="F768" s="39">
        <v>440</v>
      </c>
      <c r="G768" s="39">
        <v>1</v>
      </c>
      <c r="H768" s="39">
        <v>1</v>
      </c>
      <c r="I768" s="39">
        <v>1</v>
      </c>
      <c r="J768" s="39">
        <v>0</v>
      </c>
      <c r="K768" s="39">
        <v>0</v>
      </c>
      <c r="L768" s="39">
        <v>0</v>
      </c>
      <c r="M768" s="39">
        <v>0</v>
      </c>
      <c r="N768" s="39">
        <v>0</v>
      </c>
      <c r="O768" s="39">
        <v>0</v>
      </c>
      <c r="P768" s="39">
        <v>0</v>
      </c>
      <c r="Q768" s="39">
        <v>0</v>
      </c>
      <c r="R768" s="39">
        <v>0</v>
      </c>
      <c r="S768" s="39">
        <v>0</v>
      </c>
      <c r="T768" s="39">
        <v>0</v>
      </c>
      <c r="U768" s="39">
        <v>0</v>
      </c>
      <c r="V768" s="39">
        <v>228</v>
      </c>
      <c r="W768" s="40" t="s">
        <v>7669</v>
      </c>
      <c r="X768" s="39">
        <v>1</v>
      </c>
    </row>
    <row r="769" spans="1:24">
      <c r="A769" s="39">
        <v>1722</v>
      </c>
      <c r="B769" s="40" t="s">
        <v>1415</v>
      </c>
      <c r="C769" s="39">
        <v>1</v>
      </c>
      <c r="E769" s="39">
        <v>1</v>
      </c>
      <c r="F769" s="39">
        <v>440</v>
      </c>
      <c r="G769" s="39">
        <v>0</v>
      </c>
      <c r="H769" s="39">
        <v>0</v>
      </c>
      <c r="I769" s="39">
        <v>0</v>
      </c>
      <c r="J769" s="39">
        <v>0</v>
      </c>
      <c r="K769" s="39">
        <v>0</v>
      </c>
      <c r="L769" s="39">
        <v>0</v>
      </c>
      <c r="M769" s="39">
        <v>0</v>
      </c>
      <c r="N769" s="39">
        <v>0</v>
      </c>
      <c r="O769" s="39">
        <v>0</v>
      </c>
      <c r="P769" s="39">
        <v>0</v>
      </c>
      <c r="Q769" s="39">
        <v>0</v>
      </c>
      <c r="R769" s="39">
        <v>0</v>
      </c>
      <c r="S769" s="39">
        <v>0</v>
      </c>
      <c r="T769" s="39">
        <v>0</v>
      </c>
      <c r="U769" s="39">
        <v>0</v>
      </c>
      <c r="V769" s="39">
        <v>244</v>
      </c>
      <c r="W769" s="40" t="s">
        <v>682</v>
      </c>
      <c r="X769" s="39">
        <v>1</v>
      </c>
    </row>
    <row r="770" spans="1:24">
      <c r="A770" s="39">
        <v>722</v>
      </c>
      <c r="B770" s="40" t="s">
        <v>1415</v>
      </c>
      <c r="C770" s="39">
        <v>1</v>
      </c>
      <c r="E770" s="39">
        <v>1</v>
      </c>
      <c r="F770" s="39">
        <v>440</v>
      </c>
      <c r="G770" s="39">
        <v>0</v>
      </c>
      <c r="H770" s="39">
        <v>0</v>
      </c>
      <c r="I770" s="39">
        <v>0</v>
      </c>
      <c r="J770" s="39">
        <v>0</v>
      </c>
      <c r="K770" s="39">
        <v>0</v>
      </c>
      <c r="L770" s="39">
        <v>0</v>
      </c>
      <c r="M770" s="39">
        <v>0</v>
      </c>
      <c r="N770" s="39">
        <v>0</v>
      </c>
      <c r="O770" s="39">
        <v>0</v>
      </c>
      <c r="P770" s="39">
        <v>0</v>
      </c>
      <c r="Q770" s="39">
        <v>0</v>
      </c>
      <c r="R770" s="39">
        <v>0</v>
      </c>
      <c r="S770" s="39">
        <v>0</v>
      </c>
      <c r="T770" s="39">
        <v>0</v>
      </c>
      <c r="U770" s="39">
        <v>0</v>
      </c>
      <c r="V770" s="39">
        <v>381</v>
      </c>
      <c r="W770" s="40" t="s">
        <v>7805</v>
      </c>
      <c r="X770" s="39">
        <v>1</v>
      </c>
    </row>
    <row r="771" spans="1:24">
      <c r="A771" s="39">
        <v>1249</v>
      </c>
      <c r="B771" s="40" t="s">
        <v>1415</v>
      </c>
      <c r="C771" s="39">
        <v>1</v>
      </c>
      <c r="E771" s="39">
        <v>1</v>
      </c>
      <c r="F771" s="39">
        <v>440</v>
      </c>
      <c r="G771" s="39">
        <v>1</v>
      </c>
      <c r="H771" s="39">
        <v>1</v>
      </c>
      <c r="I771" s="39">
        <v>1</v>
      </c>
      <c r="J771" s="39">
        <v>1</v>
      </c>
      <c r="K771" s="39">
        <v>0</v>
      </c>
      <c r="L771" s="39">
        <v>0</v>
      </c>
      <c r="M771" s="39">
        <v>0</v>
      </c>
      <c r="N771" s="39">
        <v>0</v>
      </c>
      <c r="O771" s="39">
        <v>0</v>
      </c>
      <c r="P771" s="39">
        <v>0</v>
      </c>
      <c r="Q771" s="39">
        <v>0</v>
      </c>
      <c r="R771" s="39">
        <v>0</v>
      </c>
      <c r="S771" s="39">
        <v>0</v>
      </c>
      <c r="T771" s="39">
        <v>0</v>
      </c>
      <c r="U771" s="39">
        <v>0</v>
      </c>
      <c r="V771" s="39">
        <v>418</v>
      </c>
      <c r="W771" s="40" t="s">
        <v>7671</v>
      </c>
      <c r="X771" s="39">
        <v>1</v>
      </c>
    </row>
    <row r="772" spans="1:24">
      <c r="A772" s="39">
        <v>1383</v>
      </c>
      <c r="B772" s="40" t="s">
        <v>1415</v>
      </c>
      <c r="C772" s="39">
        <v>1</v>
      </c>
      <c r="E772" s="39">
        <v>1</v>
      </c>
      <c r="F772" s="39">
        <v>440</v>
      </c>
      <c r="G772" s="39">
        <v>0</v>
      </c>
      <c r="H772" s="39">
        <v>0</v>
      </c>
      <c r="I772" s="39">
        <v>0</v>
      </c>
      <c r="J772" s="39">
        <v>0</v>
      </c>
      <c r="K772" s="39">
        <v>0</v>
      </c>
      <c r="L772" s="39">
        <v>0</v>
      </c>
      <c r="M772" s="39">
        <v>0</v>
      </c>
      <c r="N772" s="39">
        <v>0</v>
      </c>
      <c r="O772" s="39">
        <v>0</v>
      </c>
      <c r="P772" s="39">
        <v>0</v>
      </c>
      <c r="Q772" s="39">
        <v>0</v>
      </c>
      <c r="R772" s="39">
        <v>0</v>
      </c>
      <c r="S772" s="39">
        <v>0</v>
      </c>
      <c r="T772" s="39">
        <v>0</v>
      </c>
      <c r="U772" s="39">
        <v>0</v>
      </c>
      <c r="V772" s="39">
        <v>456</v>
      </c>
      <c r="W772" s="40" t="s">
        <v>7673</v>
      </c>
      <c r="X772" s="39">
        <v>1</v>
      </c>
    </row>
    <row r="773" spans="1:24">
      <c r="A773" s="39">
        <v>861</v>
      </c>
      <c r="B773" s="40" t="s">
        <v>1415</v>
      </c>
      <c r="C773" s="39">
        <v>1</v>
      </c>
      <c r="E773" s="39">
        <v>1</v>
      </c>
      <c r="F773" s="39">
        <v>440</v>
      </c>
      <c r="G773" s="39">
        <v>1</v>
      </c>
      <c r="H773" s="39">
        <v>1</v>
      </c>
      <c r="I773" s="39">
        <v>1</v>
      </c>
      <c r="J773" s="39">
        <v>0</v>
      </c>
      <c r="K773" s="39">
        <v>0</v>
      </c>
      <c r="L773" s="39">
        <v>0</v>
      </c>
      <c r="M773" s="39">
        <v>0</v>
      </c>
      <c r="N773" s="39">
        <v>0</v>
      </c>
      <c r="O773" s="39">
        <v>0</v>
      </c>
      <c r="P773" s="39">
        <v>0</v>
      </c>
      <c r="Q773" s="39">
        <v>0</v>
      </c>
      <c r="R773" s="39">
        <v>0</v>
      </c>
      <c r="S773" s="39">
        <v>0</v>
      </c>
      <c r="T773" s="39">
        <v>0</v>
      </c>
      <c r="U773" s="39">
        <v>0</v>
      </c>
      <c r="V773" s="39">
        <v>458</v>
      </c>
      <c r="W773" s="40" t="s">
        <v>7694</v>
      </c>
      <c r="X773" s="39">
        <v>1</v>
      </c>
    </row>
    <row r="774" spans="1:24">
      <c r="A774" s="39">
        <v>1154</v>
      </c>
      <c r="B774" s="40" t="s">
        <v>1415</v>
      </c>
      <c r="C774" s="39">
        <v>1</v>
      </c>
      <c r="E774" s="39">
        <v>1</v>
      </c>
      <c r="F774" s="39">
        <v>440</v>
      </c>
      <c r="G774" s="39">
        <v>1</v>
      </c>
      <c r="H774" s="39">
        <v>1</v>
      </c>
      <c r="I774" s="39">
        <v>1</v>
      </c>
      <c r="J774" s="39">
        <v>0</v>
      </c>
      <c r="K774" s="39">
        <v>0</v>
      </c>
      <c r="L774" s="39">
        <v>0</v>
      </c>
      <c r="M774" s="39">
        <v>0</v>
      </c>
      <c r="N774" s="39">
        <v>0</v>
      </c>
      <c r="O774" s="39">
        <v>0</v>
      </c>
      <c r="P774" s="39">
        <v>0</v>
      </c>
      <c r="Q774" s="39">
        <v>0</v>
      </c>
      <c r="R774" s="39">
        <v>0</v>
      </c>
      <c r="S774" s="39">
        <v>0</v>
      </c>
      <c r="T774" s="39">
        <v>0</v>
      </c>
      <c r="U774" s="39">
        <v>0</v>
      </c>
      <c r="V774" s="39">
        <v>459</v>
      </c>
      <c r="W774" s="40" t="s">
        <v>7674</v>
      </c>
      <c r="X774" s="39">
        <v>1</v>
      </c>
    </row>
    <row r="775" spans="1:24">
      <c r="A775" s="39">
        <v>611</v>
      </c>
      <c r="B775" s="40" t="s">
        <v>1415</v>
      </c>
      <c r="C775" s="39">
        <v>1</v>
      </c>
      <c r="E775" s="39">
        <v>1</v>
      </c>
      <c r="F775" s="39">
        <v>440</v>
      </c>
      <c r="G775" s="39">
        <v>1</v>
      </c>
      <c r="H775" s="39">
        <v>1</v>
      </c>
      <c r="I775" s="39">
        <v>1</v>
      </c>
      <c r="J775" s="39">
        <v>0</v>
      </c>
      <c r="K775" s="39">
        <v>0</v>
      </c>
      <c r="L775" s="39">
        <v>0</v>
      </c>
      <c r="M775" s="39">
        <v>0</v>
      </c>
      <c r="N775" s="39">
        <v>0</v>
      </c>
      <c r="O775" s="39">
        <v>0</v>
      </c>
      <c r="P775" s="39">
        <v>0</v>
      </c>
      <c r="Q775" s="39">
        <v>0</v>
      </c>
      <c r="R775" s="39">
        <v>0</v>
      </c>
      <c r="S775" s="39">
        <v>0</v>
      </c>
      <c r="T775" s="39">
        <v>0</v>
      </c>
      <c r="U775" s="39">
        <v>0</v>
      </c>
      <c r="V775" s="39">
        <v>468</v>
      </c>
      <c r="W775" s="40" t="s">
        <v>7677</v>
      </c>
      <c r="X775" s="39">
        <v>1</v>
      </c>
    </row>
    <row r="776" spans="1:24">
      <c r="A776" s="39">
        <v>1058</v>
      </c>
      <c r="B776" s="40" t="s">
        <v>1415</v>
      </c>
      <c r="C776" s="39">
        <v>1</v>
      </c>
      <c r="E776" s="39">
        <v>1</v>
      </c>
      <c r="F776" s="39">
        <v>440</v>
      </c>
      <c r="G776" s="39">
        <v>1</v>
      </c>
      <c r="H776" s="39">
        <v>1</v>
      </c>
      <c r="I776" s="39">
        <v>1</v>
      </c>
      <c r="J776" s="39">
        <v>1</v>
      </c>
      <c r="K776" s="39">
        <v>0</v>
      </c>
      <c r="L776" s="39">
        <v>0</v>
      </c>
      <c r="M776" s="39">
        <v>0</v>
      </c>
      <c r="N776" s="39">
        <v>0</v>
      </c>
      <c r="O776" s="39">
        <v>0</v>
      </c>
      <c r="P776" s="39">
        <v>0</v>
      </c>
      <c r="Q776" s="39">
        <v>0</v>
      </c>
      <c r="R776" s="39">
        <v>0</v>
      </c>
      <c r="S776" s="39">
        <v>0</v>
      </c>
      <c r="T776" s="39">
        <v>0</v>
      </c>
      <c r="U776" s="39">
        <v>0</v>
      </c>
      <c r="V776" s="39">
        <v>477</v>
      </c>
      <c r="W776" s="40" t="s">
        <v>7697</v>
      </c>
      <c r="X776" s="39">
        <v>1</v>
      </c>
    </row>
    <row r="777" spans="1:24">
      <c r="A777" s="39">
        <v>244</v>
      </c>
      <c r="B777" s="40" t="s">
        <v>1415</v>
      </c>
      <c r="C777" s="39">
        <v>1</v>
      </c>
      <c r="E777" s="39">
        <v>1</v>
      </c>
      <c r="F777" s="39">
        <v>440</v>
      </c>
      <c r="G777" s="39">
        <v>1</v>
      </c>
      <c r="H777" s="39">
        <v>1</v>
      </c>
      <c r="I777" s="39">
        <v>1</v>
      </c>
      <c r="J777" s="39">
        <v>0</v>
      </c>
      <c r="K777" s="39">
        <v>0</v>
      </c>
      <c r="L777" s="39">
        <v>0</v>
      </c>
      <c r="M777" s="39">
        <v>0</v>
      </c>
      <c r="N777" s="39">
        <v>0</v>
      </c>
      <c r="O777" s="39">
        <v>0</v>
      </c>
      <c r="P777" s="39">
        <v>0</v>
      </c>
      <c r="Q777" s="39">
        <v>0</v>
      </c>
      <c r="R777" s="39">
        <v>0</v>
      </c>
      <c r="S777" s="39">
        <v>0</v>
      </c>
      <c r="T777" s="39">
        <v>0</v>
      </c>
      <c r="U777" s="39">
        <v>0</v>
      </c>
      <c r="V777" s="39">
        <v>590</v>
      </c>
      <c r="W777" s="40" t="s">
        <v>7679</v>
      </c>
      <c r="X777" s="39">
        <v>1</v>
      </c>
    </row>
    <row r="778" spans="1:24">
      <c r="A778" s="39">
        <v>792</v>
      </c>
      <c r="B778" s="40" t="s">
        <v>1415</v>
      </c>
      <c r="C778" s="39">
        <v>1</v>
      </c>
      <c r="E778" s="39">
        <v>1</v>
      </c>
      <c r="F778" s="39">
        <v>440</v>
      </c>
      <c r="G778" s="39">
        <v>1</v>
      </c>
      <c r="H778" s="39">
        <v>1</v>
      </c>
      <c r="I778" s="39">
        <v>1</v>
      </c>
      <c r="J778" s="39">
        <v>0</v>
      </c>
      <c r="K778" s="39">
        <v>0</v>
      </c>
      <c r="L778" s="39">
        <v>0</v>
      </c>
      <c r="M778" s="39">
        <v>0</v>
      </c>
      <c r="N778" s="39">
        <v>0</v>
      </c>
      <c r="O778" s="39">
        <v>0</v>
      </c>
      <c r="P778" s="39">
        <v>0</v>
      </c>
      <c r="Q778" s="39">
        <v>0</v>
      </c>
      <c r="R778" s="39">
        <v>0</v>
      </c>
      <c r="S778" s="39">
        <v>0</v>
      </c>
      <c r="T778" s="39">
        <v>0</v>
      </c>
      <c r="U778" s="39">
        <v>0</v>
      </c>
      <c r="V778" s="39">
        <v>733</v>
      </c>
      <c r="W778" s="40" t="s">
        <v>7680</v>
      </c>
      <c r="X778" s="39">
        <v>1</v>
      </c>
    </row>
    <row r="779" spans="1:24">
      <c r="A779" s="39">
        <v>112</v>
      </c>
      <c r="B779" s="50" t="s">
        <v>7682</v>
      </c>
      <c r="C779" s="39">
        <v>1</v>
      </c>
      <c r="E779" s="39">
        <v>1</v>
      </c>
      <c r="F779" s="39">
        <v>460</v>
      </c>
      <c r="G779" s="39">
        <v>0</v>
      </c>
      <c r="H779" s="39">
        <v>0</v>
      </c>
      <c r="I779" s="39">
        <v>0</v>
      </c>
      <c r="J779" s="39">
        <v>0</v>
      </c>
      <c r="K779" s="39">
        <v>0</v>
      </c>
      <c r="L779" s="39">
        <v>0</v>
      </c>
      <c r="M779" s="39">
        <v>0</v>
      </c>
      <c r="N779" s="39">
        <v>0</v>
      </c>
      <c r="O779" s="39">
        <v>0</v>
      </c>
      <c r="P779" s="39">
        <v>0</v>
      </c>
      <c r="Q779" s="39">
        <v>0</v>
      </c>
      <c r="R779" s="39">
        <v>0</v>
      </c>
      <c r="S779" s="39">
        <v>0</v>
      </c>
      <c r="T779" s="39">
        <v>0</v>
      </c>
      <c r="U779" s="39">
        <v>0</v>
      </c>
      <c r="V779" s="39">
        <v>1</v>
      </c>
      <c r="W779" s="40" t="s">
        <v>518</v>
      </c>
      <c r="X779" s="39">
        <v>1</v>
      </c>
    </row>
    <row r="780" spans="1:24">
      <c r="A780" s="39">
        <v>24</v>
      </c>
      <c r="B780" s="40" t="s">
        <v>7682</v>
      </c>
      <c r="C780" s="39">
        <v>1</v>
      </c>
      <c r="D780" s="40" t="s">
        <v>7847</v>
      </c>
      <c r="E780" s="39">
        <v>1</v>
      </c>
      <c r="F780" s="39">
        <v>10</v>
      </c>
      <c r="G780" s="39">
        <v>0</v>
      </c>
      <c r="H780" s="39">
        <v>0</v>
      </c>
      <c r="I780" s="39">
        <v>0</v>
      </c>
      <c r="J780" s="39">
        <v>0</v>
      </c>
      <c r="K780" s="39">
        <v>0</v>
      </c>
      <c r="L780" s="39">
        <v>0</v>
      </c>
      <c r="M780" s="39">
        <v>0</v>
      </c>
      <c r="N780" s="39">
        <v>0</v>
      </c>
      <c r="O780" s="39">
        <v>0</v>
      </c>
      <c r="P780" s="39">
        <v>0</v>
      </c>
      <c r="Q780" s="39">
        <v>0</v>
      </c>
      <c r="R780" s="39">
        <v>0</v>
      </c>
      <c r="S780" s="39">
        <v>0</v>
      </c>
      <c r="T780" s="39">
        <v>0</v>
      </c>
      <c r="U780" s="39">
        <v>0</v>
      </c>
      <c r="V780" s="39">
        <v>2</v>
      </c>
      <c r="W780" s="40" t="s">
        <v>40</v>
      </c>
      <c r="X780" s="39">
        <v>1</v>
      </c>
    </row>
    <row r="781" spans="1:24">
      <c r="A781" s="39">
        <v>976</v>
      </c>
      <c r="B781" s="40" t="s">
        <v>7682</v>
      </c>
      <c r="C781" s="39">
        <v>1</v>
      </c>
      <c r="E781" s="39">
        <v>1</v>
      </c>
      <c r="F781" s="39">
        <v>460</v>
      </c>
      <c r="G781" s="39">
        <v>1</v>
      </c>
      <c r="H781" s="39">
        <v>1</v>
      </c>
      <c r="I781" s="39">
        <v>1</v>
      </c>
      <c r="J781" s="39">
        <v>0</v>
      </c>
      <c r="K781" s="39">
        <v>0</v>
      </c>
      <c r="L781" s="39">
        <v>0</v>
      </c>
      <c r="M781" s="39">
        <v>0</v>
      </c>
      <c r="N781" s="39">
        <v>0</v>
      </c>
      <c r="O781" s="39">
        <v>0</v>
      </c>
      <c r="P781" s="39">
        <v>0</v>
      </c>
      <c r="Q781" s="39">
        <v>0</v>
      </c>
      <c r="R781" s="39">
        <v>0</v>
      </c>
      <c r="S781" s="39">
        <v>0</v>
      </c>
      <c r="T781" s="39">
        <v>0</v>
      </c>
      <c r="U781" s="39">
        <v>0</v>
      </c>
      <c r="V781" s="39">
        <v>158</v>
      </c>
      <c r="W781" s="40" t="s">
        <v>7667</v>
      </c>
      <c r="X781" s="39">
        <v>1</v>
      </c>
    </row>
    <row r="782" spans="1:24">
      <c r="A782" s="39">
        <v>466</v>
      </c>
      <c r="B782" s="40" t="s">
        <v>7682</v>
      </c>
      <c r="C782" s="39">
        <v>1</v>
      </c>
      <c r="E782" s="39">
        <v>1</v>
      </c>
      <c r="F782" s="39">
        <v>460</v>
      </c>
      <c r="G782" s="39">
        <v>0</v>
      </c>
      <c r="H782" s="39">
        <v>0</v>
      </c>
      <c r="I782" s="39">
        <v>0</v>
      </c>
      <c r="J782" s="39">
        <v>0</v>
      </c>
      <c r="K782" s="39">
        <v>0</v>
      </c>
      <c r="L782" s="39">
        <v>0</v>
      </c>
      <c r="M782" s="39">
        <v>0</v>
      </c>
      <c r="N782" s="39">
        <v>0</v>
      </c>
      <c r="O782" s="39">
        <v>0</v>
      </c>
      <c r="P782" s="39">
        <v>0</v>
      </c>
      <c r="Q782" s="39">
        <v>0</v>
      </c>
      <c r="R782" s="39">
        <v>0</v>
      </c>
      <c r="S782" s="39">
        <v>0</v>
      </c>
      <c r="T782" s="39">
        <v>0</v>
      </c>
      <c r="U782" s="39">
        <v>0</v>
      </c>
      <c r="V782" s="39">
        <v>175</v>
      </c>
      <c r="W782" s="40" t="s">
        <v>7689</v>
      </c>
      <c r="X782" s="39">
        <v>1</v>
      </c>
    </row>
    <row r="783" spans="1:24">
      <c r="A783" s="39">
        <v>354</v>
      </c>
      <c r="B783" s="40" t="s">
        <v>7682</v>
      </c>
      <c r="C783" s="39">
        <v>1</v>
      </c>
      <c r="E783" s="39">
        <v>1</v>
      </c>
      <c r="F783" s="39">
        <v>460</v>
      </c>
      <c r="G783" s="39">
        <v>1</v>
      </c>
      <c r="H783" s="39">
        <v>1</v>
      </c>
      <c r="I783" s="39">
        <v>1</v>
      </c>
      <c r="J783" s="39">
        <v>0</v>
      </c>
      <c r="K783" s="39">
        <v>0</v>
      </c>
      <c r="L783" s="39">
        <v>0</v>
      </c>
      <c r="M783" s="39">
        <v>0</v>
      </c>
      <c r="N783" s="39">
        <v>0</v>
      </c>
      <c r="O783" s="39">
        <v>0</v>
      </c>
      <c r="P783" s="39">
        <v>0</v>
      </c>
      <c r="Q783" s="39">
        <v>0</v>
      </c>
      <c r="R783" s="39">
        <v>0</v>
      </c>
      <c r="S783" s="39">
        <v>0</v>
      </c>
      <c r="T783" s="39">
        <v>0</v>
      </c>
      <c r="U783" s="39">
        <v>0</v>
      </c>
      <c r="V783" s="39">
        <v>228</v>
      </c>
      <c r="W783" s="40" t="s">
        <v>7669</v>
      </c>
      <c r="X783" s="39">
        <v>1</v>
      </c>
    </row>
    <row r="784" spans="1:24">
      <c r="A784" s="39">
        <v>1723</v>
      </c>
      <c r="B784" s="40" t="s">
        <v>7682</v>
      </c>
      <c r="C784" s="39">
        <v>1</v>
      </c>
      <c r="E784" s="39">
        <v>1</v>
      </c>
      <c r="F784" s="39">
        <v>460</v>
      </c>
      <c r="G784" s="39">
        <v>0</v>
      </c>
      <c r="H784" s="39">
        <v>0</v>
      </c>
      <c r="I784" s="39">
        <v>0</v>
      </c>
      <c r="J784" s="39">
        <v>0</v>
      </c>
      <c r="K784" s="39">
        <v>0</v>
      </c>
      <c r="L784" s="39">
        <v>0</v>
      </c>
      <c r="M784" s="39">
        <v>0</v>
      </c>
      <c r="N784" s="39">
        <v>0</v>
      </c>
      <c r="O784" s="39">
        <v>0</v>
      </c>
      <c r="P784" s="39">
        <v>0</v>
      </c>
      <c r="Q784" s="39">
        <v>0</v>
      </c>
      <c r="R784" s="39">
        <v>0</v>
      </c>
      <c r="S784" s="39">
        <v>0</v>
      </c>
      <c r="T784" s="39">
        <v>0</v>
      </c>
      <c r="U784" s="39">
        <v>0</v>
      </c>
      <c r="V784" s="39">
        <v>244</v>
      </c>
      <c r="W784" s="40" t="s">
        <v>682</v>
      </c>
      <c r="X784" s="39">
        <v>1</v>
      </c>
    </row>
    <row r="785" spans="1:24">
      <c r="A785" s="39">
        <v>723</v>
      </c>
      <c r="B785" s="40" t="s">
        <v>7682</v>
      </c>
      <c r="C785" s="39">
        <v>1</v>
      </c>
      <c r="E785" s="39">
        <v>1</v>
      </c>
      <c r="F785" s="39">
        <v>460</v>
      </c>
      <c r="G785" s="39">
        <v>0</v>
      </c>
      <c r="H785" s="39">
        <v>0</v>
      </c>
      <c r="I785" s="39">
        <v>0</v>
      </c>
      <c r="J785" s="39">
        <v>0</v>
      </c>
      <c r="K785" s="39">
        <v>0</v>
      </c>
      <c r="L785" s="39">
        <v>0</v>
      </c>
      <c r="M785" s="39">
        <v>0</v>
      </c>
      <c r="N785" s="39">
        <v>0</v>
      </c>
      <c r="O785" s="39">
        <v>0</v>
      </c>
      <c r="P785" s="39">
        <v>0</v>
      </c>
      <c r="Q785" s="39">
        <v>0</v>
      </c>
      <c r="R785" s="39">
        <v>0</v>
      </c>
      <c r="S785" s="39">
        <v>0</v>
      </c>
      <c r="T785" s="39">
        <v>0</v>
      </c>
      <c r="U785" s="39">
        <v>0</v>
      </c>
      <c r="V785" s="39">
        <v>381</v>
      </c>
      <c r="W785" s="40" t="s">
        <v>7805</v>
      </c>
      <c r="X785" s="39">
        <v>1</v>
      </c>
    </row>
    <row r="786" spans="1:24">
      <c r="A786" s="39">
        <v>1250</v>
      </c>
      <c r="B786" s="40" t="s">
        <v>7682</v>
      </c>
      <c r="C786" s="39">
        <v>1</v>
      </c>
      <c r="E786" s="39">
        <v>1</v>
      </c>
      <c r="F786" s="39">
        <v>460</v>
      </c>
      <c r="G786" s="39">
        <v>1</v>
      </c>
      <c r="H786" s="39">
        <v>1</v>
      </c>
      <c r="I786" s="39">
        <v>1</v>
      </c>
      <c r="J786" s="39">
        <v>1</v>
      </c>
      <c r="K786" s="39">
        <v>0</v>
      </c>
      <c r="L786" s="39">
        <v>0</v>
      </c>
      <c r="M786" s="39">
        <v>0</v>
      </c>
      <c r="N786" s="39">
        <v>0</v>
      </c>
      <c r="O786" s="39">
        <v>0</v>
      </c>
      <c r="P786" s="39">
        <v>0</v>
      </c>
      <c r="Q786" s="39">
        <v>0</v>
      </c>
      <c r="R786" s="39">
        <v>0</v>
      </c>
      <c r="S786" s="39">
        <v>0</v>
      </c>
      <c r="T786" s="39">
        <v>0</v>
      </c>
      <c r="U786" s="39">
        <v>0</v>
      </c>
      <c r="V786" s="39">
        <v>418</v>
      </c>
      <c r="W786" s="40" t="s">
        <v>7671</v>
      </c>
      <c r="X786" s="39">
        <v>1</v>
      </c>
    </row>
    <row r="787" spans="1:24">
      <c r="A787" s="39">
        <v>1384</v>
      </c>
      <c r="B787" s="40" t="s">
        <v>7682</v>
      </c>
      <c r="C787" s="39">
        <v>1</v>
      </c>
      <c r="E787" s="39">
        <v>1</v>
      </c>
      <c r="F787" s="39">
        <v>460</v>
      </c>
      <c r="G787" s="39">
        <v>0</v>
      </c>
      <c r="H787" s="39">
        <v>0</v>
      </c>
      <c r="I787" s="39">
        <v>0</v>
      </c>
      <c r="J787" s="39">
        <v>0</v>
      </c>
      <c r="K787" s="39">
        <v>0</v>
      </c>
      <c r="L787" s="39">
        <v>0</v>
      </c>
      <c r="M787" s="39">
        <v>0</v>
      </c>
      <c r="N787" s="39">
        <v>0</v>
      </c>
      <c r="O787" s="39">
        <v>0</v>
      </c>
      <c r="P787" s="39">
        <v>0</v>
      </c>
      <c r="Q787" s="39">
        <v>0</v>
      </c>
      <c r="R787" s="39">
        <v>0</v>
      </c>
      <c r="S787" s="39">
        <v>0</v>
      </c>
      <c r="T787" s="39">
        <v>0</v>
      </c>
      <c r="U787" s="39">
        <v>0</v>
      </c>
      <c r="V787" s="39">
        <v>456</v>
      </c>
      <c r="W787" s="40" t="s">
        <v>7673</v>
      </c>
      <c r="X787" s="39">
        <v>1</v>
      </c>
    </row>
    <row r="788" spans="1:24">
      <c r="A788" s="39">
        <v>862</v>
      </c>
      <c r="B788" s="40" t="s">
        <v>7682</v>
      </c>
      <c r="C788" s="39">
        <v>1</v>
      </c>
      <c r="E788" s="39">
        <v>1</v>
      </c>
      <c r="F788" s="39">
        <v>460</v>
      </c>
      <c r="G788" s="39">
        <v>1</v>
      </c>
      <c r="H788" s="39">
        <v>1</v>
      </c>
      <c r="I788" s="39">
        <v>1</v>
      </c>
      <c r="J788" s="39">
        <v>0</v>
      </c>
      <c r="K788" s="39">
        <v>0</v>
      </c>
      <c r="L788" s="39">
        <v>0</v>
      </c>
      <c r="M788" s="39">
        <v>0</v>
      </c>
      <c r="N788" s="39">
        <v>0</v>
      </c>
      <c r="O788" s="39">
        <v>0</v>
      </c>
      <c r="P788" s="39">
        <v>0</v>
      </c>
      <c r="Q788" s="39">
        <v>0</v>
      </c>
      <c r="R788" s="39">
        <v>0</v>
      </c>
      <c r="S788" s="39">
        <v>0</v>
      </c>
      <c r="T788" s="39">
        <v>0</v>
      </c>
      <c r="U788" s="39">
        <v>0</v>
      </c>
      <c r="V788" s="39">
        <v>458</v>
      </c>
      <c r="W788" s="40" t="s">
        <v>7694</v>
      </c>
      <c r="X788" s="39">
        <v>1</v>
      </c>
    </row>
    <row r="789" spans="1:24">
      <c r="A789" s="39">
        <v>1155</v>
      </c>
      <c r="B789" s="40" t="s">
        <v>7682</v>
      </c>
      <c r="C789" s="39">
        <v>1</v>
      </c>
      <c r="E789" s="39">
        <v>1</v>
      </c>
      <c r="F789" s="39">
        <v>460</v>
      </c>
      <c r="G789" s="39">
        <v>1</v>
      </c>
      <c r="H789" s="39">
        <v>1</v>
      </c>
      <c r="I789" s="39">
        <v>1</v>
      </c>
      <c r="J789" s="39">
        <v>0</v>
      </c>
      <c r="K789" s="39">
        <v>0</v>
      </c>
      <c r="L789" s="39">
        <v>0</v>
      </c>
      <c r="M789" s="39">
        <v>0</v>
      </c>
      <c r="N789" s="39">
        <v>0</v>
      </c>
      <c r="O789" s="39">
        <v>0</v>
      </c>
      <c r="P789" s="39">
        <v>0</v>
      </c>
      <c r="Q789" s="39">
        <v>0</v>
      </c>
      <c r="R789" s="39">
        <v>0</v>
      </c>
      <c r="S789" s="39">
        <v>0</v>
      </c>
      <c r="T789" s="39">
        <v>0</v>
      </c>
      <c r="U789" s="39">
        <v>0</v>
      </c>
      <c r="V789" s="39">
        <v>459</v>
      </c>
      <c r="W789" s="40" t="s">
        <v>7674</v>
      </c>
      <c r="X789" s="39">
        <v>1</v>
      </c>
    </row>
    <row r="790" spans="1:24">
      <c r="A790" s="39">
        <v>612</v>
      </c>
      <c r="B790" s="40" t="s">
        <v>7682</v>
      </c>
      <c r="C790" s="39">
        <v>1</v>
      </c>
      <c r="E790" s="39">
        <v>1</v>
      </c>
      <c r="F790" s="39">
        <v>460</v>
      </c>
      <c r="G790" s="39">
        <v>1</v>
      </c>
      <c r="H790" s="39">
        <v>1</v>
      </c>
      <c r="I790" s="39">
        <v>1</v>
      </c>
      <c r="J790" s="39">
        <v>0</v>
      </c>
      <c r="K790" s="39">
        <v>0</v>
      </c>
      <c r="L790" s="39">
        <v>0</v>
      </c>
      <c r="M790" s="39">
        <v>0</v>
      </c>
      <c r="N790" s="39">
        <v>0</v>
      </c>
      <c r="O790" s="39">
        <v>0</v>
      </c>
      <c r="P790" s="39">
        <v>0</v>
      </c>
      <c r="Q790" s="39">
        <v>0</v>
      </c>
      <c r="R790" s="39">
        <v>0</v>
      </c>
      <c r="S790" s="39">
        <v>0</v>
      </c>
      <c r="T790" s="39">
        <v>0</v>
      </c>
      <c r="U790" s="39">
        <v>0</v>
      </c>
      <c r="V790" s="39">
        <v>468</v>
      </c>
      <c r="W790" s="40" t="s">
        <v>7677</v>
      </c>
      <c r="X790" s="39">
        <v>1</v>
      </c>
    </row>
    <row r="791" spans="1:24">
      <c r="A791" s="39">
        <v>1059</v>
      </c>
      <c r="B791" s="40" t="s">
        <v>7682</v>
      </c>
      <c r="C791" s="39">
        <v>1</v>
      </c>
      <c r="E791" s="39">
        <v>1</v>
      </c>
      <c r="F791" s="39">
        <v>460</v>
      </c>
      <c r="G791" s="39">
        <v>1</v>
      </c>
      <c r="H791" s="39">
        <v>1</v>
      </c>
      <c r="I791" s="39">
        <v>1</v>
      </c>
      <c r="J791" s="39">
        <v>1</v>
      </c>
      <c r="K791" s="39">
        <v>0</v>
      </c>
      <c r="L791" s="39">
        <v>0</v>
      </c>
      <c r="M791" s="39">
        <v>0</v>
      </c>
      <c r="N791" s="39">
        <v>0</v>
      </c>
      <c r="O791" s="39">
        <v>0</v>
      </c>
      <c r="P791" s="39">
        <v>0</v>
      </c>
      <c r="Q791" s="39">
        <v>0</v>
      </c>
      <c r="R791" s="39">
        <v>0</v>
      </c>
      <c r="S791" s="39">
        <v>0</v>
      </c>
      <c r="T791" s="39">
        <v>0</v>
      </c>
      <c r="U791" s="39">
        <v>0</v>
      </c>
      <c r="V791" s="39">
        <v>477</v>
      </c>
      <c r="W791" s="40" t="s">
        <v>7697</v>
      </c>
      <c r="X791" s="39">
        <v>1</v>
      </c>
    </row>
    <row r="792" spans="1:24">
      <c r="A792" s="39">
        <v>245</v>
      </c>
      <c r="B792" s="40" t="s">
        <v>7682</v>
      </c>
      <c r="C792" s="39">
        <v>1</v>
      </c>
      <c r="E792" s="39">
        <v>1</v>
      </c>
      <c r="F792" s="39">
        <v>460</v>
      </c>
      <c r="G792" s="39">
        <v>1</v>
      </c>
      <c r="H792" s="39">
        <v>1</v>
      </c>
      <c r="I792" s="39">
        <v>1</v>
      </c>
      <c r="J792" s="39">
        <v>0</v>
      </c>
      <c r="K792" s="39">
        <v>0</v>
      </c>
      <c r="L792" s="39">
        <v>0</v>
      </c>
      <c r="M792" s="39">
        <v>0</v>
      </c>
      <c r="N792" s="39">
        <v>0</v>
      </c>
      <c r="O792" s="39">
        <v>0</v>
      </c>
      <c r="P792" s="39">
        <v>0</v>
      </c>
      <c r="Q792" s="39">
        <v>0</v>
      </c>
      <c r="R792" s="39">
        <v>0</v>
      </c>
      <c r="S792" s="39">
        <v>0</v>
      </c>
      <c r="T792" s="39">
        <v>0</v>
      </c>
      <c r="U792" s="39">
        <v>0</v>
      </c>
      <c r="V792" s="39">
        <v>590</v>
      </c>
      <c r="W792" s="40" t="s">
        <v>7679</v>
      </c>
      <c r="X792" s="39">
        <v>1</v>
      </c>
    </row>
    <row r="793" spans="1:24">
      <c r="A793" s="39">
        <v>793</v>
      </c>
      <c r="B793" s="40" t="s">
        <v>7682</v>
      </c>
      <c r="C793" s="39">
        <v>1</v>
      </c>
      <c r="E793" s="39">
        <v>1</v>
      </c>
      <c r="F793" s="39">
        <v>460</v>
      </c>
      <c r="G793" s="39">
        <v>1</v>
      </c>
      <c r="H793" s="39">
        <v>1</v>
      </c>
      <c r="I793" s="39">
        <v>1</v>
      </c>
      <c r="J793" s="39">
        <v>0</v>
      </c>
      <c r="K793" s="39">
        <v>0</v>
      </c>
      <c r="L793" s="39">
        <v>0</v>
      </c>
      <c r="M793" s="39">
        <v>0</v>
      </c>
      <c r="N793" s="39">
        <v>0</v>
      </c>
      <c r="O793" s="39">
        <v>0</v>
      </c>
      <c r="P793" s="39">
        <v>0</v>
      </c>
      <c r="Q793" s="39">
        <v>0</v>
      </c>
      <c r="R793" s="39">
        <v>0</v>
      </c>
      <c r="S793" s="39">
        <v>0</v>
      </c>
      <c r="T793" s="39">
        <v>0</v>
      </c>
      <c r="U793" s="39">
        <v>0</v>
      </c>
      <c r="V793" s="39">
        <v>733</v>
      </c>
      <c r="W793" s="40" t="s">
        <v>7680</v>
      </c>
      <c r="X793" s="39">
        <v>1</v>
      </c>
    </row>
    <row r="794" spans="1:24">
      <c r="A794" s="39">
        <v>113</v>
      </c>
      <c r="B794" s="50" t="s">
        <v>7683</v>
      </c>
      <c r="C794" s="39">
        <v>1</v>
      </c>
      <c r="E794" s="39">
        <v>1</v>
      </c>
      <c r="F794" s="39">
        <v>480</v>
      </c>
      <c r="G794" s="39">
        <v>0</v>
      </c>
      <c r="H794" s="39">
        <v>0</v>
      </c>
      <c r="I794" s="39">
        <v>0</v>
      </c>
      <c r="J794" s="39">
        <v>0</v>
      </c>
      <c r="K794" s="39">
        <v>0</v>
      </c>
      <c r="L794" s="39">
        <v>0</v>
      </c>
      <c r="M794" s="39">
        <v>0</v>
      </c>
      <c r="N794" s="39">
        <v>0</v>
      </c>
      <c r="O794" s="39">
        <v>0</v>
      </c>
      <c r="P794" s="39">
        <v>0</v>
      </c>
      <c r="Q794" s="39">
        <v>0</v>
      </c>
      <c r="R794" s="39">
        <v>0</v>
      </c>
      <c r="S794" s="39">
        <v>0</v>
      </c>
      <c r="T794" s="39">
        <v>0</v>
      </c>
      <c r="U794" s="39">
        <v>0</v>
      </c>
      <c r="V794" s="39">
        <v>1</v>
      </c>
      <c r="W794" s="40" t="s">
        <v>518</v>
      </c>
      <c r="X794" s="39">
        <v>1</v>
      </c>
    </row>
    <row r="795" spans="1:24">
      <c r="A795" s="39">
        <v>25</v>
      </c>
      <c r="B795" s="40" t="s">
        <v>7683</v>
      </c>
      <c r="C795" s="39">
        <v>1</v>
      </c>
      <c r="D795" s="40" t="s">
        <v>7848</v>
      </c>
      <c r="E795" s="39">
        <v>1</v>
      </c>
      <c r="F795" s="39">
        <v>10</v>
      </c>
      <c r="G795" s="39">
        <v>0</v>
      </c>
      <c r="H795" s="39">
        <v>0</v>
      </c>
      <c r="I795" s="39">
        <v>0</v>
      </c>
      <c r="J795" s="39">
        <v>0</v>
      </c>
      <c r="K795" s="39">
        <v>0</v>
      </c>
      <c r="L795" s="39">
        <v>0</v>
      </c>
      <c r="M795" s="39">
        <v>0</v>
      </c>
      <c r="N795" s="39">
        <v>0</v>
      </c>
      <c r="O795" s="39">
        <v>0</v>
      </c>
      <c r="P795" s="39">
        <v>0</v>
      </c>
      <c r="Q795" s="39">
        <v>0</v>
      </c>
      <c r="R795" s="39">
        <v>0</v>
      </c>
      <c r="S795" s="39">
        <v>0</v>
      </c>
      <c r="T795" s="39">
        <v>0</v>
      </c>
      <c r="U795" s="39">
        <v>0</v>
      </c>
      <c r="V795" s="39">
        <v>2</v>
      </c>
      <c r="W795" s="40" t="s">
        <v>40</v>
      </c>
      <c r="X795" s="39">
        <v>1</v>
      </c>
    </row>
    <row r="796" spans="1:24">
      <c r="A796" s="39">
        <v>977</v>
      </c>
      <c r="B796" s="40" t="s">
        <v>7683</v>
      </c>
      <c r="C796" s="39">
        <v>1</v>
      </c>
      <c r="E796" s="39">
        <v>1</v>
      </c>
      <c r="F796" s="39">
        <v>480</v>
      </c>
      <c r="G796" s="39">
        <v>1</v>
      </c>
      <c r="H796" s="39">
        <v>1</v>
      </c>
      <c r="I796" s="39">
        <v>1</v>
      </c>
      <c r="J796" s="39">
        <v>0</v>
      </c>
      <c r="K796" s="39">
        <v>0</v>
      </c>
      <c r="L796" s="39">
        <v>0</v>
      </c>
      <c r="M796" s="39">
        <v>0</v>
      </c>
      <c r="N796" s="39">
        <v>0</v>
      </c>
      <c r="O796" s="39">
        <v>0</v>
      </c>
      <c r="P796" s="39">
        <v>0</v>
      </c>
      <c r="Q796" s="39">
        <v>0</v>
      </c>
      <c r="R796" s="39">
        <v>0</v>
      </c>
      <c r="S796" s="39">
        <v>0</v>
      </c>
      <c r="T796" s="39">
        <v>0</v>
      </c>
      <c r="U796" s="39">
        <v>0</v>
      </c>
      <c r="V796" s="39">
        <v>158</v>
      </c>
      <c r="W796" s="40" t="s">
        <v>7667</v>
      </c>
      <c r="X796" s="39">
        <v>1</v>
      </c>
    </row>
    <row r="797" spans="1:24">
      <c r="A797" s="39">
        <v>467</v>
      </c>
      <c r="B797" s="40" t="s">
        <v>7683</v>
      </c>
      <c r="C797" s="39">
        <v>1</v>
      </c>
      <c r="E797" s="39">
        <v>1</v>
      </c>
      <c r="F797" s="39">
        <v>480</v>
      </c>
      <c r="G797" s="39">
        <v>0</v>
      </c>
      <c r="H797" s="39">
        <v>0</v>
      </c>
      <c r="I797" s="39">
        <v>0</v>
      </c>
      <c r="J797" s="39">
        <v>0</v>
      </c>
      <c r="K797" s="39">
        <v>0</v>
      </c>
      <c r="L797" s="39">
        <v>0</v>
      </c>
      <c r="M797" s="39">
        <v>0</v>
      </c>
      <c r="N797" s="39">
        <v>0</v>
      </c>
      <c r="O797" s="39">
        <v>0</v>
      </c>
      <c r="P797" s="39">
        <v>0</v>
      </c>
      <c r="Q797" s="39">
        <v>0</v>
      </c>
      <c r="R797" s="39">
        <v>0</v>
      </c>
      <c r="S797" s="39">
        <v>0</v>
      </c>
      <c r="T797" s="39">
        <v>0</v>
      </c>
      <c r="U797" s="39">
        <v>0</v>
      </c>
      <c r="V797" s="39">
        <v>175</v>
      </c>
      <c r="W797" s="40" t="s">
        <v>7689</v>
      </c>
      <c r="X797" s="39">
        <v>1</v>
      </c>
    </row>
    <row r="798" spans="1:24">
      <c r="A798" s="39">
        <v>355</v>
      </c>
      <c r="B798" s="40" t="s">
        <v>7683</v>
      </c>
      <c r="C798" s="39">
        <v>1</v>
      </c>
      <c r="E798" s="39">
        <v>1</v>
      </c>
      <c r="F798" s="39">
        <v>480</v>
      </c>
      <c r="G798" s="39">
        <v>1</v>
      </c>
      <c r="H798" s="39">
        <v>1</v>
      </c>
      <c r="I798" s="39">
        <v>1</v>
      </c>
      <c r="J798" s="39">
        <v>0</v>
      </c>
      <c r="K798" s="39">
        <v>0</v>
      </c>
      <c r="L798" s="39">
        <v>0</v>
      </c>
      <c r="M798" s="39">
        <v>0</v>
      </c>
      <c r="N798" s="39">
        <v>0</v>
      </c>
      <c r="O798" s="39">
        <v>0</v>
      </c>
      <c r="P798" s="39">
        <v>0</v>
      </c>
      <c r="Q798" s="39">
        <v>0</v>
      </c>
      <c r="R798" s="39">
        <v>0</v>
      </c>
      <c r="S798" s="39">
        <v>0</v>
      </c>
      <c r="T798" s="39">
        <v>0</v>
      </c>
      <c r="U798" s="39">
        <v>0</v>
      </c>
      <c r="V798" s="39">
        <v>228</v>
      </c>
      <c r="W798" s="40" t="s">
        <v>7669</v>
      </c>
      <c r="X798" s="39">
        <v>1</v>
      </c>
    </row>
    <row r="799" spans="1:24">
      <c r="A799" s="39">
        <v>1724</v>
      </c>
      <c r="B799" s="40" t="s">
        <v>7683</v>
      </c>
      <c r="C799" s="39">
        <v>1</v>
      </c>
      <c r="E799" s="39">
        <v>1</v>
      </c>
      <c r="F799" s="39">
        <v>480</v>
      </c>
      <c r="G799" s="39">
        <v>0</v>
      </c>
      <c r="H799" s="39">
        <v>0</v>
      </c>
      <c r="I799" s="39">
        <v>0</v>
      </c>
      <c r="J799" s="39">
        <v>0</v>
      </c>
      <c r="K799" s="39">
        <v>0</v>
      </c>
      <c r="L799" s="39">
        <v>0</v>
      </c>
      <c r="M799" s="39">
        <v>0</v>
      </c>
      <c r="N799" s="39">
        <v>0</v>
      </c>
      <c r="O799" s="39">
        <v>0</v>
      </c>
      <c r="P799" s="39">
        <v>0</v>
      </c>
      <c r="Q799" s="39">
        <v>0</v>
      </c>
      <c r="R799" s="39">
        <v>0</v>
      </c>
      <c r="S799" s="39">
        <v>0</v>
      </c>
      <c r="T799" s="39">
        <v>0</v>
      </c>
      <c r="U799" s="39">
        <v>0</v>
      </c>
      <c r="V799" s="39">
        <v>244</v>
      </c>
      <c r="W799" s="40" t="s">
        <v>682</v>
      </c>
      <c r="X799" s="39">
        <v>1</v>
      </c>
    </row>
    <row r="800" spans="1:24">
      <c r="A800" s="39">
        <v>724</v>
      </c>
      <c r="B800" s="40" t="s">
        <v>7683</v>
      </c>
      <c r="C800" s="39">
        <v>1</v>
      </c>
      <c r="E800" s="39">
        <v>1</v>
      </c>
      <c r="F800" s="39">
        <v>480</v>
      </c>
      <c r="G800" s="39">
        <v>0</v>
      </c>
      <c r="H800" s="39">
        <v>0</v>
      </c>
      <c r="I800" s="39">
        <v>0</v>
      </c>
      <c r="J800" s="39">
        <v>0</v>
      </c>
      <c r="K800" s="39">
        <v>0</v>
      </c>
      <c r="L800" s="39">
        <v>0</v>
      </c>
      <c r="M800" s="39">
        <v>0</v>
      </c>
      <c r="N800" s="39">
        <v>0</v>
      </c>
      <c r="O800" s="39">
        <v>0</v>
      </c>
      <c r="P800" s="39">
        <v>0</v>
      </c>
      <c r="Q800" s="39">
        <v>0</v>
      </c>
      <c r="R800" s="39">
        <v>0</v>
      </c>
      <c r="S800" s="39">
        <v>0</v>
      </c>
      <c r="T800" s="39">
        <v>0</v>
      </c>
      <c r="U800" s="39">
        <v>0</v>
      </c>
      <c r="V800" s="39">
        <v>381</v>
      </c>
      <c r="W800" s="40" t="s">
        <v>7805</v>
      </c>
      <c r="X800" s="39">
        <v>1</v>
      </c>
    </row>
    <row r="801" spans="1:24">
      <c r="A801" s="39">
        <v>1251</v>
      </c>
      <c r="B801" s="40" t="s">
        <v>7683</v>
      </c>
      <c r="C801" s="39">
        <v>1</v>
      </c>
      <c r="E801" s="39">
        <v>1</v>
      </c>
      <c r="F801" s="39">
        <v>480</v>
      </c>
      <c r="G801" s="39">
        <v>1</v>
      </c>
      <c r="H801" s="39">
        <v>1</v>
      </c>
      <c r="I801" s="39">
        <v>1</v>
      </c>
      <c r="J801" s="39">
        <v>1</v>
      </c>
      <c r="K801" s="39">
        <v>0</v>
      </c>
      <c r="L801" s="39">
        <v>0</v>
      </c>
      <c r="M801" s="39">
        <v>0</v>
      </c>
      <c r="N801" s="39">
        <v>0</v>
      </c>
      <c r="O801" s="39">
        <v>0</v>
      </c>
      <c r="P801" s="39">
        <v>0</v>
      </c>
      <c r="Q801" s="39">
        <v>0</v>
      </c>
      <c r="R801" s="39">
        <v>0</v>
      </c>
      <c r="S801" s="39">
        <v>0</v>
      </c>
      <c r="T801" s="39">
        <v>0</v>
      </c>
      <c r="U801" s="39">
        <v>0</v>
      </c>
      <c r="V801" s="39">
        <v>418</v>
      </c>
      <c r="W801" s="40" t="s">
        <v>7671</v>
      </c>
      <c r="X801" s="39">
        <v>1</v>
      </c>
    </row>
    <row r="802" spans="1:24">
      <c r="A802" s="39">
        <v>1385</v>
      </c>
      <c r="B802" s="40" t="s">
        <v>7683</v>
      </c>
      <c r="C802" s="39">
        <v>1</v>
      </c>
      <c r="E802" s="39">
        <v>1</v>
      </c>
      <c r="F802" s="39">
        <v>480</v>
      </c>
      <c r="G802" s="39">
        <v>0</v>
      </c>
      <c r="H802" s="39">
        <v>0</v>
      </c>
      <c r="I802" s="39">
        <v>0</v>
      </c>
      <c r="J802" s="39">
        <v>0</v>
      </c>
      <c r="K802" s="39">
        <v>0</v>
      </c>
      <c r="L802" s="39">
        <v>0</v>
      </c>
      <c r="M802" s="39">
        <v>0</v>
      </c>
      <c r="N802" s="39">
        <v>0</v>
      </c>
      <c r="O802" s="39">
        <v>0</v>
      </c>
      <c r="P802" s="39">
        <v>0</v>
      </c>
      <c r="Q802" s="39">
        <v>0</v>
      </c>
      <c r="R802" s="39">
        <v>0</v>
      </c>
      <c r="S802" s="39">
        <v>0</v>
      </c>
      <c r="T802" s="39">
        <v>0</v>
      </c>
      <c r="U802" s="39">
        <v>0</v>
      </c>
      <c r="V802" s="39">
        <v>456</v>
      </c>
      <c r="W802" s="40" t="s">
        <v>7673</v>
      </c>
      <c r="X802" s="39">
        <v>1</v>
      </c>
    </row>
    <row r="803" spans="1:24">
      <c r="A803" s="39">
        <v>863</v>
      </c>
      <c r="B803" s="40" t="s">
        <v>7683</v>
      </c>
      <c r="C803" s="39">
        <v>1</v>
      </c>
      <c r="E803" s="39">
        <v>1</v>
      </c>
      <c r="F803" s="39">
        <v>480</v>
      </c>
      <c r="G803" s="39">
        <v>1</v>
      </c>
      <c r="H803" s="39">
        <v>1</v>
      </c>
      <c r="I803" s="39">
        <v>1</v>
      </c>
      <c r="J803" s="39">
        <v>0</v>
      </c>
      <c r="K803" s="39">
        <v>0</v>
      </c>
      <c r="L803" s="39">
        <v>0</v>
      </c>
      <c r="M803" s="39">
        <v>0</v>
      </c>
      <c r="N803" s="39">
        <v>0</v>
      </c>
      <c r="O803" s="39">
        <v>0</v>
      </c>
      <c r="P803" s="39">
        <v>0</v>
      </c>
      <c r="Q803" s="39">
        <v>0</v>
      </c>
      <c r="R803" s="39">
        <v>0</v>
      </c>
      <c r="S803" s="39">
        <v>0</v>
      </c>
      <c r="T803" s="39">
        <v>0</v>
      </c>
      <c r="U803" s="39">
        <v>0</v>
      </c>
      <c r="V803" s="39">
        <v>458</v>
      </c>
      <c r="W803" s="40" t="s">
        <v>7694</v>
      </c>
      <c r="X803" s="39">
        <v>1</v>
      </c>
    </row>
    <row r="804" spans="1:24">
      <c r="A804" s="39">
        <v>1156</v>
      </c>
      <c r="B804" s="40" t="s">
        <v>7683</v>
      </c>
      <c r="C804" s="39">
        <v>1</v>
      </c>
      <c r="E804" s="39">
        <v>1</v>
      </c>
      <c r="F804" s="39">
        <v>480</v>
      </c>
      <c r="G804" s="39">
        <v>1</v>
      </c>
      <c r="H804" s="39">
        <v>1</v>
      </c>
      <c r="I804" s="39">
        <v>1</v>
      </c>
      <c r="J804" s="39">
        <v>0</v>
      </c>
      <c r="K804" s="39">
        <v>0</v>
      </c>
      <c r="L804" s="39">
        <v>0</v>
      </c>
      <c r="M804" s="39">
        <v>0</v>
      </c>
      <c r="N804" s="39">
        <v>0</v>
      </c>
      <c r="O804" s="39">
        <v>0</v>
      </c>
      <c r="P804" s="39">
        <v>0</v>
      </c>
      <c r="Q804" s="39">
        <v>0</v>
      </c>
      <c r="R804" s="39">
        <v>0</v>
      </c>
      <c r="S804" s="39">
        <v>0</v>
      </c>
      <c r="T804" s="39">
        <v>0</v>
      </c>
      <c r="U804" s="39">
        <v>0</v>
      </c>
      <c r="V804" s="39">
        <v>459</v>
      </c>
      <c r="W804" s="40" t="s">
        <v>7674</v>
      </c>
      <c r="X804" s="39">
        <v>1</v>
      </c>
    </row>
    <row r="805" spans="1:24">
      <c r="A805" s="39">
        <v>613</v>
      </c>
      <c r="B805" s="40" t="s">
        <v>7683</v>
      </c>
      <c r="C805" s="39">
        <v>1</v>
      </c>
      <c r="E805" s="39">
        <v>1</v>
      </c>
      <c r="F805" s="39">
        <v>480</v>
      </c>
      <c r="G805" s="39">
        <v>1</v>
      </c>
      <c r="H805" s="39">
        <v>1</v>
      </c>
      <c r="I805" s="39">
        <v>1</v>
      </c>
      <c r="J805" s="39">
        <v>0</v>
      </c>
      <c r="K805" s="39">
        <v>0</v>
      </c>
      <c r="L805" s="39">
        <v>0</v>
      </c>
      <c r="M805" s="39">
        <v>0</v>
      </c>
      <c r="N805" s="39">
        <v>0</v>
      </c>
      <c r="O805" s="39">
        <v>0</v>
      </c>
      <c r="P805" s="39">
        <v>0</v>
      </c>
      <c r="Q805" s="39">
        <v>0</v>
      </c>
      <c r="R805" s="39">
        <v>0</v>
      </c>
      <c r="S805" s="39">
        <v>0</v>
      </c>
      <c r="T805" s="39">
        <v>0</v>
      </c>
      <c r="U805" s="39">
        <v>0</v>
      </c>
      <c r="V805" s="39">
        <v>468</v>
      </c>
      <c r="W805" s="40" t="s">
        <v>7677</v>
      </c>
      <c r="X805" s="39">
        <v>1</v>
      </c>
    </row>
    <row r="806" spans="1:24">
      <c r="A806" s="39">
        <v>1060</v>
      </c>
      <c r="B806" s="40" t="s">
        <v>7683</v>
      </c>
      <c r="C806" s="39">
        <v>1</v>
      </c>
      <c r="E806" s="39">
        <v>1</v>
      </c>
      <c r="F806" s="39">
        <v>480</v>
      </c>
      <c r="G806" s="39">
        <v>1</v>
      </c>
      <c r="H806" s="39">
        <v>1</v>
      </c>
      <c r="I806" s="39">
        <v>1</v>
      </c>
      <c r="J806" s="39">
        <v>0</v>
      </c>
      <c r="K806" s="39">
        <v>0</v>
      </c>
      <c r="L806" s="39">
        <v>0</v>
      </c>
      <c r="M806" s="39">
        <v>0</v>
      </c>
      <c r="N806" s="39">
        <v>0</v>
      </c>
      <c r="O806" s="39">
        <v>0</v>
      </c>
      <c r="P806" s="39">
        <v>0</v>
      </c>
      <c r="Q806" s="39">
        <v>0</v>
      </c>
      <c r="R806" s="39">
        <v>0</v>
      </c>
      <c r="S806" s="39">
        <v>0</v>
      </c>
      <c r="T806" s="39">
        <v>0</v>
      </c>
      <c r="U806" s="39">
        <v>0</v>
      </c>
      <c r="V806" s="39">
        <v>477</v>
      </c>
      <c r="W806" s="40" t="s">
        <v>7697</v>
      </c>
      <c r="X806" s="39">
        <v>1</v>
      </c>
    </row>
    <row r="807" spans="1:24">
      <c r="A807" s="39">
        <v>246</v>
      </c>
      <c r="B807" s="40" t="s">
        <v>7683</v>
      </c>
      <c r="C807" s="39">
        <v>1</v>
      </c>
      <c r="E807" s="39">
        <v>1</v>
      </c>
      <c r="F807" s="39">
        <v>480</v>
      </c>
      <c r="G807" s="39">
        <v>1</v>
      </c>
      <c r="H807" s="39">
        <v>1</v>
      </c>
      <c r="I807" s="39">
        <v>1</v>
      </c>
      <c r="J807" s="39">
        <v>0</v>
      </c>
      <c r="K807" s="39">
        <v>0</v>
      </c>
      <c r="L807" s="39">
        <v>0</v>
      </c>
      <c r="M807" s="39">
        <v>0</v>
      </c>
      <c r="N807" s="39">
        <v>0</v>
      </c>
      <c r="O807" s="39">
        <v>0</v>
      </c>
      <c r="P807" s="39">
        <v>0</v>
      </c>
      <c r="Q807" s="39">
        <v>0</v>
      </c>
      <c r="R807" s="39">
        <v>0</v>
      </c>
      <c r="S807" s="39">
        <v>0</v>
      </c>
      <c r="T807" s="39">
        <v>0</v>
      </c>
      <c r="U807" s="39">
        <v>0</v>
      </c>
      <c r="V807" s="39">
        <v>590</v>
      </c>
      <c r="W807" s="40" t="s">
        <v>7679</v>
      </c>
      <c r="X807" s="39">
        <v>1</v>
      </c>
    </row>
    <row r="808" spans="1:24">
      <c r="A808" s="39">
        <v>794</v>
      </c>
      <c r="B808" s="40" t="s">
        <v>7683</v>
      </c>
      <c r="C808" s="39">
        <v>1</v>
      </c>
      <c r="E808" s="39">
        <v>1</v>
      </c>
      <c r="F808" s="39">
        <v>480</v>
      </c>
      <c r="G808" s="39">
        <v>1</v>
      </c>
      <c r="H808" s="39">
        <v>1</v>
      </c>
      <c r="I808" s="39">
        <v>1</v>
      </c>
      <c r="J808" s="39">
        <v>0</v>
      </c>
      <c r="K808" s="39">
        <v>0</v>
      </c>
      <c r="L808" s="39">
        <v>0</v>
      </c>
      <c r="M808" s="39">
        <v>0</v>
      </c>
      <c r="N808" s="39">
        <v>0</v>
      </c>
      <c r="O808" s="39">
        <v>0</v>
      </c>
      <c r="P808" s="39">
        <v>0</v>
      </c>
      <c r="Q808" s="39">
        <v>0</v>
      </c>
      <c r="R808" s="39">
        <v>0</v>
      </c>
      <c r="S808" s="39">
        <v>0</v>
      </c>
      <c r="T808" s="39">
        <v>0</v>
      </c>
      <c r="U808" s="39">
        <v>0</v>
      </c>
      <c r="V808" s="39">
        <v>733</v>
      </c>
      <c r="W808" s="40" t="s">
        <v>7680</v>
      </c>
      <c r="X808" s="39">
        <v>1</v>
      </c>
    </row>
    <row r="809" spans="1:24">
      <c r="A809" s="39">
        <v>114</v>
      </c>
      <c r="B809" s="50" t="s">
        <v>7684</v>
      </c>
      <c r="C809" s="39">
        <v>1</v>
      </c>
      <c r="E809" s="39">
        <v>1</v>
      </c>
      <c r="F809" s="39">
        <v>500</v>
      </c>
      <c r="G809" s="39">
        <v>0</v>
      </c>
      <c r="H809" s="39">
        <v>0</v>
      </c>
      <c r="I809" s="39">
        <v>0</v>
      </c>
      <c r="J809" s="39">
        <v>0</v>
      </c>
      <c r="K809" s="39">
        <v>0</v>
      </c>
      <c r="L809" s="39">
        <v>0</v>
      </c>
      <c r="M809" s="39">
        <v>0</v>
      </c>
      <c r="N809" s="39">
        <v>0</v>
      </c>
      <c r="O809" s="39">
        <v>0</v>
      </c>
      <c r="P809" s="39">
        <v>0</v>
      </c>
      <c r="Q809" s="39">
        <v>0</v>
      </c>
      <c r="R809" s="39">
        <v>0</v>
      </c>
      <c r="S809" s="39">
        <v>0</v>
      </c>
      <c r="T809" s="39">
        <v>0</v>
      </c>
      <c r="U809" s="39">
        <v>0</v>
      </c>
      <c r="V809" s="39">
        <v>1</v>
      </c>
      <c r="W809" s="40" t="s">
        <v>518</v>
      </c>
      <c r="X809" s="39">
        <v>1</v>
      </c>
    </row>
    <row r="810" spans="1:24">
      <c r="A810" s="39">
        <v>26</v>
      </c>
      <c r="B810" s="40" t="s">
        <v>7684</v>
      </c>
      <c r="C810" s="39">
        <v>1</v>
      </c>
      <c r="E810" s="39">
        <v>1</v>
      </c>
      <c r="F810" s="39">
        <v>31</v>
      </c>
      <c r="G810" s="39">
        <v>0</v>
      </c>
      <c r="H810" s="39">
        <v>0</v>
      </c>
      <c r="I810" s="39">
        <v>0</v>
      </c>
      <c r="J810" s="39">
        <v>0</v>
      </c>
      <c r="K810" s="39">
        <v>0</v>
      </c>
      <c r="L810" s="39">
        <v>0</v>
      </c>
      <c r="M810" s="39">
        <v>0</v>
      </c>
      <c r="N810" s="39">
        <v>0</v>
      </c>
      <c r="O810" s="39">
        <v>0</v>
      </c>
      <c r="P810" s="39">
        <v>0</v>
      </c>
      <c r="Q810" s="39">
        <v>0</v>
      </c>
      <c r="R810" s="39">
        <v>0</v>
      </c>
      <c r="S810" s="39">
        <v>0</v>
      </c>
      <c r="T810" s="39">
        <v>0</v>
      </c>
      <c r="U810" s="39">
        <v>0</v>
      </c>
      <c r="V810" s="39">
        <v>2</v>
      </c>
      <c r="W810" s="40" t="s">
        <v>40</v>
      </c>
      <c r="X810" s="39">
        <v>1</v>
      </c>
    </row>
    <row r="811" spans="1:24">
      <c r="A811" s="39">
        <v>468</v>
      </c>
      <c r="B811" s="40" t="s">
        <v>7684</v>
      </c>
      <c r="C811" s="39">
        <v>1</v>
      </c>
      <c r="E811" s="39">
        <v>1</v>
      </c>
      <c r="F811" s="39">
        <v>500</v>
      </c>
      <c r="G811" s="39">
        <v>0</v>
      </c>
      <c r="H811" s="39">
        <v>0</v>
      </c>
      <c r="I811" s="39">
        <v>0</v>
      </c>
      <c r="J811" s="39">
        <v>0</v>
      </c>
      <c r="K811" s="39">
        <v>0</v>
      </c>
      <c r="L811" s="39">
        <v>0</v>
      </c>
      <c r="M811" s="39">
        <v>0</v>
      </c>
      <c r="N811" s="39">
        <v>0</v>
      </c>
      <c r="O811" s="39">
        <v>0</v>
      </c>
      <c r="P811" s="39">
        <v>0</v>
      </c>
      <c r="Q811" s="39">
        <v>0</v>
      </c>
      <c r="R811" s="39">
        <v>0</v>
      </c>
      <c r="S811" s="39">
        <v>0</v>
      </c>
      <c r="T811" s="39">
        <v>0</v>
      </c>
      <c r="U811" s="39">
        <v>0</v>
      </c>
      <c r="V811" s="39">
        <v>175</v>
      </c>
      <c r="W811" s="40" t="s">
        <v>7689</v>
      </c>
      <c r="X811" s="39">
        <v>1</v>
      </c>
    </row>
    <row r="812" spans="1:24">
      <c r="A812" s="39">
        <v>356</v>
      </c>
      <c r="B812" s="40" t="s">
        <v>7684</v>
      </c>
      <c r="C812" s="39">
        <v>1</v>
      </c>
      <c r="E812" s="39">
        <v>1</v>
      </c>
      <c r="F812" s="39">
        <v>500</v>
      </c>
      <c r="G812" s="39">
        <v>1</v>
      </c>
      <c r="H812" s="39">
        <v>1</v>
      </c>
      <c r="I812" s="39">
        <v>1</v>
      </c>
      <c r="J812" s="39">
        <v>0</v>
      </c>
      <c r="K812" s="39">
        <v>0</v>
      </c>
      <c r="L812" s="39">
        <v>0</v>
      </c>
      <c r="M812" s="39">
        <v>0</v>
      </c>
      <c r="N812" s="39">
        <v>0</v>
      </c>
      <c r="O812" s="39">
        <v>0</v>
      </c>
      <c r="P812" s="39">
        <v>0</v>
      </c>
      <c r="Q812" s="39">
        <v>0</v>
      </c>
      <c r="R812" s="39">
        <v>0</v>
      </c>
      <c r="S812" s="39">
        <v>0</v>
      </c>
      <c r="T812" s="39">
        <v>0</v>
      </c>
      <c r="U812" s="39">
        <v>0</v>
      </c>
      <c r="V812" s="39">
        <v>228</v>
      </c>
      <c r="W812" s="40" t="s">
        <v>7669</v>
      </c>
      <c r="X812" s="39">
        <v>1</v>
      </c>
    </row>
    <row r="813" spans="1:24">
      <c r="A813" s="39">
        <v>1725</v>
      </c>
      <c r="B813" s="40" t="s">
        <v>7684</v>
      </c>
      <c r="C813" s="39">
        <v>1</v>
      </c>
      <c r="E813" s="39">
        <v>1</v>
      </c>
      <c r="F813" s="39">
        <v>500</v>
      </c>
      <c r="G813" s="39">
        <v>0</v>
      </c>
      <c r="H813" s="39">
        <v>0</v>
      </c>
      <c r="I813" s="39">
        <v>0</v>
      </c>
      <c r="J813" s="39">
        <v>0</v>
      </c>
      <c r="K813" s="39">
        <v>0</v>
      </c>
      <c r="L813" s="39">
        <v>0</v>
      </c>
      <c r="M813" s="39">
        <v>0</v>
      </c>
      <c r="N813" s="39">
        <v>0</v>
      </c>
      <c r="O813" s="39">
        <v>0</v>
      </c>
      <c r="P813" s="39">
        <v>0</v>
      </c>
      <c r="Q813" s="39">
        <v>0</v>
      </c>
      <c r="R813" s="39">
        <v>0</v>
      </c>
      <c r="S813" s="39">
        <v>0</v>
      </c>
      <c r="T813" s="39">
        <v>0</v>
      </c>
      <c r="U813" s="39">
        <v>0</v>
      </c>
      <c r="V813" s="39">
        <v>244</v>
      </c>
      <c r="W813" s="40" t="s">
        <v>682</v>
      </c>
      <c r="X813" s="39">
        <v>1</v>
      </c>
    </row>
    <row r="814" spans="1:24">
      <c r="A814" s="39">
        <v>725</v>
      </c>
      <c r="B814" s="40" t="s">
        <v>7684</v>
      </c>
      <c r="C814" s="39">
        <v>1</v>
      </c>
      <c r="E814" s="39">
        <v>1</v>
      </c>
      <c r="F814" s="39">
        <v>500</v>
      </c>
      <c r="G814" s="39">
        <v>0</v>
      </c>
      <c r="H814" s="39">
        <v>0</v>
      </c>
      <c r="I814" s="39">
        <v>0</v>
      </c>
      <c r="J814" s="39">
        <v>0</v>
      </c>
      <c r="K814" s="39">
        <v>0</v>
      </c>
      <c r="L814" s="39">
        <v>0</v>
      </c>
      <c r="M814" s="39">
        <v>0</v>
      </c>
      <c r="N814" s="39">
        <v>0</v>
      </c>
      <c r="O814" s="39">
        <v>0</v>
      </c>
      <c r="P814" s="39">
        <v>0</v>
      </c>
      <c r="Q814" s="39">
        <v>0</v>
      </c>
      <c r="R814" s="39">
        <v>0</v>
      </c>
      <c r="S814" s="39">
        <v>0</v>
      </c>
      <c r="T814" s="39">
        <v>0</v>
      </c>
      <c r="U814" s="39">
        <v>0</v>
      </c>
      <c r="V814" s="39">
        <v>381</v>
      </c>
      <c r="W814" s="40" t="s">
        <v>7805</v>
      </c>
      <c r="X814" s="39">
        <v>1</v>
      </c>
    </row>
    <row r="815" spans="1:24">
      <c r="A815" s="39">
        <v>1252</v>
      </c>
      <c r="B815" s="40" t="s">
        <v>7684</v>
      </c>
      <c r="C815" s="39">
        <v>1</v>
      </c>
      <c r="E815" s="39">
        <v>1</v>
      </c>
      <c r="F815" s="39">
        <v>500</v>
      </c>
      <c r="G815" s="39">
        <v>1</v>
      </c>
      <c r="H815" s="39">
        <v>1</v>
      </c>
      <c r="I815" s="39">
        <v>1</v>
      </c>
      <c r="J815" s="39">
        <v>1</v>
      </c>
      <c r="K815" s="39">
        <v>0</v>
      </c>
      <c r="L815" s="39">
        <v>0</v>
      </c>
      <c r="M815" s="39">
        <v>0</v>
      </c>
      <c r="N815" s="39">
        <v>0</v>
      </c>
      <c r="O815" s="39">
        <v>0</v>
      </c>
      <c r="P815" s="39">
        <v>0</v>
      </c>
      <c r="Q815" s="39">
        <v>0</v>
      </c>
      <c r="R815" s="39">
        <v>0</v>
      </c>
      <c r="S815" s="39">
        <v>0</v>
      </c>
      <c r="T815" s="39">
        <v>0</v>
      </c>
      <c r="U815" s="39">
        <v>0</v>
      </c>
      <c r="V815" s="39">
        <v>418</v>
      </c>
      <c r="W815" s="40" t="s">
        <v>7671</v>
      </c>
      <c r="X815" s="39">
        <v>1</v>
      </c>
    </row>
    <row r="816" spans="1:24">
      <c r="A816" s="39">
        <v>1386</v>
      </c>
      <c r="B816" s="40" t="s">
        <v>7684</v>
      </c>
      <c r="C816" s="39">
        <v>1</v>
      </c>
      <c r="E816" s="39">
        <v>1</v>
      </c>
      <c r="F816" s="39">
        <v>500</v>
      </c>
      <c r="G816" s="39">
        <v>0</v>
      </c>
      <c r="H816" s="39">
        <v>0</v>
      </c>
      <c r="I816" s="39">
        <v>0</v>
      </c>
      <c r="J816" s="39">
        <v>0</v>
      </c>
      <c r="K816" s="39">
        <v>0</v>
      </c>
      <c r="L816" s="39">
        <v>0</v>
      </c>
      <c r="M816" s="39">
        <v>0</v>
      </c>
      <c r="N816" s="39">
        <v>0</v>
      </c>
      <c r="O816" s="39">
        <v>0</v>
      </c>
      <c r="P816" s="39">
        <v>0</v>
      </c>
      <c r="Q816" s="39">
        <v>0</v>
      </c>
      <c r="R816" s="39">
        <v>0</v>
      </c>
      <c r="S816" s="39">
        <v>0</v>
      </c>
      <c r="T816" s="39">
        <v>0</v>
      </c>
      <c r="U816" s="39">
        <v>0</v>
      </c>
      <c r="V816" s="39">
        <v>456</v>
      </c>
      <c r="W816" s="40" t="s">
        <v>7673</v>
      </c>
      <c r="X816" s="39">
        <v>1</v>
      </c>
    </row>
    <row r="817" spans="1:24">
      <c r="A817" s="39">
        <v>645</v>
      </c>
      <c r="B817" s="40" t="s">
        <v>7684</v>
      </c>
      <c r="C817" s="39">
        <v>1</v>
      </c>
      <c r="E817" s="39">
        <v>1</v>
      </c>
      <c r="F817" s="39">
        <v>500</v>
      </c>
      <c r="G817" s="39">
        <v>1</v>
      </c>
      <c r="H817" s="39">
        <v>1</v>
      </c>
      <c r="I817" s="39">
        <v>1</v>
      </c>
      <c r="J817" s="39">
        <v>0</v>
      </c>
      <c r="K817" s="39">
        <v>0</v>
      </c>
      <c r="L817" s="39">
        <v>0</v>
      </c>
      <c r="M817" s="39">
        <v>0</v>
      </c>
      <c r="N817" s="39">
        <v>0</v>
      </c>
      <c r="O817" s="39">
        <v>0</v>
      </c>
      <c r="P817" s="39">
        <v>0</v>
      </c>
      <c r="Q817" s="39">
        <v>0</v>
      </c>
      <c r="R817" s="39">
        <v>0</v>
      </c>
      <c r="S817" s="39">
        <v>0</v>
      </c>
      <c r="T817" s="39">
        <v>0</v>
      </c>
      <c r="U817" s="39">
        <v>0</v>
      </c>
      <c r="V817" s="39">
        <v>468</v>
      </c>
      <c r="W817" s="40" t="s">
        <v>7677</v>
      </c>
      <c r="X817" s="39">
        <v>1</v>
      </c>
    </row>
    <row r="818" spans="1:24">
      <c r="A818" s="39">
        <v>247</v>
      </c>
      <c r="B818" s="40" t="s">
        <v>7684</v>
      </c>
      <c r="C818" s="39">
        <v>1</v>
      </c>
      <c r="E818" s="39">
        <v>1</v>
      </c>
      <c r="F818" s="39">
        <v>500</v>
      </c>
      <c r="G818" s="39">
        <v>1</v>
      </c>
      <c r="H818" s="39">
        <v>1</v>
      </c>
      <c r="I818" s="39">
        <v>1</v>
      </c>
      <c r="J818" s="39">
        <v>0</v>
      </c>
      <c r="K818" s="39">
        <v>0</v>
      </c>
      <c r="L818" s="39">
        <v>0</v>
      </c>
      <c r="M818" s="39">
        <v>0</v>
      </c>
      <c r="N818" s="39">
        <v>0</v>
      </c>
      <c r="O818" s="39">
        <v>0</v>
      </c>
      <c r="P818" s="39">
        <v>0</v>
      </c>
      <c r="Q818" s="39">
        <v>0</v>
      </c>
      <c r="R818" s="39">
        <v>0</v>
      </c>
      <c r="S818" s="39">
        <v>0</v>
      </c>
      <c r="T818" s="39">
        <v>0</v>
      </c>
      <c r="U818" s="39">
        <v>0</v>
      </c>
      <c r="V818" s="39">
        <v>590</v>
      </c>
      <c r="W818" s="40" t="s">
        <v>7679</v>
      </c>
      <c r="X818" s="39">
        <v>1</v>
      </c>
    </row>
    <row r="819" spans="1:24">
      <c r="A819" s="39">
        <v>795</v>
      </c>
      <c r="B819" s="40" t="s">
        <v>7684</v>
      </c>
      <c r="C819" s="39">
        <v>1</v>
      </c>
      <c r="E819" s="39">
        <v>1</v>
      </c>
      <c r="F819" s="39">
        <v>500</v>
      </c>
      <c r="G819" s="39">
        <v>1</v>
      </c>
      <c r="H819" s="39">
        <v>1</v>
      </c>
      <c r="I819" s="39">
        <v>1</v>
      </c>
      <c r="J819" s="39">
        <v>0</v>
      </c>
      <c r="K819" s="39">
        <v>0</v>
      </c>
      <c r="L819" s="39">
        <v>0</v>
      </c>
      <c r="M819" s="39">
        <v>0</v>
      </c>
      <c r="N819" s="39">
        <v>0</v>
      </c>
      <c r="O819" s="39">
        <v>0</v>
      </c>
      <c r="P819" s="39">
        <v>0</v>
      </c>
      <c r="Q819" s="39">
        <v>0</v>
      </c>
      <c r="R819" s="39">
        <v>0</v>
      </c>
      <c r="S819" s="39">
        <v>0</v>
      </c>
      <c r="T819" s="39">
        <v>0</v>
      </c>
      <c r="U819" s="39">
        <v>0</v>
      </c>
      <c r="V819" s="39">
        <v>733</v>
      </c>
      <c r="W819" s="40" t="s">
        <v>7680</v>
      </c>
      <c r="X819" s="39">
        <v>1</v>
      </c>
    </row>
    <row r="820" spans="1:24">
      <c r="A820" s="39">
        <v>115</v>
      </c>
      <c r="B820" s="50" t="s">
        <v>7685</v>
      </c>
      <c r="C820" s="39">
        <v>1</v>
      </c>
      <c r="E820" s="39">
        <v>1</v>
      </c>
      <c r="F820" s="39">
        <v>540</v>
      </c>
      <c r="G820" s="39">
        <v>0</v>
      </c>
      <c r="H820" s="39">
        <v>0</v>
      </c>
      <c r="I820" s="39">
        <v>0</v>
      </c>
      <c r="J820" s="39">
        <v>0</v>
      </c>
      <c r="K820" s="39">
        <v>0</v>
      </c>
      <c r="L820" s="39">
        <v>0</v>
      </c>
      <c r="M820" s="39">
        <v>0</v>
      </c>
      <c r="N820" s="39">
        <v>0</v>
      </c>
      <c r="O820" s="39">
        <v>0</v>
      </c>
      <c r="P820" s="39">
        <v>0</v>
      </c>
      <c r="Q820" s="39">
        <v>0</v>
      </c>
      <c r="R820" s="39">
        <v>0</v>
      </c>
      <c r="S820" s="39">
        <v>0</v>
      </c>
      <c r="T820" s="39">
        <v>0</v>
      </c>
      <c r="U820" s="39">
        <v>0</v>
      </c>
      <c r="V820" s="39">
        <v>1</v>
      </c>
      <c r="W820" s="40" t="s">
        <v>518</v>
      </c>
      <c r="X820" s="39">
        <v>1</v>
      </c>
    </row>
    <row r="821" spans="1:24">
      <c r="A821" s="39">
        <v>27</v>
      </c>
      <c r="B821" s="40" t="s">
        <v>7685</v>
      </c>
      <c r="C821" s="39">
        <v>1</v>
      </c>
      <c r="D821" s="40" t="s">
        <v>7849</v>
      </c>
      <c r="E821" s="39">
        <v>1</v>
      </c>
      <c r="F821" s="39">
        <v>31</v>
      </c>
      <c r="G821" s="39">
        <v>0</v>
      </c>
      <c r="H821" s="39">
        <v>0</v>
      </c>
      <c r="I821" s="39">
        <v>0</v>
      </c>
      <c r="J821" s="39">
        <v>0</v>
      </c>
      <c r="K821" s="39">
        <v>0</v>
      </c>
      <c r="L821" s="39">
        <v>0</v>
      </c>
      <c r="M821" s="39">
        <v>0</v>
      </c>
      <c r="N821" s="39">
        <v>0</v>
      </c>
      <c r="O821" s="39">
        <v>0</v>
      </c>
      <c r="P821" s="39">
        <v>0</v>
      </c>
      <c r="Q821" s="39">
        <v>0</v>
      </c>
      <c r="R821" s="39">
        <v>0</v>
      </c>
      <c r="S821" s="39">
        <v>0</v>
      </c>
      <c r="T821" s="39">
        <v>0</v>
      </c>
      <c r="U821" s="39">
        <v>0</v>
      </c>
      <c r="V821" s="39">
        <v>2</v>
      </c>
      <c r="W821" s="40" t="s">
        <v>40</v>
      </c>
      <c r="X821" s="39">
        <v>1</v>
      </c>
    </row>
    <row r="822" spans="1:24">
      <c r="A822" s="39">
        <v>978</v>
      </c>
      <c r="B822" s="40" t="s">
        <v>7685</v>
      </c>
      <c r="C822" s="39">
        <v>1</v>
      </c>
      <c r="E822" s="39">
        <v>1</v>
      </c>
      <c r="F822" s="39">
        <v>540</v>
      </c>
      <c r="G822" s="39">
        <v>1</v>
      </c>
      <c r="H822" s="39">
        <v>1</v>
      </c>
      <c r="I822" s="39">
        <v>1</v>
      </c>
      <c r="J822" s="39">
        <v>0</v>
      </c>
      <c r="K822" s="39">
        <v>0</v>
      </c>
      <c r="L822" s="39">
        <v>0</v>
      </c>
      <c r="M822" s="39">
        <v>0</v>
      </c>
      <c r="N822" s="39">
        <v>0</v>
      </c>
      <c r="O822" s="39">
        <v>0</v>
      </c>
      <c r="P822" s="39">
        <v>0</v>
      </c>
      <c r="Q822" s="39">
        <v>0</v>
      </c>
      <c r="R822" s="39">
        <v>0</v>
      </c>
      <c r="S822" s="39">
        <v>0</v>
      </c>
      <c r="T822" s="39">
        <v>0</v>
      </c>
      <c r="U822" s="39">
        <v>0</v>
      </c>
      <c r="V822" s="39">
        <v>158</v>
      </c>
      <c r="W822" s="40" t="s">
        <v>7667</v>
      </c>
      <c r="X822" s="39">
        <v>1</v>
      </c>
    </row>
    <row r="823" spans="1:24">
      <c r="A823" s="39">
        <v>469</v>
      </c>
      <c r="B823" s="40" t="s">
        <v>7685</v>
      </c>
      <c r="C823" s="39">
        <v>1</v>
      </c>
      <c r="E823" s="39">
        <v>1</v>
      </c>
      <c r="F823" s="39">
        <v>540</v>
      </c>
      <c r="G823" s="39">
        <v>0</v>
      </c>
      <c r="H823" s="39">
        <v>0</v>
      </c>
      <c r="I823" s="39">
        <v>0</v>
      </c>
      <c r="J823" s="39">
        <v>0</v>
      </c>
      <c r="K823" s="39">
        <v>0</v>
      </c>
      <c r="L823" s="39">
        <v>0</v>
      </c>
      <c r="M823" s="39">
        <v>0</v>
      </c>
      <c r="N823" s="39">
        <v>0</v>
      </c>
      <c r="O823" s="39">
        <v>0</v>
      </c>
      <c r="P823" s="39">
        <v>0</v>
      </c>
      <c r="Q823" s="39">
        <v>0</v>
      </c>
      <c r="R823" s="39">
        <v>0</v>
      </c>
      <c r="S823" s="39">
        <v>0</v>
      </c>
      <c r="T823" s="39">
        <v>0</v>
      </c>
      <c r="U823" s="39">
        <v>0</v>
      </c>
      <c r="V823" s="39">
        <v>175</v>
      </c>
      <c r="W823" s="40" t="s">
        <v>7689</v>
      </c>
      <c r="X823" s="39">
        <v>1</v>
      </c>
    </row>
    <row r="824" spans="1:24">
      <c r="A824" s="39">
        <v>357</v>
      </c>
      <c r="B824" s="40" t="s">
        <v>7685</v>
      </c>
      <c r="C824" s="39">
        <v>1</v>
      </c>
      <c r="E824" s="39">
        <v>1</v>
      </c>
      <c r="F824" s="39">
        <v>540</v>
      </c>
      <c r="G824" s="39">
        <v>1</v>
      </c>
      <c r="H824" s="39">
        <v>1</v>
      </c>
      <c r="I824" s="39">
        <v>1</v>
      </c>
      <c r="J824" s="39">
        <v>0</v>
      </c>
      <c r="K824" s="39">
        <v>0</v>
      </c>
      <c r="L824" s="39">
        <v>0</v>
      </c>
      <c r="M824" s="39">
        <v>0</v>
      </c>
      <c r="N824" s="39">
        <v>0</v>
      </c>
      <c r="O824" s="39">
        <v>0</v>
      </c>
      <c r="P824" s="39">
        <v>0</v>
      </c>
      <c r="Q824" s="39">
        <v>0</v>
      </c>
      <c r="R824" s="39">
        <v>0</v>
      </c>
      <c r="S824" s="39">
        <v>0</v>
      </c>
      <c r="T824" s="39">
        <v>0</v>
      </c>
      <c r="U824" s="39">
        <v>0</v>
      </c>
      <c r="V824" s="39">
        <v>228</v>
      </c>
      <c r="W824" s="40" t="s">
        <v>7669</v>
      </c>
      <c r="X824" s="39">
        <v>1</v>
      </c>
    </row>
    <row r="825" spans="1:24">
      <c r="A825" s="39">
        <v>1726</v>
      </c>
      <c r="B825" s="40" t="s">
        <v>7685</v>
      </c>
      <c r="C825" s="39">
        <v>1</v>
      </c>
      <c r="E825" s="39">
        <v>1</v>
      </c>
      <c r="F825" s="39">
        <v>540</v>
      </c>
      <c r="G825" s="39">
        <v>0</v>
      </c>
      <c r="H825" s="39">
        <v>0</v>
      </c>
      <c r="I825" s="39">
        <v>0</v>
      </c>
      <c r="J825" s="39">
        <v>0</v>
      </c>
      <c r="K825" s="39">
        <v>0</v>
      </c>
      <c r="L825" s="39">
        <v>0</v>
      </c>
      <c r="M825" s="39">
        <v>0</v>
      </c>
      <c r="N825" s="39">
        <v>0</v>
      </c>
      <c r="O825" s="39">
        <v>0</v>
      </c>
      <c r="P825" s="39">
        <v>0</v>
      </c>
      <c r="Q825" s="39">
        <v>0</v>
      </c>
      <c r="R825" s="39">
        <v>0</v>
      </c>
      <c r="S825" s="39">
        <v>0</v>
      </c>
      <c r="T825" s="39">
        <v>0</v>
      </c>
      <c r="U825" s="39">
        <v>0</v>
      </c>
      <c r="V825" s="39">
        <v>244</v>
      </c>
      <c r="W825" s="40" t="s">
        <v>682</v>
      </c>
      <c r="X825" s="39">
        <v>1</v>
      </c>
    </row>
    <row r="826" spans="1:24">
      <c r="A826" s="39">
        <v>726</v>
      </c>
      <c r="B826" s="40" t="s">
        <v>7685</v>
      </c>
      <c r="C826" s="39">
        <v>1</v>
      </c>
      <c r="E826" s="39">
        <v>1</v>
      </c>
      <c r="F826" s="39">
        <v>540</v>
      </c>
      <c r="G826" s="39">
        <v>0</v>
      </c>
      <c r="H826" s="39">
        <v>0</v>
      </c>
      <c r="I826" s="39">
        <v>0</v>
      </c>
      <c r="J826" s="39">
        <v>0</v>
      </c>
      <c r="K826" s="39">
        <v>0</v>
      </c>
      <c r="L826" s="39">
        <v>0</v>
      </c>
      <c r="M826" s="39">
        <v>0</v>
      </c>
      <c r="N826" s="39">
        <v>0</v>
      </c>
      <c r="O826" s="39">
        <v>0</v>
      </c>
      <c r="P826" s="39">
        <v>0</v>
      </c>
      <c r="Q826" s="39">
        <v>0</v>
      </c>
      <c r="R826" s="39">
        <v>0</v>
      </c>
      <c r="S826" s="39">
        <v>0</v>
      </c>
      <c r="T826" s="39">
        <v>0</v>
      </c>
      <c r="U826" s="39">
        <v>0</v>
      </c>
      <c r="V826" s="39">
        <v>381</v>
      </c>
      <c r="W826" s="40" t="s">
        <v>7805</v>
      </c>
      <c r="X826" s="39">
        <v>1</v>
      </c>
    </row>
    <row r="827" spans="1:24">
      <c r="A827" s="39">
        <v>1253</v>
      </c>
      <c r="B827" s="40" t="s">
        <v>7685</v>
      </c>
      <c r="C827" s="39">
        <v>1</v>
      </c>
      <c r="E827" s="39">
        <v>1</v>
      </c>
      <c r="F827" s="39">
        <v>540</v>
      </c>
      <c r="G827" s="39">
        <v>1</v>
      </c>
      <c r="H827" s="39">
        <v>1</v>
      </c>
      <c r="I827" s="39">
        <v>1</v>
      </c>
      <c r="J827" s="39">
        <v>1</v>
      </c>
      <c r="K827" s="39">
        <v>0</v>
      </c>
      <c r="L827" s="39">
        <v>0</v>
      </c>
      <c r="M827" s="39">
        <v>0</v>
      </c>
      <c r="N827" s="39">
        <v>0</v>
      </c>
      <c r="O827" s="39">
        <v>0</v>
      </c>
      <c r="P827" s="39">
        <v>0</v>
      </c>
      <c r="Q827" s="39">
        <v>0</v>
      </c>
      <c r="R827" s="39">
        <v>0</v>
      </c>
      <c r="S827" s="39">
        <v>0</v>
      </c>
      <c r="T827" s="39">
        <v>0</v>
      </c>
      <c r="U827" s="39">
        <v>0</v>
      </c>
      <c r="V827" s="39">
        <v>418</v>
      </c>
      <c r="W827" s="40" t="s">
        <v>7671</v>
      </c>
      <c r="X827" s="39">
        <v>1</v>
      </c>
    </row>
    <row r="828" spans="1:24">
      <c r="A828" s="39">
        <v>1387</v>
      </c>
      <c r="B828" s="40" t="s">
        <v>7685</v>
      </c>
      <c r="C828" s="39">
        <v>1</v>
      </c>
      <c r="E828" s="39">
        <v>1</v>
      </c>
      <c r="F828" s="39">
        <v>540</v>
      </c>
      <c r="G828" s="39">
        <v>0</v>
      </c>
      <c r="H828" s="39">
        <v>0</v>
      </c>
      <c r="I828" s="39">
        <v>0</v>
      </c>
      <c r="J828" s="39">
        <v>0</v>
      </c>
      <c r="K828" s="39">
        <v>0</v>
      </c>
      <c r="L828" s="39">
        <v>0</v>
      </c>
      <c r="M828" s="39">
        <v>0</v>
      </c>
      <c r="N828" s="39">
        <v>0</v>
      </c>
      <c r="O828" s="39">
        <v>0</v>
      </c>
      <c r="P828" s="39">
        <v>0</v>
      </c>
      <c r="Q828" s="39">
        <v>0</v>
      </c>
      <c r="R828" s="39">
        <v>0</v>
      </c>
      <c r="S828" s="39">
        <v>0</v>
      </c>
      <c r="T828" s="39">
        <v>0</v>
      </c>
      <c r="U828" s="39">
        <v>0</v>
      </c>
      <c r="V828" s="39">
        <v>456</v>
      </c>
      <c r="W828" s="40" t="s">
        <v>7673</v>
      </c>
      <c r="X828" s="39">
        <v>1</v>
      </c>
    </row>
    <row r="829" spans="1:24">
      <c r="A829" s="39">
        <v>864</v>
      </c>
      <c r="B829" s="40" t="s">
        <v>7685</v>
      </c>
      <c r="C829" s="39">
        <v>1</v>
      </c>
      <c r="E829" s="39">
        <v>1</v>
      </c>
      <c r="F829" s="39">
        <v>540</v>
      </c>
      <c r="G829" s="39">
        <v>1</v>
      </c>
      <c r="H829" s="39">
        <v>1</v>
      </c>
      <c r="I829" s="39">
        <v>1</v>
      </c>
      <c r="J829" s="39">
        <v>0</v>
      </c>
      <c r="K829" s="39">
        <v>0</v>
      </c>
      <c r="L829" s="39">
        <v>0</v>
      </c>
      <c r="M829" s="39">
        <v>0</v>
      </c>
      <c r="N829" s="39">
        <v>0</v>
      </c>
      <c r="O829" s="39">
        <v>0</v>
      </c>
      <c r="P829" s="39">
        <v>0</v>
      </c>
      <c r="Q829" s="39">
        <v>0</v>
      </c>
      <c r="R829" s="39">
        <v>0</v>
      </c>
      <c r="S829" s="39">
        <v>0</v>
      </c>
      <c r="T829" s="39">
        <v>0</v>
      </c>
      <c r="U829" s="39">
        <v>0</v>
      </c>
      <c r="V829" s="39">
        <v>458</v>
      </c>
      <c r="W829" s="40" t="s">
        <v>7694</v>
      </c>
      <c r="X829" s="39">
        <v>1</v>
      </c>
    </row>
    <row r="830" spans="1:24">
      <c r="A830" s="39">
        <v>1157</v>
      </c>
      <c r="B830" s="40" t="s">
        <v>7685</v>
      </c>
      <c r="C830" s="39">
        <v>1</v>
      </c>
      <c r="E830" s="39">
        <v>1</v>
      </c>
      <c r="F830" s="39">
        <v>540</v>
      </c>
      <c r="G830" s="39">
        <v>1</v>
      </c>
      <c r="H830" s="39">
        <v>1</v>
      </c>
      <c r="I830" s="39">
        <v>1</v>
      </c>
      <c r="J830" s="39">
        <v>0</v>
      </c>
      <c r="K830" s="39">
        <v>0</v>
      </c>
      <c r="L830" s="39">
        <v>0</v>
      </c>
      <c r="M830" s="39">
        <v>0</v>
      </c>
      <c r="N830" s="39">
        <v>0</v>
      </c>
      <c r="O830" s="39">
        <v>0</v>
      </c>
      <c r="P830" s="39">
        <v>0</v>
      </c>
      <c r="Q830" s="39">
        <v>0</v>
      </c>
      <c r="R830" s="39">
        <v>0</v>
      </c>
      <c r="S830" s="39">
        <v>0</v>
      </c>
      <c r="T830" s="39">
        <v>0</v>
      </c>
      <c r="U830" s="39">
        <v>0</v>
      </c>
      <c r="V830" s="39">
        <v>459</v>
      </c>
      <c r="W830" s="40" t="s">
        <v>7674</v>
      </c>
      <c r="X830" s="39">
        <v>1</v>
      </c>
    </row>
    <row r="831" spans="1:24">
      <c r="A831" s="39">
        <v>614</v>
      </c>
      <c r="B831" s="40" t="s">
        <v>7685</v>
      </c>
      <c r="C831" s="39">
        <v>1</v>
      </c>
      <c r="E831" s="39">
        <v>1</v>
      </c>
      <c r="F831" s="39">
        <v>540</v>
      </c>
      <c r="G831" s="39">
        <v>1</v>
      </c>
      <c r="H831" s="39">
        <v>1</v>
      </c>
      <c r="I831" s="39">
        <v>1</v>
      </c>
      <c r="J831" s="39">
        <v>0</v>
      </c>
      <c r="K831" s="39">
        <v>0</v>
      </c>
      <c r="L831" s="39">
        <v>0</v>
      </c>
      <c r="M831" s="39">
        <v>0</v>
      </c>
      <c r="N831" s="39">
        <v>0</v>
      </c>
      <c r="O831" s="39">
        <v>0</v>
      </c>
      <c r="P831" s="39">
        <v>0</v>
      </c>
      <c r="Q831" s="39">
        <v>0</v>
      </c>
      <c r="R831" s="39">
        <v>0</v>
      </c>
      <c r="S831" s="39">
        <v>0</v>
      </c>
      <c r="T831" s="39">
        <v>0</v>
      </c>
      <c r="U831" s="39">
        <v>0</v>
      </c>
      <c r="V831" s="39">
        <v>468</v>
      </c>
      <c r="W831" s="40" t="s">
        <v>7677</v>
      </c>
      <c r="X831" s="39">
        <v>1</v>
      </c>
    </row>
    <row r="832" spans="1:24">
      <c r="A832" s="39">
        <v>1061</v>
      </c>
      <c r="B832" s="40" t="s">
        <v>7685</v>
      </c>
      <c r="C832" s="39">
        <v>1</v>
      </c>
      <c r="E832" s="39">
        <v>1</v>
      </c>
      <c r="F832" s="39">
        <v>540</v>
      </c>
      <c r="G832" s="39">
        <v>1</v>
      </c>
      <c r="H832" s="39">
        <v>1</v>
      </c>
      <c r="I832" s="39">
        <v>1</v>
      </c>
      <c r="J832" s="39">
        <v>1</v>
      </c>
      <c r="K832" s="39">
        <v>0</v>
      </c>
      <c r="L832" s="39">
        <v>0</v>
      </c>
      <c r="M832" s="39">
        <v>0</v>
      </c>
      <c r="N832" s="39">
        <v>0</v>
      </c>
      <c r="O832" s="39">
        <v>0</v>
      </c>
      <c r="P832" s="39">
        <v>0</v>
      </c>
      <c r="Q832" s="39">
        <v>0</v>
      </c>
      <c r="R832" s="39">
        <v>0</v>
      </c>
      <c r="S832" s="39">
        <v>0</v>
      </c>
      <c r="T832" s="39">
        <v>0</v>
      </c>
      <c r="U832" s="39">
        <v>0</v>
      </c>
      <c r="V832" s="39">
        <v>477</v>
      </c>
      <c r="W832" s="40" t="s">
        <v>7697</v>
      </c>
      <c r="X832" s="39">
        <v>1</v>
      </c>
    </row>
    <row r="833" spans="1:24">
      <c r="A833" s="39">
        <v>248</v>
      </c>
      <c r="B833" s="40" t="s">
        <v>7685</v>
      </c>
      <c r="C833" s="39">
        <v>1</v>
      </c>
      <c r="E833" s="39">
        <v>1</v>
      </c>
      <c r="F833" s="39">
        <v>540</v>
      </c>
      <c r="G833" s="39">
        <v>1</v>
      </c>
      <c r="H833" s="39">
        <v>1</v>
      </c>
      <c r="I833" s="39">
        <v>1</v>
      </c>
      <c r="J833" s="39">
        <v>0</v>
      </c>
      <c r="K833" s="39">
        <v>0</v>
      </c>
      <c r="L833" s="39">
        <v>0</v>
      </c>
      <c r="M833" s="39">
        <v>0</v>
      </c>
      <c r="N833" s="39">
        <v>0</v>
      </c>
      <c r="O833" s="39">
        <v>0</v>
      </c>
      <c r="P833" s="39">
        <v>0</v>
      </c>
      <c r="Q833" s="39">
        <v>0</v>
      </c>
      <c r="R833" s="39">
        <v>0</v>
      </c>
      <c r="S833" s="39">
        <v>0</v>
      </c>
      <c r="T833" s="39">
        <v>0</v>
      </c>
      <c r="U833" s="39">
        <v>0</v>
      </c>
      <c r="V833" s="39">
        <v>590</v>
      </c>
      <c r="W833" s="40" t="s">
        <v>7679</v>
      </c>
      <c r="X833" s="39">
        <v>1</v>
      </c>
    </row>
    <row r="834" spans="1:24">
      <c r="A834" s="39">
        <v>796</v>
      </c>
      <c r="B834" s="40" t="s">
        <v>7685</v>
      </c>
      <c r="C834" s="39">
        <v>1</v>
      </c>
      <c r="E834" s="39">
        <v>1</v>
      </c>
      <c r="F834" s="39">
        <v>540</v>
      </c>
      <c r="G834" s="39">
        <v>1</v>
      </c>
      <c r="H834" s="39">
        <v>1</v>
      </c>
      <c r="I834" s="39">
        <v>1</v>
      </c>
      <c r="J834" s="39">
        <v>0</v>
      </c>
      <c r="K834" s="39">
        <v>0</v>
      </c>
      <c r="L834" s="39">
        <v>0</v>
      </c>
      <c r="M834" s="39">
        <v>0</v>
      </c>
      <c r="N834" s="39">
        <v>0</v>
      </c>
      <c r="O834" s="39">
        <v>0</v>
      </c>
      <c r="P834" s="39">
        <v>0</v>
      </c>
      <c r="Q834" s="39">
        <v>0</v>
      </c>
      <c r="R834" s="39">
        <v>0</v>
      </c>
      <c r="S834" s="39">
        <v>0</v>
      </c>
      <c r="T834" s="39">
        <v>0</v>
      </c>
      <c r="U834" s="39">
        <v>0</v>
      </c>
      <c r="V834" s="39">
        <v>733</v>
      </c>
      <c r="W834" s="40" t="s">
        <v>7680</v>
      </c>
      <c r="X834" s="39">
        <v>1</v>
      </c>
    </row>
    <row r="835" spans="1:24">
      <c r="A835" s="39">
        <v>87</v>
      </c>
      <c r="B835" s="50" t="s">
        <v>7686</v>
      </c>
      <c r="C835" s="39">
        <v>1</v>
      </c>
      <c r="E835" s="39">
        <v>1</v>
      </c>
      <c r="F835" s="39">
        <v>565</v>
      </c>
      <c r="G835" s="39">
        <v>0</v>
      </c>
      <c r="H835" s="39">
        <v>0</v>
      </c>
      <c r="I835" s="39">
        <v>0</v>
      </c>
      <c r="J835" s="39">
        <v>0</v>
      </c>
      <c r="K835" s="39">
        <v>0</v>
      </c>
      <c r="L835" s="39">
        <v>0</v>
      </c>
      <c r="M835" s="39">
        <v>0</v>
      </c>
      <c r="N835" s="39">
        <v>0</v>
      </c>
      <c r="O835" s="39">
        <v>0</v>
      </c>
      <c r="P835" s="39">
        <v>0</v>
      </c>
      <c r="Q835" s="39">
        <v>0</v>
      </c>
      <c r="R835" s="39">
        <v>0</v>
      </c>
      <c r="S835" s="39">
        <v>0</v>
      </c>
      <c r="T835" s="39">
        <v>0</v>
      </c>
      <c r="U835" s="39">
        <v>0</v>
      </c>
      <c r="V835" s="39">
        <v>1</v>
      </c>
      <c r="W835" s="40" t="s">
        <v>518</v>
      </c>
      <c r="X835" s="39">
        <v>1</v>
      </c>
    </row>
    <row r="836" spans="1:24">
      <c r="A836" s="39">
        <v>80</v>
      </c>
      <c r="B836" s="40" t="s">
        <v>7686</v>
      </c>
      <c r="C836" s="39">
        <v>1</v>
      </c>
      <c r="D836" s="40" t="s">
        <v>7850</v>
      </c>
      <c r="E836" s="39">
        <v>1</v>
      </c>
      <c r="F836" s="39">
        <v>31</v>
      </c>
      <c r="G836" s="39">
        <v>0</v>
      </c>
      <c r="H836" s="39">
        <v>0</v>
      </c>
      <c r="I836" s="39">
        <v>0</v>
      </c>
      <c r="J836" s="39">
        <v>0</v>
      </c>
      <c r="K836" s="39">
        <v>0</v>
      </c>
      <c r="L836" s="39">
        <v>0</v>
      </c>
      <c r="M836" s="39">
        <v>0</v>
      </c>
      <c r="N836" s="39">
        <v>0</v>
      </c>
      <c r="O836" s="39">
        <v>0</v>
      </c>
      <c r="P836" s="39">
        <v>0</v>
      </c>
      <c r="Q836" s="39">
        <v>0</v>
      </c>
      <c r="R836" s="39">
        <v>0</v>
      </c>
      <c r="S836" s="39">
        <v>0</v>
      </c>
      <c r="T836" s="39">
        <v>0</v>
      </c>
      <c r="U836" s="39">
        <v>0</v>
      </c>
      <c r="V836" s="39">
        <v>2</v>
      </c>
      <c r="W836" s="40" t="s">
        <v>40</v>
      </c>
      <c r="X836" s="39">
        <v>1</v>
      </c>
    </row>
    <row r="837" spans="1:24">
      <c r="A837" s="39">
        <v>979</v>
      </c>
      <c r="B837" s="40" t="s">
        <v>7686</v>
      </c>
      <c r="C837" s="39">
        <v>1</v>
      </c>
      <c r="E837" s="39">
        <v>1</v>
      </c>
      <c r="F837" s="39">
        <v>565</v>
      </c>
      <c r="G837" s="39">
        <v>1</v>
      </c>
      <c r="H837" s="39">
        <v>0</v>
      </c>
      <c r="I837" s="39">
        <v>1</v>
      </c>
      <c r="J837" s="39">
        <v>0</v>
      </c>
      <c r="K837" s="39">
        <v>0</v>
      </c>
      <c r="L837" s="39">
        <v>0</v>
      </c>
      <c r="M837" s="39">
        <v>0</v>
      </c>
      <c r="N837" s="39">
        <v>0</v>
      </c>
      <c r="O837" s="39">
        <v>0</v>
      </c>
      <c r="P837" s="39">
        <v>0</v>
      </c>
      <c r="Q837" s="39">
        <v>0</v>
      </c>
      <c r="R837" s="39">
        <v>0</v>
      </c>
      <c r="S837" s="39">
        <v>0</v>
      </c>
      <c r="T837" s="39">
        <v>0</v>
      </c>
      <c r="U837" s="39">
        <v>0</v>
      </c>
      <c r="V837" s="39">
        <v>158</v>
      </c>
      <c r="W837" s="40" t="s">
        <v>7667</v>
      </c>
      <c r="X837" s="39">
        <v>1</v>
      </c>
    </row>
    <row r="838" spans="1:24">
      <c r="A838" s="39">
        <v>470</v>
      </c>
      <c r="B838" s="40" t="s">
        <v>7686</v>
      </c>
      <c r="C838" s="39">
        <v>1</v>
      </c>
      <c r="E838" s="39">
        <v>1</v>
      </c>
      <c r="F838" s="39">
        <v>565</v>
      </c>
      <c r="G838" s="39">
        <v>0</v>
      </c>
      <c r="H838" s="39">
        <v>0</v>
      </c>
      <c r="I838" s="39">
        <v>0</v>
      </c>
      <c r="J838" s="39">
        <v>0</v>
      </c>
      <c r="K838" s="39">
        <v>0</v>
      </c>
      <c r="L838" s="39">
        <v>0</v>
      </c>
      <c r="M838" s="39">
        <v>0</v>
      </c>
      <c r="N838" s="39">
        <v>0</v>
      </c>
      <c r="O838" s="39">
        <v>0</v>
      </c>
      <c r="P838" s="39">
        <v>0</v>
      </c>
      <c r="Q838" s="39">
        <v>0</v>
      </c>
      <c r="R838" s="39">
        <v>0</v>
      </c>
      <c r="S838" s="39">
        <v>0</v>
      </c>
      <c r="T838" s="39">
        <v>0</v>
      </c>
      <c r="U838" s="39">
        <v>0</v>
      </c>
      <c r="V838" s="39">
        <v>175</v>
      </c>
      <c r="W838" s="40" t="s">
        <v>7689</v>
      </c>
      <c r="X838" s="39">
        <v>1</v>
      </c>
    </row>
    <row r="839" spans="1:24">
      <c r="A839" s="39">
        <v>358</v>
      </c>
      <c r="B839" s="40" t="s">
        <v>7686</v>
      </c>
      <c r="C839" s="39">
        <v>1</v>
      </c>
      <c r="E839" s="39">
        <v>1</v>
      </c>
      <c r="F839" s="39">
        <v>565</v>
      </c>
      <c r="G839" s="39">
        <v>0</v>
      </c>
      <c r="H839" s="39">
        <v>1</v>
      </c>
      <c r="I839" s="39">
        <v>1</v>
      </c>
      <c r="J839" s="39">
        <v>0</v>
      </c>
      <c r="K839" s="39">
        <v>0</v>
      </c>
      <c r="L839" s="39">
        <v>0</v>
      </c>
      <c r="M839" s="39">
        <v>0</v>
      </c>
      <c r="N839" s="39">
        <v>0</v>
      </c>
      <c r="O839" s="39">
        <v>0</v>
      </c>
      <c r="P839" s="39">
        <v>0</v>
      </c>
      <c r="Q839" s="39">
        <v>0</v>
      </c>
      <c r="R839" s="39">
        <v>0</v>
      </c>
      <c r="S839" s="39">
        <v>0</v>
      </c>
      <c r="T839" s="39">
        <v>0</v>
      </c>
      <c r="U839" s="39">
        <v>0</v>
      </c>
      <c r="V839" s="39">
        <v>228</v>
      </c>
      <c r="W839" s="40" t="s">
        <v>7669</v>
      </c>
      <c r="X839" s="39">
        <v>1</v>
      </c>
    </row>
    <row r="840" spans="1:24">
      <c r="A840" s="39">
        <v>1699</v>
      </c>
      <c r="B840" s="40" t="s">
        <v>7686</v>
      </c>
      <c r="C840" s="39">
        <v>1</v>
      </c>
      <c r="E840" s="39">
        <v>1</v>
      </c>
      <c r="F840" s="39">
        <v>565</v>
      </c>
      <c r="G840" s="39">
        <v>0</v>
      </c>
      <c r="H840" s="39">
        <v>0</v>
      </c>
      <c r="I840" s="39">
        <v>0</v>
      </c>
      <c r="J840" s="39">
        <v>0</v>
      </c>
      <c r="K840" s="39">
        <v>0</v>
      </c>
      <c r="L840" s="39">
        <v>0</v>
      </c>
      <c r="M840" s="39">
        <v>0</v>
      </c>
      <c r="N840" s="39">
        <v>0</v>
      </c>
      <c r="O840" s="39">
        <v>0</v>
      </c>
      <c r="P840" s="39">
        <v>0</v>
      </c>
      <c r="Q840" s="39">
        <v>0</v>
      </c>
      <c r="R840" s="39">
        <v>0</v>
      </c>
      <c r="S840" s="39">
        <v>0</v>
      </c>
      <c r="T840" s="39">
        <v>0</v>
      </c>
      <c r="U840" s="39">
        <v>0</v>
      </c>
      <c r="V840" s="39">
        <v>244</v>
      </c>
      <c r="W840" s="40" t="s">
        <v>682</v>
      </c>
      <c r="X840" s="39">
        <v>1</v>
      </c>
    </row>
    <row r="841" spans="1:24">
      <c r="A841" s="39">
        <v>728</v>
      </c>
      <c r="B841" s="40" t="s">
        <v>7686</v>
      </c>
      <c r="C841" s="39">
        <v>1</v>
      </c>
      <c r="E841" s="39">
        <v>1</v>
      </c>
      <c r="F841" s="39">
        <v>565</v>
      </c>
      <c r="G841" s="39">
        <v>0</v>
      </c>
      <c r="H841" s="39">
        <v>0</v>
      </c>
      <c r="I841" s="39">
        <v>0</v>
      </c>
      <c r="J841" s="39">
        <v>0</v>
      </c>
      <c r="K841" s="39">
        <v>0</v>
      </c>
      <c r="L841" s="39">
        <v>0</v>
      </c>
      <c r="M841" s="39">
        <v>0</v>
      </c>
      <c r="N841" s="39">
        <v>0</v>
      </c>
      <c r="O841" s="39">
        <v>0</v>
      </c>
      <c r="P841" s="39">
        <v>0</v>
      </c>
      <c r="Q841" s="39">
        <v>0</v>
      </c>
      <c r="R841" s="39">
        <v>0</v>
      </c>
      <c r="S841" s="39">
        <v>0</v>
      </c>
      <c r="T841" s="39">
        <v>0</v>
      </c>
      <c r="U841" s="39">
        <v>0</v>
      </c>
      <c r="V841" s="39">
        <v>381</v>
      </c>
      <c r="W841" s="40" t="s">
        <v>7805</v>
      </c>
      <c r="X841" s="39">
        <v>1</v>
      </c>
    </row>
    <row r="842" spans="1:24">
      <c r="A842" s="39">
        <v>1254</v>
      </c>
      <c r="B842" s="40" t="s">
        <v>7686</v>
      </c>
      <c r="C842" s="39">
        <v>1</v>
      </c>
      <c r="E842" s="39">
        <v>1</v>
      </c>
      <c r="F842" s="39">
        <v>565</v>
      </c>
      <c r="G842" s="39">
        <v>1</v>
      </c>
      <c r="H842" s="39">
        <v>1</v>
      </c>
      <c r="I842" s="39">
        <v>1</v>
      </c>
      <c r="J842" s="39">
        <v>1</v>
      </c>
      <c r="K842" s="39">
        <v>0</v>
      </c>
      <c r="L842" s="39">
        <v>0</v>
      </c>
      <c r="M842" s="39">
        <v>0</v>
      </c>
      <c r="N842" s="39">
        <v>0</v>
      </c>
      <c r="O842" s="39">
        <v>0</v>
      </c>
      <c r="P842" s="39">
        <v>0</v>
      </c>
      <c r="Q842" s="39">
        <v>0</v>
      </c>
      <c r="R842" s="39">
        <v>0</v>
      </c>
      <c r="S842" s="39">
        <v>0</v>
      </c>
      <c r="T842" s="39">
        <v>0</v>
      </c>
      <c r="U842" s="39">
        <v>0</v>
      </c>
      <c r="V842" s="39">
        <v>418</v>
      </c>
      <c r="W842" s="40" t="s">
        <v>7671</v>
      </c>
      <c r="X842" s="39">
        <v>1</v>
      </c>
    </row>
    <row r="843" spans="1:24">
      <c r="A843" s="39">
        <v>1360</v>
      </c>
      <c r="B843" s="40" t="s">
        <v>7686</v>
      </c>
      <c r="C843" s="39">
        <v>1</v>
      </c>
      <c r="E843" s="39">
        <v>1</v>
      </c>
      <c r="F843" s="39">
        <v>565</v>
      </c>
      <c r="G843" s="39">
        <v>0</v>
      </c>
      <c r="H843" s="39">
        <v>0</v>
      </c>
      <c r="I843" s="39">
        <v>0</v>
      </c>
      <c r="J843" s="39">
        <v>0</v>
      </c>
      <c r="K843" s="39">
        <v>0</v>
      </c>
      <c r="L843" s="39">
        <v>0</v>
      </c>
      <c r="M843" s="39">
        <v>0</v>
      </c>
      <c r="N843" s="39">
        <v>0</v>
      </c>
      <c r="O843" s="39">
        <v>0</v>
      </c>
      <c r="P843" s="39">
        <v>0</v>
      </c>
      <c r="Q843" s="39">
        <v>0</v>
      </c>
      <c r="R843" s="39">
        <v>0</v>
      </c>
      <c r="S843" s="39">
        <v>0</v>
      </c>
      <c r="T843" s="39">
        <v>0</v>
      </c>
      <c r="U843" s="39">
        <v>0</v>
      </c>
      <c r="V843" s="39">
        <v>456</v>
      </c>
      <c r="W843" s="40" t="s">
        <v>7673</v>
      </c>
      <c r="X843" s="39">
        <v>1</v>
      </c>
    </row>
    <row r="844" spans="1:24">
      <c r="A844" s="39">
        <v>865</v>
      </c>
      <c r="B844" s="40" t="s">
        <v>7686</v>
      </c>
      <c r="C844" s="39">
        <v>1</v>
      </c>
      <c r="E844" s="39">
        <v>1</v>
      </c>
      <c r="F844" s="39">
        <v>565</v>
      </c>
      <c r="G844" s="39">
        <v>1</v>
      </c>
      <c r="H844" s="39">
        <v>0</v>
      </c>
      <c r="I844" s="39">
        <v>1</v>
      </c>
      <c r="J844" s="39">
        <v>1</v>
      </c>
      <c r="K844" s="39">
        <v>0</v>
      </c>
      <c r="L844" s="39">
        <v>0</v>
      </c>
      <c r="M844" s="39">
        <v>0</v>
      </c>
      <c r="N844" s="39">
        <v>0</v>
      </c>
      <c r="O844" s="39">
        <v>0</v>
      </c>
      <c r="P844" s="39">
        <v>0</v>
      </c>
      <c r="Q844" s="39">
        <v>0</v>
      </c>
      <c r="R844" s="39">
        <v>0</v>
      </c>
      <c r="S844" s="39">
        <v>0</v>
      </c>
      <c r="T844" s="39">
        <v>0</v>
      </c>
      <c r="U844" s="39">
        <v>0</v>
      </c>
      <c r="V844" s="39">
        <v>458</v>
      </c>
      <c r="W844" s="40" t="s">
        <v>7694</v>
      </c>
      <c r="X844" s="39">
        <v>1</v>
      </c>
    </row>
    <row r="845" spans="1:24">
      <c r="A845" s="39">
        <v>1158</v>
      </c>
      <c r="B845" s="40" t="s">
        <v>7686</v>
      </c>
      <c r="C845" s="39">
        <v>1</v>
      </c>
      <c r="E845" s="39">
        <v>1</v>
      </c>
      <c r="F845" s="39">
        <v>565</v>
      </c>
      <c r="G845" s="39">
        <v>0</v>
      </c>
      <c r="H845" s="39">
        <v>0</v>
      </c>
      <c r="I845" s="39">
        <v>1</v>
      </c>
      <c r="J845" s="39">
        <v>0</v>
      </c>
      <c r="K845" s="39">
        <v>0</v>
      </c>
      <c r="L845" s="39">
        <v>0</v>
      </c>
      <c r="M845" s="39">
        <v>0</v>
      </c>
      <c r="N845" s="39">
        <v>0</v>
      </c>
      <c r="O845" s="39">
        <v>0</v>
      </c>
      <c r="P845" s="39">
        <v>0</v>
      </c>
      <c r="Q845" s="39">
        <v>0</v>
      </c>
      <c r="R845" s="39">
        <v>0</v>
      </c>
      <c r="S845" s="39">
        <v>0</v>
      </c>
      <c r="T845" s="39">
        <v>0</v>
      </c>
      <c r="U845" s="39">
        <v>0</v>
      </c>
      <c r="V845" s="39">
        <v>459</v>
      </c>
      <c r="W845" s="40" t="s">
        <v>7674</v>
      </c>
      <c r="X845" s="39">
        <v>1</v>
      </c>
    </row>
    <row r="846" spans="1:24">
      <c r="A846" s="39">
        <v>646</v>
      </c>
      <c r="B846" s="40" t="s">
        <v>7686</v>
      </c>
      <c r="C846" s="39">
        <v>1</v>
      </c>
      <c r="E846" s="39">
        <v>1</v>
      </c>
      <c r="F846" s="39">
        <v>565</v>
      </c>
      <c r="G846" s="39">
        <v>0</v>
      </c>
      <c r="H846" s="39">
        <v>0</v>
      </c>
      <c r="I846" s="39">
        <v>1</v>
      </c>
      <c r="J846" s="39">
        <v>0</v>
      </c>
      <c r="K846" s="39">
        <v>0</v>
      </c>
      <c r="L846" s="39">
        <v>0</v>
      </c>
      <c r="M846" s="39">
        <v>0</v>
      </c>
      <c r="N846" s="39">
        <v>0</v>
      </c>
      <c r="O846" s="39">
        <v>0</v>
      </c>
      <c r="P846" s="39">
        <v>0</v>
      </c>
      <c r="Q846" s="39">
        <v>0</v>
      </c>
      <c r="R846" s="39">
        <v>0</v>
      </c>
      <c r="S846" s="39">
        <v>0</v>
      </c>
      <c r="T846" s="39">
        <v>0</v>
      </c>
      <c r="U846" s="39">
        <v>0</v>
      </c>
      <c r="V846" s="39">
        <v>468</v>
      </c>
      <c r="W846" s="40" t="s">
        <v>7677</v>
      </c>
      <c r="X846" s="39">
        <v>1</v>
      </c>
    </row>
    <row r="847" spans="1:24">
      <c r="A847" s="39">
        <v>1062</v>
      </c>
      <c r="B847" s="40" t="s">
        <v>7686</v>
      </c>
      <c r="C847" s="39">
        <v>1</v>
      </c>
      <c r="E847" s="39">
        <v>1</v>
      </c>
      <c r="F847" s="39">
        <v>565</v>
      </c>
      <c r="G847" s="39">
        <v>1</v>
      </c>
      <c r="H847" s="39">
        <v>1</v>
      </c>
      <c r="I847" s="39">
        <v>1</v>
      </c>
      <c r="J847" s="39">
        <v>1</v>
      </c>
      <c r="K847" s="39">
        <v>0</v>
      </c>
      <c r="L847" s="39">
        <v>0</v>
      </c>
      <c r="M847" s="39">
        <v>0</v>
      </c>
      <c r="N847" s="39">
        <v>0</v>
      </c>
      <c r="O847" s="39">
        <v>0</v>
      </c>
      <c r="P847" s="39">
        <v>0</v>
      </c>
      <c r="Q847" s="39">
        <v>0</v>
      </c>
      <c r="R847" s="39">
        <v>0</v>
      </c>
      <c r="S847" s="39">
        <v>0</v>
      </c>
      <c r="T847" s="39">
        <v>0</v>
      </c>
      <c r="U847" s="39">
        <v>0</v>
      </c>
      <c r="V847" s="39">
        <v>477</v>
      </c>
      <c r="W847" s="40" t="s">
        <v>7697</v>
      </c>
      <c r="X847" s="39">
        <v>1</v>
      </c>
    </row>
    <row r="848" spans="1:24">
      <c r="A848" s="39">
        <v>249</v>
      </c>
      <c r="B848" s="40" t="s">
        <v>7686</v>
      </c>
      <c r="C848" s="39">
        <v>1</v>
      </c>
      <c r="E848" s="39">
        <v>1</v>
      </c>
      <c r="F848" s="39">
        <v>565</v>
      </c>
      <c r="G848" s="39">
        <v>0</v>
      </c>
      <c r="H848" s="39">
        <v>1</v>
      </c>
      <c r="I848" s="39">
        <v>1</v>
      </c>
      <c r="J848" s="39">
        <v>0</v>
      </c>
      <c r="K848" s="39">
        <v>0</v>
      </c>
      <c r="L848" s="39">
        <v>0</v>
      </c>
      <c r="M848" s="39">
        <v>0</v>
      </c>
      <c r="N848" s="39">
        <v>0</v>
      </c>
      <c r="O848" s="39">
        <v>0</v>
      </c>
      <c r="P848" s="39">
        <v>0</v>
      </c>
      <c r="Q848" s="39">
        <v>0</v>
      </c>
      <c r="R848" s="39">
        <v>0</v>
      </c>
      <c r="S848" s="39">
        <v>0</v>
      </c>
      <c r="T848" s="39">
        <v>0</v>
      </c>
      <c r="U848" s="39">
        <v>0</v>
      </c>
      <c r="V848" s="39">
        <v>590</v>
      </c>
      <c r="W848" s="40" t="s">
        <v>7679</v>
      </c>
      <c r="X848" s="39">
        <v>1</v>
      </c>
    </row>
    <row r="849" spans="1:24">
      <c r="A849" s="39">
        <v>797</v>
      </c>
      <c r="B849" s="40" t="s">
        <v>7686</v>
      </c>
      <c r="C849" s="39">
        <v>1</v>
      </c>
      <c r="E849" s="39">
        <v>1</v>
      </c>
      <c r="F849" s="39">
        <v>565</v>
      </c>
      <c r="G849" s="39">
        <v>1</v>
      </c>
      <c r="H849" s="39">
        <v>1</v>
      </c>
      <c r="I849" s="39">
        <v>1</v>
      </c>
      <c r="J849" s="39">
        <v>1</v>
      </c>
      <c r="K849" s="39">
        <v>0</v>
      </c>
      <c r="L849" s="39">
        <v>0</v>
      </c>
      <c r="M849" s="39">
        <v>0</v>
      </c>
      <c r="N849" s="39">
        <v>0</v>
      </c>
      <c r="O849" s="39">
        <v>0</v>
      </c>
      <c r="P849" s="39">
        <v>0</v>
      </c>
      <c r="Q849" s="39">
        <v>0</v>
      </c>
      <c r="R849" s="39">
        <v>0</v>
      </c>
      <c r="S849" s="39">
        <v>0</v>
      </c>
      <c r="T849" s="39">
        <v>0</v>
      </c>
      <c r="U849" s="39">
        <v>0</v>
      </c>
      <c r="V849" s="39">
        <v>733</v>
      </c>
      <c r="W849" s="40" t="s">
        <v>7680</v>
      </c>
      <c r="X849" s="39">
        <v>1</v>
      </c>
    </row>
    <row r="850" spans="1:24">
      <c r="A850" s="39">
        <v>88</v>
      </c>
      <c r="B850" s="50" t="s">
        <v>6065</v>
      </c>
      <c r="C850" s="39">
        <v>1</v>
      </c>
      <c r="E850" s="39">
        <v>1</v>
      </c>
      <c r="F850" s="39">
        <v>566</v>
      </c>
      <c r="G850" s="39">
        <v>0</v>
      </c>
      <c r="H850" s="39">
        <v>0</v>
      </c>
      <c r="I850" s="39">
        <v>0</v>
      </c>
      <c r="J850" s="39">
        <v>0</v>
      </c>
      <c r="K850" s="39">
        <v>0</v>
      </c>
      <c r="L850" s="39">
        <v>0</v>
      </c>
      <c r="M850" s="39">
        <v>0</v>
      </c>
      <c r="N850" s="39">
        <v>0</v>
      </c>
      <c r="O850" s="39">
        <v>0</v>
      </c>
      <c r="P850" s="39">
        <v>0</v>
      </c>
      <c r="Q850" s="39">
        <v>0</v>
      </c>
      <c r="R850" s="39">
        <v>0</v>
      </c>
      <c r="S850" s="39">
        <v>0</v>
      </c>
      <c r="T850" s="39">
        <v>0</v>
      </c>
      <c r="U850" s="39">
        <v>0</v>
      </c>
      <c r="V850" s="39">
        <v>1</v>
      </c>
      <c r="W850" s="40" t="s">
        <v>518</v>
      </c>
      <c r="X850" s="39">
        <v>1</v>
      </c>
    </row>
    <row r="851" spans="1:24">
      <c r="A851" s="39">
        <v>76</v>
      </c>
      <c r="B851" s="40" t="s">
        <v>6065</v>
      </c>
      <c r="C851" s="39">
        <v>1</v>
      </c>
      <c r="D851" s="40" t="s">
        <v>7851</v>
      </c>
      <c r="E851" s="39">
        <v>1</v>
      </c>
      <c r="F851" s="39">
        <v>50</v>
      </c>
      <c r="G851" s="39">
        <v>0</v>
      </c>
      <c r="H851" s="39">
        <v>0</v>
      </c>
      <c r="I851" s="39">
        <v>0</v>
      </c>
      <c r="J851" s="39">
        <v>0</v>
      </c>
      <c r="K851" s="39">
        <v>0</v>
      </c>
      <c r="L851" s="39">
        <v>0</v>
      </c>
      <c r="M851" s="39">
        <v>0</v>
      </c>
      <c r="N851" s="39">
        <v>0</v>
      </c>
      <c r="O851" s="39">
        <v>0</v>
      </c>
      <c r="P851" s="39">
        <v>0</v>
      </c>
      <c r="Q851" s="39">
        <v>0</v>
      </c>
      <c r="R851" s="39">
        <v>0</v>
      </c>
      <c r="S851" s="39">
        <v>0</v>
      </c>
      <c r="T851" s="39">
        <v>0</v>
      </c>
      <c r="U851" s="39">
        <v>0</v>
      </c>
      <c r="V851" s="39">
        <v>2</v>
      </c>
      <c r="W851" s="40" t="s">
        <v>40</v>
      </c>
      <c r="X851" s="39">
        <v>1</v>
      </c>
    </row>
    <row r="852" spans="1:24">
      <c r="A852" s="39">
        <v>980</v>
      </c>
      <c r="B852" s="40" t="s">
        <v>6065</v>
      </c>
      <c r="C852" s="39">
        <v>1</v>
      </c>
      <c r="E852" s="39">
        <v>1</v>
      </c>
      <c r="F852" s="39">
        <v>566</v>
      </c>
      <c r="G852" s="39">
        <v>1</v>
      </c>
      <c r="H852" s="39">
        <v>0</v>
      </c>
      <c r="I852" s="39">
        <v>1</v>
      </c>
      <c r="J852" s="39">
        <v>0</v>
      </c>
      <c r="K852" s="39">
        <v>0</v>
      </c>
      <c r="L852" s="39">
        <v>0</v>
      </c>
      <c r="M852" s="39">
        <v>0</v>
      </c>
      <c r="N852" s="39">
        <v>0</v>
      </c>
      <c r="O852" s="39">
        <v>0</v>
      </c>
      <c r="P852" s="39">
        <v>0</v>
      </c>
      <c r="Q852" s="39">
        <v>0</v>
      </c>
      <c r="R852" s="39">
        <v>0</v>
      </c>
      <c r="S852" s="39">
        <v>0</v>
      </c>
      <c r="T852" s="39">
        <v>0</v>
      </c>
      <c r="U852" s="39">
        <v>0</v>
      </c>
      <c r="V852" s="39">
        <v>158</v>
      </c>
      <c r="W852" s="40" t="s">
        <v>7667</v>
      </c>
      <c r="X852" s="39">
        <v>1</v>
      </c>
    </row>
    <row r="853" spans="1:24">
      <c r="A853" s="39">
        <v>471</v>
      </c>
      <c r="B853" s="40" t="s">
        <v>6065</v>
      </c>
      <c r="C853" s="39">
        <v>1</v>
      </c>
      <c r="E853" s="39">
        <v>1</v>
      </c>
      <c r="F853" s="39">
        <v>566</v>
      </c>
      <c r="G853" s="39">
        <v>0</v>
      </c>
      <c r="H853" s="39">
        <v>0</v>
      </c>
      <c r="I853" s="39">
        <v>0</v>
      </c>
      <c r="J853" s="39">
        <v>0</v>
      </c>
      <c r="K853" s="39">
        <v>0</v>
      </c>
      <c r="L853" s="39">
        <v>0</v>
      </c>
      <c r="M853" s="39">
        <v>0</v>
      </c>
      <c r="N853" s="39">
        <v>0</v>
      </c>
      <c r="O853" s="39">
        <v>0</v>
      </c>
      <c r="P853" s="39">
        <v>0</v>
      </c>
      <c r="Q853" s="39">
        <v>0</v>
      </c>
      <c r="R853" s="39">
        <v>0</v>
      </c>
      <c r="S853" s="39">
        <v>0</v>
      </c>
      <c r="T853" s="39">
        <v>0</v>
      </c>
      <c r="U853" s="39">
        <v>0</v>
      </c>
      <c r="V853" s="39">
        <v>175</v>
      </c>
      <c r="W853" s="40" t="s">
        <v>7689</v>
      </c>
      <c r="X853" s="39">
        <v>1</v>
      </c>
    </row>
    <row r="854" spans="1:24">
      <c r="A854" s="39">
        <v>359</v>
      </c>
      <c r="B854" s="40" t="s">
        <v>6065</v>
      </c>
      <c r="C854" s="39">
        <v>1</v>
      </c>
      <c r="E854" s="39">
        <v>1</v>
      </c>
      <c r="F854" s="39">
        <v>566</v>
      </c>
      <c r="G854" s="39">
        <v>0</v>
      </c>
      <c r="H854" s="39">
        <v>1</v>
      </c>
      <c r="I854" s="39">
        <v>1</v>
      </c>
      <c r="J854" s="39">
        <v>0</v>
      </c>
      <c r="K854" s="39">
        <v>0</v>
      </c>
      <c r="L854" s="39">
        <v>0</v>
      </c>
      <c r="M854" s="39">
        <v>0</v>
      </c>
      <c r="N854" s="39">
        <v>0</v>
      </c>
      <c r="O854" s="39">
        <v>0</v>
      </c>
      <c r="P854" s="39">
        <v>0</v>
      </c>
      <c r="Q854" s="39">
        <v>0</v>
      </c>
      <c r="R854" s="39">
        <v>0</v>
      </c>
      <c r="S854" s="39">
        <v>0</v>
      </c>
      <c r="T854" s="39">
        <v>0</v>
      </c>
      <c r="U854" s="39">
        <v>0</v>
      </c>
      <c r="V854" s="39">
        <v>228</v>
      </c>
      <c r="W854" s="40" t="s">
        <v>7669</v>
      </c>
      <c r="X854" s="39">
        <v>1</v>
      </c>
    </row>
    <row r="855" spans="1:24">
      <c r="A855" s="39">
        <v>1700</v>
      </c>
      <c r="B855" s="40" t="s">
        <v>6065</v>
      </c>
      <c r="C855" s="39">
        <v>1</v>
      </c>
      <c r="E855" s="39">
        <v>1</v>
      </c>
      <c r="F855" s="39">
        <v>566</v>
      </c>
      <c r="G855" s="39">
        <v>0</v>
      </c>
      <c r="H855" s="39">
        <v>0</v>
      </c>
      <c r="I855" s="39">
        <v>0</v>
      </c>
      <c r="J855" s="39">
        <v>0</v>
      </c>
      <c r="K855" s="39">
        <v>0</v>
      </c>
      <c r="L855" s="39">
        <v>0</v>
      </c>
      <c r="M855" s="39">
        <v>0</v>
      </c>
      <c r="N855" s="39">
        <v>0</v>
      </c>
      <c r="O855" s="39">
        <v>0</v>
      </c>
      <c r="P855" s="39">
        <v>0</v>
      </c>
      <c r="Q855" s="39">
        <v>0</v>
      </c>
      <c r="R855" s="39">
        <v>0</v>
      </c>
      <c r="S855" s="39">
        <v>0</v>
      </c>
      <c r="T855" s="39">
        <v>0</v>
      </c>
      <c r="U855" s="39">
        <v>0</v>
      </c>
      <c r="V855" s="39">
        <v>244</v>
      </c>
      <c r="W855" s="40" t="s">
        <v>682</v>
      </c>
      <c r="X855" s="39">
        <v>1</v>
      </c>
    </row>
    <row r="856" spans="1:24">
      <c r="A856" s="39">
        <v>729</v>
      </c>
      <c r="B856" s="40" t="s">
        <v>6065</v>
      </c>
      <c r="C856" s="39">
        <v>1</v>
      </c>
      <c r="E856" s="39">
        <v>1</v>
      </c>
      <c r="F856" s="39">
        <v>566</v>
      </c>
      <c r="G856" s="39">
        <v>0</v>
      </c>
      <c r="H856" s="39">
        <v>0</v>
      </c>
      <c r="I856" s="39">
        <v>0</v>
      </c>
      <c r="J856" s="39">
        <v>0</v>
      </c>
      <c r="K856" s="39">
        <v>0</v>
      </c>
      <c r="L856" s="39">
        <v>0</v>
      </c>
      <c r="M856" s="39">
        <v>0</v>
      </c>
      <c r="N856" s="39">
        <v>0</v>
      </c>
      <c r="O856" s="39">
        <v>0</v>
      </c>
      <c r="P856" s="39">
        <v>0</v>
      </c>
      <c r="Q856" s="39">
        <v>0</v>
      </c>
      <c r="R856" s="39">
        <v>0</v>
      </c>
      <c r="S856" s="39">
        <v>0</v>
      </c>
      <c r="T856" s="39">
        <v>0</v>
      </c>
      <c r="U856" s="39">
        <v>0</v>
      </c>
      <c r="V856" s="39">
        <v>381</v>
      </c>
      <c r="W856" s="40" t="s">
        <v>7805</v>
      </c>
      <c r="X856" s="39">
        <v>1</v>
      </c>
    </row>
    <row r="857" spans="1:24">
      <c r="A857" s="39">
        <v>1255</v>
      </c>
      <c r="B857" s="40" t="s">
        <v>6065</v>
      </c>
      <c r="C857" s="39">
        <v>1</v>
      </c>
      <c r="E857" s="39">
        <v>1</v>
      </c>
      <c r="F857" s="39">
        <v>566</v>
      </c>
      <c r="G857" s="39">
        <v>1</v>
      </c>
      <c r="H857" s="39">
        <v>1</v>
      </c>
      <c r="I857" s="39">
        <v>1</v>
      </c>
      <c r="J857" s="39">
        <v>1</v>
      </c>
      <c r="K857" s="39">
        <v>0</v>
      </c>
      <c r="L857" s="39">
        <v>0</v>
      </c>
      <c r="M857" s="39">
        <v>0</v>
      </c>
      <c r="N857" s="39">
        <v>0</v>
      </c>
      <c r="O857" s="39">
        <v>0</v>
      </c>
      <c r="P857" s="39">
        <v>0</v>
      </c>
      <c r="Q857" s="39">
        <v>0</v>
      </c>
      <c r="R857" s="39">
        <v>0</v>
      </c>
      <c r="S857" s="39">
        <v>0</v>
      </c>
      <c r="T857" s="39">
        <v>0</v>
      </c>
      <c r="U857" s="39">
        <v>0</v>
      </c>
      <c r="V857" s="39">
        <v>418</v>
      </c>
      <c r="W857" s="40" t="s">
        <v>7671</v>
      </c>
      <c r="X857" s="39">
        <v>1</v>
      </c>
    </row>
    <row r="858" spans="1:24">
      <c r="A858" s="39">
        <v>1361</v>
      </c>
      <c r="B858" s="40" t="s">
        <v>6065</v>
      </c>
      <c r="C858" s="39">
        <v>1</v>
      </c>
      <c r="E858" s="39">
        <v>1</v>
      </c>
      <c r="F858" s="39">
        <v>566</v>
      </c>
      <c r="G858" s="39">
        <v>0</v>
      </c>
      <c r="H858" s="39">
        <v>0</v>
      </c>
      <c r="I858" s="39">
        <v>0</v>
      </c>
      <c r="J858" s="39">
        <v>0</v>
      </c>
      <c r="K858" s="39">
        <v>0</v>
      </c>
      <c r="L858" s="39">
        <v>0</v>
      </c>
      <c r="M858" s="39">
        <v>0</v>
      </c>
      <c r="N858" s="39">
        <v>0</v>
      </c>
      <c r="O858" s="39">
        <v>0</v>
      </c>
      <c r="P858" s="39">
        <v>0</v>
      </c>
      <c r="Q858" s="39">
        <v>0</v>
      </c>
      <c r="R858" s="39">
        <v>0</v>
      </c>
      <c r="S858" s="39">
        <v>0</v>
      </c>
      <c r="T858" s="39">
        <v>0</v>
      </c>
      <c r="U858" s="39">
        <v>0</v>
      </c>
      <c r="V858" s="39">
        <v>456</v>
      </c>
      <c r="W858" s="40" t="s">
        <v>7673</v>
      </c>
      <c r="X858" s="39">
        <v>1</v>
      </c>
    </row>
    <row r="859" spans="1:24">
      <c r="A859" s="39">
        <v>866</v>
      </c>
      <c r="B859" s="40" t="s">
        <v>6065</v>
      </c>
      <c r="C859" s="39">
        <v>1</v>
      </c>
      <c r="E859" s="39">
        <v>1</v>
      </c>
      <c r="F859" s="39">
        <v>566</v>
      </c>
      <c r="G859" s="39">
        <v>1</v>
      </c>
      <c r="H859" s="39">
        <v>0</v>
      </c>
      <c r="I859" s="39">
        <v>1</v>
      </c>
      <c r="J859" s="39">
        <v>1</v>
      </c>
      <c r="K859" s="39">
        <v>0</v>
      </c>
      <c r="L859" s="39">
        <v>0</v>
      </c>
      <c r="M859" s="39">
        <v>0</v>
      </c>
      <c r="N859" s="39">
        <v>0</v>
      </c>
      <c r="O859" s="39">
        <v>0</v>
      </c>
      <c r="P859" s="39">
        <v>0</v>
      </c>
      <c r="Q859" s="39">
        <v>0</v>
      </c>
      <c r="R859" s="39">
        <v>0</v>
      </c>
      <c r="S859" s="39">
        <v>0</v>
      </c>
      <c r="T859" s="39">
        <v>0</v>
      </c>
      <c r="U859" s="39">
        <v>0</v>
      </c>
      <c r="V859" s="39">
        <v>458</v>
      </c>
      <c r="W859" s="40" t="s">
        <v>7694</v>
      </c>
      <c r="X859" s="39">
        <v>1</v>
      </c>
    </row>
    <row r="860" spans="1:24">
      <c r="A860" s="39">
        <v>1159</v>
      </c>
      <c r="B860" s="40" t="s">
        <v>6065</v>
      </c>
      <c r="C860" s="39">
        <v>1</v>
      </c>
      <c r="E860" s="39">
        <v>1</v>
      </c>
      <c r="F860" s="39">
        <v>566</v>
      </c>
      <c r="G860" s="39">
        <v>0</v>
      </c>
      <c r="H860" s="39">
        <v>0</v>
      </c>
      <c r="I860" s="39">
        <v>1</v>
      </c>
      <c r="J860" s="39">
        <v>0</v>
      </c>
      <c r="K860" s="39">
        <v>0</v>
      </c>
      <c r="L860" s="39">
        <v>0</v>
      </c>
      <c r="M860" s="39">
        <v>0</v>
      </c>
      <c r="N860" s="39">
        <v>0</v>
      </c>
      <c r="O860" s="39">
        <v>0</v>
      </c>
      <c r="P860" s="39">
        <v>0</v>
      </c>
      <c r="Q860" s="39">
        <v>0</v>
      </c>
      <c r="R860" s="39">
        <v>0</v>
      </c>
      <c r="S860" s="39">
        <v>0</v>
      </c>
      <c r="T860" s="39">
        <v>0</v>
      </c>
      <c r="U860" s="39">
        <v>0</v>
      </c>
      <c r="V860" s="39">
        <v>459</v>
      </c>
      <c r="W860" s="40" t="s">
        <v>7674</v>
      </c>
      <c r="X860" s="39">
        <v>1</v>
      </c>
    </row>
    <row r="861" spans="1:24">
      <c r="A861" s="39">
        <v>647</v>
      </c>
      <c r="B861" s="40" t="s">
        <v>6065</v>
      </c>
      <c r="C861" s="39">
        <v>1</v>
      </c>
      <c r="E861" s="39">
        <v>1</v>
      </c>
      <c r="F861" s="39">
        <v>566</v>
      </c>
      <c r="G861" s="39">
        <v>0</v>
      </c>
      <c r="H861" s="39">
        <v>0</v>
      </c>
      <c r="I861" s="39">
        <v>1</v>
      </c>
      <c r="J861" s="39">
        <v>0</v>
      </c>
      <c r="K861" s="39">
        <v>0</v>
      </c>
      <c r="L861" s="39">
        <v>0</v>
      </c>
      <c r="M861" s="39">
        <v>0</v>
      </c>
      <c r="N861" s="39">
        <v>0</v>
      </c>
      <c r="O861" s="39">
        <v>0</v>
      </c>
      <c r="P861" s="39">
        <v>0</v>
      </c>
      <c r="Q861" s="39">
        <v>0</v>
      </c>
      <c r="R861" s="39">
        <v>0</v>
      </c>
      <c r="S861" s="39">
        <v>0</v>
      </c>
      <c r="T861" s="39">
        <v>0</v>
      </c>
      <c r="U861" s="39">
        <v>0</v>
      </c>
      <c r="V861" s="39">
        <v>468</v>
      </c>
      <c r="W861" s="40" t="s">
        <v>7677</v>
      </c>
      <c r="X861" s="39">
        <v>1</v>
      </c>
    </row>
    <row r="862" spans="1:24">
      <c r="A862" s="39">
        <v>1063</v>
      </c>
      <c r="B862" s="40" t="s">
        <v>6065</v>
      </c>
      <c r="C862" s="39">
        <v>1</v>
      </c>
      <c r="E862" s="39">
        <v>1</v>
      </c>
      <c r="F862" s="39">
        <v>566</v>
      </c>
      <c r="G862" s="39">
        <v>1</v>
      </c>
      <c r="H862" s="39">
        <v>1</v>
      </c>
      <c r="I862" s="39">
        <v>1</v>
      </c>
      <c r="J862" s="39">
        <v>1</v>
      </c>
      <c r="K862" s="39">
        <v>0</v>
      </c>
      <c r="L862" s="39">
        <v>0</v>
      </c>
      <c r="M862" s="39">
        <v>0</v>
      </c>
      <c r="N862" s="39">
        <v>0</v>
      </c>
      <c r="O862" s="39">
        <v>0</v>
      </c>
      <c r="P862" s="39">
        <v>0</v>
      </c>
      <c r="Q862" s="39">
        <v>0</v>
      </c>
      <c r="R862" s="39">
        <v>0</v>
      </c>
      <c r="S862" s="39">
        <v>0</v>
      </c>
      <c r="T862" s="39">
        <v>0</v>
      </c>
      <c r="U862" s="39">
        <v>0</v>
      </c>
      <c r="V862" s="39">
        <v>477</v>
      </c>
      <c r="W862" s="40" t="s">
        <v>7697</v>
      </c>
      <c r="X862" s="39">
        <v>1</v>
      </c>
    </row>
    <row r="863" spans="1:24">
      <c r="A863" s="39">
        <v>250</v>
      </c>
      <c r="B863" s="40" t="s">
        <v>6065</v>
      </c>
      <c r="C863" s="39">
        <v>1</v>
      </c>
      <c r="E863" s="39">
        <v>1</v>
      </c>
      <c r="F863" s="39">
        <v>566</v>
      </c>
      <c r="G863" s="39">
        <v>0</v>
      </c>
      <c r="H863" s="39">
        <v>1</v>
      </c>
      <c r="I863" s="39">
        <v>1</v>
      </c>
      <c r="J863" s="39">
        <v>0</v>
      </c>
      <c r="K863" s="39">
        <v>0</v>
      </c>
      <c r="L863" s="39">
        <v>0</v>
      </c>
      <c r="M863" s="39">
        <v>0</v>
      </c>
      <c r="N863" s="39">
        <v>0</v>
      </c>
      <c r="O863" s="39">
        <v>0</v>
      </c>
      <c r="P863" s="39">
        <v>0</v>
      </c>
      <c r="Q863" s="39">
        <v>0</v>
      </c>
      <c r="R863" s="39">
        <v>0</v>
      </c>
      <c r="S863" s="39">
        <v>0</v>
      </c>
      <c r="T863" s="39">
        <v>0</v>
      </c>
      <c r="U863" s="39">
        <v>0</v>
      </c>
      <c r="V863" s="39">
        <v>590</v>
      </c>
      <c r="W863" s="40" t="s">
        <v>7679</v>
      </c>
      <c r="X863" s="39">
        <v>1</v>
      </c>
    </row>
    <row r="864" spans="1:24">
      <c r="A864" s="39">
        <v>798</v>
      </c>
      <c r="B864" s="40" t="s">
        <v>6065</v>
      </c>
      <c r="C864" s="39">
        <v>1</v>
      </c>
      <c r="E864" s="39">
        <v>1</v>
      </c>
      <c r="F864" s="39">
        <v>566</v>
      </c>
      <c r="G864" s="39">
        <v>1</v>
      </c>
      <c r="H864" s="39">
        <v>1</v>
      </c>
      <c r="I864" s="39">
        <v>1</v>
      </c>
      <c r="J864" s="39">
        <v>1</v>
      </c>
      <c r="K864" s="39">
        <v>0</v>
      </c>
      <c r="L864" s="39">
        <v>0</v>
      </c>
      <c r="M864" s="39">
        <v>0</v>
      </c>
      <c r="N864" s="39">
        <v>0</v>
      </c>
      <c r="O864" s="39">
        <v>0</v>
      </c>
      <c r="P864" s="39">
        <v>0</v>
      </c>
      <c r="Q864" s="39">
        <v>0</v>
      </c>
      <c r="R864" s="39">
        <v>0</v>
      </c>
      <c r="S864" s="39">
        <v>0</v>
      </c>
      <c r="T864" s="39">
        <v>0</v>
      </c>
      <c r="U864" s="39">
        <v>0</v>
      </c>
      <c r="V864" s="39">
        <v>733</v>
      </c>
      <c r="W864" s="40" t="s">
        <v>7680</v>
      </c>
      <c r="X864" s="39">
        <v>1</v>
      </c>
    </row>
    <row r="865" spans="1:24">
      <c r="A865" s="39">
        <v>116</v>
      </c>
      <c r="B865" s="50" t="s">
        <v>1124</v>
      </c>
      <c r="C865" s="39">
        <v>1</v>
      </c>
      <c r="E865" s="39">
        <v>1</v>
      </c>
      <c r="F865" s="39">
        <v>560</v>
      </c>
      <c r="G865" s="39">
        <v>0</v>
      </c>
      <c r="H865" s="39">
        <v>0</v>
      </c>
      <c r="I865" s="39">
        <v>0</v>
      </c>
      <c r="J865" s="39">
        <v>0</v>
      </c>
      <c r="K865" s="39">
        <v>0</v>
      </c>
      <c r="L865" s="39">
        <v>0</v>
      </c>
      <c r="M865" s="39">
        <v>0</v>
      </c>
      <c r="N865" s="39">
        <v>0</v>
      </c>
      <c r="O865" s="39">
        <v>0</v>
      </c>
      <c r="P865" s="39">
        <v>0</v>
      </c>
      <c r="Q865" s="39">
        <v>0</v>
      </c>
      <c r="R865" s="39">
        <v>0</v>
      </c>
      <c r="S865" s="39">
        <v>0</v>
      </c>
      <c r="T865" s="39">
        <v>0</v>
      </c>
      <c r="U865" s="39">
        <v>0</v>
      </c>
      <c r="V865" s="39">
        <v>1</v>
      </c>
      <c r="W865" s="40" t="s">
        <v>518</v>
      </c>
      <c r="X865" s="39">
        <v>1</v>
      </c>
    </row>
    <row r="866" spans="1:24">
      <c r="A866" s="39">
        <v>28</v>
      </c>
      <c r="B866" s="40" t="s">
        <v>1124</v>
      </c>
      <c r="C866" s="39">
        <v>1</v>
      </c>
      <c r="D866" s="40" t="s">
        <v>7852</v>
      </c>
      <c r="E866" s="39">
        <v>1</v>
      </c>
      <c r="F866" s="39">
        <v>31</v>
      </c>
      <c r="G866" s="39">
        <v>0</v>
      </c>
      <c r="H866" s="39">
        <v>0</v>
      </c>
      <c r="I866" s="39">
        <v>0</v>
      </c>
      <c r="J866" s="39">
        <v>0</v>
      </c>
      <c r="K866" s="39">
        <v>0</v>
      </c>
      <c r="L866" s="39">
        <v>0</v>
      </c>
      <c r="M866" s="39">
        <v>0</v>
      </c>
      <c r="N866" s="39">
        <v>0</v>
      </c>
      <c r="O866" s="39">
        <v>0</v>
      </c>
      <c r="P866" s="39">
        <v>0</v>
      </c>
      <c r="Q866" s="39">
        <v>0</v>
      </c>
      <c r="R866" s="39">
        <v>0</v>
      </c>
      <c r="S866" s="39">
        <v>0</v>
      </c>
      <c r="T866" s="39">
        <v>0</v>
      </c>
      <c r="U866" s="39">
        <v>0</v>
      </c>
      <c r="V866" s="39">
        <v>2</v>
      </c>
      <c r="W866" s="40" t="s">
        <v>40</v>
      </c>
      <c r="X866" s="39">
        <v>1</v>
      </c>
    </row>
    <row r="867" spans="1:24">
      <c r="A867" s="39">
        <v>981</v>
      </c>
      <c r="B867" s="40" t="s">
        <v>1124</v>
      </c>
      <c r="C867" s="39">
        <v>1</v>
      </c>
      <c r="E867" s="39">
        <v>1</v>
      </c>
      <c r="F867" s="39">
        <v>560</v>
      </c>
      <c r="G867" s="39">
        <v>1</v>
      </c>
      <c r="H867" s="39">
        <v>1</v>
      </c>
      <c r="I867" s="39">
        <v>1</v>
      </c>
      <c r="J867" s="39">
        <v>0</v>
      </c>
      <c r="K867" s="39">
        <v>0</v>
      </c>
      <c r="L867" s="39">
        <v>0</v>
      </c>
      <c r="M867" s="39">
        <v>0</v>
      </c>
      <c r="N867" s="39">
        <v>0</v>
      </c>
      <c r="O867" s="39">
        <v>0</v>
      </c>
      <c r="P867" s="39">
        <v>0</v>
      </c>
      <c r="Q867" s="39">
        <v>0</v>
      </c>
      <c r="R867" s="39">
        <v>0</v>
      </c>
      <c r="S867" s="39">
        <v>0</v>
      </c>
      <c r="T867" s="39">
        <v>0</v>
      </c>
      <c r="U867" s="39">
        <v>0</v>
      </c>
      <c r="V867" s="39">
        <v>158</v>
      </c>
      <c r="W867" s="40" t="s">
        <v>7667</v>
      </c>
      <c r="X867" s="39">
        <v>1</v>
      </c>
    </row>
    <row r="868" spans="1:24">
      <c r="A868" s="39">
        <v>361</v>
      </c>
      <c r="B868" s="40" t="s">
        <v>1124</v>
      </c>
      <c r="C868" s="39">
        <v>1</v>
      </c>
      <c r="E868" s="39">
        <v>1</v>
      </c>
      <c r="F868" s="39">
        <v>560</v>
      </c>
      <c r="G868" s="39">
        <v>1</v>
      </c>
      <c r="H868" s="39">
        <v>1</v>
      </c>
      <c r="I868" s="39">
        <v>1</v>
      </c>
      <c r="J868" s="39">
        <v>0</v>
      </c>
      <c r="K868" s="39">
        <v>0</v>
      </c>
      <c r="L868" s="39">
        <v>0</v>
      </c>
      <c r="M868" s="39">
        <v>0</v>
      </c>
      <c r="N868" s="39">
        <v>0</v>
      </c>
      <c r="O868" s="39">
        <v>0</v>
      </c>
      <c r="P868" s="39">
        <v>0</v>
      </c>
      <c r="Q868" s="39">
        <v>0</v>
      </c>
      <c r="R868" s="39">
        <v>0</v>
      </c>
      <c r="S868" s="39">
        <v>0</v>
      </c>
      <c r="T868" s="39">
        <v>0</v>
      </c>
      <c r="U868" s="39">
        <v>0</v>
      </c>
      <c r="V868" s="39">
        <v>228</v>
      </c>
      <c r="W868" s="40" t="s">
        <v>7669</v>
      </c>
      <c r="X868" s="39">
        <v>1</v>
      </c>
    </row>
    <row r="869" spans="1:24">
      <c r="A869" s="39">
        <v>1727</v>
      </c>
      <c r="B869" s="40" t="s">
        <v>1124</v>
      </c>
      <c r="C869" s="39">
        <v>1</v>
      </c>
      <c r="E869" s="39">
        <v>1</v>
      </c>
      <c r="F869" s="39">
        <v>560</v>
      </c>
      <c r="G869" s="39">
        <v>0</v>
      </c>
      <c r="H869" s="39">
        <v>0</v>
      </c>
      <c r="I869" s="39">
        <v>0</v>
      </c>
      <c r="J869" s="39">
        <v>0</v>
      </c>
      <c r="K869" s="39">
        <v>0</v>
      </c>
      <c r="L869" s="39">
        <v>0</v>
      </c>
      <c r="M869" s="39">
        <v>0</v>
      </c>
      <c r="N869" s="39">
        <v>0</v>
      </c>
      <c r="O869" s="39">
        <v>0</v>
      </c>
      <c r="P869" s="39">
        <v>0</v>
      </c>
      <c r="Q869" s="39">
        <v>0</v>
      </c>
      <c r="R869" s="39">
        <v>0</v>
      </c>
      <c r="S869" s="39">
        <v>0</v>
      </c>
      <c r="T869" s="39">
        <v>0</v>
      </c>
      <c r="U869" s="39">
        <v>0</v>
      </c>
      <c r="V869" s="39">
        <v>244</v>
      </c>
      <c r="W869" s="40" t="s">
        <v>682</v>
      </c>
      <c r="X869" s="39">
        <v>1</v>
      </c>
    </row>
    <row r="870" spans="1:24">
      <c r="A870" s="39">
        <v>730</v>
      </c>
      <c r="B870" s="40" t="s">
        <v>1124</v>
      </c>
      <c r="C870" s="39">
        <v>1</v>
      </c>
      <c r="E870" s="39">
        <v>1</v>
      </c>
      <c r="F870" s="39">
        <v>560</v>
      </c>
      <c r="G870" s="39">
        <v>0</v>
      </c>
      <c r="H870" s="39">
        <v>0</v>
      </c>
      <c r="I870" s="39">
        <v>0</v>
      </c>
      <c r="J870" s="39">
        <v>0</v>
      </c>
      <c r="K870" s="39">
        <v>0</v>
      </c>
      <c r="L870" s="39">
        <v>0</v>
      </c>
      <c r="M870" s="39">
        <v>0</v>
      </c>
      <c r="N870" s="39">
        <v>0</v>
      </c>
      <c r="O870" s="39">
        <v>0</v>
      </c>
      <c r="P870" s="39">
        <v>0</v>
      </c>
      <c r="Q870" s="39">
        <v>0</v>
      </c>
      <c r="R870" s="39">
        <v>0</v>
      </c>
      <c r="S870" s="39">
        <v>0</v>
      </c>
      <c r="T870" s="39">
        <v>0</v>
      </c>
      <c r="U870" s="39">
        <v>0</v>
      </c>
      <c r="V870" s="39">
        <v>381</v>
      </c>
      <c r="W870" s="40" t="s">
        <v>7805</v>
      </c>
      <c r="X870" s="39">
        <v>1</v>
      </c>
    </row>
    <row r="871" spans="1:24">
      <c r="A871" s="39">
        <v>1256</v>
      </c>
      <c r="B871" s="40" t="s">
        <v>1124</v>
      </c>
      <c r="C871" s="39">
        <v>1</v>
      </c>
      <c r="E871" s="39">
        <v>1</v>
      </c>
      <c r="F871" s="39">
        <v>560</v>
      </c>
      <c r="G871" s="39">
        <v>1</v>
      </c>
      <c r="H871" s="39">
        <v>1</v>
      </c>
      <c r="I871" s="39">
        <v>1</v>
      </c>
      <c r="J871" s="39">
        <v>1</v>
      </c>
      <c r="K871" s="39">
        <v>0</v>
      </c>
      <c r="L871" s="39">
        <v>0</v>
      </c>
      <c r="M871" s="39">
        <v>0</v>
      </c>
      <c r="N871" s="39">
        <v>0</v>
      </c>
      <c r="O871" s="39">
        <v>0</v>
      </c>
      <c r="P871" s="39">
        <v>0</v>
      </c>
      <c r="Q871" s="39">
        <v>0</v>
      </c>
      <c r="R871" s="39">
        <v>0</v>
      </c>
      <c r="S871" s="39">
        <v>0</v>
      </c>
      <c r="T871" s="39">
        <v>0</v>
      </c>
      <c r="U871" s="39">
        <v>0</v>
      </c>
      <c r="V871" s="39">
        <v>418</v>
      </c>
      <c r="W871" s="40" t="s">
        <v>7671</v>
      </c>
      <c r="X871" s="39">
        <v>1</v>
      </c>
    </row>
    <row r="872" spans="1:24">
      <c r="A872" s="39">
        <v>1388</v>
      </c>
      <c r="B872" s="40" t="s">
        <v>1124</v>
      </c>
      <c r="C872" s="39">
        <v>1</v>
      </c>
      <c r="E872" s="39">
        <v>1</v>
      </c>
      <c r="F872" s="39">
        <v>560</v>
      </c>
      <c r="G872" s="39">
        <v>0</v>
      </c>
      <c r="H872" s="39">
        <v>0</v>
      </c>
      <c r="I872" s="39">
        <v>0</v>
      </c>
      <c r="J872" s="39">
        <v>0</v>
      </c>
      <c r="K872" s="39">
        <v>0</v>
      </c>
      <c r="L872" s="39">
        <v>0</v>
      </c>
      <c r="M872" s="39">
        <v>0</v>
      </c>
      <c r="N872" s="39">
        <v>0</v>
      </c>
      <c r="O872" s="39">
        <v>0</v>
      </c>
      <c r="P872" s="39">
        <v>0</v>
      </c>
      <c r="Q872" s="39">
        <v>0</v>
      </c>
      <c r="R872" s="39">
        <v>0</v>
      </c>
      <c r="S872" s="39">
        <v>0</v>
      </c>
      <c r="T872" s="39">
        <v>0</v>
      </c>
      <c r="U872" s="39">
        <v>0</v>
      </c>
      <c r="V872" s="39">
        <v>456</v>
      </c>
      <c r="W872" s="40" t="s">
        <v>7673</v>
      </c>
      <c r="X872" s="39">
        <v>1</v>
      </c>
    </row>
    <row r="873" spans="1:24">
      <c r="A873" s="39">
        <v>867</v>
      </c>
      <c r="B873" s="40" t="s">
        <v>1124</v>
      </c>
      <c r="C873" s="39">
        <v>1</v>
      </c>
      <c r="E873" s="39">
        <v>1</v>
      </c>
      <c r="F873" s="39">
        <v>560</v>
      </c>
      <c r="G873" s="39">
        <v>1</v>
      </c>
      <c r="H873" s="39">
        <v>1</v>
      </c>
      <c r="I873" s="39">
        <v>1</v>
      </c>
      <c r="J873" s="39">
        <v>0</v>
      </c>
      <c r="K873" s="39">
        <v>0</v>
      </c>
      <c r="L873" s="39">
        <v>0</v>
      </c>
      <c r="M873" s="39">
        <v>0</v>
      </c>
      <c r="N873" s="39">
        <v>0</v>
      </c>
      <c r="O873" s="39">
        <v>0</v>
      </c>
      <c r="P873" s="39">
        <v>0</v>
      </c>
      <c r="Q873" s="39">
        <v>0</v>
      </c>
      <c r="R873" s="39">
        <v>0</v>
      </c>
      <c r="S873" s="39">
        <v>0</v>
      </c>
      <c r="T873" s="39">
        <v>0</v>
      </c>
      <c r="U873" s="39">
        <v>0</v>
      </c>
      <c r="V873" s="39">
        <v>458</v>
      </c>
      <c r="W873" s="40" t="s">
        <v>7694</v>
      </c>
      <c r="X873" s="39">
        <v>1</v>
      </c>
    </row>
    <row r="874" spans="1:24">
      <c r="A874" s="39">
        <v>1160</v>
      </c>
      <c r="B874" s="40" t="s">
        <v>1124</v>
      </c>
      <c r="C874" s="39">
        <v>1</v>
      </c>
      <c r="E874" s="39">
        <v>1</v>
      </c>
      <c r="F874" s="39">
        <v>560</v>
      </c>
      <c r="G874" s="39">
        <v>1</v>
      </c>
      <c r="H874" s="39">
        <v>1</v>
      </c>
      <c r="I874" s="39">
        <v>1</v>
      </c>
      <c r="J874" s="39">
        <v>0</v>
      </c>
      <c r="K874" s="39">
        <v>0</v>
      </c>
      <c r="L874" s="39">
        <v>0</v>
      </c>
      <c r="M874" s="39">
        <v>0</v>
      </c>
      <c r="N874" s="39">
        <v>0</v>
      </c>
      <c r="O874" s="39">
        <v>0</v>
      </c>
      <c r="P874" s="39">
        <v>0</v>
      </c>
      <c r="Q874" s="39">
        <v>0</v>
      </c>
      <c r="R874" s="39">
        <v>0</v>
      </c>
      <c r="S874" s="39">
        <v>0</v>
      </c>
      <c r="T874" s="39">
        <v>0</v>
      </c>
      <c r="U874" s="39">
        <v>0</v>
      </c>
      <c r="V874" s="39">
        <v>459</v>
      </c>
      <c r="W874" s="40" t="s">
        <v>7674</v>
      </c>
      <c r="X874" s="39">
        <v>1</v>
      </c>
    </row>
    <row r="875" spans="1:24">
      <c r="A875" s="39">
        <v>615</v>
      </c>
      <c r="B875" s="40" t="s">
        <v>1124</v>
      </c>
      <c r="C875" s="39">
        <v>1</v>
      </c>
      <c r="E875" s="39">
        <v>1</v>
      </c>
      <c r="F875" s="39">
        <v>560</v>
      </c>
      <c r="G875" s="39">
        <v>1</v>
      </c>
      <c r="H875" s="39">
        <v>1</v>
      </c>
      <c r="I875" s="39">
        <v>1</v>
      </c>
      <c r="J875" s="39">
        <v>0</v>
      </c>
      <c r="K875" s="39">
        <v>0</v>
      </c>
      <c r="L875" s="39">
        <v>0</v>
      </c>
      <c r="M875" s="39">
        <v>0</v>
      </c>
      <c r="N875" s="39">
        <v>0</v>
      </c>
      <c r="O875" s="39">
        <v>0</v>
      </c>
      <c r="P875" s="39">
        <v>0</v>
      </c>
      <c r="Q875" s="39">
        <v>0</v>
      </c>
      <c r="R875" s="39">
        <v>0</v>
      </c>
      <c r="S875" s="39">
        <v>0</v>
      </c>
      <c r="T875" s="39">
        <v>0</v>
      </c>
      <c r="U875" s="39">
        <v>0</v>
      </c>
      <c r="V875" s="39">
        <v>468</v>
      </c>
      <c r="W875" s="40" t="s">
        <v>7677</v>
      </c>
      <c r="X875" s="39">
        <v>1</v>
      </c>
    </row>
    <row r="876" spans="1:24">
      <c r="A876" s="39">
        <v>1014</v>
      </c>
      <c r="B876" s="40" t="s">
        <v>1124</v>
      </c>
      <c r="C876" s="39">
        <v>1</v>
      </c>
      <c r="E876" s="39">
        <v>1</v>
      </c>
      <c r="F876" s="39">
        <v>560</v>
      </c>
      <c r="G876" s="39">
        <v>1</v>
      </c>
      <c r="H876" s="39">
        <v>1</v>
      </c>
      <c r="I876" s="39">
        <v>1</v>
      </c>
      <c r="J876" s="39">
        <v>1</v>
      </c>
      <c r="K876" s="39">
        <v>0</v>
      </c>
      <c r="L876" s="39">
        <v>0</v>
      </c>
      <c r="M876" s="39">
        <v>0</v>
      </c>
      <c r="N876" s="39">
        <v>0</v>
      </c>
      <c r="O876" s="39">
        <v>0</v>
      </c>
      <c r="P876" s="39">
        <v>0</v>
      </c>
      <c r="Q876" s="39">
        <v>0</v>
      </c>
      <c r="R876" s="39">
        <v>0</v>
      </c>
      <c r="S876" s="39">
        <v>0</v>
      </c>
      <c r="T876" s="39">
        <v>0</v>
      </c>
      <c r="U876" s="39">
        <v>0</v>
      </c>
      <c r="V876" s="39">
        <v>477</v>
      </c>
      <c r="W876" s="40" t="s">
        <v>7697</v>
      </c>
      <c r="X876" s="39">
        <v>1</v>
      </c>
    </row>
    <row r="877" spans="1:24">
      <c r="A877" s="39">
        <v>251</v>
      </c>
      <c r="B877" s="40" t="s">
        <v>1124</v>
      </c>
      <c r="C877" s="39">
        <v>1</v>
      </c>
      <c r="E877" s="39">
        <v>1</v>
      </c>
      <c r="F877" s="39">
        <v>550</v>
      </c>
      <c r="G877" s="39">
        <v>1</v>
      </c>
      <c r="H877" s="39">
        <v>1</v>
      </c>
      <c r="I877" s="39">
        <v>1</v>
      </c>
      <c r="J877" s="39">
        <v>0</v>
      </c>
      <c r="K877" s="39">
        <v>0</v>
      </c>
      <c r="L877" s="39">
        <v>0</v>
      </c>
      <c r="M877" s="39">
        <v>0</v>
      </c>
      <c r="N877" s="39">
        <v>0</v>
      </c>
      <c r="O877" s="39">
        <v>0</v>
      </c>
      <c r="P877" s="39">
        <v>0</v>
      </c>
      <c r="Q877" s="39">
        <v>0</v>
      </c>
      <c r="R877" s="39">
        <v>0</v>
      </c>
      <c r="S877" s="39">
        <v>0</v>
      </c>
      <c r="T877" s="39">
        <v>0</v>
      </c>
      <c r="U877" s="39">
        <v>0</v>
      </c>
      <c r="V877" s="39">
        <v>590</v>
      </c>
      <c r="W877" s="40" t="s">
        <v>7679</v>
      </c>
      <c r="X877" s="39">
        <v>1</v>
      </c>
    </row>
    <row r="878" spans="1:24">
      <c r="A878" s="39">
        <v>799</v>
      </c>
      <c r="B878" s="40" t="s">
        <v>1124</v>
      </c>
      <c r="C878" s="39">
        <v>1</v>
      </c>
      <c r="E878" s="39">
        <v>1</v>
      </c>
      <c r="F878" s="39">
        <v>560</v>
      </c>
      <c r="G878" s="39">
        <v>1</v>
      </c>
      <c r="H878" s="39">
        <v>1</v>
      </c>
      <c r="I878" s="39">
        <v>1</v>
      </c>
      <c r="J878" s="39">
        <v>0</v>
      </c>
      <c r="K878" s="39">
        <v>0</v>
      </c>
      <c r="L878" s="39">
        <v>0</v>
      </c>
      <c r="M878" s="39">
        <v>0</v>
      </c>
      <c r="N878" s="39">
        <v>0</v>
      </c>
      <c r="O878" s="39">
        <v>0</v>
      </c>
      <c r="P878" s="39">
        <v>0</v>
      </c>
      <c r="Q878" s="39">
        <v>0</v>
      </c>
      <c r="R878" s="39">
        <v>0</v>
      </c>
      <c r="S878" s="39">
        <v>0</v>
      </c>
      <c r="T878" s="39">
        <v>0</v>
      </c>
      <c r="U878" s="39">
        <v>0</v>
      </c>
      <c r="V878" s="39">
        <v>733</v>
      </c>
      <c r="W878" s="40" t="s">
        <v>7680</v>
      </c>
      <c r="X878" s="39">
        <v>1</v>
      </c>
    </row>
    <row r="879" spans="1:24">
      <c r="A879" s="39">
        <v>117</v>
      </c>
      <c r="B879" s="50" t="s">
        <v>4124</v>
      </c>
      <c r="C879" s="39">
        <v>1</v>
      </c>
      <c r="E879" s="39">
        <v>1</v>
      </c>
      <c r="F879" s="39">
        <v>580</v>
      </c>
      <c r="G879" s="39">
        <v>0</v>
      </c>
      <c r="H879" s="39">
        <v>0</v>
      </c>
      <c r="I879" s="39">
        <v>0</v>
      </c>
      <c r="J879" s="39">
        <v>0</v>
      </c>
      <c r="K879" s="39">
        <v>0</v>
      </c>
      <c r="L879" s="39">
        <v>0</v>
      </c>
      <c r="M879" s="39">
        <v>0</v>
      </c>
      <c r="N879" s="39">
        <v>0</v>
      </c>
      <c r="O879" s="39">
        <v>0</v>
      </c>
      <c r="P879" s="39">
        <v>0</v>
      </c>
      <c r="Q879" s="39">
        <v>0</v>
      </c>
      <c r="R879" s="39">
        <v>0</v>
      </c>
      <c r="S879" s="39">
        <v>0</v>
      </c>
      <c r="T879" s="39">
        <v>0</v>
      </c>
      <c r="U879" s="39">
        <v>0</v>
      </c>
      <c r="V879" s="39">
        <v>1</v>
      </c>
      <c r="W879" s="40" t="s">
        <v>518</v>
      </c>
      <c r="X879" s="39">
        <v>1</v>
      </c>
    </row>
    <row r="880" spans="1:24">
      <c r="A880" s="39">
        <v>29</v>
      </c>
      <c r="B880" s="40" t="s">
        <v>4124</v>
      </c>
      <c r="C880" s="39">
        <v>1</v>
      </c>
      <c r="D880" s="40" t="s">
        <v>7853</v>
      </c>
      <c r="E880" s="39">
        <v>1</v>
      </c>
      <c r="F880" s="39">
        <v>10</v>
      </c>
      <c r="G880" s="39">
        <v>0</v>
      </c>
      <c r="H880" s="39">
        <v>0</v>
      </c>
      <c r="I880" s="39">
        <v>0</v>
      </c>
      <c r="J880" s="39">
        <v>0</v>
      </c>
      <c r="K880" s="39">
        <v>0</v>
      </c>
      <c r="L880" s="39">
        <v>0</v>
      </c>
      <c r="M880" s="39">
        <v>0</v>
      </c>
      <c r="N880" s="39">
        <v>0</v>
      </c>
      <c r="O880" s="39">
        <v>0</v>
      </c>
      <c r="P880" s="39">
        <v>0</v>
      </c>
      <c r="Q880" s="39">
        <v>0</v>
      </c>
      <c r="R880" s="39">
        <v>0</v>
      </c>
      <c r="S880" s="39">
        <v>0</v>
      </c>
      <c r="T880" s="39">
        <v>0</v>
      </c>
      <c r="U880" s="39">
        <v>0</v>
      </c>
      <c r="V880" s="39">
        <v>2</v>
      </c>
      <c r="W880" s="40" t="s">
        <v>40</v>
      </c>
      <c r="X880" s="39">
        <v>1</v>
      </c>
    </row>
    <row r="881" spans="1:24">
      <c r="A881" s="39">
        <v>982</v>
      </c>
      <c r="B881" s="40" t="s">
        <v>4124</v>
      </c>
      <c r="C881" s="39">
        <v>1</v>
      </c>
      <c r="E881" s="39">
        <v>1</v>
      </c>
      <c r="F881" s="39">
        <v>580</v>
      </c>
      <c r="G881" s="39">
        <v>1</v>
      </c>
      <c r="H881" s="39">
        <v>1</v>
      </c>
      <c r="I881" s="39">
        <v>1</v>
      </c>
      <c r="J881" s="39">
        <v>0</v>
      </c>
      <c r="K881" s="39">
        <v>0</v>
      </c>
      <c r="L881" s="39">
        <v>0</v>
      </c>
      <c r="M881" s="39">
        <v>0</v>
      </c>
      <c r="N881" s="39">
        <v>0</v>
      </c>
      <c r="O881" s="39">
        <v>0</v>
      </c>
      <c r="P881" s="39">
        <v>0</v>
      </c>
      <c r="Q881" s="39">
        <v>0</v>
      </c>
      <c r="R881" s="39">
        <v>0</v>
      </c>
      <c r="S881" s="39">
        <v>0</v>
      </c>
      <c r="T881" s="39">
        <v>0</v>
      </c>
      <c r="U881" s="39">
        <v>0</v>
      </c>
      <c r="V881" s="39">
        <v>158</v>
      </c>
      <c r="W881" s="40" t="s">
        <v>7667</v>
      </c>
      <c r="X881" s="39">
        <v>1</v>
      </c>
    </row>
    <row r="882" spans="1:24">
      <c r="A882" s="39">
        <v>472</v>
      </c>
      <c r="B882" s="40" t="s">
        <v>4124</v>
      </c>
      <c r="C882" s="39">
        <v>1</v>
      </c>
      <c r="E882" s="39">
        <v>1</v>
      </c>
      <c r="F882" s="39">
        <v>580</v>
      </c>
      <c r="G882" s="39">
        <v>0</v>
      </c>
      <c r="H882" s="39">
        <v>0</v>
      </c>
      <c r="I882" s="39">
        <v>0</v>
      </c>
      <c r="J882" s="39">
        <v>0</v>
      </c>
      <c r="K882" s="39">
        <v>0</v>
      </c>
      <c r="L882" s="39">
        <v>0</v>
      </c>
      <c r="M882" s="39">
        <v>0</v>
      </c>
      <c r="N882" s="39">
        <v>0</v>
      </c>
      <c r="O882" s="39">
        <v>0</v>
      </c>
      <c r="P882" s="39">
        <v>0</v>
      </c>
      <c r="Q882" s="39">
        <v>0</v>
      </c>
      <c r="R882" s="39">
        <v>0</v>
      </c>
      <c r="S882" s="39">
        <v>0</v>
      </c>
      <c r="T882" s="39">
        <v>0</v>
      </c>
      <c r="U882" s="39">
        <v>0</v>
      </c>
      <c r="V882" s="39">
        <v>175</v>
      </c>
      <c r="W882" s="40" t="s">
        <v>7689</v>
      </c>
      <c r="X882" s="39">
        <v>1</v>
      </c>
    </row>
    <row r="883" spans="1:24">
      <c r="A883" s="39">
        <v>362</v>
      </c>
      <c r="B883" s="40" t="s">
        <v>4124</v>
      </c>
      <c r="C883" s="39">
        <v>1</v>
      </c>
      <c r="E883" s="39">
        <v>1</v>
      </c>
      <c r="F883" s="39">
        <v>580</v>
      </c>
      <c r="G883" s="39">
        <v>1</v>
      </c>
      <c r="H883" s="39">
        <v>1</v>
      </c>
      <c r="I883" s="39">
        <v>1</v>
      </c>
      <c r="J883" s="39">
        <v>0</v>
      </c>
      <c r="K883" s="39">
        <v>0</v>
      </c>
      <c r="L883" s="39">
        <v>0</v>
      </c>
      <c r="M883" s="39">
        <v>0</v>
      </c>
      <c r="N883" s="39">
        <v>0</v>
      </c>
      <c r="O883" s="39">
        <v>0</v>
      </c>
      <c r="P883" s="39">
        <v>0</v>
      </c>
      <c r="Q883" s="39">
        <v>0</v>
      </c>
      <c r="R883" s="39">
        <v>0</v>
      </c>
      <c r="S883" s="39">
        <v>0</v>
      </c>
      <c r="T883" s="39">
        <v>0</v>
      </c>
      <c r="U883" s="39">
        <v>0</v>
      </c>
      <c r="V883" s="39">
        <v>228</v>
      </c>
      <c r="W883" s="40" t="s">
        <v>7669</v>
      </c>
      <c r="X883" s="39">
        <v>1</v>
      </c>
    </row>
    <row r="884" spans="1:24">
      <c r="A884" s="39">
        <v>1728</v>
      </c>
      <c r="B884" s="40" t="s">
        <v>4124</v>
      </c>
      <c r="C884" s="39">
        <v>1</v>
      </c>
      <c r="E884" s="39">
        <v>1</v>
      </c>
      <c r="F884" s="39">
        <v>580</v>
      </c>
      <c r="G884" s="39">
        <v>0</v>
      </c>
      <c r="H884" s="39">
        <v>0</v>
      </c>
      <c r="I884" s="39">
        <v>0</v>
      </c>
      <c r="J884" s="39">
        <v>0</v>
      </c>
      <c r="K884" s="39">
        <v>0</v>
      </c>
      <c r="L884" s="39">
        <v>0</v>
      </c>
      <c r="M884" s="39">
        <v>0</v>
      </c>
      <c r="N884" s="39">
        <v>0</v>
      </c>
      <c r="O884" s="39">
        <v>0</v>
      </c>
      <c r="P884" s="39">
        <v>0</v>
      </c>
      <c r="Q884" s="39">
        <v>0</v>
      </c>
      <c r="R884" s="39">
        <v>0</v>
      </c>
      <c r="S884" s="39">
        <v>0</v>
      </c>
      <c r="T884" s="39">
        <v>0</v>
      </c>
      <c r="U884" s="39">
        <v>0</v>
      </c>
      <c r="V884" s="39">
        <v>244</v>
      </c>
      <c r="W884" s="40" t="s">
        <v>682</v>
      </c>
      <c r="X884" s="39">
        <v>1</v>
      </c>
    </row>
    <row r="885" spans="1:24">
      <c r="A885" s="39">
        <v>731</v>
      </c>
      <c r="B885" s="40" t="s">
        <v>4124</v>
      </c>
      <c r="C885" s="39">
        <v>1</v>
      </c>
      <c r="E885" s="39">
        <v>1</v>
      </c>
      <c r="F885" s="39">
        <v>580</v>
      </c>
      <c r="G885" s="39">
        <v>0</v>
      </c>
      <c r="H885" s="39">
        <v>0</v>
      </c>
      <c r="I885" s="39">
        <v>0</v>
      </c>
      <c r="J885" s="39">
        <v>0</v>
      </c>
      <c r="K885" s="39">
        <v>0</v>
      </c>
      <c r="L885" s="39">
        <v>0</v>
      </c>
      <c r="M885" s="39">
        <v>0</v>
      </c>
      <c r="N885" s="39">
        <v>0</v>
      </c>
      <c r="O885" s="39">
        <v>0</v>
      </c>
      <c r="P885" s="39">
        <v>0</v>
      </c>
      <c r="Q885" s="39">
        <v>0</v>
      </c>
      <c r="R885" s="39">
        <v>0</v>
      </c>
      <c r="S885" s="39">
        <v>0</v>
      </c>
      <c r="T885" s="39">
        <v>0</v>
      </c>
      <c r="U885" s="39">
        <v>0</v>
      </c>
      <c r="V885" s="39">
        <v>381</v>
      </c>
      <c r="W885" s="40" t="s">
        <v>7805</v>
      </c>
      <c r="X885" s="39">
        <v>1</v>
      </c>
    </row>
    <row r="886" spans="1:24">
      <c r="A886" s="39">
        <v>1257</v>
      </c>
      <c r="B886" s="40" t="s">
        <v>4124</v>
      </c>
      <c r="C886" s="39">
        <v>1</v>
      </c>
      <c r="E886" s="39">
        <v>1</v>
      </c>
      <c r="F886" s="39">
        <v>580</v>
      </c>
      <c r="G886" s="39">
        <v>1</v>
      </c>
      <c r="H886" s="39">
        <v>1</v>
      </c>
      <c r="I886" s="39">
        <v>1</v>
      </c>
      <c r="J886" s="39">
        <v>1</v>
      </c>
      <c r="K886" s="39">
        <v>0</v>
      </c>
      <c r="L886" s="39">
        <v>0</v>
      </c>
      <c r="M886" s="39">
        <v>0</v>
      </c>
      <c r="N886" s="39">
        <v>0</v>
      </c>
      <c r="O886" s="39">
        <v>0</v>
      </c>
      <c r="P886" s="39">
        <v>0</v>
      </c>
      <c r="Q886" s="39">
        <v>0</v>
      </c>
      <c r="R886" s="39">
        <v>0</v>
      </c>
      <c r="S886" s="39">
        <v>0</v>
      </c>
      <c r="T886" s="39">
        <v>0</v>
      </c>
      <c r="U886" s="39">
        <v>0</v>
      </c>
      <c r="V886" s="39">
        <v>418</v>
      </c>
      <c r="W886" s="40" t="s">
        <v>7671</v>
      </c>
      <c r="X886" s="39">
        <v>1</v>
      </c>
    </row>
    <row r="887" spans="1:24">
      <c r="A887" s="39">
        <v>1389</v>
      </c>
      <c r="B887" s="40" t="s">
        <v>4124</v>
      </c>
      <c r="C887" s="39">
        <v>1</v>
      </c>
      <c r="E887" s="39">
        <v>1</v>
      </c>
      <c r="F887" s="39">
        <v>580</v>
      </c>
      <c r="G887" s="39">
        <v>0</v>
      </c>
      <c r="H887" s="39">
        <v>0</v>
      </c>
      <c r="I887" s="39">
        <v>0</v>
      </c>
      <c r="J887" s="39">
        <v>0</v>
      </c>
      <c r="K887" s="39">
        <v>0</v>
      </c>
      <c r="L887" s="39">
        <v>0</v>
      </c>
      <c r="M887" s="39">
        <v>0</v>
      </c>
      <c r="N887" s="39">
        <v>0</v>
      </c>
      <c r="O887" s="39">
        <v>0</v>
      </c>
      <c r="P887" s="39">
        <v>0</v>
      </c>
      <c r="Q887" s="39">
        <v>0</v>
      </c>
      <c r="R887" s="39">
        <v>0</v>
      </c>
      <c r="S887" s="39">
        <v>0</v>
      </c>
      <c r="T887" s="39">
        <v>0</v>
      </c>
      <c r="U887" s="39">
        <v>0</v>
      </c>
      <c r="V887" s="39">
        <v>456</v>
      </c>
      <c r="W887" s="40" t="s">
        <v>7673</v>
      </c>
      <c r="X887" s="39">
        <v>1</v>
      </c>
    </row>
    <row r="888" spans="1:24">
      <c r="A888" s="39">
        <v>868</v>
      </c>
      <c r="B888" s="40" t="s">
        <v>4124</v>
      </c>
      <c r="C888" s="39">
        <v>1</v>
      </c>
      <c r="E888" s="39">
        <v>1</v>
      </c>
      <c r="F888" s="39">
        <v>580</v>
      </c>
      <c r="G888" s="39">
        <v>1</v>
      </c>
      <c r="H888" s="39">
        <v>1</v>
      </c>
      <c r="I888" s="39">
        <v>1</v>
      </c>
      <c r="J888" s="39">
        <v>0</v>
      </c>
      <c r="K888" s="39">
        <v>0</v>
      </c>
      <c r="L888" s="39">
        <v>0</v>
      </c>
      <c r="M888" s="39">
        <v>0</v>
      </c>
      <c r="N888" s="39">
        <v>0</v>
      </c>
      <c r="O888" s="39">
        <v>0</v>
      </c>
      <c r="P888" s="39">
        <v>0</v>
      </c>
      <c r="Q888" s="39">
        <v>0</v>
      </c>
      <c r="R888" s="39">
        <v>0</v>
      </c>
      <c r="S888" s="39">
        <v>0</v>
      </c>
      <c r="T888" s="39">
        <v>0</v>
      </c>
      <c r="U888" s="39">
        <v>0</v>
      </c>
      <c r="V888" s="39">
        <v>458</v>
      </c>
      <c r="W888" s="40" t="s">
        <v>7694</v>
      </c>
      <c r="X888" s="39">
        <v>1</v>
      </c>
    </row>
    <row r="889" spans="1:24">
      <c r="A889" s="39">
        <v>1161</v>
      </c>
      <c r="B889" s="40" t="s">
        <v>4124</v>
      </c>
      <c r="C889" s="39">
        <v>1</v>
      </c>
      <c r="E889" s="39">
        <v>1</v>
      </c>
      <c r="F889" s="39">
        <v>580</v>
      </c>
      <c r="G889" s="39">
        <v>1</v>
      </c>
      <c r="H889" s="39">
        <v>1</v>
      </c>
      <c r="I889" s="39">
        <v>1</v>
      </c>
      <c r="J889" s="39">
        <v>0</v>
      </c>
      <c r="K889" s="39">
        <v>0</v>
      </c>
      <c r="L889" s="39">
        <v>0</v>
      </c>
      <c r="M889" s="39">
        <v>0</v>
      </c>
      <c r="N889" s="39">
        <v>0</v>
      </c>
      <c r="O889" s="39">
        <v>0</v>
      </c>
      <c r="P889" s="39">
        <v>0</v>
      </c>
      <c r="Q889" s="39">
        <v>0</v>
      </c>
      <c r="R889" s="39">
        <v>0</v>
      </c>
      <c r="S889" s="39">
        <v>0</v>
      </c>
      <c r="T889" s="39">
        <v>0</v>
      </c>
      <c r="U889" s="39">
        <v>0</v>
      </c>
      <c r="V889" s="39">
        <v>459</v>
      </c>
      <c r="W889" s="40" t="s">
        <v>7674</v>
      </c>
      <c r="X889" s="39">
        <v>1</v>
      </c>
    </row>
    <row r="890" spans="1:24">
      <c r="A890" s="39">
        <v>616</v>
      </c>
      <c r="B890" s="40" t="s">
        <v>4124</v>
      </c>
      <c r="C890" s="39">
        <v>1</v>
      </c>
      <c r="E890" s="39">
        <v>1</v>
      </c>
      <c r="F890" s="39">
        <v>580</v>
      </c>
      <c r="G890" s="39">
        <v>1</v>
      </c>
      <c r="H890" s="39">
        <v>1</v>
      </c>
      <c r="I890" s="39">
        <v>1</v>
      </c>
      <c r="J890" s="39">
        <v>0</v>
      </c>
      <c r="K890" s="39">
        <v>0</v>
      </c>
      <c r="L890" s="39">
        <v>0</v>
      </c>
      <c r="M890" s="39">
        <v>0</v>
      </c>
      <c r="N890" s="39">
        <v>0</v>
      </c>
      <c r="O890" s="39">
        <v>0</v>
      </c>
      <c r="P890" s="39">
        <v>0</v>
      </c>
      <c r="Q890" s="39">
        <v>0</v>
      </c>
      <c r="R890" s="39">
        <v>0</v>
      </c>
      <c r="S890" s="39">
        <v>0</v>
      </c>
      <c r="T890" s="39">
        <v>0</v>
      </c>
      <c r="U890" s="39">
        <v>0</v>
      </c>
      <c r="V890" s="39">
        <v>468</v>
      </c>
      <c r="W890" s="40" t="s">
        <v>7677</v>
      </c>
      <c r="X890" s="39">
        <v>1</v>
      </c>
    </row>
    <row r="891" spans="1:24">
      <c r="A891" s="39">
        <v>1064</v>
      </c>
      <c r="B891" s="40" t="s">
        <v>4124</v>
      </c>
      <c r="C891" s="39">
        <v>1</v>
      </c>
      <c r="E891" s="39">
        <v>1</v>
      </c>
      <c r="F891" s="39">
        <v>580</v>
      </c>
      <c r="G891" s="39">
        <v>1</v>
      </c>
      <c r="H891" s="39">
        <v>1</v>
      </c>
      <c r="I891" s="39">
        <v>1</v>
      </c>
      <c r="J891" s="39">
        <v>1</v>
      </c>
      <c r="K891" s="39">
        <v>0</v>
      </c>
      <c r="L891" s="39">
        <v>0</v>
      </c>
      <c r="M891" s="39">
        <v>0</v>
      </c>
      <c r="N891" s="39">
        <v>0</v>
      </c>
      <c r="O891" s="39">
        <v>0</v>
      </c>
      <c r="P891" s="39">
        <v>0</v>
      </c>
      <c r="Q891" s="39">
        <v>0</v>
      </c>
      <c r="R891" s="39">
        <v>0</v>
      </c>
      <c r="S891" s="39">
        <v>0</v>
      </c>
      <c r="T891" s="39">
        <v>0</v>
      </c>
      <c r="U891" s="39">
        <v>0</v>
      </c>
      <c r="V891" s="39">
        <v>477</v>
      </c>
      <c r="W891" s="40" t="s">
        <v>7697</v>
      </c>
      <c r="X891" s="39">
        <v>1</v>
      </c>
    </row>
    <row r="892" spans="1:24">
      <c r="A892" s="39">
        <v>252</v>
      </c>
      <c r="B892" s="40" t="s">
        <v>4124</v>
      </c>
      <c r="C892" s="39">
        <v>1</v>
      </c>
      <c r="E892" s="39">
        <v>1</v>
      </c>
      <c r="F892" s="39">
        <v>580</v>
      </c>
      <c r="G892" s="39">
        <v>1</v>
      </c>
      <c r="H892" s="39">
        <v>1</v>
      </c>
      <c r="I892" s="39">
        <v>1</v>
      </c>
      <c r="J892" s="39">
        <v>0</v>
      </c>
      <c r="K892" s="39">
        <v>0</v>
      </c>
      <c r="L892" s="39">
        <v>0</v>
      </c>
      <c r="M892" s="39">
        <v>0</v>
      </c>
      <c r="N892" s="39">
        <v>0</v>
      </c>
      <c r="O892" s="39">
        <v>0</v>
      </c>
      <c r="P892" s="39">
        <v>0</v>
      </c>
      <c r="Q892" s="39">
        <v>0</v>
      </c>
      <c r="R892" s="39">
        <v>0</v>
      </c>
      <c r="S892" s="39">
        <v>0</v>
      </c>
      <c r="T892" s="39">
        <v>0</v>
      </c>
      <c r="U892" s="39">
        <v>0</v>
      </c>
      <c r="V892" s="39">
        <v>590</v>
      </c>
      <c r="W892" s="40" t="s">
        <v>7679</v>
      </c>
      <c r="X892" s="39">
        <v>1</v>
      </c>
    </row>
    <row r="893" spans="1:24">
      <c r="A893" s="39">
        <v>1291</v>
      </c>
      <c r="B893" s="40" t="s">
        <v>4124</v>
      </c>
      <c r="C893" s="39">
        <v>1</v>
      </c>
      <c r="E893" s="39">
        <v>1</v>
      </c>
      <c r="F893" s="39">
        <v>580</v>
      </c>
      <c r="G893" s="39">
        <v>1</v>
      </c>
      <c r="H893" s="39">
        <v>1</v>
      </c>
      <c r="I893" s="39">
        <v>1</v>
      </c>
      <c r="J893" s="39">
        <v>0</v>
      </c>
      <c r="K893" s="39">
        <v>0</v>
      </c>
      <c r="L893" s="39">
        <v>0</v>
      </c>
      <c r="M893" s="39">
        <v>0</v>
      </c>
      <c r="N893" s="39">
        <v>0</v>
      </c>
      <c r="O893" s="39">
        <v>0</v>
      </c>
      <c r="P893" s="39">
        <v>0</v>
      </c>
      <c r="Q893" s="39">
        <v>0</v>
      </c>
      <c r="R893" s="39">
        <v>0</v>
      </c>
      <c r="S893" s="39">
        <v>0</v>
      </c>
      <c r="T893" s="39">
        <v>0</v>
      </c>
      <c r="U893" s="39">
        <v>0</v>
      </c>
      <c r="V893" s="39">
        <v>733</v>
      </c>
      <c r="W893" s="40" t="s">
        <v>7680</v>
      </c>
      <c r="X893" s="39">
        <v>1</v>
      </c>
    </row>
    <row r="894" spans="1:24">
      <c r="A894" s="39">
        <v>118</v>
      </c>
      <c r="B894" s="50" t="s">
        <v>7688</v>
      </c>
      <c r="C894" s="39">
        <v>1</v>
      </c>
      <c r="E894" s="39">
        <v>1</v>
      </c>
      <c r="F894" s="39">
        <v>600</v>
      </c>
      <c r="G894" s="39">
        <v>0</v>
      </c>
      <c r="H894" s="39">
        <v>0</v>
      </c>
      <c r="I894" s="39">
        <v>0</v>
      </c>
      <c r="J894" s="39">
        <v>0</v>
      </c>
      <c r="K894" s="39">
        <v>0</v>
      </c>
      <c r="L894" s="39">
        <v>0</v>
      </c>
      <c r="M894" s="39">
        <v>0</v>
      </c>
      <c r="N894" s="39">
        <v>0</v>
      </c>
      <c r="O894" s="39">
        <v>0</v>
      </c>
      <c r="P894" s="39">
        <v>0</v>
      </c>
      <c r="Q894" s="39">
        <v>0</v>
      </c>
      <c r="R894" s="39">
        <v>0</v>
      </c>
      <c r="S894" s="39">
        <v>0</v>
      </c>
      <c r="T894" s="39">
        <v>0</v>
      </c>
      <c r="U894" s="39">
        <v>0</v>
      </c>
      <c r="V894" s="39">
        <v>1</v>
      </c>
      <c r="W894" s="40" t="s">
        <v>518</v>
      </c>
      <c r="X894" s="39">
        <v>1</v>
      </c>
    </row>
    <row r="895" spans="1:24">
      <c r="A895" s="39">
        <v>30</v>
      </c>
      <c r="B895" s="40" t="s">
        <v>7688</v>
      </c>
      <c r="C895" s="39">
        <v>1</v>
      </c>
      <c r="D895" s="40" t="s">
        <v>7854</v>
      </c>
      <c r="E895" s="39">
        <v>1</v>
      </c>
      <c r="F895" s="39">
        <v>10</v>
      </c>
      <c r="G895" s="39">
        <v>0</v>
      </c>
      <c r="H895" s="39">
        <v>0</v>
      </c>
      <c r="I895" s="39">
        <v>0</v>
      </c>
      <c r="J895" s="39">
        <v>0</v>
      </c>
      <c r="K895" s="39">
        <v>0</v>
      </c>
      <c r="L895" s="39">
        <v>0</v>
      </c>
      <c r="M895" s="39">
        <v>0</v>
      </c>
      <c r="N895" s="39">
        <v>0</v>
      </c>
      <c r="O895" s="39">
        <v>0</v>
      </c>
      <c r="P895" s="39">
        <v>0</v>
      </c>
      <c r="Q895" s="39">
        <v>0</v>
      </c>
      <c r="R895" s="39">
        <v>0</v>
      </c>
      <c r="S895" s="39">
        <v>0</v>
      </c>
      <c r="T895" s="39">
        <v>0</v>
      </c>
      <c r="U895" s="39">
        <v>0</v>
      </c>
      <c r="V895" s="39">
        <v>2</v>
      </c>
      <c r="W895" s="40" t="s">
        <v>40</v>
      </c>
      <c r="X895" s="39">
        <v>1</v>
      </c>
    </row>
    <row r="896" spans="1:24">
      <c r="A896" s="39">
        <v>983</v>
      </c>
      <c r="B896" s="40" t="s">
        <v>7688</v>
      </c>
      <c r="C896" s="39">
        <v>1</v>
      </c>
      <c r="E896" s="39">
        <v>1</v>
      </c>
      <c r="F896" s="39">
        <v>600</v>
      </c>
      <c r="G896" s="39">
        <v>1</v>
      </c>
      <c r="H896" s="39">
        <v>1</v>
      </c>
      <c r="I896" s="39">
        <v>1</v>
      </c>
      <c r="J896" s="39">
        <v>0</v>
      </c>
      <c r="K896" s="39">
        <v>0</v>
      </c>
      <c r="L896" s="39">
        <v>0</v>
      </c>
      <c r="M896" s="39">
        <v>0</v>
      </c>
      <c r="N896" s="39">
        <v>0</v>
      </c>
      <c r="O896" s="39">
        <v>0</v>
      </c>
      <c r="P896" s="39">
        <v>0</v>
      </c>
      <c r="Q896" s="39">
        <v>0</v>
      </c>
      <c r="R896" s="39">
        <v>0</v>
      </c>
      <c r="S896" s="39">
        <v>0</v>
      </c>
      <c r="T896" s="39">
        <v>0</v>
      </c>
      <c r="U896" s="39">
        <v>0</v>
      </c>
      <c r="V896" s="39">
        <v>158</v>
      </c>
      <c r="W896" s="40" t="s">
        <v>7667</v>
      </c>
      <c r="X896" s="39">
        <v>1</v>
      </c>
    </row>
    <row r="897" spans="1:24">
      <c r="A897" s="39">
        <v>473</v>
      </c>
      <c r="B897" s="40" t="s">
        <v>7688</v>
      </c>
      <c r="C897" s="39">
        <v>1</v>
      </c>
      <c r="E897" s="39">
        <v>1</v>
      </c>
      <c r="F897" s="39">
        <v>600</v>
      </c>
      <c r="G897" s="39">
        <v>0</v>
      </c>
      <c r="H897" s="39">
        <v>0</v>
      </c>
      <c r="I897" s="39">
        <v>0</v>
      </c>
      <c r="J897" s="39">
        <v>0</v>
      </c>
      <c r="K897" s="39">
        <v>0</v>
      </c>
      <c r="L897" s="39">
        <v>0</v>
      </c>
      <c r="M897" s="39">
        <v>0</v>
      </c>
      <c r="N897" s="39">
        <v>0</v>
      </c>
      <c r="O897" s="39">
        <v>0</v>
      </c>
      <c r="P897" s="39">
        <v>0</v>
      </c>
      <c r="Q897" s="39">
        <v>0</v>
      </c>
      <c r="R897" s="39">
        <v>0</v>
      </c>
      <c r="S897" s="39">
        <v>0</v>
      </c>
      <c r="T897" s="39">
        <v>0</v>
      </c>
      <c r="U897" s="39">
        <v>0</v>
      </c>
      <c r="V897" s="39">
        <v>175</v>
      </c>
      <c r="W897" s="40" t="s">
        <v>7689</v>
      </c>
      <c r="X897" s="39">
        <v>1</v>
      </c>
    </row>
    <row r="898" spans="1:24">
      <c r="A898" s="39">
        <v>363</v>
      </c>
      <c r="B898" s="40" t="s">
        <v>7688</v>
      </c>
      <c r="C898" s="39">
        <v>1</v>
      </c>
      <c r="E898" s="39">
        <v>1</v>
      </c>
      <c r="F898" s="39">
        <v>600</v>
      </c>
      <c r="G898" s="39">
        <v>1</v>
      </c>
      <c r="H898" s="39">
        <v>1</v>
      </c>
      <c r="I898" s="39">
        <v>1</v>
      </c>
      <c r="J898" s="39">
        <v>0</v>
      </c>
      <c r="K898" s="39">
        <v>0</v>
      </c>
      <c r="L898" s="39">
        <v>0</v>
      </c>
      <c r="M898" s="39">
        <v>0</v>
      </c>
      <c r="N898" s="39">
        <v>0</v>
      </c>
      <c r="O898" s="39">
        <v>0</v>
      </c>
      <c r="P898" s="39">
        <v>0</v>
      </c>
      <c r="Q898" s="39">
        <v>0</v>
      </c>
      <c r="R898" s="39">
        <v>0</v>
      </c>
      <c r="S898" s="39">
        <v>0</v>
      </c>
      <c r="T898" s="39">
        <v>0</v>
      </c>
      <c r="U898" s="39">
        <v>0</v>
      </c>
      <c r="V898" s="39">
        <v>228</v>
      </c>
      <c r="W898" s="40" t="s">
        <v>7669</v>
      </c>
      <c r="X898" s="39">
        <v>1</v>
      </c>
    </row>
    <row r="899" spans="1:24">
      <c r="A899" s="39">
        <v>1729</v>
      </c>
      <c r="B899" s="40" t="s">
        <v>7688</v>
      </c>
      <c r="C899" s="39">
        <v>1</v>
      </c>
      <c r="E899" s="39">
        <v>1</v>
      </c>
      <c r="F899" s="39">
        <v>600</v>
      </c>
      <c r="G899" s="39">
        <v>0</v>
      </c>
      <c r="H899" s="39">
        <v>0</v>
      </c>
      <c r="I899" s="39">
        <v>0</v>
      </c>
      <c r="J899" s="39">
        <v>0</v>
      </c>
      <c r="K899" s="39">
        <v>0</v>
      </c>
      <c r="L899" s="39">
        <v>0</v>
      </c>
      <c r="M899" s="39">
        <v>0</v>
      </c>
      <c r="N899" s="39">
        <v>0</v>
      </c>
      <c r="O899" s="39">
        <v>0</v>
      </c>
      <c r="P899" s="39">
        <v>0</v>
      </c>
      <c r="Q899" s="39">
        <v>0</v>
      </c>
      <c r="R899" s="39">
        <v>0</v>
      </c>
      <c r="S899" s="39">
        <v>0</v>
      </c>
      <c r="T899" s="39">
        <v>0</v>
      </c>
      <c r="U899" s="39">
        <v>0</v>
      </c>
      <c r="V899" s="39">
        <v>244</v>
      </c>
      <c r="W899" s="40" t="s">
        <v>682</v>
      </c>
      <c r="X899" s="39">
        <v>1</v>
      </c>
    </row>
    <row r="900" spans="1:24">
      <c r="A900" s="39">
        <v>732</v>
      </c>
      <c r="B900" s="40" t="s">
        <v>7688</v>
      </c>
      <c r="C900" s="39">
        <v>1</v>
      </c>
      <c r="E900" s="39">
        <v>1</v>
      </c>
      <c r="F900" s="39">
        <v>600</v>
      </c>
      <c r="G900" s="39">
        <v>0</v>
      </c>
      <c r="H900" s="39">
        <v>0</v>
      </c>
      <c r="I900" s="39">
        <v>0</v>
      </c>
      <c r="J900" s="39">
        <v>0</v>
      </c>
      <c r="K900" s="39">
        <v>0</v>
      </c>
      <c r="L900" s="39">
        <v>0</v>
      </c>
      <c r="M900" s="39">
        <v>0</v>
      </c>
      <c r="N900" s="39">
        <v>0</v>
      </c>
      <c r="O900" s="39">
        <v>0</v>
      </c>
      <c r="P900" s="39">
        <v>0</v>
      </c>
      <c r="Q900" s="39">
        <v>0</v>
      </c>
      <c r="R900" s="39">
        <v>0</v>
      </c>
      <c r="S900" s="39">
        <v>0</v>
      </c>
      <c r="T900" s="39">
        <v>0</v>
      </c>
      <c r="U900" s="39">
        <v>0</v>
      </c>
      <c r="V900" s="39">
        <v>381</v>
      </c>
      <c r="W900" s="40" t="s">
        <v>7805</v>
      </c>
      <c r="X900" s="39">
        <v>1</v>
      </c>
    </row>
    <row r="901" spans="1:24">
      <c r="A901" s="39">
        <v>1258</v>
      </c>
      <c r="B901" s="40" t="s">
        <v>7688</v>
      </c>
      <c r="C901" s="39">
        <v>1</v>
      </c>
      <c r="E901" s="39">
        <v>1</v>
      </c>
      <c r="F901" s="39">
        <v>600</v>
      </c>
      <c r="G901" s="39">
        <v>1</v>
      </c>
      <c r="H901" s="39">
        <v>1</v>
      </c>
      <c r="I901" s="39">
        <v>1</v>
      </c>
      <c r="J901" s="39">
        <v>1</v>
      </c>
      <c r="K901" s="39">
        <v>0</v>
      </c>
      <c r="L901" s="39">
        <v>0</v>
      </c>
      <c r="M901" s="39">
        <v>0</v>
      </c>
      <c r="N901" s="39">
        <v>0</v>
      </c>
      <c r="O901" s="39">
        <v>0</v>
      </c>
      <c r="P901" s="39">
        <v>0</v>
      </c>
      <c r="Q901" s="39">
        <v>0</v>
      </c>
      <c r="R901" s="39">
        <v>0</v>
      </c>
      <c r="S901" s="39">
        <v>0</v>
      </c>
      <c r="T901" s="39">
        <v>0</v>
      </c>
      <c r="U901" s="39">
        <v>0</v>
      </c>
      <c r="V901" s="39">
        <v>418</v>
      </c>
      <c r="W901" s="40" t="s">
        <v>7671</v>
      </c>
      <c r="X901" s="39">
        <v>1</v>
      </c>
    </row>
    <row r="902" spans="1:24">
      <c r="A902" s="39">
        <v>1390</v>
      </c>
      <c r="B902" s="40" t="s">
        <v>7688</v>
      </c>
      <c r="C902" s="39">
        <v>1</v>
      </c>
      <c r="E902" s="39">
        <v>1</v>
      </c>
      <c r="F902" s="39">
        <v>600</v>
      </c>
      <c r="G902" s="39">
        <v>0</v>
      </c>
      <c r="H902" s="39">
        <v>0</v>
      </c>
      <c r="I902" s="39">
        <v>0</v>
      </c>
      <c r="J902" s="39">
        <v>0</v>
      </c>
      <c r="K902" s="39">
        <v>0</v>
      </c>
      <c r="L902" s="39">
        <v>0</v>
      </c>
      <c r="M902" s="39">
        <v>0</v>
      </c>
      <c r="N902" s="39">
        <v>0</v>
      </c>
      <c r="O902" s="39">
        <v>0</v>
      </c>
      <c r="P902" s="39">
        <v>0</v>
      </c>
      <c r="Q902" s="39">
        <v>0</v>
      </c>
      <c r="R902" s="39">
        <v>0</v>
      </c>
      <c r="S902" s="39">
        <v>0</v>
      </c>
      <c r="T902" s="39">
        <v>0</v>
      </c>
      <c r="U902" s="39">
        <v>0</v>
      </c>
      <c r="V902" s="39">
        <v>456</v>
      </c>
      <c r="W902" s="40" t="s">
        <v>7673</v>
      </c>
      <c r="X902" s="39">
        <v>1</v>
      </c>
    </row>
    <row r="903" spans="1:24">
      <c r="A903" s="39">
        <v>869</v>
      </c>
      <c r="B903" s="40" t="s">
        <v>7688</v>
      </c>
      <c r="C903" s="39">
        <v>1</v>
      </c>
      <c r="E903" s="39">
        <v>1</v>
      </c>
      <c r="F903" s="39">
        <v>600</v>
      </c>
      <c r="G903" s="39">
        <v>1</v>
      </c>
      <c r="H903" s="39">
        <v>1</v>
      </c>
      <c r="I903" s="39">
        <v>1</v>
      </c>
      <c r="J903" s="39">
        <v>0</v>
      </c>
      <c r="K903" s="39">
        <v>0</v>
      </c>
      <c r="L903" s="39">
        <v>0</v>
      </c>
      <c r="M903" s="39">
        <v>0</v>
      </c>
      <c r="N903" s="39">
        <v>0</v>
      </c>
      <c r="O903" s="39">
        <v>0</v>
      </c>
      <c r="P903" s="39">
        <v>0</v>
      </c>
      <c r="Q903" s="39">
        <v>0</v>
      </c>
      <c r="R903" s="39">
        <v>0</v>
      </c>
      <c r="S903" s="39">
        <v>0</v>
      </c>
      <c r="T903" s="39">
        <v>0</v>
      </c>
      <c r="U903" s="39">
        <v>0</v>
      </c>
      <c r="V903" s="39">
        <v>458</v>
      </c>
      <c r="W903" s="40" t="s">
        <v>7694</v>
      </c>
      <c r="X903" s="39">
        <v>1</v>
      </c>
    </row>
    <row r="904" spans="1:24">
      <c r="A904" s="39">
        <v>1162</v>
      </c>
      <c r="B904" s="40" t="s">
        <v>7688</v>
      </c>
      <c r="C904" s="39">
        <v>1</v>
      </c>
      <c r="E904" s="39">
        <v>1</v>
      </c>
      <c r="F904" s="39">
        <v>600</v>
      </c>
      <c r="G904" s="39">
        <v>1</v>
      </c>
      <c r="H904" s="39">
        <v>1</v>
      </c>
      <c r="I904" s="39">
        <v>1</v>
      </c>
      <c r="J904" s="39">
        <v>0</v>
      </c>
      <c r="K904" s="39">
        <v>0</v>
      </c>
      <c r="L904" s="39">
        <v>0</v>
      </c>
      <c r="M904" s="39">
        <v>0</v>
      </c>
      <c r="N904" s="39">
        <v>0</v>
      </c>
      <c r="O904" s="39">
        <v>0</v>
      </c>
      <c r="P904" s="39">
        <v>0</v>
      </c>
      <c r="Q904" s="39">
        <v>0</v>
      </c>
      <c r="R904" s="39">
        <v>0</v>
      </c>
      <c r="S904" s="39">
        <v>0</v>
      </c>
      <c r="T904" s="39">
        <v>0</v>
      </c>
      <c r="U904" s="39">
        <v>0</v>
      </c>
      <c r="V904" s="39">
        <v>459</v>
      </c>
      <c r="W904" s="40" t="s">
        <v>7674</v>
      </c>
      <c r="X904" s="39">
        <v>1</v>
      </c>
    </row>
    <row r="905" spans="1:24">
      <c r="A905" s="39">
        <v>617</v>
      </c>
      <c r="B905" s="40" t="s">
        <v>7688</v>
      </c>
      <c r="C905" s="39">
        <v>1</v>
      </c>
      <c r="E905" s="39">
        <v>1</v>
      </c>
      <c r="F905" s="39">
        <v>600</v>
      </c>
      <c r="G905" s="39">
        <v>1</v>
      </c>
      <c r="H905" s="39">
        <v>1</v>
      </c>
      <c r="I905" s="39">
        <v>1</v>
      </c>
      <c r="J905" s="39">
        <v>0</v>
      </c>
      <c r="K905" s="39">
        <v>0</v>
      </c>
      <c r="L905" s="39">
        <v>0</v>
      </c>
      <c r="M905" s="39">
        <v>0</v>
      </c>
      <c r="N905" s="39">
        <v>0</v>
      </c>
      <c r="O905" s="39">
        <v>0</v>
      </c>
      <c r="P905" s="39">
        <v>0</v>
      </c>
      <c r="Q905" s="39">
        <v>0</v>
      </c>
      <c r="R905" s="39">
        <v>0</v>
      </c>
      <c r="S905" s="39">
        <v>0</v>
      </c>
      <c r="T905" s="39">
        <v>0</v>
      </c>
      <c r="U905" s="39">
        <v>0</v>
      </c>
      <c r="V905" s="39">
        <v>468</v>
      </c>
      <c r="W905" s="40" t="s">
        <v>7677</v>
      </c>
      <c r="X905" s="39">
        <v>1</v>
      </c>
    </row>
    <row r="906" spans="1:24">
      <c r="A906" s="39">
        <v>1065</v>
      </c>
      <c r="B906" s="40" t="s">
        <v>7688</v>
      </c>
      <c r="C906" s="39">
        <v>1</v>
      </c>
      <c r="E906" s="39">
        <v>1</v>
      </c>
      <c r="F906" s="39">
        <v>600</v>
      </c>
      <c r="G906" s="39">
        <v>1</v>
      </c>
      <c r="H906" s="39">
        <v>1</v>
      </c>
      <c r="I906" s="39">
        <v>1</v>
      </c>
      <c r="J906" s="39">
        <v>1</v>
      </c>
      <c r="K906" s="39">
        <v>0</v>
      </c>
      <c r="L906" s="39">
        <v>0</v>
      </c>
      <c r="M906" s="39">
        <v>0</v>
      </c>
      <c r="N906" s="39">
        <v>0</v>
      </c>
      <c r="O906" s="39">
        <v>0</v>
      </c>
      <c r="P906" s="39">
        <v>0</v>
      </c>
      <c r="Q906" s="39">
        <v>0</v>
      </c>
      <c r="R906" s="39">
        <v>0</v>
      </c>
      <c r="S906" s="39">
        <v>0</v>
      </c>
      <c r="T906" s="39">
        <v>0</v>
      </c>
      <c r="U906" s="39">
        <v>0</v>
      </c>
      <c r="V906" s="39">
        <v>477</v>
      </c>
      <c r="W906" s="40" t="s">
        <v>7697</v>
      </c>
      <c r="X906" s="39">
        <v>1</v>
      </c>
    </row>
    <row r="907" spans="1:24">
      <c r="A907" s="39">
        <v>253</v>
      </c>
      <c r="B907" s="40" t="s">
        <v>7688</v>
      </c>
      <c r="C907" s="39">
        <v>1</v>
      </c>
      <c r="E907" s="39">
        <v>1</v>
      </c>
      <c r="F907" s="39">
        <v>600</v>
      </c>
      <c r="G907" s="39">
        <v>1</v>
      </c>
      <c r="H907" s="39">
        <v>1</v>
      </c>
      <c r="I907" s="39">
        <v>1</v>
      </c>
      <c r="J907" s="39">
        <v>0</v>
      </c>
      <c r="K907" s="39">
        <v>0</v>
      </c>
      <c r="L907" s="39">
        <v>0</v>
      </c>
      <c r="M907" s="39">
        <v>0</v>
      </c>
      <c r="N907" s="39">
        <v>0</v>
      </c>
      <c r="O907" s="39">
        <v>0</v>
      </c>
      <c r="P907" s="39">
        <v>0</v>
      </c>
      <c r="Q907" s="39">
        <v>0</v>
      </c>
      <c r="R907" s="39">
        <v>0</v>
      </c>
      <c r="S907" s="39">
        <v>0</v>
      </c>
      <c r="T907" s="39">
        <v>0</v>
      </c>
      <c r="U907" s="39">
        <v>0</v>
      </c>
      <c r="V907" s="39">
        <v>590</v>
      </c>
      <c r="W907" s="40" t="s">
        <v>7679</v>
      </c>
      <c r="X907" s="39">
        <v>1</v>
      </c>
    </row>
    <row r="908" spans="1:24">
      <c r="A908" s="39">
        <v>801</v>
      </c>
      <c r="B908" s="40" t="s">
        <v>7688</v>
      </c>
      <c r="C908" s="39">
        <v>1</v>
      </c>
      <c r="E908" s="39">
        <v>1</v>
      </c>
      <c r="F908" s="39">
        <v>600</v>
      </c>
      <c r="G908" s="39">
        <v>1</v>
      </c>
      <c r="H908" s="39">
        <v>1</v>
      </c>
      <c r="I908" s="39">
        <v>1</v>
      </c>
      <c r="J908" s="39">
        <v>0</v>
      </c>
      <c r="K908" s="39">
        <v>0</v>
      </c>
      <c r="L908" s="39">
        <v>0</v>
      </c>
      <c r="M908" s="39">
        <v>0</v>
      </c>
      <c r="N908" s="39">
        <v>0</v>
      </c>
      <c r="O908" s="39">
        <v>0</v>
      </c>
      <c r="P908" s="39">
        <v>0</v>
      </c>
      <c r="Q908" s="39">
        <v>0</v>
      </c>
      <c r="R908" s="39">
        <v>0</v>
      </c>
      <c r="S908" s="39">
        <v>0</v>
      </c>
      <c r="T908" s="39">
        <v>0</v>
      </c>
      <c r="U908" s="39">
        <v>0</v>
      </c>
      <c r="V908" s="39">
        <v>733</v>
      </c>
      <c r="W908" s="40" t="s">
        <v>7680</v>
      </c>
      <c r="X908" s="39">
        <v>1</v>
      </c>
    </row>
    <row r="909" spans="1:24">
      <c r="A909" s="39">
        <v>119</v>
      </c>
      <c r="B909" s="50" t="s">
        <v>7690</v>
      </c>
      <c r="C909" s="39">
        <v>1</v>
      </c>
      <c r="E909" s="39">
        <v>1</v>
      </c>
      <c r="F909" s="39">
        <v>620</v>
      </c>
      <c r="G909" s="39">
        <v>0</v>
      </c>
      <c r="H909" s="39">
        <v>0</v>
      </c>
      <c r="I909" s="39">
        <v>0</v>
      </c>
      <c r="J909" s="39">
        <v>0</v>
      </c>
      <c r="K909" s="39">
        <v>0</v>
      </c>
      <c r="L909" s="39">
        <v>0</v>
      </c>
      <c r="M909" s="39">
        <v>0</v>
      </c>
      <c r="N909" s="39">
        <v>0</v>
      </c>
      <c r="O909" s="39">
        <v>0</v>
      </c>
      <c r="P909" s="39">
        <v>0</v>
      </c>
      <c r="Q909" s="39">
        <v>0</v>
      </c>
      <c r="R909" s="39">
        <v>0</v>
      </c>
      <c r="S909" s="39">
        <v>0</v>
      </c>
      <c r="T909" s="39">
        <v>0</v>
      </c>
      <c r="U909" s="39">
        <v>0</v>
      </c>
      <c r="V909" s="39">
        <v>1</v>
      </c>
      <c r="W909" s="40" t="s">
        <v>518</v>
      </c>
      <c r="X909" s="39">
        <v>1</v>
      </c>
    </row>
    <row r="910" spans="1:24">
      <c r="A910" s="39">
        <v>31</v>
      </c>
      <c r="B910" s="40" t="s">
        <v>7690</v>
      </c>
      <c r="C910" s="39">
        <v>1</v>
      </c>
      <c r="D910" s="40" t="s">
        <v>7855</v>
      </c>
      <c r="E910" s="39">
        <v>1</v>
      </c>
      <c r="F910" s="39">
        <v>10</v>
      </c>
      <c r="G910" s="39">
        <v>0</v>
      </c>
      <c r="H910" s="39">
        <v>0</v>
      </c>
      <c r="I910" s="39">
        <v>0</v>
      </c>
      <c r="J910" s="39">
        <v>0</v>
      </c>
      <c r="K910" s="39">
        <v>0</v>
      </c>
      <c r="L910" s="39">
        <v>0</v>
      </c>
      <c r="M910" s="39">
        <v>0</v>
      </c>
      <c r="N910" s="39">
        <v>0</v>
      </c>
      <c r="O910" s="39">
        <v>0</v>
      </c>
      <c r="P910" s="39">
        <v>0</v>
      </c>
      <c r="Q910" s="39">
        <v>0</v>
      </c>
      <c r="R910" s="39">
        <v>0</v>
      </c>
      <c r="S910" s="39">
        <v>0</v>
      </c>
      <c r="T910" s="39">
        <v>0</v>
      </c>
      <c r="U910" s="39">
        <v>0</v>
      </c>
      <c r="V910" s="39">
        <v>2</v>
      </c>
      <c r="W910" s="40" t="s">
        <v>40</v>
      </c>
      <c r="X910" s="39">
        <v>1</v>
      </c>
    </row>
    <row r="911" spans="1:24">
      <c r="A911" s="39">
        <v>984</v>
      </c>
      <c r="B911" s="40" t="s">
        <v>7690</v>
      </c>
      <c r="C911" s="39">
        <v>1</v>
      </c>
      <c r="E911" s="39">
        <v>1</v>
      </c>
      <c r="F911" s="39">
        <v>620</v>
      </c>
      <c r="G911" s="39">
        <v>1</v>
      </c>
      <c r="H911" s="39">
        <v>1</v>
      </c>
      <c r="I911" s="39">
        <v>1</v>
      </c>
      <c r="J911" s="39">
        <v>0</v>
      </c>
      <c r="K911" s="39">
        <v>0</v>
      </c>
      <c r="L911" s="39">
        <v>0</v>
      </c>
      <c r="M911" s="39">
        <v>0</v>
      </c>
      <c r="N911" s="39">
        <v>0</v>
      </c>
      <c r="O911" s="39">
        <v>0</v>
      </c>
      <c r="P911" s="39">
        <v>0</v>
      </c>
      <c r="Q911" s="39">
        <v>0</v>
      </c>
      <c r="R911" s="39">
        <v>0</v>
      </c>
      <c r="S911" s="39">
        <v>0</v>
      </c>
      <c r="T911" s="39">
        <v>0</v>
      </c>
      <c r="U911" s="39">
        <v>0</v>
      </c>
      <c r="V911" s="39">
        <v>158</v>
      </c>
      <c r="W911" s="40" t="s">
        <v>7667</v>
      </c>
      <c r="X911" s="39">
        <v>1</v>
      </c>
    </row>
    <row r="912" spans="1:24">
      <c r="A912" s="39">
        <v>474</v>
      </c>
      <c r="B912" s="40" t="s">
        <v>7690</v>
      </c>
      <c r="C912" s="39">
        <v>1</v>
      </c>
      <c r="E912" s="39">
        <v>1</v>
      </c>
      <c r="F912" s="39">
        <v>620</v>
      </c>
      <c r="G912" s="39">
        <v>0</v>
      </c>
      <c r="H912" s="39">
        <v>0</v>
      </c>
      <c r="I912" s="39">
        <v>0</v>
      </c>
      <c r="J912" s="39">
        <v>0</v>
      </c>
      <c r="K912" s="39">
        <v>0</v>
      </c>
      <c r="L912" s="39">
        <v>0</v>
      </c>
      <c r="M912" s="39">
        <v>0</v>
      </c>
      <c r="N912" s="39">
        <v>0</v>
      </c>
      <c r="O912" s="39">
        <v>0</v>
      </c>
      <c r="P912" s="39">
        <v>0</v>
      </c>
      <c r="Q912" s="39">
        <v>0</v>
      </c>
      <c r="R912" s="39">
        <v>0</v>
      </c>
      <c r="S912" s="39">
        <v>0</v>
      </c>
      <c r="T912" s="39">
        <v>0</v>
      </c>
      <c r="U912" s="39">
        <v>0</v>
      </c>
      <c r="V912" s="39">
        <v>175</v>
      </c>
      <c r="W912" s="40" t="s">
        <v>7689</v>
      </c>
      <c r="X912" s="39">
        <v>1</v>
      </c>
    </row>
    <row r="913" spans="1:24">
      <c r="A913" s="39">
        <v>364</v>
      </c>
      <c r="B913" s="40" t="s">
        <v>7690</v>
      </c>
      <c r="C913" s="39">
        <v>1</v>
      </c>
      <c r="E913" s="39">
        <v>1</v>
      </c>
      <c r="F913" s="39">
        <v>620</v>
      </c>
      <c r="G913" s="39">
        <v>1</v>
      </c>
      <c r="H913" s="39">
        <v>1</v>
      </c>
      <c r="I913" s="39">
        <v>1</v>
      </c>
      <c r="J913" s="39">
        <v>0</v>
      </c>
      <c r="K913" s="39">
        <v>0</v>
      </c>
      <c r="L913" s="39">
        <v>0</v>
      </c>
      <c r="M913" s="39">
        <v>0</v>
      </c>
      <c r="N913" s="39">
        <v>0</v>
      </c>
      <c r="O913" s="39">
        <v>0</v>
      </c>
      <c r="P913" s="39">
        <v>0</v>
      </c>
      <c r="Q913" s="39">
        <v>0</v>
      </c>
      <c r="R913" s="39">
        <v>0</v>
      </c>
      <c r="S913" s="39">
        <v>0</v>
      </c>
      <c r="T913" s="39">
        <v>0</v>
      </c>
      <c r="U913" s="39">
        <v>0</v>
      </c>
      <c r="V913" s="39">
        <v>228</v>
      </c>
      <c r="W913" s="40" t="s">
        <v>7669</v>
      </c>
      <c r="X913" s="39">
        <v>1</v>
      </c>
    </row>
    <row r="914" spans="1:24">
      <c r="A914" s="39">
        <v>1730</v>
      </c>
      <c r="B914" s="40" t="s">
        <v>7690</v>
      </c>
      <c r="C914" s="39">
        <v>1</v>
      </c>
      <c r="E914" s="39">
        <v>1</v>
      </c>
      <c r="F914" s="39">
        <v>620</v>
      </c>
      <c r="G914" s="39">
        <v>0</v>
      </c>
      <c r="H914" s="39">
        <v>0</v>
      </c>
      <c r="I914" s="39">
        <v>0</v>
      </c>
      <c r="J914" s="39">
        <v>0</v>
      </c>
      <c r="K914" s="39">
        <v>0</v>
      </c>
      <c r="L914" s="39">
        <v>0</v>
      </c>
      <c r="M914" s="39">
        <v>0</v>
      </c>
      <c r="N914" s="39">
        <v>0</v>
      </c>
      <c r="O914" s="39">
        <v>0</v>
      </c>
      <c r="P914" s="39">
        <v>0</v>
      </c>
      <c r="Q914" s="39">
        <v>0</v>
      </c>
      <c r="R914" s="39">
        <v>0</v>
      </c>
      <c r="S914" s="39">
        <v>0</v>
      </c>
      <c r="T914" s="39">
        <v>0</v>
      </c>
      <c r="U914" s="39">
        <v>0</v>
      </c>
      <c r="V914" s="39">
        <v>244</v>
      </c>
      <c r="W914" s="40" t="s">
        <v>682</v>
      </c>
      <c r="X914" s="39">
        <v>1</v>
      </c>
    </row>
    <row r="915" spans="1:24">
      <c r="A915" s="39">
        <v>733</v>
      </c>
      <c r="B915" s="40" t="s">
        <v>7690</v>
      </c>
      <c r="C915" s="39">
        <v>1</v>
      </c>
      <c r="E915" s="39">
        <v>1</v>
      </c>
      <c r="F915" s="39">
        <v>620</v>
      </c>
      <c r="G915" s="39">
        <v>0</v>
      </c>
      <c r="H915" s="39">
        <v>0</v>
      </c>
      <c r="I915" s="39">
        <v>0</v>
      </c>
      <c r="J915" s="39">
        <v>0</v>
      </c>
      <c r="K915" s="39">
        <v>0</v>
      </c>
      <c r="L915" s="39">
        <v>0</v>
      </c>
      <c r="M915" s="39">
        <v>0</v>
      </c>
      <c r="N915" s="39">
        <v>0</v>
      </c>
      <c r="O915" s="39">
        <v>0</v>
      </c>
      <c r="P915" s="39">
        <v>0</v>
      </c>
      <c r="Q915" s="39">
        <v>0</v>
      </c>
      <c r="R915" s="39">
        <v>0</v>
      </c>
      <c r="S915" s="39">
        <v>0</v>
      </c>
      <c r="T915" s="39">
        <v>0</v>
      </c>
      <c r="U915" s="39">
        <v>0</v>
      </c>
      <c r="V915" s="39">
        <v>381</v>
      </c>
      <c r="W915" s="40" t="s">
        <v>7805</v>
      </c>
      <c r="X915" s="39">
        <v>1</v>
      </c>
    </row>
    <row r="916" spans="1:24">
      <c r="A916" s="39">
        <v>1259</v>
      </c>
      <c r="B916" s="40" t="s">
        <v>7690</v>
      </c>
      <c r="C916" s="39">
        <v>1</v>
      </c>
      <c r="E916" s="39">
        <v>1</v>
      </c>
      <c r="F916" s="39">
        <v>620</v>
      </c>
      <c r="G916" s="39">
        <v>1</v>
      </c>
      <c r="H916" s="39">
        <v>1</v>
      </c>
      <c r="I916" s="39">
        <v>1</v>
      </c>
      <c r="J916" s="39">
        <v>1</v>
      </c>
      <c r="K916" s="39">
        <v>0</v>
      </c>
      <c r="L916" s="39">
        <v>0</v>
      </c>
      <c r="M916" s="39">
        <v>0</v>
      </c>
      <c r="N916" s="39">
        <v>0</v>
      </c>
      <c r="O916" s="39">
        <v>0</v>
      </c>
      <c r="P916" s="39">
        <v>0</v>
      </c>
      <c r="Q916" s="39">
        <v>0</v>
      </c>
      <c r="R916" s="39">
        <v>0</v>
      </c>
      <c r="S916" s="39">
        <v>0</v>
      </c>
      <c r="T916" s="39">
        <v>0</v>
      </c>
      <c r="U916" s="39">
        <v>0</v>
      </c>
      <c r="V916" s="39">
        <v>418</v>
      </c>
      <c r="W916" s="40" t="s">
        <v>7671</v>
      </c>
      <c r="X916" s="39">
        <v>1</v>
      </c>
    </row>
    <row r="917" spans="1:24">
      <c r="A917" s="39">
        <v>1391</v>
      </c>
      <c r="B917" s="40" t="s">
        <v>7690</v>
      </c>
      <c r="C917" s="39">
        <v>1</v>
      </c>
      <c r="E917" s="39">
        <v>1</v>
      </c>
      <c r="F917" s="39">
        <v>620</v>
      </c>
      <c r="G917" s="39">
        <v>0</v>
      </c>
      <c r="H917" s="39">
        <v>0</v>
      </c>
      <c r="I917" s="39">
        <v>0</v>
      </c>
      <c r="J917" s="39">
        <v>0</v>
      </c>
      <c r="K917" s="39">
        <v>0</v>
      </c>
      <c r="L917" s="39">
        <v>0</v>
      </c>
      <c r="M917" s="39">
        <v>0</v>
      </c>
      <c r="N917" s="39">
        <v>0</v>
      </c>
      <c r="O917" s="39">
        <v>0</v>
      </c>
      <c r="P917" s="39">
        <v>0</v>
      </c>
      <c r="Q917" s="39">
        <v>0</v>
      </c>
      <c r="R917" s="39">
        <v>0</v>
      </c>
      <c r="S917" s="39">
        <v>0</v>
      </c>
      <c r="T917" s="39">
        <v>0</v>
      </c>
      <c r="U917" s="39">
        <v>0</v>
      </c>
      <c r="V917" s="39">
        <v>456</v>
      </c>
      <c r="W917" s="40" t="s">
        <v>7673</v>
      </c>
      <c r="X917" s="39">
        <v>1</v>
      </c>
    </row>
    <row r="918" spans="1:24">
      <c r="A918" s="39">
        <v>870</v>
      </c>
      <c r="B918" s="40" t="s">
        <v>7690</v>
      </c>
      <c r="C918" s="39">
        <v>1</v>
      </c>
      <c r="E918" s="39">
        <v>1</v>
      </c>
      <c r="F918" s="39">
        <v>620</v>
      </c>
      <c r="G918" s="39">
        <v>1</v>
      </c>
      <c r="H918" s="39">
        <v>1</v>
      </c>
      <c r="I918" s="39">
        <v>1</v>
      </c>
      <c r="J918" s="39">
        <v>0</v>
      </c>
      <c r="K918" s="39">
        <v>0</v>
      </c>
      <c r="L918" s="39">
        <v>0</v>
      </c>
      <c r="M918" s="39">
        <v>0</v>
      </c>
      <c r="N918" s="39">
        <v>0</v>
      </c>
      <c r="O918" s="39">
        <v>0</v>
      </c>
      <c r="P918" s="39">
        <v>0</v>
      </c>
      <c r="Q918" s="39">
        <v>0</v>
      </c>
      <c r="R918" s="39">
        <v>0</v>
      </c>
      <c r="S918" s="39">
        <v>0</v>
      </c>
      <c r="T918" s="39">
        <v>0</v>
      </c>
      <c r="U918" s="39">
        <v>0</v>
      </c>
      <c r="V918" s="39">
        <v>458</v>
      </c>
      <c r="W918" s="40" t="s">
        <v>7694</v>
      </c>
      <c r="X918" s="39">
        <v>1</v>
      </c>
    </row>
    <row r="919" spans="1:24">
      <c r="A919" s="39">
        <v>1163</v>
      </c>
      <c r="B919" s="40" t="s">
        <v>7690</v>
      </c>
      <c r="C919" s="39">
        <v>1</v>
      </c>
      <c r="E919" s="39">
        <v>1</v>
      </c>
      <c r="F919" s="39">
        <v>620</v>
      </c>
      <c r="G919" s="39">
        <v>1</v>
      </c>
      <c r="H919" s="39">
        <v>1</v>
      </c>
      <c r="I919" s="39">
        <v>1</v>
      </c>
      <c r="J919" s="39">
        <v>0</v>
      </c>
      <c r="K919" s="39">
        <v>0</v>
      </c>
      <c r="L919" s="39">
        <v>0</v>
      </c>
      <c r="M919" s="39">
        <v>0</v>
      </c>
      <c r="N919" s="39">
        <v>0</v>
      </c>
      <c r="O919" s="39">
        <v>0</v>
      </c>
      <c r="P919" s="39">
        <v>0</v>
      </c>
      <c r="Q919" s="39">
        <v>0</v>
      </c>
      <c r="R919" s="39">
        <v>0</v>
      </c>
      <c r="S919" s="39">
        <v>0</v>
      </c>
      <c r="T919" s="39">
        <v>0</v>
      </c>
      <c r="U919" s="39">
        <v>0</v>
      </c>
      <c r="V919" s="39">
        <v>459</v>
      </c>
      <c r="W919" s="40" t="s">
        <v>7674</v>
      </c>
      <c r="X919" s="39">
        <v>1</v>
      </c>
    </row>
    <row r="920" spans="1:24">
      <c r="A920" s="39">
        <v>618</v>
      </c>
      <c r="B920" s="40" t="s">
        <v>7690</v>
      </c>
      <c r="C920" s="39">
        <v>1</v>
      </c>
      <c r="E920" s="39">
        <v>1</v>
      </c>
      <c r="F920" s="39">
        <v>620</v>
      </c>
      <c r="G920" s="39">
        <v>1</v>
      </c>
      <c r="H920" s="39">
        <v>1</v>
      </c>
      <c r="I920" s="39">
        <v>1</v>
      </c>
      <c r="J920" s="39">
        <v>0</v>
      </c>
      <c r="K920" s="39">
        <v>0</v>
      </c>
      <c r="L920" s="39">
        <v>0</v>
      </c>
      <c r="M920" s="39">
        <v>0</v>
      </c>
      <c r="N920" s="39">
        <v>0</v>
      </c>
      <c r="O920" s="39">
        <v>0</v>
      </c>
      <c r="P920" s="39">
        <v>0</v>
      </c>
      <c r="Q920" s="39">
        <v>0</v>
      </c>
      <c r="R920" s="39">
        <v>0</v>
      </c>
      <c r="S920" s="39">
        <v>0</v>
      </c>
      <c r="T920" s="39">
        <v>0</v>
      </c>
      <c r="U920" s="39">
        <v>0</v>
      </c>
      <c r="V920" s="39">
        <v>468</v>
      </c>
      <c r="W920" s="40" t="s">
        <v>7677</v>
      </c>
      <c r="X920" s="39">
        <v>1</v>
      </c>
    </row>
    <row r="921" spans="1:24">
      <c r="A921" s="39">
        <v>1066</v>
      </c>
      <c r="B921" s="40" t="s">
        <v>7690</v>
      </c>
      <c r="C921" s="39">
        <v>1</v>
      </c>
      <c r="E921" s="39">
        <v>1</v>
      </c>
      <c r="F921" s="39">
        <v>620</v>
      </c>
      <c r="G921" s="39">
        <v>1</v>
      </c>
      <c r="H921" s="39">
        <v>1</v>
      </c>
      <c r="I921" s="39">
        <v>1</v>
      </c>
      <c r="J921" s="39">
        <v>1</v>
      </c>
      <c r="K921" s="39">
        <v>0</v>
      </c>
      <c r="L921" s="39">
        <v>0</v>
      </c>
      <c r="M921" s="39">
        <v>0</v>
      </c>
      <c r="N921" s="39">
        <v>0</v>
      </c>
      <c r="O921" s="39">
        <v>0</v>
      </c>
      <c r="P921" s="39">
        <v>0</v>
      </c>
      <c r="Q921" s="39">
        <v>0</v>
      </c>
      <c r="R921" s="39">
        <v>0</v>
      </c>
      <c r="S921" s="39">
        <v>0</v>
      </c>
      <c r="T921" s="39">
        <v>0</v>
      </c>
      <c r="U921" s="39">
        <v>0</v>
      </c>
      <c r="V921" s="39">
        <v>477</v>
      </c>
      <c r="W921" s="40" t="s">
        <v>7697</v>
      </c>
      <c r="X921" s="39">
        <v>1</v>
      </c>
    </row>
    <row r="922" spans="1:24">
      <c r="A922" s="39">
        <v>254</v>
      </c>
      <c r="B922" s="40" t="s">
        <v>7690</v>
      </c>
      <c r="C922" s="39">
        <v>1</v>
      </c>
      <c r="E922" s="39">
        <v>1</v>
      </c>
      <c r="F922" s="39">
        <v>620</v>
      </c>
      <c r="G922" s="39">
        <v>1</v>
      </c>
      <c r="H922" s="39">
        <v>1</v>
      </c>
      <c r="I922" s="39">
        <v>1</v>
      </c>
      <c r="J922" s="39">
        <v>0</v>
      </c>
      <c r="K922" s="39">
        <v>0</v>
      </c>
      <c r="L922" s="39">
        <v>0</v>
      </c>
      <c r="M922" s="39">
        <v>0</v>
      </c>
      <c r="N922" s="39">
        <v>0</v>
      </c>
      <c r="O922" s="39">
        <v>0</v>
      </c>
      <c r="P922" s="39">
        <v>0</v>
      </c>
      <c r="Q922" s="39">
        <v>0</v>
      </c>
      <c r="R922" s="39">
        <v>0</v>
      </c>
      <c r="S922" s="39">
        <v>0</v>
      </c>
      <c r="T922" s="39">
        <v>0</v>
      </c>
      <c r="U922" s="39">
        <v>0</v>
      </c>
      <c r="V922" s="39">
        <v>590</v>
      </c>
      <c r="W922" s="40" t="s">
        <v>7679</v>
      </c>
      <c r="X922" s="39">
        <v>1</v>
      </c>
    </row>
    <row r="923" spans="1:24">
      <c r="A923" s="39">
        <v>802</v>
      </c>
      <c r="B923" s="40" t="s">
        <v>7690</v>
      </c>
      <c r="C923" s="39">
        <v>1</v>
      </c>
      <c r="E923" s="39">
        <v>1</v>
      </c>
      <c r="F923" s="39">
        <v>620</v>
      </c>
      <c r="G923" s="39">
        <v>1</v>
      </c>
      <c r="H923" s="39">
        <v>1</v>
      </c>
      <c r="I923" s="39">
        <v>1</v>
      </c>
      <c r="J923" s="39">
        <v>0</v>
      </c>
      <c r="K923" s="39">
        <v>0</v>
      </c>
      <c r="L923" s="39">
        <v>0</v>
      </c>
      <c r="M923" s="39">
        <v>0</v>
      </c>
      <c r="N923" s="39">
        <v>0</v>
      </c>
      <c r="O923" s="39">
        <v>0</v>
      </c>
      <c r="P923" s="39">
        <v>0</v>
      </c>
      <c r="Q923" s="39">
        <v>0</v>
      </c>
      <c r="R923" s="39">
        <v>0</v>
      </c>
      <c r="S923" s="39">
        <v>0</v>
      </c>
      <c r="T923" s="39">
        <v>0</v>
      </c>
      <c r="U923" s="39">
        <v>0</v>
      </c>
      <c r="V923" s="39">
        <v>733</v>
      </c>
      <c r="W923" s="40" t="s">
        <v>7680</v>
      </c>
      <c r="X923" s="39">
        <v>1</v>
      </c>
    </row>
    <row r="924" spans="1:24">
      <c r="A924" s="39">
        <v>120</v>
      </c>
      <c r="B924" s="50" t="s">
        <v>5841</v>
      </c>
      <c r="C924" s="39">
        <v>1</v>
      </c>
      <c r="E924" s="39">
        <v>1</v>
      </c>
      <c r="F924" s="39">
        <v>640</v>
      </c>
      <c r="G924" s="39">
        <v>0</v>
      </c>
      <c r="H924" s="39">
        <v>0</v>
      </c>
      <c r="I924" s="39">
        <v>0</v>
      </c>
      <c r="J924" s="39">
        <v>0</v>
      </c>
      <c r="K924" s="39">
        <v>0</v>
      </c>
      <c r="L924" s="39">
        <v>0</v>
      </c>
      <c r="M924" s="39">
        <v>0</v>
      </c>
      <c r="N924" s="39">
        <v>0</v>
      </c>
      <c r="O924" s="39">
        <v>0</v>
      </c>
      <c r="P924" s="39">
        <v>0</v>
      </c>
      <c r="Q924" s="39">
        <v>0</v>
      </c>
      <c r="R924" s="39">
        <v>0</v>
      </c>
      <c r="S924" s="39">
        <v>0</v>
      </c>
      <c r="T924" s="39">
        <v>0</v>
      </c>
      <c r="U924" s="39">
        <v>0</v>
      </c>
      <c r="V924" s="39">
        <v>1</v>
      </c>
      <c r="W924" s="40" t="s">
        <v>518</v>
      </c>
      <c r="X924" s="39">
        <v>1</v>
      </c>
    </row>
    <row r="925" spans="1:24">
      <c r="A925" s="39">
        <v>32</v>
      </c>
      <c r="B925" s="40" t="s">
        <v>5841</v>
      </c>
      <c r="C925" s="39">
        <v>1</v>
      </c>
      <c r="D925" s="40" t="s">
        <v>7856</v>
      </c>
      <c r="E925" s="39">
        <v>1</v>
      </c>
      <c r="F925" s="39">
        <v>10</v>
      </c>
      <c r="G925" s="39">
        <v>0</v>
      </c>
      <c r="H925" s="39">
        <v>0</v>
      </c>
      <c r="I925" s="39">
        <v>0</v>
      </c>
      <c r="J925" s="39">
        <v>0</v>
      </c>
      <c r="K925" s="39">
        <v>0</v>
      </c>
      <c r="L925" s="39">
        <v>0</v>
      </c>
      <c r="M925" s="39">
        <v>0</v>
      </c>
      <c r="N925" s="39">
        <v>0</v>
      </c>
      <c r="O925" s="39">
        <v>0</v>
      </c>
      <c r="P925" s="39">
        <v>0</v>
      </c>
      <c r="Q925" s="39">
        <v>0</v>
      </c>
      <c r="R925" s="39">
        <v>0</v>
      </c>
      <c r="S925" s="39">
        <v>0</v>
      </c>
      <c r="T925" s="39">
        <v>0</v>
      </c>
      <c r="U925" s="39">
        <v>0</v>
      </c>
      <c r="V925" s="39">
        <v>2</v>
      </c>
      <c r="W925" s="40" t="s">
        <v>40</v>
      </c>
      <c r="X925" s="39">
        <v>1</v>
      </c>
    </row>
    <row r="926" spans="1:24">
      <c r="A926" s="39">
        <v>985</v>
      </c>
      <c r="B926" s="40" t="s">
        <v>5841</v>
      </c>
      <c r="C926" s="39">
        <v>1</v>
      </c>
      <c r="E926" s="39">
        <v>1</v>
      </c>
      <c r="F926" s="39">
        <v>640</v>
      </c>
      <c r="G926" s="39">
        <v>1</v>
      </c>
      <c r="H926" s="39">
        <v>1</v>
      </c>
      <c r="I926" s="39">
        <v>1</v>
      </c>
      <c r="J926" s="39">
        <v>0</v>
      </c>
      <c r="K926" s="39">
        <v>0</v>
      </c>
      <c r="L926" s="39">
        <v>0</v>
      </c>
      <c r="M926" s="39">
        <v>0</v>
      </c>
      <c r="N926" s="39">
        <v>0</v>
      </c>
      <c r="O926" s="39">
        <v>0</v>
      </c>
      <c r="P926" s="39">
        <v>0</v>
      </c>
      <c r="Q926" s="39">
        <v>0</v>
      </c>
      <c r="R926" s="39">
        <v>0</v>
      </c>
      <c r="S926" s="39">
        <v>0</v>
      </c>
      <c r="T926" s="39">
        <v>0</v>
      </c>
      <c r="U926" s="39">
        <v>0</v>
      </c>
      <c r="V926" s="39">
        <v>158</v>
      </c>
      <c r="W926" s="40" t="s">
        <v>7667</v>
      </c>
      <c r="X926" s="39">
        <v>1</v>
      </c>
    </row>
    <row r="927" spans="1:24">
      <c r="A927" s="39">
        <v>475</v>
      </c>
      <c r="B927" s="40" t="s">
        <v>5841</v>
      </c>
      <c r="C927" s="39">
        <v>1</v>
      </c>
      <c r="E927" s="39">
        <v>1</v>
      </c>
      <c r="F927" s="39">
        <v>640</v>
      </c>
      <c r="G927" s="39">
        <v>0</v>
      </c>
      <c r="H927" s="39">
        <v>0</v>
      </c>
      <c r="I927" s="39">
        <v>0</v>
      </c>
      <c r="J927" s="39">
        <v>0</v>
      </c>
      <c r="K927" s="39">
        <v>0</v>
      </c>
      <c r="L927" s="39">
        <v>0</v>
      </c>
      <c r="M927" s="39">
        <v>0</v>
      </c>
      <c r="N927" s="39">
        <v>0</v>
      </c>
      <c r="O927" s="39">
        <v>0</v>
      </c>
      <c r="P927" s="39">
        <v>0</v>
      </c>
      <c r="Q927" s="39">
        <v>0</v>
      </c>
      <c r="R927" s="39">
        <v>0</v>
      </c>
      <c r="S927" s="39">
        <v>0</v>
      </c>
      <c r="T927" s="39">
        <v>0</v>
      </c>
      <c r="U927" s="39">
        <v>0</v>
      </c>
      <c r="V927" s="39">
        <v>175</v>
      </c>
      <c r="W927" s="40" t="s">
        <v>7689</v>
      </c>
      <c r="X927" s="39">
        <v>1</v>
      </c>
    </row>
    <row r="928" spans="1:24">
      <c r="A928" s="39">
        <v>365</v>
      </c>
      <c r="B928" s="40" t="s">
        <v>5841</v>
      </c>
      <c r="C928" s="39">
        <v>1</v>
      </c>
      <c r="E928" s="39">
        <v>1</v>
      </c>
      <c r="F928" s="39">
        <v>640</v>
      </c>
      <c r="G928" s="39">
        <v>1</v>
      </c>
      <c r="H928" s="39">
        <v>1</v>
      </c>
      <c r="I928" s="39">
        <v>1</v>
      </c>
      <c r="J928" s="39">
        <v>0</v>
      </c>
      <c r="K928" s="39">
        <v>0</v>
      </c>
      <c r="L928" s="39">
        <v>0</v>
      </c>
      <c r="M928" s="39">
        <v>0</v>
      </c>
      <c r="N928" s="39">
        <v>0</v>
      </c>
      <c r="O928" s="39">
        <v>0</v>
      </c>
      <c r="P928" s="39">
        <v>0</v>
      </c>
      <c r="Q928" s="39">
        <v>0</v>
      </c>
      <c r="R928" s="39">
        <v>0</v>
      </c>
      <c r="S928" s="39">
        <v>0</v>
      </c>
      <c r="T928" s="39">
        <v>0</v>
      </c>
      <c r="U928" s="39">
        <v>0</v>
      </c>
      <c r="V928" s="39">
        <v>228</v>
      </c>
      <c r="W928" s="40" t="s">
        <v>7669</v>
      </c>
      <c r="X928" s="39">
        <v>1</v>
      </c>
    </row>
    <row r="929" spans="1:24">
      <c r="A929" s="39">
        <v>1731</v>
      </c>
      <c r="B929" s="40" t="s">
        <v>5841</v>
      </c>
      <c r="C929" s="39">
        <v>1</v>
      </c>
      <c r="E929" s="39">
        <v>1</v>
      </c>
      <c r="F929" s="39">
        <v>640</v>
      </c>
      <c r="G929" s="39">
        <v>0</v>
      </c>
      <c r="H929" s="39">
        <v>0</v>
      </c>
      <c r="I929" s="39">
        <v>0</v>
      </c>
      <c r="J929" s="39">
        <v>0</v>
      </c>
      <c r="K929" s="39">
        <v>0</v>
      </c>
      <c r="L929" s="39">
        <v>0</v>
      </c>
      <c r="M929" s="39">
        <v>0</v>
      </c>
      <c r="N929" s="39">
        <v>0</v>
      </c>
      <c r="O929" s="39">
        <v>0</v>
      </c>
      <c r="P929" s="39">
        <v>0</v>
      </c>
      <c r="Q929" s="39">
        <v>0</v>
      </c>
      <c r="R929" s="39">
        <v>0</v>
      </c>
      <c r="S929" s="39">
        <v>0</v>
      </c>
      <c r="T929" s="39">
        <v>0</v>
      </c>
      <c r="U929" s="39">
        <v>0</v>
      </c>
      <c r="V929" s="39">
        <v>244</v>
      </c>
      <c r="W929" s="40" t="s">
        <v>682</v>
      </c>
      <c r="X929" s="39">
        <v>1</v>
      </c>
    </row>
    <row r="930" spans="1:24">
      <c r="A930" s="39">
        <v>734</v>
      </c>
      <c r="B930" s="40" t="s">
        <v>5841</v>
      </c>
      <c r="C930" s="39">
        <v>1</v>
      </c>
      <c r="E930" s="39">
        <v>1</v>
      </c>
      <c r="F930" s="39">
        <v>640</v>
      </c>
      <c r="G930" s="39">
        <v>0</v>
      </c>
      <c r="H930" s="39">
        <v>0</v>
      </c>
      <c r="I930" s="39">
        <v>0</v>
      </c>
      <c r="J930" s="39">
        <v>0</v>
      </c>
      <c r="K930" s="39">
        <v>0</v>
      </c>
      <c r="L930" s="39">
        <v>0</v>
      </c>
      <c r="M930" s="39">
        <v>0</v>
      </c>
      <c r="N930" s="39">
        <v>0</v>
      </c>
      <c r="O930" s="39">
        <v>0</v>
      </c>
      <c r="P930" s="39">
        <v>0</v>
      </c>
      <c r="Q930" s="39">
        <v>0</v>
      </c>
      <c r="R930" s="39">
        <v>0</v>
      </c>
      <c r="S930" s="39">
        <v>0</v>
      </c>
      <c r="T930" s="39">
        <v>0</v>
      </c>
      <c r="U930" s="39">
        <v>0</v>
      </c>
      <c r="V930" s="39">
        <v>381</v>
      </c>
      <c r="W930" s="40" t="s">
        <v>7805</v>
      </c>
      <c r="X930" s="39">
        <v>1</v>
      </c>
    </row>
    <row r="931" spans="1:24">
      <c r="A931" s="39">
        <v>1260</v>
      </c>
      <c r="B931" s="40" t="s">
        <v>5841</v>
      </c>
      <c r="C931" s="39">
        <v>1</v>
      </c>
      <c r="E931" s="39">
        <v>1</v>
      </c>
      <c r="F931" s="39">
        <v>640</v>
      </c>
      <c r="G931" s="39">
        <v>1</v>
      </c>
      <c r="H931" s="39">
        <v>1</v>
      </c>
      <c r="I931" s="39">
        <v>1</v>
      </c>
      <c r="J931" s="39">
        <v>1</v>
      </c>
      <c r="K931" s="39">
        <v>0</v>
      </c>
      <c r="L931" s="39">
        <v>0</v>
      </c>
      <c r="M931" s="39">
        <v>0</v>
      </c>
      <c r="N931" s="39">
        <v>0</v>
      </c>
      <c r="O931" s="39">
        <v>0</v>
      </c>
      <c r="P931" s="39">
        <v>0</v>
      </c>
      <c r="Q931" s="39">
        <v>0</v>
      </c>
      <c r="R931" s="39">
        <v>0</v>
      </c>
      <c r="S931" s="39">
        <v>0</v>
      </c>
      <c r="T931" s="39">
        <v>0</v>
      </c>
      <c r="U931" s="39">
        <v>0</v>
      </c>
      <c r="V931" s="39">
        <v>418</v>
      </c>
      <c r="W931" s="40" t="s">
        <v>7671</v>
      </c>
      <c r="X931" s="39">
        <v>1</v>
      </c>
    </row>
    <row r="932" spans="1:24">
      <c r="A932" s="39">
        <v>1392</v>
      </c>
      <c r="B932" s="40" t="s">
        <v>5841</v>
      </c>
      <c r="C932" s="39">
        <v>1</v>
      </c>
      <c r="E932" s="39">
        <v>1</v>
      </c>
      <c r="F932" s="39">
        <v>640</v>
      </c>
      <c r="G932" s="39">
        <v>0</v>
      </c>
      <c r="H932" s="39">
        <v>0</v>
      </c>
      <c r="I932" s="39">
        <v>0</v>
      </c>
      <c r="J932" s="39">
        <v>0</v>
      </c>
      <c r="K932" s="39">
        <v>0</v>
      </c>
      <c r="L932" s="39">
        <v>0</v>
      </c>
      <c r="M932" s="39">
        <v>0</v>
      </c>
      <c r="N932" s="39">
        <v>0</v>
      </c>
      <c r="O932" s="39">
        <v>0</v>
      </c>
      <c r="P932" s="39">
        <v>0</v>
      </c>
      <c r="Q932" s="39">
        <v>0</v>
      </c>
      <c r="R932" s="39">
        <v>0</v>
      </c>
      <c r="S932" s="39">
        <v>0</v>
      </c>
      <c r="T932" s="39">
        <v>0</v>
      </c>
      <c r="U932" s="39">
        <v>0</v>
      </c>
      <c r="V932" s="39">
        <v>456</v>
      </c>
      <c r="W932" s="40" t="s">
        <v>7673</v>
      </c>
      <c r="X932" s="39">
        <v>1</v>
      </c>
    </row>
    <row r="933" spans="1:24">
      <c r="A933" s="39">
        <v>871</v>
      </c>
      <c r="B933" s="40" t="s">
        <v>5841</v>
      </c>
      <c r="C933" s="39">
        <v>1</v>
      </c>
      <c r="E933" s="39">
        <v>1</v>
      </c>
      <c r="F933" s="39">
        <v>640</v>
      </c>
      <c r="G933" s="39">
        <v>1</v>
      </c>
      <c r="H933" s="39">
        <v>1</v>
      </c>
      <c r="I933" s="39">
        <v>1</v>
      </c>
      <c r="J933" s="39">
        <v>0</v>
      </c>
      <c r="K933" s="39">
        <v>0</v>
      </c>
      <c r="L933" s="39">
        <v>0</v>
      </c>
      <c r="M933" s="39">
        <v>0</v>
      </c>
      <c r="N933" s="39">
        <v>0</v>
      </c>
      <c r="O933" s="39">
        <v>0</v>
      </c>
      <c r="P933" s="39">
        <v>0</v>
      </c>
      <c r="Q933" s="39">
        <v>0</v>
      </c>
      <c r="R933" s="39">
        <v>0</v>
      </c>
      <c r="S933" s="39">
        <v>0</v>
      </c>
      <c r="T933" s="39">
        <v>0</v>
      </c>
      <c r="U933" s="39">
        <v>0</v>
      </c>
      <c r="V933" s="39">
        <v>458</v>
      </c>
      <c r="W933" s="40" t="s">
        <v>7694</v>
      </c>
      <c r="X933" s="39">
        <v>1</v>
      </c>
    </row>
    <row r="934" spans="1:24">
      <c r="A934" s="39">
        <v>1164</v>
      </c>
      <c r="B934" s="40" t="s">
        <v>5841</v>
      </c>
      <c r="C934" s="39">
        <v>1</v>
      </c>
      <c r="E934" s="39">
        <v>1</v>
      </c>
      <c r="F934" s="39">
        <v>640</v>
      </c>
      <c r="G934" s="39">
        <v>1</v>
      </c>
      <c r="H934" s="39">
        <v>1</v>
      </c>
      <c r="I934" s="39">
        <v>1</v>
      </c>
      <c r="J934" s="39">
        <v>0</v>
      </c>
      <c r="K934" s="39">
        <v>0</v>
      </c>
      <c r="L934" s="39">
        <v>0</v>
      </c>
      <c r="M934" s="39">
        <v>0</v>
      </c>
      <c r="N934" s="39">
        <v>0</v>
      </c>
      <c r="O934" s="39">
        <v>0</v>
      </c>
      <c r="P934" s="39">
        <v>0</v>
      </c>
      <c r="Q934" s="39">
        <v>0</v>
      </c>
      <c r="R934" s="39">
        <v>0</v>
      </c>
      <c r="S934" s="39">
        <v>0</v>
      </c>
      <c r="T934" s="39">
        <v>0</v>
      </c>
      <c r="U934" s="39">
        <v>0</v>
      </c>
      <c r="V934" s="39">
        <v>459</v>
      </c>
      <c r="W934" s="40" t="s">
        <v>7674</v>
      </c>
      <c r="X934" s="39">
        <v>1</v>
      </c>
    </row>
    <row r="935" spans="1:24">
      <c r="A935" s="39">
        <v>619</v>
      </c>
      <c r="B935" s="40" t="s">
        <v>5841</v>
      </c>
      <c r="C935" s="39">
        <v>1</v>
      </c>
      <c r="E935" s="39">
        <v>1</v>
      </c>
      <c r="F935" s="39">
        <v>640</v>
      </c>
      <c r="G935" s="39">
        <v>1</v>
      </c>
      <c r="H935" s="39">
        <v>1</v>
      </c>
      <c r="I935" s="39">
        <v>1</v>
      </c>
      <c r="J935" s="39">
        <v>0</v>
      </c>
      <c r="K935" s="39">
        <v>0</v>
      </c>
      <c r="L935" s="39">
        <v>0</v>
      </c>
      <c r="M935" s="39">
        <v>0</v>
      </c>
      <c r="N935" s="39">
        <v>0</v>
      </c>
      <c r="O935" s="39">
        <v>0</v>
      </c>
      <c r="P935" s="39">
        <v>0</v>
      </c>
      <c r="Q935" s="39">
        <v>0</v>
      </c>
      <c r="R935" s="39">
        <v>0</v>
      </c>
      <c r="S935" s="39">
        <v>0</v>
      </c>
      <c r="T935" s="39">
        <v>0</v>
      </c>
      <c r="U935" s="39">
        <v>0</v>
      </c>
      <c r="V935" s="39">
        <v>468</v>
      </c>
      <c r="W935" s="40" t="s">
        <v>7677</v>
      </c>
      <c r="X935" s="39">
        <v>1</v>
      </c>
    </row>
    <row r="936" spans="1:24">
      <c r="A936" s="39">
        <v>1067</v>
      </c>
      <c r="B936" s="40" t="s">
        <v>5841</v>
      </c>
      <c r="C936" s="39">
        <v>1</v>
      </c>
      <c r="E936" s="39">
        <v>1</v>
      </c>
      <c r="F936" s="39">
        <v>640</v>
      </c>
      <c r="G936" s="39">
        <v>1</v>
      </c>
      <c r="H936" s="39">
        <v>1</v>
      </c>
      <c r="I936" s="39">
        <v>1</v>
      </c>
      <c r="J936" s="39">
        <v>1</v>
      </c>
      <c r="K936" s="39">
        <v>0</v>
      </c>
      <c r="L936" s="39">
        <v>0</v>
      </c>
      <c r="M936" s="39">
        <v>0</v>
      </c>
      <c r="N936" s="39">
        <v>0</v>
      </c>
      <c r="O936" s="39">
        <v>0</v>
      </c>
      <c r="P936" s="39">
        <v>0</v>
      </c>
      <c r="Q936" s="39">
        <v>0</v>
      </c>
      <c r="R936" s="39">
        <v>0</v>
      </c>
      <c r="S936" s="39">
        <v>0</v>
      </c>
      <c r="T936" s="39">
        <v>0</v>
      </c>
      <c r="U936" s="39">
        <v>0</v>
      </c>
      <c r="V936" s="39">
        <v>477</v>
      </c>
      <c r="W936" s="40" t="s">
        <v>7697</v>
      </c>
      <c r="X936" s="39">
        <v>1</v>
      </c>
    </row>
    <row r="937" spans="1:24">
      <c r="A937" s="39">
        <v>255</v>
      </c>
      <c r="B937" s="40" t="s">
        <v>5841</v>
      </c>
      <c r="C937" s="39">
        <v>1</v>
      </c>
      <c r="E937" s="39">
        <v>1</v>
      </c>
      <c r="F937" s="39">
        <v>640</v>
      </c>
      <c r="G937" s="39">
        <v>1</v>
      </c>
      <c r="H937" s="39">
        <v>1</v>
      </c>
      <c r="I937" s="39">
        <v>1</v>
      </c>
      <c r="J937" s="39">
        <v>0</v>
      </c>
      <c r="K937" s="39">
        <v>0</v>
      </c>
      <c r="L937" s="39">
        <v>0</v>
      </c>
      <c r="M937" s="39">
        <v>0</v>
      </c>
      <c r="N937" s="39">
        <v>0</v>
      </c>
      <c r="O937" s="39">
        <v>0</v>
      </c>
      <c r="P937" s="39">
        <v>0</v>
      </c>
      <c r="Q937" s="39">
        <v>0</v>
      </c>
      <c r="R937" s="39">
        <v>0</v>
      </c>
      <c r="S937" s="39">
        <v>0</v>
      </c>
      <c r="T937" s="39">
        <v>0</v>
      </c>
      <c r="U937" s="39">
        <v>0</v>
      </c>
      <c r="V937" s="39">
        <v>590</v>
      </c>
      <c r="W937" s="40" t="s">
        <v>7679</v>
      </c>
      <c r="X937" s="39">
        <v>1</v>
      </c>
    </row>
    <row r="938" spans="1:24">
      <c r="A938" s="39">
        <v>803</v>
      </c>
      <c r="B938" s="40" t="s">
        <v>5841</v>
      </c>
      <c r="C938" s="39">
        <v>1</v>
      </c>
      <c r="E938" s="39">
        <v>1</v>
      </c>
      <c r="F938" s="39">
        <v>640</v>
      </c>
      <c r="G938" s="39">
        <v>1</v>
      </c>
      <c r="H938" s="39">
        <v>1</v>
      </c>
      <c r="I938" s="39">
        <v>1</v>
      </c>
      <c r="J938" s="39">
        <v>0</v>
      </c>
      <c r="K938" s="39">
        <v>0</v>
      </c>
      <c r="L938" s="39">
        <v>0</v>
      </c>
      <c r="M938" s="39">
        <v>0</v>
      </c>
      <c r="N938" s="39">
        <v>0</v>
      </c>
      <c r="O938" s="39">
        <v>0</v>
      </c>
      <c r="P938" s="39">
        <v>0</v>
      </c>
      <c r="Q938" s="39">
        <v>0</v>
      </c>
      <c r="R938" s="39">
        <v>0</v>
      </c>
      <c r="S938" s="39">
        <v>0</v>
      </c>
      <c r="T938" s="39">
        <v>0</v>
      </c>
      <c r="U938" s="39">
        <v>0</v>
      </c>
      <c r="V938" s="39">
        <v>733</v>
      </c>
      <c r="W938" s="40" t="s">
        <v>7680</v>
      </c>
      <c r="X938" s="39">
        <v>1</v>
      </c>
    </row>
    <row r="939" spans="1:24">
      <c r="A939" s="39">
        <v>121</v>
      </c>
      <c r="B939" s="50" t="s">
        <v>7691</v>
      </c>
      <c r="C939" s="39">
        <v>1</v>
      </c>
      <c r="E939" s="39">
        <v>1</v>
      </c>
      <c r="F939" s="39">
        <v>660</v>
      </c>
      <c r="G939" s="39">
        <v>0</v>
      </c>
      <c r="H939" s="39">
        <v>0</v>
      </c>
      <c r="I939" s="39">
        <v>0</v>
      </c>
      <c r="J939" s="39">
        <v>0</v>
      </c>
      <c r="K939" s="39">
        <v>0</v>
      </c>
      <c r="L939" s="39">
        <v>0</v>
      </c>
      <c r="M939" s="39">
        <v>0</v>
      </c>
      <c r="N939" s="39">
        <v>0</v>
      </c>
      <c r="O939" s="39">
        <v>0</v>
      </c>
      <c r="P939" s="39">
        <v>0</v>
      </c>
      <c r="Q939" s="39">
        <v>0</v>
      </c>
      <c r="R939" s="39">
        <v>0</v>
      </c>
      <c r="S939" s="39">
        <v>0</v>
      </c>
      <c r="T939" s="39">
        <v>0</v>
      </c>
      <c r="U939" s="39">
        <v>0</v>
      </c>
      <c r="V939" s="39">
        <v>1</v>
      </c>
      <c r="W939" s="40" t="s">
        <v>518</v>
      </c>
      <c r="X939" s="39">
        <v>1</v>
      </c>
    </row>
    <row r="940" spans="1:24">
      <c r="A940" s="39">
        <v>33</v>
      </c>
      <c r="B940" s="40" t="s">
        <v>7691</v>
      </c>
      <c r="C940" s="39">
        <v>1</v>
      </c>
      <c r="D940" s="40" t="s">
        <v>7857</v>
      </c>
      <c r="E940" s="39">
        <v>1</v>
      </c>
      <c r="F940" s="39">
        <v>10</v>
      </c>
      <c r="G940" s="39">
        <v>0</v>
      </c>
      <c r="H940" s="39">
        <v>0</v>
      </c>
      <c r="I940" s="39">
        <v>0</v>
      </c>
      <c r="J940" s="39">
        <v>0</v>
      </c>
      <c r="K940" s="39">
        <v>0</v>
      </c>
      <c r="L940" s="39">
        <v>0</v>
      </c>
      <c r="M940" s="39">
        <v>0</v>
      </c>
      <c r="N940" s="39">
        <v>0</v>
      </c>
      <c r="O940" s="39">
        <v>0</v>
      </c>
      <c r="P940" s="39">
        <v>0</v>
      </c>
      <c r="Q940" s="39">
        <v>0</v>
      </c>
      <c r="R940" s="39">
        <v>0</v>
      </c>
      <c r="S940" s="39">
        <v>0</v>
      </c>
      <c r="T940" s="39">
        <v>0</v>
      </c>
      <c r="U940" s="39">
        <v>0</v>
      </c>
      <c r="V940" s="39">
        <v>2</v>
      </c>
      <c r="W940" s="40" t="s">
        <v>40</v>
      </c>
      <c r="X940" s="39">
        <v>1</v>
      </c>
    </row>
    <row r="941" spans="1:24">
      <c r="A941" s="39">
        <v>986</v>
      </c>
      <c r="B941" s="40" t="s">
        <v>7691</v>
      </c>
      <c r="C941" s="39">
        <v>1</v>
      </c>
      <c r="E941" s="39">
        <v>1</v>
      </c>
      <c r="F941" s="39">
        <v>660</v>
      </c>
      <c r="G941" s="39">
        <v>1</v>
      </c>
      <c r="H941" s="39">
        <v>1</v>
      </c>
      <c r="I941" s="39">
        <v>1</v>
      </c>
      <c r="J941" s="39">
        <v>0</v>
      </c>
      <c r="K941" s="39">
        <v>0</v>
      </c>
      <c r="L941" s="39">
        <v>0</v>
      </c>
      <c r="M941" s="39">
        <v>0</v>
      </c>
      <c r="N941" s="39">
        <v>0</v>
      </c>
      <c r="O941" s="39">
        <v>0</v>
      </c>
      <c r="P941" s="39">
        <v>0</v>
      </c>
      <c r="Q941" s="39">
        <v>0</v>
      </c>
      <c r="R941" s="39">
        <v>0</v>
      </c>
      <c r="S941" s="39">
        <v>0</v>
      </c>
      <c r="T941" s="39">
        <v>0</v>
      </c>
      <c r="U941" s="39">
        <v>0</v>
      </c>
      <c r="V941" s="39">
        <v>158</v>
      </c>
      <c r="W941" s="40" t="s">
        <v>7667</v>
      </c>
      <c r="X941" s="39">
        <v>1</v>
      </c>
    </row>
    <row r="942" spans="1:24">
      <c r="A942" s="39">
        <v>476</v>
      </c>
      <c r="B942" s="40" t="s">
        <v>7691</v>
      </c>
      <c r="C942" s="39">
        <v>1</v>
      </c>
      <c r="E942" s="39">
        <v>1</v>
      </c>
      <c r="F942" s="39">
        <v>660</v>
      </c>
      <c r="G942" s="39">
        <v>0</v>
      </c>
      <c r="H942" s="39">
        <v>0</v>
      </c>
      <c r="I942" s="39">
        <v>0</v>
      </c>
      <c r="J942" s="39">
        <v>0</v>
      </c>
      <c r="K942" s="39">
        <v>0</v>
      </c>
      <c r="L942" s="39">
        <v>0</v>
      </c>
      <c r="M942" s="39">
        <v>0</v>
      </c>
      <c r="N942" s="39">
        <v>0</v>
      </c>
      <c r="O942" s="39">
        <v>0</v>
      </c>
      <c r="P942" s="39">
        <v>0</v>
      </c>
      <c r="Q942" s="39">
        <v>0</v>
      </c>
      <c r="R942" s="39">
        <v>0</v>
      </c>
      <c r="S942" s="39">
        <v>0</v>
      </c>
      <c r="T942" s="39">
        <v>0</v>
      </c>
      <c r="U942" s="39">
        <v>0</v>
      </c>
      <c r="V942" s="39">
        <v>175</v>
      </c>
      <c r="W942" s="40" t="s">
        <v>7689</v>
      </c>
      <c r="X942" s="39">
        <v>1</v>
      </c>
    </row>
    <row r="943" spans="1:24">
      <c r="A943" s="39">
        <v>366</v>
      </c>
      <c r="B943" s="40" t="s">
        <v>7691</v>
      </c>
      <c r="C943" s="39">
        <v>1</v>
      </c>
      <c r="E943" s="39">
        <v>1</v>
      </c>
      <c r="F943" s="39">
        <v>660</v>
      </c>
      <c r="G943" s="39">
        <v>1</v>
      </c>
      <c r="H943" s="39">
        <v>1</v>
      </c>
      <c r="I943" s="39">
        <v>1</v>
      </c>
      <c r="J943" s="39">
        <v>0</v>
      </c>
      <c r="K943" s="39">
        <v>0</v>
      </c>
      <c r="L943" s="39">
        <v>0</v>
      </c>
      <c r="M943" s="39">
        <v>0</v>
      </c>
      <c r="N943" s="39">
        <v>0</v>
      </c>
      <c r="O943" s="39">
        <v>0</v>
      </c>
      <c r="P943" s="39">
        <v>0</v>
      </c>
      <c r="Q943" s="39">
        <v>0</v>
      </c>
      <c r="R943" s="39">
        <v>0</v>
      </c>
      <c r="S943" s="39">
        <v>0</v>
      </c>
      <c r="T943" s="39">
        <v>0</v>
      </c>
      <c r="U943" s="39">
        <v>0</v>
      </c>
      <c r="V943" s="39">
        <v>228</v>
      </c>
      <c r="W943" s="40" t="s">
        <v>7669</v>
      </c>
      <c r="X943" s="39">
        <v>1</v>
      </c>
    </row>
    <row r="944" spans="1:24">
      <c r="A944" s="39">
        <v>1732</v>
      </c>
      <c r="B944" s="40" t="s">
        <v>7691</v>
      </c>
      <c r="C944" s="39">
        <v>1</v>
      </c>
      <c r="E944" s="39">
        <v>1</v>
      </c>
      <c r="F944" s="39">
        <v>660</v>
      </c>
      <c r="G944" s="39">
        <v>0</v>
      </c>
      <c r="H944" s="39">
        <v>0</v>
      </c>
      <c r="I944" s="39">
        <v>0</v>
      </c>
      <c r="J944" s="39">
        <v>0</v>
      </c>
      <c r="K944" s="39">
        <v>0</v>
      </c>
      <c r="L944" s="39">
        <v>0</v>
      </c>
      <c r="M944" s="39">
        <v>0</v>
      </c>
      <c r="N944" s="39">
        <v>0</v>
      </c>
      <c r="O944" s="39">
        <v>0</v>
      </c>
      <c r="P944" s="39">
        <v>0</v>
      </c>
      <c r="Q944" s="39">
        <v>0</v>
      </c>
      <c r="R944" s="39">
        <v>0</v>
      </c>
      <c r="S944" s="39">
        <v>0</v>
      </c>
      <c r="T944" s="39">
        <v>0</v>
      </c>
      <c r="U944" s="39">
        <v>0</v>
      </c>
      <c r="V944" s="39">
        <v>244</v>
      </c>
      <c r="W944" s="40" t="s">
        <v>682</v>
      </c>
      <c r="X944" s="39">
        <v>1</v>
      </c>
    </row>
    <row r="945" spans="1:24">
      <c r="A945" s="39">
        <v>735</v>
      </c>
      <c r="B945" s="40" t="s">
        <v>7691</v>
      </c>
      <c r="C945" s="39">
        <v>1</v>
      </c>
      <c r="E945" s="39">
        <v>1</v>
      </c>
      <c r="F945" s="39">
        <v>660</v>
      </c>
      <c r="G945" s="39">
        <v>0</v>
      </c>
      <c r="H945" s="39">
        <v>0</v>
      </c>
      <c r="I945" s="39">
        <v>0</v>
      </c>
      <c r="J945" s="39">
        <v>0</v>
      </c>
      <c r="K945" s="39">
        <v>0</v>
      </c>
      <c r="L945" s="39">
        <v>0</v>
      </c>
      <c r="M945" s="39">
        <v>0</v>
      </c>
      <c r="N945" s="39">
        <v>0</v>
      </c>
      <c r="O945" s="39">
        <v>0</v>
      </c>
      <c r="P945" s="39">
        <v>0</v>
      </c>
      <c r="Q945" s="39">
        <v>0</v>
      </c>
      <c r="R945" s="39">
        <v>0</v>
      </c>
      <c r="S945" s="39">
        <v>0</v>
      </c>
      <c r="T945" s="39">
        <v>0</v>
      </c>
      <c r="U945" s="39">
        <v>0</v>
      </c>
      <c r="V945" s="39">
        <v>381</v>
      </c>
      <c r="W945" s="40" t="s">
        <v>7805</v>
      </c>
      <c r="X945" s="39">
        <v>1</v>
      </c>
    </row>
    <row r="946" spans="1:24">
      <c r="A946" s="39">
        <v>1261</v>
      </c>
      <c r="B946" s="40" t="s">
        <v>7691</v>
      </c>
      <c r="C946" s="39">
        <v>1</v>
      </c>
      <c r="E946" s="39">
        <v>1</v>
      </c>
      <c r="F946" s="39">
        <v>660</v>
      </c>
      <c r="G946" s="39">
        <v>1</v>
      </c>
      <c r="H946" s="39">
        <v>1</v>
      </c>
      <c r="I946" s="39">
        <v>1</v>
      </c>
      <c r="J946" s="39">
        <v>1</v>
      </c>
      <c r="K946" s="39">
        <v>0</v>
      </c>
      <c r="L946" s="39">
        <v>0</v>
      </c>
      <c r="M946" s="39">
        <v>0</v>
      </c>
      <c r="N946" s="39">
        <v>0</v>
      </c>
      <c r="O946" s="39">
        <v>0</v>
      </c>
      <c r="P946" s="39">
        <v>0</v>
      </c>
      <c r="Q946" s="39">
        <v>0</v>
      </c>
      <c r="R946" s="39">
        <v>0</v>
      </c>
      <c r="S946" s="39">
        <v>0</v>
      </c>
      <c r="T946" s="39">
        <v>0</v>
      </c>
      <c r="U946" s="39">
        <v>0</v>
      </c>
      <c r="V946" s="39">
        <v>418</v>
      </c>
      <c r="W946" s="40" t="s">
        <v>7671</v>
      </c>
      <c r="X946" s="39">
        <v>1</v>
      </c>
    </row>
    <row r="947" spans="1:24">
      <c r="A947" s="39">
        <v>1393</v>
      </c>
      <c r="B947" s="40" t="s">
        <v>7691</v>
      </c>
      <c r="C947" s="39">
        <v>1</v>
      </c>
      <c r="E947" s="39">
        <v>1</v>
      </c>
      <c r="F947" s="39">
        <v>660</v>
      </c>
      <c r="G947" s="39">
        <v>0</v>
      </c>
      <c r="H947" s="39">
        <v>0</v>
      </c>
      <c r="I947" s="39">
        <v>0</v>
      </c>
      <c r="J947" s="39">
        <v>0</v>
      </c>
      <c r="K947" s="39">
        <v>0</v>
      </c>
      <c r="L947" s="39">
        <v>0</v>
      </c>
      <c r="M947" s="39">
        <v>0</v>
      </c>
      <c r="N947" s="39">
        <v>0</v>
      </c>
      <c r="O947" s="39">
        <v>0</v>
      </c>
      <c r="P947" s="39">
        <v>0</v>
      </c>
      <c r="Q947" s="39">
        <v>0</v>
      </c>
      <c r="R947" s="39">
        <v>0</v>
      </c>
      <c r="S947" s="39">
        <v>0</v>
      </c>
      <c r="T947" s="39">
        <v>0</v>
      </c>
      <c r="U947" s="39">
        <v>0</v>
      </c>
      <c r="V947" s="39">
        <v>456</v>
      </c>
      <c r="W947" s="40" t="s">
        <v>7673</v>
      </c>
      <c r="X947" s="39">
        <v>1</v>
      </c>
    </row>
    <row r="948" spans="1:24">
      <c r="A948" s="39">
        <v>872</v>
      </c>
      <c r="B948" s="40" t="s">
        <v>7691</v>
      </c>
      <c r="C948" s="39">
        <v>1</v>
      </c>
      <c r="E948" s="39">
        <v>1</v>
      </c>
      <c r="F948" s="39">
        <v>560</v>
      </c>
      <c r="G948" s="39">
        <v>1</v>
      </c>
      <c r="H948" s="39">
        <v>1</v>
      </c>
      <c r="I948" s="39">
        <v>1</v>
      </c>
      <c r="J948" s="39">
        <v>0</v>
      </c>
      <c r="K948" s="39">
        <v>0</v>
      </c>
      <c r="L948" s="39">
        <v>0</v>
      </c>
      <c r="M948" s="39">
        <v>0</v>
      </c>
      <c r="N948" s="39">
        <v>0</v>
      </c>
      <c r="O948" s="39">
        <v>0</v>
      </c>
      <c r="P948" s="39">
        <v>0</v>
      </c>
      <c r="Q948" s="39">
        <v>0</v>
      </c>
      <c r="R948" s="39">
        <v>0</v>
      </c>
      <c r="S948" s="39">
        <v>0</v>
      </c>
      <c r="T948" s="39">
        <v>0</v>
      </c>
      <c r="U948" s="39">
        <v>0</v>
      </c>
      <c r="V948" s="39">
        <v>458</v>
      </c>
      <c r="W948" s="40" t="s">
        <v>7694</v>
      </c>
      <c r="X948" s="39">
        <v>1</v>
      </c>
    </row>
    <row r="949" spans="1:24">
      <c r="A949" s="39">
        <v>1165</v>
      </c>
      <c r="B949" s="40" t="s">
        <v>7691</v>
      </c>
      <c r="C949" s="39">
        <v>1</v>
      </c>
      <c r="E949" s="39">
        <v>1</v>
      </c>
      <c r="F949" s="39">
        <v>560</v>
      </c>
      <c r="G949" s="39">
        <v>1</v>
      </c>
      <c r="H949" s="39">
        <v>1</v>
      </c>
      <c r="I949" s="39">
        <v>1</v>
      </c>
      <c r="J949" s="39">
        <v>0</v>
      </c>
      <c r="K949" s="39">
        <v>0</v>
      </c>
      <c r="L949" s="39">
        <v>0</v>
      </c>
      <c r="M949" s="39">
        <v>0</v>
      </c>
      <c r="N949" s="39">
        <v>0</v>
      </c>
      <c r="O949" s="39">
        <v>0</v>
      </c>
      <c r="P949" s="39">
        <v>0</v>
      </c>
      <c r="Q949" s="39">
        <v>0</v>
      </c>
      <c r="R949" s="39">
        <v>0</v>
      </c>
      <c r="S949" s="39">
        <v>0</v>
      </c>
      <c r="T949" s="39">
        <v>0</v>
      </c>
      <c r="U949" s="39">
        <v>0</v>
      </c>
      <c r="V949" s="39">
        <v>459</v>
      </c>
      <c r="W949" s="40" t="s">
        <v>7674</v>
      </c>
      <c r="X949" s="39">
        <v>1</v>
      </c>
    </row>
    <row r="950" spans="1:24">
      <c r="A950" s="39">
        <v>620</v>
      </c>
      <c r="B950" s="40" t="s">
        <v>7691</v>
      </c>
      <c r="C950" s="39">
        <v>1</v>
      </c>
      <c r="E950" s="39">
        <v>1</v>
      </c>
      <c r="F950" s="39">
        <v>660</v>
      </c>
      <c r="G950" s="39">
        <v>1</v>
      </c>
      <c r="H950" s="39">
        <v>1</v>
      </c>
      <c r="I950" s="39">
        <v>1</v>
      </c>
      <c r="J950" s="39">
        <v>0</v>
      </c>
      <c r="K950" s="39">
        <v>0</v>
      </c>
      <c r="L950" s="39">
        <v>0</v>
      </c>
      <c r="M950" s="39">
        <v>0</v>
      </c>
      <c r="N950" s="39">
        <v>0</v>
      </c>
      <c r="O950" s="39">
        <v>0</v>
      </c>
      <c r="P950" s="39">
        <v>0</v>
      </c>
      <c r="Q950" s="39">
        <v>0</v>
      </c>
      <c r="R950" s="39">
        <v>0</v>
      </c>
      <c r="S950" s="39">
        <v>0</v>
      </c>
      <c r="T950" s="39">
        <v>0</v>
      </c>
      <c r="U950" s="39">
        <v>0</v>
      </c>
      <c r="V950" s="39">
        <v>468</v>
      </c>
      <c r="W950" s="40" t="s">
        <v>7677</v>
      </c>
      <c r="X950" s="39">
        <v>1</v>
      </c>
    </row>
    <row r="951" spans="1:24">
      <c r="A951" s="39">
        <v>1068</v>
      </c>
      <c r="B951" s="40" t="s">
        <v>7691</v>
      </c>
      <c r="C951" s="39">
        <v>1</v>
      </c>
      <c r="E951" s="39">
        <v>1</v>
      </c>
      <c r="F951" s="39">
        <v>560</v>
      </c>
      <c r="G951" s="39">
        <v>1</v>
      </c>
      <c r="H951" s="39">
        <v>1</v>
      </c>
      <c r="I951" s="39">
        <v>1</v>
      </c>
      <c r="J951" s="39">
        <v>1</v>
      </c>
      <c r="K951" s="39">
        <v>0</v>
      </c>
      <c r="L951" s="39">
        <v>0</v>
      </c>
      <c r="M951" s="39">
        <v>0</v>
      </c>
      <c r="N951" s="39">
        <v>0</v>
      </c>
      <c r="O951" s="39">
        <v>0</v>
      </c>
      <c r="P951" s="39">
        <v>0</v>
      </c>
      <c r="Q951" s="39">
        <v>0</v>
      </c>
      <c r="R951" s="39">
        <v>0</v>
      </c>
      <c r="S951" s="39">
        <v>0</v>
      </c>
      <c r="T951" s="39">
        <v>0</v>
      </c>
      <c r="U951" s="39">
        <v>0</v>
      </c>
      <c r="V951" s="39">
        <v>477</v>
      </c>
      <c r="W951" s="40" t="s">
        <v>7697</v>
      </c>
      <c r="X951" s="39">
        <v>1</v>
      </c>
    </row>
    <row r="952" spans="1:24">
      <c r="A952" s="39">
        <v>256</v>
      </c>
      <c r="B952" s="40" t="s">
        <v>7691</v>
      </c>
      <c r="C952" s="39">
        <v>1</v>
      </c>
      <c r="E952" s="39">
        <v>1</v>
      </c>
      <c r="F952" s="39">
        <v>660</v>
      </c>
      <c r="G952" s="39">
        <v>1</v>
      </c>
      <c r="H952" s="39">
        <v>1</v>
      </c>
      <c r="I952" s="39">
        <v>1</v>
      </c>
      <c r="J952" s="39">
        <v>0</v>
      </c>
      <c r="K952" s="39">
        <v>0</v>
      </c>
      <c r="L952" s="39">
        <v>0</v>
      </c>
      <c r="M952" s="39">
        <v>0</v>
      </c>
      <c r="N952" s="39">
        <v>0</v>
      </c>
      <c r="O952" s="39">
        <v>0</v>
      </c>
      <c r="P952" s="39">
        <v>0</v>
      </c>
      <c r="Q952" s="39">
        <v>0</v>
      </c>
      <c r="R952" s="39">
        <v>0</v>
      </c>
      <c r="S952" s="39">
        <v>0</v>
      </c>
      <c r="T952" s="39">
        <v>0</v>
      </c>
      <c r="U952" s="39">
        <v>0</v>
      </c>
      <c r="V952" s="39">
        <v>590</v>
      </c>
      <c r="W952" s="40" t="s">
        <v>7679</v>
      </c>
      <c r="X952" s="39">
        <v>1</v>
      </c>
    </row>
    <row r="953" spans="1:24">
      <c r="A953" s="39">
        <v>804</v>
      </c>
      <c r="B953" s="40" t="s">
        <v>7691</v>
      </c>
      <c r="C953" s="39">
        <v>1</v>
      </c>
      <c r="E953" s="39">
        <v>1</v>
      </c>
      <c r="F953" s="39">
        <v>660</v>
      </c>
      <c r="G953" s="39">
        <v>1</v>
      </c>
      <c r="H953" s="39">
        <v>1</v>
      </c>
      <c r="I953" s="39">
        <v>1</v>
      </c>
      <c r="J953" s="39">
        <v>0</v>
      </c>
      <c r="K953" s="39">
        <v>0</v>
      </c>
      <c r="L953" s="39">
        <v>0</v>
      </c>
      <c r="M953" s="39">
        <v>0</v>
      </c>
      <c r="N953" s="39">
        <v>0</v>
      </c>
      <c r="O953" s="39">
        <v>0</v>
      </c>
      <c r="P953" s="39">
        <v>0</v>
      </c>
      <c r="Q953" s="39">
        <v>0</v>
      </c>
      <c r="R953" s="39">
        <v>0</v>
      </c>
      <c r="S953" s="39">
        <v>0</v>
      </c>
      <c r="T953" s="39">
        <v>0</v>
      </c>
      <c r="U953" s="39">
        <v>0</v>
      </c>
      <c r="V953" s="39">
        <v>733</v>
      </c>
      <c r="W953" s="40" t="s">
        <v>7680</v>
      </c>
      <c r="X953" s="39">
        <v>1</v>
      </c>
    </row>
    <row r="954" spans="1:24">
      <c r="A954" s="39">
        <v>133</v>
      </c>
      <c r="B954" s="50" t="s">
        <v>7692</v>
      </c>
      <c r="C954" s="39">
        <v>1</v>
      </c>
      <c r="E954" s="39">
        <v>0</v>
      </c>
      <c r="F954" s="39">
        <v>820</v>
      </c>
      <c r="G954" s="39">
        <v>0</v>
      </c>
      <c r="H954" s="39">
        <v>0</v>
      </c>
      <c r="I954" s="39">
        <v>0</v>
      </c>
      <c r="J954" s="39">
        <v>0</v>
      </c>
      <c r="K954" s="39">
        <v>0</v>
      </c>
      <c r="L954" s="39">
        <v>0</v>
      </c>
      <c r="M954" s="39">
        <v>0</v>
      </c>
      <c r="N954" s="39">
        <v>0</v>
      </c>
      <c r="O954" s="39">
        <v>0</v>
      </c>
      <c r="P954" s="39">
        <v>0</v>
      </c>
      <c r="Q954" s="39">
        <v>0</v>
      </c>
      <c r="R954" s="39">
        <v>0</v>
      </c>
      <c r="S954" s="39">
        <v>0</v>
      </c>
      <c r="T954" s="39">
        <v>0</v>
      </c>
      <c r="U954" s="39">
        <v>0</v>
      </c>
      <c r="V954" s="39">
        <v>1</v>
      </c>
      <c r="W954" s="40" t="s">
        <v>518</v>
      </c>
      <c r="X954" s="39">
        <v>1</v>
      </c>
    </row>
    <row r="955" spans="1:24">
      <c r="A955" s="39">
        <v>45</v>
      </c>
      <c r="B955" s="40" t="s">
        <v>7692</v>
      </c>
      <c r="C955" s="39">
        <v>0</v>
      </c>
      <c r="D955" s="40" t="s">
        <v>7858</v>
      </c>
      <c r="E955" s="39">
        <v>1</v>
      </c>
      <c r="F955" s="39">
        <v>31</v>
      </c>
      <c r="G955" s="39">
        <v>1</v>
      </c>
      <c r="H955" s="39">
        <v>0</v>
      </c>
      <c r="I955" s="39">
        <v>0</v>
      </c>
      <c r="J955" s="39">
        <v>0</v>
      </c>
      <c r="K955" s="39">
        <v>0</v>
      </c>
      <c r="L955" s="39">
        <v>0</v>
      </c>
      <c r="M955" s="39">
        <v>0</v>
      </c>
      <c r="N955" s="39">
        <v>0</v>
      </c>
      <c r="O955" s="39">
        <v>0</v>
      </c>
      <c r="P955" s="39">
        <v>0</v>
      </c>
      <c r="Q955" s="39">
        <v>0</v>
      </c>
      <c r="R955" s="39">
        <v>0</v>
      </c>
      <c r="S955" s="39">
        <v>0</v>
      </c>
      <c r="T955" s="39">
        <v>0</v>
      </c>
      <c r="U955" s="39">
        <v>0</v>
      </c>
      <c r="V955" s="39">
        <v>2</v>
      </c>
      <c r="W955" s="40" t="s">
        <v>40</v>
      </c>
      <c r="X955" s="39">
        <v>1</v>
      </c>
    </row>
    <row r="956" spans="1:24">
      <c r="A956" s="39">
        <v>987</v>
      </c>
      <c r="B956" s="40" t="s">
        <v>7692</v>
      </c>
      <c r="C956" s="39">
        <v>1</v>
      </c>
      <c r="E956" s="39">
        <v>1</v>
      </c>
      <c r="F956" s="39">
        <v>820</v>
      </c>
      <c r="G956" s="39">
        <v>1</v>
      </c>
      <c r="H956" s="39">
        <v>1</v>
      </c>
      <c r="I956" s="39">
        <v>1</v>
      </c>
      <c r="J956" s="39">
        <v>0</v>
      </c>
      <c r="K956" s="39">
        <v>0</v>
      </c>
      <c r="L956" s="39">
        <v>0</v>
      </c>
      <c r="M956" s="39">
        <v>0</v>
      </c>
      <c r="N956" s="39">
        <v>0</v>
      </c>
      <c r="O956" s="39">
        <v>0</v>
      </c>
      <c r="P956" s="39">
        <v>0</v>
      </c>
      <c r="Q956" s="39">
        <v>0</v>
      </c>
      <c r="R956" s="39">
        <v>0</v>
      </c>
      <c r="S956" s="39">
        <v>0</v>
      </c>
      <c r="T956" s="39">
        <v>0</v>
      </c>
      <c r="U956" s="39">
        <v>0</v>
      </c>
      <c r="V956" s="39">
        <v>158</v>
      </c>
      <c r="W956" s="40" t="s">
        <v>7667</v>
      </c>
      <c r="X956" s="39">
        <v>1</v>
      </c>
    </row>
    <row r="957" spans="1:24">
      <c r="A957" s="39">
        <v>477</v>
      </c>
      <c r="B957" s="40" t="s">
        <v>7692</v>
      </c>
      <c r="C957" s="39">
        <v>1</v>
      </c>
      <c r="E957" s="39">
        <v>1</v>
      </c>
      <c r="F957" s="39">
        <v>820</v>
      </c>
      <c r="G957" s="39">
        <v>0</v>
      </c>
      <c r="H957" s="39">
        <v>0</v>
      </c>
      <c r="I957" s="39">
        <v>0</v>
      </c>
      <c r="J957" s="39">
        <v>0</v>
      </c>
      <c r="K957" s="39">
        <v>0</v>
      </c>
      <c r="L957" s="39">
        <v>0</v>
      </c>
      <c r="M957" s="39">
        <v>0</v>
      </c>
      <c r="N957" s="39">
        <v>0</v>
      </c>
      <c r="O957" s="39">
        <v>0</v>
      </c>
      <c r="P957" s="39">
        <v>0</v>
      </c>
      <c r="Q957" s="39">
        <v>0</v>
      </c>
      <c r="R957" s="39">
        <v>0</v>
      </c>
      <c r="S957" s="39">
        <v>0</v>
      </c>
      <c r="T957" s="39">
        <v>0</v>
      </c>
      <c r="U957" s="39">
        <v>0</v>
      </c>
      <c r="V957" s="39">
        <v>175</v>
      </c>
      <c r="W957" s="40" t="s">
        <v>7689</v>
      </c>
      <c r="X957" s="39">
        <v>1</v>
      </c>
    </row>
    <row r="958" spans="1:24">
      <c r="A958" s="39">
        <v>367</v>
      </c>
      <c r="B958" s="40" t="s">
        <v>7692</v>
      </c>
      <c r="C958" s="39">
        <v>1</v>
      </c>
      <c r="E958" s="39">
        <v>1</v>
      </c>
      <c r="F958" s="39">
        <v>820</v>
      </c>
      <c r="G958" s="39">
        <v>1</v>
      </c>
      <c r="H958" s="39">
        <v>1</v>
      </c>
      <c r="I958" s="39">
        <v>1</v>
      </c>
      <c r="J958" s="39">
        <v>0</v>
      </c>
      <c r="K958" s="39">
        <v>0</v>
      </c>
      <c r="L958" s="39">
        <v>0</v>
      </c>
      <c r="M958" s="39">
        <v>0</v>
      </c>
      <c r="N958" s="39">
        <v>0</v>
      </c>
      <c r="O958" s="39">
        <v>0</v>
      </c>
      <c r="P958" s="39">
        <v>0</v>
      </c>
      <c r="Q958" s="39">
        <v>0</v>
      </c>
      <c r="R958" s="39">
        <v>0</v>
      </c>
      <c r="S958" s="39">
        <v>0</v>
      </c>
      <c r="T958" s="39">
        <v>0</v>
      </c>
      <c r="U958" s="39">
        <v>0</v>
      </c>
      <c r="V958" s="39">
        <v>228</v>
      </c>
      <c r="W958" s="40" t="s">
        <v>7669</v>
      </c>
      <c r="X958" s="39">
        <v>1</v>
      </c>
    </row>
    <row r="959" spans="1:24">
      <c r="A959" s="39">
        <v>1744</v>
      </c>
      <c r="B959" s="40" t="s">
        <v>7692</v>
      </c>
      <c r="C959" s="39">
        <v>1</v>
      </c>
      <c r="E959" s="39">
        <v>0</v>
      </c>
      <c r="F959" s="39">
        <v>820</v>
      </c>
      <c r="G959" s="39">
        <v>0</v>
      </c>
      <c r="H959" s="39">
        <v>0</v>
      </c>
      <c r="I959" s="39">
        <v>0</v>
      </c>
      <c r="J959" s="39">
        <v>0</v>
      </c>
      <c r="K959" s="39">
        <v>0</v>
      </c>
      <c r="L959" s="39">
        <v>0</v>
      </c>
      <c r="M959" s="39">
        <v>0</v>
      </c>
      <c r="N959" s="39">
        <v>0</v>
      </c>
      <c r="O959" s="39">
        <v>0</v>
      </c>
      <c r="P959" s="39">
        <v>0</v>
      </c>
      <c r="Q959" s="39">
        <v>0</v>
      </c>
      <c r="R959" s="39">
        <v>0</v>
      </c>
      <c r="S959" s="39">
        <v>0</v>
      </c>
      <c r="T959" s="39">
        <v>0</v>
      </c>
      <c r="U959" s="39">
        <v>0</v>
      </c>
      <c r="V959" s="39">
        <v>244</v>
      </c>
      <c r="W959" s="40" t="s">
        <v>682</v>
      </c>
      <c r="X959" s="39">
        <v>1</v>
      </c>
    </row>
    <row r="960" spans="1:24">
      <c r="A960" s="39">
        <v>736</v>
      </c>
      <c r="B960" s="40" t="s">
        <v>7692</v>
      </c>
      <c r="C960" s="39">
        <v>1</v>
      </c>
      <c r="E960" s="39">
        <v>1</v>
      </c>
      <c r="F960" s="39">
        <v>820</v>
      </c>
      <c r="G960" s="39">
        <v>0</v>
      </c>
      <c r="H960" s="39">
        <v>0</v>
      </c>
      <c r="I960" s="39">
        <v>0</v>
      </c>
      <c r="J960" s="39">
        <v>0</v>
      </c>
      <c r="K960" s="39">
        <v>0</v>
      </c>
      <c r="L960" s="39">
        <v>0</v>
      </c>
      <c r="M960" s="39">
        <v>0</v>
      </c>
      <c r="N960" s="39">
        <v>0</v>
      </c>
      <c r="O960" s="39">
        <v>0</v>
      </c>
      <c r="P960" s="39">
        <v>0</v>
      </c>
      <c r="Q960" s="39">
        <v>0</v>
      </c>
      <c r="R960" s="39">
        <v>0</v>
      </c>
      <c r="S960" s="39">
        <v>0</v>
      </c>
      <c r="T960" s="39">
        <v>0</v>
      </c>
      <c r="U960" s="39">
        <v>0</v>
      </c>
      <c r="V960" s="39">
        <v>381</v>
      </c>
      <c r="W960" s="40" t="s">
        <v>7805</v>
      </c>
      <c r="X960" s="39">
        <v>1</v>
      </c>
    </row>
    <row r="961" spans="1:24">
      <c r="A961" s="39">
        <v>1262</v>
      </c>
      <c r="B961" s="40" t="s">
        <v>7692</v>
      </c>
      <c r="C961" s="39">
        <v>0</v>
      </c>
      <c r="E961" s="39">
        <v>0</v>
      </c>
      <c r="F961" s="39">
        <v>820</v>
      </c>
      <c r="G961" s="39">
        <v>0</v>
      </c>
      <c r="H961" s="39">
        <v>0</v>
      </c>
      <c r="I961" s="39">
        <v>0</v>
      </c>
      <c r="J961" s="39">
        <v>0</v>
      </c>
      <c r="K961" s="39">
        <v>0</v>
      </c>
      <c r="L961" s="39">
        <v>0</v>
      </c>
      <c r="M961" s="39">
        <v>0</v>
      </c>
      <c r="N961" s="39">
        <v>0</v>
      </c>
      <c r="O961" s="39">
        <v>0</v>
      </c>
      <c r="P961" s="39">
        <v>0</v>
      </c>
      <c r="Q961" s="39">
        <v>0</v>
      </c>
      <c r="R961" s="39">
        <v>0</v>
      </c>
      <c r="S961" s="39">
        <v>0</v>
      </c>
      <c r="T961" s="39">
        <v>0</v>
      </c>
      <c r="U961" s="39">
        <v>0</v>
      </c>
      <c r="V961" s="39">
        <v>418</v>
      </c>
      <c r="W961" s="40" t="s">
        <v>7671</v>
      </c>
      <c r="X961" s="39">
        <v>1</v>
      </c>
    </row>
    <row r="962" spans="1:24">
      <c r="A962" s="39">
        <v>1405</v>
      </c>
      <c r="B962" s="40" t="s">
        <v>7692</v>
      </c>
      <c r="C962" s="39">
        <v>1</v>
      </c>
      <c r="E962" s="39">
        <v>0</v>
      </c>
      <c r="F962" s="39">
        <v>820</v>
      </c>
      <c r="G962" s="39">
        <v>0</v>
      </c>
      <c r="H962" s="39">
        <v>0</v>
      </c>
      <c r="I962" s="39">
        <v>0</v>
      </c>
      <c r="J962" s="39">
        <v>0</v>
      </c>
      <c r="K962" s="39">
        <v>0</v>
      </c>
      <c r="L962" s="39">
        <v>0</v>
      </c>
      <c r="M962" s="39">
        <v>0</v>
      </c>
      <c r="N962" s="39">
        <v>0</v>
      </c>
      <c r="O962" s="39">
        <v>0</v>
      </c>
      <c r="P962" s="39">
        <v>0</v>
      </c>
      <c r="Q962" s="39">
        <v>0</v>
      </c>
      <c r="R962" s="39">
        <v>0</v>
      </c>
      <c r="S962" s="39">
        <v>0</v>
      </c>
      <c r="T962" s="39">
        <v>0</v>
      </c>
      <c r="U962" s="39">
        <v>0</v>
      </c>
      <c r="V962" s="39">
        <v>456</v>
      </c>
      <c r="W962" s="40" t="s">
        <v>7673</v>
      </c>
      <c r="X962" s="39">
        <v>1</v>
      </c>
    </row>
    <row r="963" spans="1:24">
      <c r="A963" s="39">
        <v>873</v>
      </c>
      <c r="B963" s="40" t="s">
        <v>7692</v>
      </c>
      <c r="C963" s="39">
        <v>1</v>
      </c>
      <c r="E963" s="39">
        <v>1</v>
      </c>
      <c r="F963" s="39">
        <v>820</v>
      </c>
      <c r="G963" s="39">
        <v>1</v>
      </c>
      <c r="H963" s="39">
        <v>1</v>
      </c>
      <c r="I963" s="39">
        <v>1</v>
      </c>
      <c r="J963" s="39">
        <v>0</v>
      </c>
      <c r="K963" s="39">
        <v>0</v>
      </c>
      <c r="L963" s="39">
        <v>0</v>
      </c>
      <c r="M963" s="39">
        <v>0</v>
      </c>
      <c r="N963" s="39">
        <v>0</v>
      </c>
      <c r="O963" s="39">
        <v>0</v>
      </c>
      <c r="P963" s="39">
        <v>0</v>
      </c>
      <c r="Q963" s="39">
        <v>0</v>
      </c>
      <c r="R963" s="39">
        <v>0</v>
      </c>
      <c r="S963" s="39">
        <v>0</v>
      </c>
      <c r="T963" s="39">
        <v>0</v>
      </c>
      <c r="U963" s="39">
        <v>0</v>
      </c>
      <c r="V963" s="39">
        <v>458</v>
      </c>
      <c r="W963" s="40" t="s">
        <v>7694</v>
      </c>
      <c r="X963" s="39">
        <v>1</v>
      </c>
    </row>
    <row r="964" spans="1:24">
      <c r="A964" s="39">
        <v>1166</v>
      </c>
      <c r="B964" s="40" t="s">
        <v>7692</v>
      </c>
      <c r="C964" s="39">
        <v>1</v>
      </c>
      <c r="E964" s="39">
        <v>1</v>
      </c>
      <c r="F964" s="39">
        <v>820</v>
      </c>
      <c r="G964" s="39">
        <v>1</v>
      </c>
      <c r="H964" s="39">
        <v>1</v>
      </c>
      <c r="I964" s="39">
        <v>1</v>
      </c>
      <c r="J964" s="39">
        <v>0</v>
      </c>
      <c r="K964" s="39">
        <v>0</v>
      </c>
      <c r="L964" s="39">
        <v>0</v>
      </c>
      <c r="M964" s="39">
        <v>0</v>
      </c>
      <c r="N964" s="39">
        <v>0</v>
      </c>
      <c r="O964" s="39">
        <v>0</v>
      </c>
      <c r="P964" s="39">
        <v>0</v>
      </c>
      <c r="Q964" s="39">
        <v>0</v>
      </c>
      <c r="R964" s="39">
        <v>0</v>
      </c>
      <c r="S964" s="39">
        <v>0</v>
      </c>
      <c r="T964" s="39">
        <v>0</v>
      </c>
      <c r="U964" s="39">
        <v>0</v>
      </c>
      <c r="V964" s="39">
        <v>459</v>
      </c>
      <c r="W964" s="40" t="s">
        <v>7674</v>
      </c>
      <c r="X964" s="39">
        <v>1</v>
      </c>
    </row>
    <row r="965" spans="1:24">
      <c r="A965" s="39">
        <v>621</v>
      </c>
      <c r="B965" s="40" t="s">
        <v>7692</v>
      </c>
      <c r="C965" s="39">
        <v>1</v>
      </c>
      <c r="E965" s="39">
        <v>0</v>
      </c>
      <c r="F965" s="39">
        <v>820</v>
      </c>
      <c r="G965" s="39">
        <v>1</v>
      </c>
      <c r="H965" s="39">
        <v>1</v>
      </c>
      <c r="I965" s="39">
        <v>1</v>
      </c>
      <c r="J965" s="39">
        <v>0</v>
      </c>
      <c r="K965" s="39">
        <v>0</v>
      </c>
      <c r="L965" s="39">
        <v>0</v>
      </c>
      <c r="M965" s="39">
        <v>0</v>
      </c>
      <c r="N965" s="39">
        <v>0</v>
      </c>
      <c r="O965" s="39">
        <v>0</v>
      </c>
      <c r="P965" s="39">
        <v>0</v>
      </c>
      <c r="Q965" s="39">
        <v>0</v>
      </c>
      <c r="R965" s="39">
        <v>0</v>
      </c>
      <c r="S965" s="39">
        <v>0</v>
      </c>
      <c r="T965" s="39">
        <v>0</v>
      </c>
      <c r="U965" s="39">
        <v>0</v>
      </c>
      <c r="V965" s="39">
        <v>468</v>
      </c>
      <c r="W965" s="40" t="s">
        <v>7677</v>
      </c>
      <c r="X965" s="39">
        <v>1</v>
      </c>
    </row>
    <row r="966" spans="1:24">
      <c r="A966" s="39">
        <v>1069</v>
      </c>
      <c r="B966" s="40" t="s">
        <v>7692</v>
      </c>
      <c r="C966" s="39">
        <v>1</v>
      </c>
      <c r="E966" s="39">
        <v>1</v>
      </c>
      <c r="F966" s="39">
        <v>820</v>
      </c>
      <c r="G966" s="39">
        <v>1</v>
      </c>
      <c r="H966" s="39">
        <v>1</v>
      </c>
      <c r="I966" s="39">
        <v>1</v>
      </c>
      <c r="J966" s="39">
        <v>0</v>
      </c>
      <c r="K966" s="39">
        <v>0</v>
      </c>
      <c r="L966" s="39">
        <v>0</v>
      </c>
      <c r="M966" s="39">
        <v>0</v>
      </c>
      <c r="N966" s="39">
        <v>0</v>
      </c>
      <c r="O966" s="39">
        <v>0</v>
      </c>
      <c r="P966" s="39">
        <v>0</v>
      </c>
      <c r="Q966" s="39">
        <v>0</v>
      </c>
      <c r="R966" s="39">
        <v>0</v>
      </c>
      <c r="S966" s="39">
        <v>0</v>
      </c>
      <c r="T966" s="39">
        <v>0</v>
      </c>
      <c r="U966" s="39">
        <v>0</v>
      </c>
      <c r="V966" s="39">
        <v>477</v>
      </c>
      <c r="W966" s="40" t="s">
        <v>7697</v>
      </c>
      <c r="X966" s="39">
        <v>1</v>
      </c>
    </row>
    <row r="967" spans="1:24">
      <c r="A967" s="39">
        <v>257</v>
      </c>
      <c r="B967" s="40" t="s">
        <v>7692</v>
      </c>
      <c r="C967" s="39">
        <v>1</v>
      </c>
      <c r="E967" s="39">
        <v>1</v>
      </c>
      <c r="F967" s="39">
        <v>820</v>
      </c>
      <c r="G967" s="39">
        <v>1</v>
      </c>
      <c r="H967" s="39">
        <v>1</v>
      </c>
      <c r="I967" s="39">
        <v>1</v>
      </c>
      <c r="J967" s="39">
        <v>0</v>
      </c>
      <c r="K967" s="39">
        <v>0</v>
      </c>
      <c r="L967" s="39">
        <v>0</v>
      </c>
      <c r="M967" s="39">
        <v>0</v>
      </c>
      <c r="N967" s="39">
        <v>0</v>
      </c>
      <c r="O967" s="39">
        <v>0</v>
      </c>
      <c r="P967" s="39">
        <v>0</v>
      </c>
      <c r="Q967" s="39">
        <v>0</v>
      </c>
      <c r="R967" s="39">
        <v>0</v>
      </c>
      <c r="S967" s="39">
        <v>0</v>
      </c>
      <c r="T967" s="39">
        <v>0</v>
      </c>
      <c r="U967" s="39">
        <v>0</v>
      </c>
      <c r="V967" s="39">
        <v>590</v>
      </c>
      <c r="W967" s="40" t="s">
        <v>7679</v>
      </c>
      <c r="X967" s="39">
        <v>1</v>
      </c>
    </row>
    <row r="968" spans="1:24">
      <c r="A968" s="39">
        <v>805</v>
      </c>
      <c r="B968" s="40" t="s">
        <v>7692</v>
      </c>
      <c r="C968" s="39">
        <v>1</v>
      </c>
      <c r="E968" s="39">
        <v>0</v>
      </c>
      <c r="F968" s="39">
        <v>820</v>
      </c>
      <c r="G968" s="39">
        <v>0</v>
      </c>
      <c r="H968" s="39">
        <v>0</v>
      </c>
      <c r="I968" s="39">
        <v>0</v>
      </c>
      <c r="J968" s="39">
        <v>0</v>
      </c>
      <c r="K968" s="39">
        <v>0</v>
      </c>
      <c r="L968" s="39">
        <v>0</v>
      </c>
      <c r="M968" s="39">
        <v>0</v>
      </c>
      <c r="N968" s="39">
        <v>0</v>
      </c>
      <c r="O968" s="39">
        <v>0</v>
      </c>
      <c r="P968" s="39">
        <v>0</v>
      </c>
      <c r="Q968" s="39">
        <v>0</v>
      </c>
      <c r="R968" s="39">
        <v>0</v>
      </c>
      <c r="S968" s="39">
        <v>0</v>
      </c>
      <c r="T968" s="39">
        <v>0</v>
      </c>
      <c r="U968" s="39">
        <v>0</v>
      </c>
      <c r="V968" s="39">
        <v>733</v>
      </c>
      <c r="W968" s="40" t="s">
        <v>7680</v>
      </c>
      <c r="X968" s="39">
        <v>1</v>
      </c>
    </row>
    <row r="969" spans="1:24">
      <c r="A969" s="39">
        <v>104</v>
      </c>
      <c r="B969" s="50" t="s">
        <v>7693</v>
      </c>
      <c r="C969" s="39">
        <v>1</v>
      </c>
      <c r="E969" s="39">
        <v>1</v>
      </c>
      <c r="F969" s="39">
        <v>300</v>
      </c>
      <c r="G969" s="39">
        <v>0</v>
      </c>
      <c r="H969" s="39">
        <v>0</v>
      </c>
      <c r="I969" s="39">
        <v>0</v>
      </c>
      <c r="J969" s="39">
        <v>0</v>
      </c>
      <c r="K969" s="39">
        <v>0</v>
      </c>
      <c r="L969" s="39">
        <v>0</v>
      </c>
      <c r="M969" s="39">
        <v>0</v>
      </c>
      <c r="N969" s="39">
        <v>0</v>
      </c>
      <c r="O969" s="39">
        <v>0</v>
      </c>
      <c r="P969" s="39">
        <v>0</v>
      </c>
      <c r="Q969" s="39">
        <v>0</v>
      </c>
      <c r="R969" s="39">
        <v>0</v>
      </c>
      <c r="S969" s="39">
        <v>0</v>
      </c>
      <c r="T969" s="39">
        <v>0</v>
      </c>
      <c r="U969" s="39">
        <v>0</v>
      </c>
      <c r="V969" s="39">
        <v>1</v>
      </c>
      <c r="W969" s="40" t="s">
        <v>518</v>
      </c>
      <c r="X969" s="39">
        <v>1</v>
      </c>
    </row>
    <row r="970" spans="1:24">
      <c r="A970" s="39">
        <v>16</v>
      </c>
      <c r="B970" s="40" t="s">
        <v>7693</v>
      </c>
      <c r="C970" s="39">
        <v>1</v>
      </c>
      <c r="D970" s="40" t="s">
        <v>7859</v>
      </c>
      <c r="E970" s="39">
        <v>1</v>
      </c>
      <c r="F970" s="39">
        <v>31</v>
      </c>
      <c r="G970" s="39">
        <v>0</v>
      </c>
      <c r="H970" s="39">
        <v>0</v>
      </c>
      <c r="I970" s="39">
        <v>0</v>
      </c>
      <c r="J970" s="39">
        <v>0</v>
      </c>
      <c r="K970" s="39">
        <v>0</v>
      </c>
      <c r="L970" s="39">
        <v>0</v>
      </c>
      <c r="M970" s="39">
        <v>0</v>
      </c>
      <c r="N970" s="39">
        <v>0</v>
      </c>
      <c r="O970" s="39">
        <v>0</v>
      </c>
      <c r="P970" s="39">
        <v>0</v>
      </c>
      <c r="Q970" s="39">
        <v>0</v>
      </c>
      <c r="R970" s="39">
        <v>0</v>
      </c>
      <c r="S970" s="39">
        <v>0</v>
      </c>
      <c r="T970" s="39">
        <v>0</v>
      </c>
      <c r="U970" s="39">
        <v>0</v>
      </c>
      <c r="V970" s="39">
        <v>2</v>
      </c>
      <c r="W970" s="40" t="s">
        <v>40</v>
      </c>
      <c r="X970" s="39">
        <v>1</v>
      </c>
    </row>
    <row r="971" spans="1:24">
      <c r="A971" s="39">
        <v>988</v>
      </c>
      <c r="B971" s="40" t="s">
        <v>7693</v>
      </c>
      <c r="C971" s="39">
        <v>1</v>
      </c>
      <c r="E971" s="39">
        <v>1</v>
      </c>
      <c r="F971" s="39">
        <v>300</v>
      </c>
      <c r="G971" s="39">
        <v>1</v>
      </c>
      <c r="H971" s="39">
        <v>1</v>
      </c>
      <c r="I971" s="39">
        <v>1</v>
      </c>
      <c r="J971" s="39">
        <v>0</v>
      </c>
      <c r="K971" s="39">
        <v>0</v>
      </c>
      <c r="L971" s="39">
        <v>0</v>
      </c>
      <c r="M971" s="39">
        <v>0</v>
      </c>
      <c r="N971" s="39">
        <v>0</v>
      </c>
      <c r="O971" s="39">
        <v>0</v>
      </c>
      <c r="P971" s="39">
        <v>0</v>
      </c>
      <c r="Q971" s="39">
        <v>0</v>
      </c>
      <c r="R971" s="39">
        <v>0</v>
      </c>
      <c r="S971" s="39">
        <v>0</v>
      </c>
      <c r="T971" s="39">
        <v>0</v>
      </c>
      <c r="U971" s="39">
        <v>0</v>
      </c>
      <c r="V971" s="39">
        <v>158</v>
      </c>
      <c r="W971" s="40" t="s">
        <v>7667</v>
      </c>
      <c r="X971" s="39">
        <v>1</v>
      </c>
    </row>
    <row r="972" spans="1:24">
      <c r="A972" s="39">
        <v>478</v>
      </c>
      <c r="B972" s="40" t="s">
        <v>7693</v>
      </c>
      <c r="C972" s="39">
        <v>1</v>
      </c>
      <c r="E972" s="39">
        <v>1</v>
      </c>
      <c r="F972" s="39">
        <v>300</v>
      </c>
      <c r="G972" s="39">
        <v>0</v>
      </c>
      <c r="H972" s="39">
        <v>0</v>
      </c>
      <c r="I972" s="39">
        <v>0</v>
      </c>
      <c r="J972" s="39">
        <v>0</v>
      </c>
      <c r="K972" s="39">
        <v>0</v>
      </c>
      <c r="L972" s="39">
        <v>0</v>
      </c>
      <c r="M972" s="39">
        <v>0</v>
      </c>
      <c r="N972" s="39">
        <v>0</v>
      </c>
      <c r="O972" s="39">
        <v>0</v>
      </c>
      <c r="P972" s="39">
        <v>0</v>
      </c>
      <c r="Q972" s="39">
        <v>0</v>
      </c>
      <c r="R972" s="39">
        <v>0</v>
      </c>
      <c r="S972" s="39">
        <v>0</v>
      </c>
      <c r="T972" s="39">
        <v>0</v>
      </c>
      <c r="U972" s="39">
        <v>0</v>
      </c>
      <c r="V972" s="39">
        <v>175</v>
      </c>
      <c r="W972" s="40" t="s">
        <v>7689</v>
      </c>
      <c r="X972" s="39">
        <v>1</v>
      </c>
    </row>
    <row r="973" spans="1:24">
      <c r="A973" s="39">
        <v>368</v>
      </c>
      <c r="B973" s="40" t="s">
        <v>7693</v>
      </c>
      <c r="C973" s="39">
        <v>1</v>
      </c>
      <c r="E973" s="39">
        <v>1</v>
      </c>
      <c r="F973" s="39">
        <v>300</v>
      </c>
      <c r="G973" s="39">
        <v>1</v>
      </c>
      <c r="H973" s="39">
        <v>1</v>
      </c>
      <c r="I973" s="39">
        <v>1</v>
      </c>
      <c r="J973" s="39">
        <v>0</v>
      </c>
      <c r="K973" s="39">
        <v>0</v>
      </c>
      <c r="L973" s="39">
        <v>0</v>
      </c>
      <c r="M973" s="39">
        <v>0</v>
      </c>
      <c r="N973" s="39">
        <v>0</v>
      </c>
      <c r="O973" s="39">
        <v>0</v>
      </c>
      <c r="P973" s="39">
        <v>0</v>
      </c>
      <c r="Q973" s="39">
        <v>0</v>
      </c>
      <c r="R973" s="39">
        <v>0</v>
      </c>
      <c r="S973" s="39">
        <v>0</v>
      </c>
      <c r="T973" s="39">
        <v>0</v>
      </c>
      <c r="U973" s="39">
        <v>0</v>
      </c>
      <c r="V973" s="39">
        <v>228</v>
      </c>
      <c r="W973" s="40" t="s">
        <v>7669</v>
      </c>
      <c r="X973" s="39">
        <v>1</v>
      </c>
    </row>
    <row r="974" spans="1:24">
      <c r="A974" s="39">
        <v>1715</v>
      </c>
      <c r="B974" s="40" t="s">
        <v>7693</v>
      </c>
      <c r="C974" s="39">
        <v>1</v>
      </c>
      <c r="E974" s="39">
        <v>1</v>
      </c>
      <c r="F974" s="39">
        <v>300</v>
      </c>
      <c r="G974" s="39">
        <v>0</v>
      </c>
      <c r="H974" s="39">
        <v>0</v>
      </c>
      <c r="I974" s="39">
        <v>0</v>
      </c>
      <c r="J974" s="39">
        <v>0</v>
      </c>
      <c r="K974" s="39">
        <v>0</v>
      </c>
      <c r="L974" s="39">
        <v>0</v>
      </c>
      <c r="M974" s="39">
        <v>0</v>
      </c>
      <c r="N974" s="39">
        <v>0</v>
      </c>
      <c r="O974" s="39">
        <v>0</v>
      </c>
      <c r="P974" s="39">
        <v>0</v>
      </c>
      <c r="Q974" s="39">
        <v>0</v>
      </c>
      <c r="R974" s="39">
        <v>0</v>
      </c>
      <c r="S974" s="39">
        <v>0</v>
      </c>
      <c r="T974" s="39">
        <v>0</v>
      </c>
      <c r="U974" s="39">
        <v>0</v>
      </c>
      <c r="V974" s="39">
        <v>244</v>
      </c>
      <c r="W974" s="40" t="s">
        <v>682</v>
      </c>
      <c r="X974" s="39">
        <v>1</v>
      </c>
    </row>
    <row r="975" spans="1:24">
      <c r="A975" s="39">
        <v>737</v>
      </c>
      <c r="B975" s="40" t="s">
        <v>7693</v>
      </c>
      <c r="C975" s="39">
        <v>1</v>
      </c>
      <c r="E975" s="39">
        <v>1</v>
      </c>
      <c r="F975" s="39">
        <v>300</v>
      </c>
      <c r="G975" s="39">
        <v>0</v>
      </c>
      <c r="H975" s="39">
        <v>0</v>
      </c>
      <c r="I975" s="39">
        <v>0</v>
      </c>
      <c r="J975" s="39">
        <v>0</v>
      </c>
      <c r="K975" s="39">
        <v>0</v>
      </c>
      <c r="L975" s="39">
        <v>0</v>
      </c>
      <c r="M975" s="39">
        <v>0</v>
      </c>
      <c r="N975" s="39">
        <v>0</v>
      </c>
      <c r="O975" s="39">
        <v>0</v>
      </c>
      <c r="P975" s="39">
        <v>0</v>
      </c>
      <c r="Q975" s="39">
        <v>0</v>
      </c>
      <c r="R975" s="39">
        <v>0</v>
      </c>
      <c r="S975" s="39">
        <v>0</v>
      </c>
      <c r="T975" s="39">
        <v>0</v>
      </c>
      <c r="U975" s="39">
        <v>0</v>
      </c>
      <c r="V975" s="39">
        <v>381</v>
      </c>
      <c r="W975" s="40" t="s">
        <v>7805</v>
      </c>
      <c r="X975" s="39">
        <v>1</v>
      </c>
    </row>
    <row r="976" spans="1:24">
      <c r="A976" s="39">
        <v>1263</v>
      </c>
      <c r="B976" s="40" t="s">
        <v>7693</v>
      </c>
      <c r="C976" s="39">
        <v>1</v>
      </c>
      <c r="E976" s="39">
        <v>1</v>
      </c>
      <c r="F976" s="39">
        <v>300</v>
      </c>
      <c r="G976" s="39">
        <v>1</v>
      </c>
      <c r="H976" s="39">
        <v>1</v>
      </c>
      <c r="I976" s="39">
        <v>1</v>
      </c>
      <c r="J976" s="39">
        <v>1</v>
      </c>
      <c r="K976" s="39">
        <v>0</v>
      </c>
      <c r="L976" s="39">
        <v>0</v>
      </c>
      <c r="M976" s="39">
        <v>0</v>
      </c>
      <c r="N976" s="39">
        <v>0</v>
      </c>
      <c r="O976" s="39">
        <v>0</v>
      </c>
      <c r="P976" s="39">
        <v>0</v>
      </c>
      <c r="Q976" s="39">
        <v>0</v>
      </c>
      <c r="R976" s="39">
        <v>0</v>
      </c>
      <c r="S976" s="39">
        <v>0</v>
      </c>
      <c r="T976" s="39">
        <v>0</v>
      </c>
      <c r="U976" s="39">
        <v>0</v>
      </c>
      <c r="V976" s="39">
        <v>418</v>
      </c>
      <c r="W976" s="40" t="s">
        <v>7671</v>
      </c>
      <c r="X976" s="39">
        <v>1</v>
      </c>
    </row>
    <row r="977" spans="1:24">
      <c r="A977" s="39">
        <v>1376</v>
      </c>
      <c r="B977" s="40" t="s">
        <v>7693</v>
      </c>
      <c r="C977" s="39">
        <v>1</v>
      </c>
      <c r="E977" s="39">
        <v>1</v>
      </c>
      <c r="F977" s="39">
        <v>300</v>
      </c>
      <c r="G977" s="39">
        <v>0</v>
      </c>
      <c r="H977" s="39">
        <v>0</v>
      </c>
      <c r="I977" s="39">
        <v>0</v>
      </c>
      <c r="J977" s="39">
        <v>0</v>
      </c>
      <c r="K977" s="39">
        <v>0</v>
      </c>
      <c r="L977" s="39">
        <v>0</v>
      </c>
      <c r="M977" s="39">
        <v>0</v>
      </c>
      <c r="N977" s="39">
        <v>0</v>
      </c>
      <c r="O977" s="39">
        <v>0</v>
      </c>
      <c r="P977" s="39">
        <v>0</v>
      </c>
      <c r="Q977" s="39">
        <v>0</v>
      </c>
      <c r="R977" s="39">
        <v>0</v>
      </c>
      <c r="S977" s="39">
        <v>0</v>
      </c>
      <c r="T977" s="39">
        <v>0</v>
      </c>
      <c r="U977" s="39">
        <v>0</v>
      </c>
      <c r="V977" s="39">
        <v>456</v>
      </c>
      <c r="W977" s="40" t="s">
        <v>7673</v>
      </c>
      <c r="X977" s="39">
        <v>1</v>
      </c>
    </row>
    <row r="978" spans="1:24">
      <c r="A978" s="39">
        <v>874</v>
      </c>
      <c r="B978" s="40" t="s">
        <v>7693</v>
      </c>
      <c r="C978" s="39">
        <v>1</v>
      </c>
      <c r="E978" s="39">
        <v>1</v>
      </c>
      <c r="F978" s="39">
        <v>300</v>
      </c>
      <c r="G978" s="39">
        <v>1</v>
      </c>
      <c r="H978" s="39">
        <v>1</v>
      </c>
      <c r="I978" s="39">
        <v>1</v>
      </c>
      <c r="J978" s="39">
        <v>0</v>
      </c>
      <c r="K978" s="39">
        <v>0</v>
      </c>
      <c r="L978" s="39">
        <v>0</v>
      </c>
      <c r="M978" s="39">
        <v>0</v>
      </c>
      <c r="N978" s="39">
        <v>0</v>
      </c>
      <c r="O978" s="39">
        <v>0</v>
      </c>
      <c r="P978" s="39">
        <v>0</v>
      </c>
      <c r="Q978" s="39">
        <v>0</v>
      </c>
      <c r="R978" s="39">
        <v>0</v>
      </c>
      <c r="S978" s="39">
        <v>0</v>
      </c>
      <c r="T978" s="39">
        <v>0</v>
      </c>
      <c r="U978" s="39">
        <v>0</v>
      </c>
      <c r="V978" s="39">
        <v>458</v>
      </c>
      <c r="W978" s="40" t="s">
        <v>7694</v>
      </c>
      <c r="X978" s="39">
        <v>1</v>
      </c>
    </row>
    <row r="979" spans="1:24">
      <c r="A979" s="39">
        <v>1167</v>
      </c>
      <c r="B979" s="40" t="s">
        <v>7693</v>
      </c>
      <c r="C979" s="39">
        <v>1</v>
      </c>
      <c r="E979" s="39">
        <v>1</v>
      </c>
      <c r="F979" s="39">
        <v>300</v>
      </c>
      <c r="G979" s="39">
        <v>1</v>
      </c>
      <c r="H979" s="39">
        <v>1</v>
      </c>
      <c r="I979" s="39">
        <v>1</v>
      </c>
      <c r="J979" s="39">
        <v>0</v>
      </c>
      <c r="K979" s="39">
        <v>0</v>
      </c>
      <c r="L979" s="39">
        <v>0</v>
      </c>
      <c r="M979" s="39">
        <v>0</v>
      </c>
      <c r="N979" s="39">
        <v>0</v>
      </c>
      <c r="O979" s="39">
        <v>0</v>
      </c>
      <c r="P979" s="39">
        <v>0</v>
      </c>
      <c r="Q979" s="39">
        <v>0</v>
      </c>
      <c r="R979" s="39">
        <v>0</v>
      </c>
      <c r="S979" s="39">
        <v>0</v>
      </c>
      <c r="T979" s="39">
        <v>0</v>
      </c>
      <c r="U979" s="39">
        <v>0</v>
      </c>
      <c r="V979" s="39">
        <v>459</v>
      </c>
      <c r="W979" s="40" t="s">
        <v>7674</v>
      </c>
      <c r="X979" s="39">
        <v>1</v>
      </c>
    </row>
    <row r="980" spans="1:24">
      <c r="A980" s="39">
        <v>622</v>
      </c>
      <c r="B980" s="40" t="s">
        <v>7693</v>
      </c>
      <c r="C980" s="39">
        <v>1</v>
      </c>
      <c r="E980" s="39">
        <v>1</v>
      </c>
      <c r="F980" s="39">
        <v>300</v>
      </c>
      <c r="G980" s="39">
        <v>1</v>
      </c>
      <c r="H980" s="39">
        <v>1</v>
      </c>
      <c r="I980" s="39">
        <v>1</v>
      </c>
      <c r="J980" s="39">
        <v>0</v>
      </c>
      <c r="K980" s="39">
        <v>0</v>
      </c>
      <c r="L980" s="39">
        <v>0</v>
      </c>
      <c r="M980" s="39">
        <v>0</v>
      </c>
      <c r="N980" s="39">
        <v>0</v>
      </c>
      <c r="O980" s="39">
        <v>0</v>
      </c>
      <c r="P980" s="39">
        <v>0</v>
      </c>
      <c r="Q980" s="39">
        <v>0</v>
      </c>
      <c r="R980" s="39">
        <v>0</v>
      </c>
      <c r="S980" s="39">
        <v>0</v>
      </c>
      <c r="T980" s="39">
        <v>0</v>
      </c>
      <c r="U980" s="39">
        <v>0</v>
      </c>
      <c r="V980" s="39">
        <v>468</v>
      </c>
      <c r="W980" s="40" t="s">
        <v>7677</v>
      </c>
      <c r="X980" s="39">
        <v>1</v>
      </c>
    </row>
    <row r="981" spans="1:24">
      <c r="A981" s="39">
        <v>1070</v>
      </c>
      <c r="B981" s="40" t="s">
        <v>7693</v>
      </c>
      <c r="C981" s="39">
        <v>1</v>
      </c>
      <c r="E981" s="39">
        <v>1</v>
      </c>
      <c r="F981" s="39">
        <v>300</v>
      </c>
      <c r="G981" s="39">
        <v>1</v>
      </c>
      <c r="H981" s="39">
        <v>1</v>
      </c>
      <c r="I981" s="39">
        <v>1</v>
      </c>
      <c r="J981" s="39">
        <v>1</v>
      </c>
      <c r="K981" s="39">
        <v>0</v>
      </c>
      <c r="L981" s="39">
        <v>0</v>
      </c>
      <c r="M981" s="39">
        <v>0</v>
      </c>
      <c r="N981" s="39">
        <v>0</v>
      </c>
      <c r="O981" s="39">
        <v>0</v>
      </c>
      <c r="P981" s="39">
        <v>0</v>
      </c>
      <c r="Q981" s="39">
        <v>0</v>
      </c>
      <c r="R981" s="39">
        <v>0</v>
      </c>
      <c r="S981" s="39">
        <v>0</v>
      </c>
      <c r="T981" s="39">
        <v>0</v>
      </c>
      <c r="U981" s="39">
        <v>0</v>
      </c>
      <c r="V981" s="39">
        <v>477</v>
      </c>
      <c r="W981" s="40" t="s">
        <v>7697</v>
      </c>
      <c r="X981" s="39">
        <v>1</v>
      </c>
    </row>
    <row r="982" spans="1:24">
      <c r="A982" s="39">
        <v>258</v>
      </c>
      <c r="B982" s="40" t="s">
        <v>7693</v>
      </c>
      <c r="C982" s="39">
        <v>1</v>
      </c>
      <c r="E982" s="39">
        <v>1</v>
      </c>
      <c r="F982" s="39">
        <v>300</v>
      </c>
      <c r="G982" s="39">
        <v>1</v>
      </c>
      <c r="H982" s="39">
        <v>1</v>
      </c>
      <c r="I982" s="39">
        <v>1</v>
      </c>
      <c r="J982" s="39">
        <v>0</v>
      </c>
      <c r="K982" s="39">
        <v>0</v>
      </c>
      <c r="L982" s="39">
        <v>0</v>
      </c>
      <c r="M982" s="39">
        <v>0</v>
      </c>
      <c r="N982" s="39">
        <v>0</v>
      </c>
      <c r="O982" s="39">
        <v>0</v>
      </c>
      <c r="P982" s="39">
        <v>0</v>
      </c>
      <c r="Q982" s="39">
        <v>0</v>
      </c>
      <c r="R982" s="39">
        <v>0</v>
      </c>
      <c r="S982" s="39">
        <v>0</v>
      </c>
      <c r="T982" s="39">
        <v>0</v>
      </c>
      <c r="U982" s="39">
        <v>0</v>
      </c>
      <c r="V982" s="39">
        <v>590</v>
      </c>
      <c r="W982" s="40" t="s">
        <v>7679</v>
      </c>
      <c r="X982" s="39">
        <v>1</v>
      </c>
    </row>
    <row r="983" spans="1:24">
      <c r="A983" s="39">
        <v>806</v>
      </c>
      <c r="B983" s="40" t="s">
        <v>7693</v>
      </c>
      <c r="C983" s="39">
        <v>1</v>
      </c>
      <c r="E983" s="39">
        <v>1</v>
      </c>
      <c r="F983" s="39">
        <v>300</v>
      </c>
      <c r="G983" s="39">
        <v>1</v>
      </c>
      <c r="H983" s="39">
        <v>1</v>
      </c>
      <c r="I983" s="39">
        <v>1</v>
      </c>
      <c r="J983" s="39">
        <v>0</v>
      </c>
      <c r="K983" s="39">
        <v>0</v>
      </c>
      <c r="L983" s="39">
        <v>0</v>
      </c>
      <c r="M983" s="39">
        <v>0</v>
      </c>
      <c r="N983" s="39">
        <v>0</v>
      </c>
      <c r="O983" s="39">
        <v>0</v>
      </c>
      <c r="P983" s="39">
        <v>0</v>
      </c>
      <c r="Q983" s="39">
        <v>0</v>
      </c>
      <c r="R983" s="39">
        <v>0</v>
      </c>
      <c r="S983" s="39">
        <v>0</v>
      </c>
      <c r="T983" s="39">
        <v>0</v>
      </c>
      <c r="U983" s="39">
        <v>0</v>
      </c>
      <c r="V983" s="39">
        <v>733</v>
      </c>
      <c r="W983" s="40" t="s">
        <v>7680</v>
      </c>
      <c r="X983" s="39">
        <v>1</v>
      </c>
    </row>
    <row r="984" spans="1:24">
      <c r="A984" s="39">
        <v>103</v>
      </c>
      <c r="B984" s="50" t="s">
        <v>7038</v>
      </c>
      <c r="C984" s="39">
        <v>1</v>
      </c>
      <c r="E984" s="39">
        <v>1</v>
      </c>
      <c r="F984" s="39">
        <v>280</v>
      </c>
      <c r="G984" s="39">
        <v>0</v>
      </c>
      <c r="H984" s="39">
        <v>0</v>
      </c>
      <c r="I984" s="39">
        <v>0</v>
      </c>
      <c r="J984" s="39">
        <v>0</v>
      </c>
      <c r="K984" s="39">
        <v>0</v>
      </c>
      <c r="L984" s="39">
        <v>0</v>
      </c>
      <c r="M984" s="39">
        <v>0</v>
      </c>
      <c r="N984" s="39">
        <v>0</v>
      </c>
      <c r="O984" s="39">
        <v>0</v>
      </c>
      <c r="P984" s="39">
        <v>0</v>
      </c>
      <c r="Q984" s="39">
        <v>0</v>
      </c>
      <c r="R984" s="39">
        <v>0</v>
      </c>
      <c r="S984" s="39">
        <v>0</v>
      </c>
      <c r="T984" s="39">
        <v>0</v>
      </c>
      <c r="U984" s="39">
        <v>0</v>
      </c>
      <c r="V984" s="39">
        <v>1</v>
      </c>
      <c r="W984" s="40" t="s">
        <v>518</v>
      </c>
      <c r="X984" s="39">
        <v>1</v>
      </c>
    </row>
    <row r="985" spans="1:24">
      <c r="A985" s="39">
        <v>15</v>
      </c>
      <c r="B985" s="40" t="s">
        <v>7038</v>
      </c>
      <c r="C985" s="39">
        <v>1</v>
      </c>
      <c r="D985" s="40" t="s">
        <v>7860</v>
      </c>
      <c r="E985" s="39">
        <v>1</v>
      </c>
      <c r="F985" s="39">
        <v>31</v>
      </c>
      <c r="G985" s="39">
        <v>0</v>
      </c>
      <c r="H985" s="39">
        <v>0</v>
      </c>
      <c r="I985" s="39">
        <v>0</v>
      </c>
      <c r="J985" s="39">
        <v>0</v>
      </c>
      <c r="K985" s="39">
        <v>0</v>
      </c>
      <c r="L985" s="39">
        <v>0</v>
      </c>
      <c r="M985" s="39">
        <v>0</v>
      </c>
      <c r="N985" s="39">
        <v>0</v>
      </c>
      <c r="O985" s="39">
        <v>0</v>
      </c>
      <c r="P985" s="39">
        <v>0</v>
      </c>
      <c r="Q985" s="39">
        <v>0</v>
      </c>
      <c r="R985" s="39">
        <v>0</v>
      </c>
      <c r="S985" s="39">
        <v>0</v>
      </c>
      <c r="T985" s="39">
        <v>0</v>
      </c>
      <c r="U985" s="39">
        <v>0</v>
      </c>
      <c r="V985" s="39">
        <v>2</v>
      </c>
      <c r="W985" s="40" t="s">
        <v>40</v>
      </c>
      <c r="X985" s="39">
        <v>1</v>
      </c>
    </row>
    <row r="986" spans="1:24">
      <c r="A986" s="39">
        <v>989</v>
      </c>
      <c r="B986" s="40" t="s">
        <v>7038</v>
      </c>
      <c r="C986" s="39">
        <v>1</v>
      </c>
      <c r="E986" s="39">
        <v>1</v>
      </c>
      <c r="F986" s="39">
        <v>280</v>
      </c>
      <c r="G986" s="39">
        <v>1</v>
      </c>
      <c r="H986" s="39">
        <v>0</v>
      </c>
      <c r="I986" s="39">
        <v>1</v>
      </c>
      <c r="J986" s="39">
        <v>0</v>
      </c>
      <c r="K986" s="39">
        <v>0</v>
      </c>
      <c r="L986" s="39">
        <v>0</v>
      </c>
      <c r="M986" s="39">
        <v>0</v>
      </c>
      <c r="N986" s="39">
        <v>0</v>
      </c>
      <c r="O986" s="39">
        <v>0</v>
      </c>
      <c r="P986" s="39">
        <v>0</v>
      </c>
      <c r="Q986" s="39">
        <v>0</v>
      </c>
      <c r="R986" s="39">
        <v>0</v>
      </c>
      <c r="S986" s="39">
        <v>0</v>
      </c>
      <c r="T986" s="39">
        <v>0</v>
      </c>
      <c r="U986" s="39">
        <v>0</v>
      </c>
      <c r="V986" s="39">
        <v>158</v>
      </c>
      <c r="W986" s="40" t="s">
        <v>7667</v>
      </c>
      <c r="X986" s="39">
        <v>1</v>
      </c>
    </row>
    <row r="987" spans="1:24">
      <c r="A987" s="39">
        <v>479</v>
      </c>
      <c r="B987" s="40" t="s">
        <v>7038</v>
      </c>
      <c r="C987" s="39">
        <v>1</v>
      </c>
      <c r="E987" s="39">
        <v>1</v>
      </c>
      <c r="F987" s="39">
        <v>280</v>
      </c>
      <c r="G987" s="39">
        <v>0</v>
      </c>
      <c r="H987" s="39">
        <v>0</v>
      </c>
      <c r="I987" s="39">
        <v>0</v>
      </c>
      <c r="J987" s="39">
        <v>0</v>
      </c>
      <c r="K987" s="39">
        <v>0</v>
      </c>
      <c r="L987" s="39">
        <v>0</v>
      </c>
      <c r="M987" s="39">
        <v>0</v>
      </c>
      <c r="N987" s="39">
        <v>0</v>
      </c>
      <c r="O987" s="39">
        <v>0</v>
      </c>
      <c r="P987" s="39">
        <v>0</v>
      </c>
      <c r="Q987" s="39">
        <v>0</v>
      </c>
      <c r="R987" s="39">
        <v>0</v>
      </c>
      <c r="S987" s="39">
        <v>0</v>
      </c>
      <c r="T987" s="39">
        <v>0</v>
      </c>
      <c r="U987" s="39">
        <v>0</v>
      </c>
      <c r="V987" s="39">
        <v>175</v>
      </c>
      <c r="W987" s="40" t="s">
        <v>7689</v>
      </c>
      <c r="X987" s="39">
        <v>1</v>
      </c>
    </row>
    <row r="988" spans="1:24">
      <c r="A988" s="39">
        <v>319</v>
      </c>
      <c r="B988" s="40" t="s">
        <v>7038</v>
      </c>
      <c r="C988" s="39">
        <v>1</v>
      </c>
      <c r="E988" s="39">
        <v>1</v>
      </c>
      <c r="F988" s="39">
        <v>280</v>
      </c>
      <c r="G988" s="39">
        <v>1</v>
      </c>
      <c r="H988" s="39">
        <v>1</v>
      </c>
      <c r="I988" s="39">
        <v>1</v>
      </c>
      <c r="J988" s="39">
        <v>0</v>
      </c>
      <c r="K988" s="39">
        <v>0</v>
      </c>
      <c r="L988" s="39">
        <v>0</v>
      </c>
      <c r="M988" s="39">
        <v>0</v>
      </c>
      <c r="N988" s="39">
        <v>0</v>
      </c>
      <c r="O988" s="39">
        <v>0</v>
      </c>
      <c r="P988" s="39">
        <v>0</v>
      </c>
      <c r="Q988" s="39">
        <v>0</v>
      </c>
      <c r="R988" s="39">
        <v>0</v>
      </c>
      <c r="S988" s="39">
        <v>0</v>
      </c>
      <c r="T988" s="39">
        <v>0</v>
      </c>
      <c r="U988" s="39">
        <v>0</v>
      </c>
      <c r="V988" s="39">
        <v>228</v>
      </c>
      <c r="W988" s="40" t="s">
        <v>7669</v>
      </c>
      <c r="X988" s="39">
        <v>1</v>
      </c>
    </row>
    <row r="989" spans="1:24">
      <c r="A989" s="39">
        <v>1714</v>
      </c>
      <c r="B989" s="40" t="s">
        <v>7038</v>
      </c>
      <c r="C989" s="39">
        <v>1</v>
      </c>
      <c r="E989" s="39">
        <v>1</v>
      </c>
      <c r="F989" s="39">
        <v>280</v>
      </c>
      <c r="G989" s="39">
        <v>0</v>
      </c>
      <c r="H989" s="39">
        <v>0</v>
      </c>
      <c r="I989" s="39">
        <v>0</v>
      </c>
      <c r="J989" s="39">
        <v>0</v>
      </c>
      <c r="K989" s="39">
        <v>0</v>
      </c>
      <c r="L989" s="39">
        <v>0</v>
      </c>
      <c r="M989" s="39">
        <v>0</v>
      </c>
      <c r="N989" s="39">
        <v>0</v>
      </c>
      <c r="O989" s="39">
        <v>0</v>
      </c>
      <c r="P989" s="39">
        <v>0</v>
      </c>
      <c r="Q989" s="39">
        <v>0</v>
      </c>
      <c r="R989" s="39">
        <v>0</v>
      </c>
      <c r="S989" s="39">
        <v>0</v>
      </c>
      <c r="T989" s="39">
        <v>0</v>
      </c>
      <c r="U989" s="39">
        <v>0</v>
      </c>
      <c r="V989" s="39">
        <v>244</v>
      </c>
      <c r="W989" s="40" t="s">
        <v>682</v>
      </c>
      <c r="X989" s="39">
        <v>1</v>
      </c>
    </row>
    <row r="990" spans="1:24">
      <c r="A990" s="39">
        <v>738</v>
      </c>
      <c r="B990" s="40" t="s">
        <v>7038</v>
      </c>
      <c r="C990" s="39">
        <v>1</v>
      </c>
      <c r="E990" s="39">
        <v>1</v>
      </c>
      <c r="F990" s="39">
        <v>280</v>
      </c>
      <c r="G990" s="39">
        <v>0</v>
      </c>
      <c r="H990" s="39">
        <v>0</v>
      </c>
      <c r="I990" s="39">
        <v>0</v>
      </c>
      <c r="J990" s="39">
        <v>0</v>
      </c>
      <c r="K990" s="39">
        <v>0</v>
      </c>
      <c r="L990" s="39">
        <v>0</v>
      </c>
      <c r="M990" s="39">
        <v>0</v>
      </c>
      <c r="N990" s="39">
        <v>0</v>
      </c>
      <c r="O990" s="39">
        <v>0</v>
      </c>
      <c r="P990" s="39">
        <v>0</v>
      </c>
      <c r="Q990" s="39">
        <v>0</v>
      </c>
      <c r="R990" s="39">
        <v>0</v>
      </c>
      <c r="S990" s="39">
        <v>0</v>
      </c>
      <c r="T990" s="39">
        <v>0</v>
      </c>
      <c r="U990" s="39">
        <v>0</v>
      </c>
      <c r="V990" s="39">
        <v>381</v>
      </c>
      <c r="W990" s="40" t="s">
        <v>7805</v>
      </c>
      <c r="X990" s="39">
        <v>1</v>
      </c>
    </row>
    <row r="991" spans="1:24">
      <c r="A991" s="39">
        <v>1264</v>
      </c>
      <c r="B991" s="40" t="s">
        <v>7038</v>
      </c>
      <c r="C991" s="39">
        <v>1</v>
      </c>
      <c r="E991" s="39">
        <v>1</v>
      </c>
      <c r="F991" s="39">
        <v>280</v>
      </c>
      <c r="G991" s="39">
        <v>1</v>
      </c>
      <c r="H991" s="39">
        <v>1</v>
      </c>
      <c r="I991" s="39">
        <v>1</v>
      </c>
      <c r="J991" s="39">
        <v>1</v>
      </c>
      <c r="K991" s="39">
        <v>0</v>
      </c>
      <c r="L991" s="39">
        <v>0</v>
      </c>
      <c r="M991" s="39">
        <v>0</v>
      </c>
      <c r="N991" s="39">
        <v>0</v>
      </c>
      <c r="O991" s="39">
        <v>0</v>
      </c>
      <c r="P991" s="39">
        <v>0</v>
      </c>
      <c r="Q991" s="39">
        <v>0</v>
      </c>
      <c r="R991" s="39">
        <v>0</v>
      </c>
      <c r="S991" s="39">
        <v>0</v>
      </c>
      <c r="T991" s="39">
        <v>0</v>
      </c>
      <c r="U991" s="39">
        <v>0</v>
      </c>
      <c r="V991" s="39">
        <v>418</v>
      </c>
      <c r="W991" s="40" t="s">
        <v>7671</v>
      </c>
      <c r="X991" s="39">
        <v>1</v>
      </c>
    </row>
    <row r="992" spans="1:24">
      <c r="A992" s="39">
        <v>1375</v>
      </c>
      <c r="B992" s="40" t="s">
        <v>7038</v>
      </c>
      <c r="C992" s="39">
        <v>1</v>
      </c>
      <c r="E992" s="39">
        <v>1</v>
      </c>
      <c r="F992" s="39">
        <v>280</v>
      </c>
      <c r="G992" s="39">
        <v>0</v>
      </c>
      <c r="H992" s="39">
        <v>0</v>
      </c>
      <c r="I992" s="39">
        <v>0</v>
      </c>
      <c r="J992" s="39">
        <v>0</v>
      </c>
      <c r="K992" s="39">
        <v>0</v>
      </c>
      <c r="L992" s="39">
        <v>0</v>
      </c>
      <c r="M992" s="39">
        <v>0</v>
      </c>
      <c r="N992" s="39">
        <v>0</v>
      </c>
      <c r="O992" s="39">
        <v>0</v>
      </c>
      <c r="P992" s="39">
        <v>0</v>
      </c>
      <c r="Q992" s="39">
        <v>0</v>
      </c>
      <c r="R992" s="39">
        <v>0</v>
      </c>
      <c r="S992" s="39">
        <v>0</v>
      </c>
      <c r="T992" s="39">
        <v>0</v>
      </c>
      <c r="U992" s="39">
        <v>0</v>
      </c>
      <c r="V992" s="39">
        <v>456</v>
      </c>
      <c r="W992" s="40" t="s">
        <v>7673</v>
      </c>
      <c r="X992" s="39">
        <v>1</v>
      </c>
    </row>
    <row r="993" spans="1:24">
      <c r="A993" s="39">
        <v>875</v>
      </c>
      <c r="B993" s="40" t="s">
        <v>7038</v>
      </c>
      <c r="C993" s="39">
        <v>1</v>
      </c>
      <c r="E993" s="39">
        <v>1</v>
      </c>
      <c r="F993" s="39">
        <v>280</v>
      </c>
      <c r="G993" s="39">
        <v>1</v>
      </c>
      <c r="H993" s="39">
        <v>1</v>
      </c>
      <c r="I993" s="39">
        <v>1</v>
      </c>
      <c r="J993" s="39">
        <v>0</v>
      </c>
      <c r="K993" s="39">
        <v>0</v>
      </c>
      <c r="L993" s="39">
        <v>0</v>
      </c>
      <c r="M993" s="39">
        <v>0</v>
      </c>
      <c r="N993" s="39">
        <v>0</v>
      </c>
      <c r="O993" s="39">
        <v>0</v>
      </c>
      <c r="P993" s="39">
        <v>0</v>
      </c>
      <c r="Q993" s="39">
        <v>0</v>
      </c>
      <c r="R993" s="39">
        <v>0</v>
      </c>
      <c r="S993" s="39">
        <v>0</v>
      </c>
      <c r="T993" s="39">
        <v>0</v>
      </c>
      <c r="U993" s="39">
        <v>0</v>
      </c>
      <c r="V993" s="39">
        <v>458</v>
      </c>
      <c r="W993" s="40" t="s">
        <v>7694</v>
      </c>
      <c r="X993" s="39">
        <v>1</v>
      </c>
    </row>
    <row r="994" spans="1:24">
      <c r="A994" s="39">
        <v>1168</v>
      </c>
      <c r="B994" s="40" t="s">
        <v>7038</v>
      </c>
      <c r="C994" s="39">
        <v>1</v>
      </c>
      <c r="E994" s="39">
        <v>1</v>
      </c>
      <c r="F994" s="39">
        <v>280</v>
      </c>
      <c r="G994" s="39">
        <v>1</v>
      </c>
      <c r="H994" s="39">
        <v>1</v>
      </c>
      <c r="I994" s="39">
        <v>1</v>
      </c>
      <c r="J994" s="39">
        <v>0</v>
      </c>
      <c r="K994" s="39">
        <v>0</v>
      </c>
      <c r="L994" s="39">
        <v>0</v>
      </c>
      <c r="M994" s="39">
        <v>0</v>
      </c>
      <c r="N994" s="39">
        <v>0</v>
      </c>
      <c r="O994" s="39">
        <v>0</v>
      </c>
      <c r="P994" s="39">
        <v>0</v>
      </c>
      <c r="Q994" s="39">
        <v>0</v>
      </c>
      <c r="R994" s="39">
        <v>0</v>
      </c>
      <c r="S994" s="39">
        <v>0</v>
      </c>
      <c r="T994" s="39">
        <v>0</v>
      </c>
      <c r="U994" s="39">
        <v>0</v>
      </c>
      <c r="V994" s="39">
        <v>459</v>
      </c>
      <c r="W994" s="40" t="s">
        <v>7674</v>
      </c>
      <c r="X994" s="39">
        <v>1</v>
      </c>
    </row>
    <row r="995" spans="1:24">
      <c r="A995" s="39">
        <v>623</v>
      </c>
      <c r="B995" s="40" t="s">
        <v>7038</v>
      </c>
      <c r="C995" s="39">
        <v>1</v>
      </c>
      <c r="E995" s="39">
        <v>1</v>
      </c>
      <c r="F995" s="39">
        <v>280</v>
      </c>
      <c r="G995" s="39">
        <v>1</v>
      </c>
      <c r="H995" s="39">
        <v>1</v>
      </c>
      <c r="I995" s="39">
        <v>1</v>
      </c>
      <c r="J995" s="39">
        <v>0</v>
      </c>
      <c r="K995" s="39">
        <v>0</v>
      </c>
      <c r="L995" s="39">
        <v>0</v>
      </c>
      <c r="M995" s="39">
        <v>0</v>
      </c>
      <c r="N995" s="39">
        <v>0</v>
      </c>
      <c r="O995" s="39">
        <v>0</v>
      </c>
      <c r="P995" s="39">
        <v>0</v>
      </c>
      <c r="Q995" s="39">
        <v>0</v>
      </c>
      <c r="R995" s="39">
        <v>0</v>
      </c>
      <c r="S995" s="39">
        <v>0</v>
      </c>
      <c r="T995" s="39">
        <v>0</v>
      </c>
      <c r="U995" s="39">
        <v>0</v>
      </c>
      <c r="V995" s="39">
        <v>468</v>
      </c>
      <c r="W995" s="40" t="s">
        <v>7677</v>
      </c>
      <c r="X995" s="39">
        <v>1</v>
      </c>
    </row>
    <row r="996" spans="1:24">
      <c r="A996" s="39">
        <v>1071</v>
      </c>
      <c r="B996" s="40" t="s">
        <v>7038</v>
      </c>
      <c r="C996" s="39">
        <v>1</v>
      </c>
      <c r="E996" s="39">
        <v>1</v>
      </c>
      <c r="F996" s="39">
        <v>280</v>
      </c>
      <c r="G996" s="39">
        <v>1</v>
      </c>
      <c r="H996" s="39">
        <v>1</v>
      </c>
      <c r="I996" s="39">
        <v>1</v>
      </c>
      <c r="J996" s="39">
        <v>1</v>
      </c>
      <c r="K996" s="39">
        <v>0</v>
      </c>
      <c r="L996" s="39">
        <v>0</v>
      </c>
      <c r="M996" s="39">
        <v>0</v>
      </c>
      <c r="N996" s="39">
        <v>0</v>
      </c>
      <c r="O996" s="39">
        <v>0</v>
      </c>
      <c r="P996" s="39">
        <v>0</v>
      </c>
      <c r="Q996" s="39">
        <v>0</v>
      </c>
      <c r="R996" s="39">
        <v>0</v>
      </c>
      <c r="S996" s="39">
        <v>0</v>
      </c>
      <c r="T996" s="39">
        <v>0</v>
      </c>
      <c r="U996" s="39">
        <v>0</v>
      </c>
      <c r="V996" s="39">
        <v>477</v>
      </c>
      <c r="W996" s="40" t="s">
        <v>7697</v>
      </c>
      <c r="X996" s="39">
        <v>1</v>
      </c>
    </row>
    <row r="997" spans="1:24">
      <c r="A997" s="39">
        <v>259</v>
      </c>
      <c r="B997" s="40" t="s">
        <v>7038</v>
      </c>
      <c r="C997" s="39">
        <v>1</v>
      </c>
      <c r="E997" s="39">
        <v>1</v>
      </c>
      <c r="F997" s="39">
        <v>280</v>
      </c>
      <c r="G997" s="39">
        <v>1</v>
      </c>
      <c r="H997" s="39">
        <v>1</v>
      </c>
      <c r="I997" s="39">
        <v>1</v>
      </c>
      <c r="J997" s="39">
        <v>0</v>
      </c>
      <c r="K997" s="39">
        <v>0</v>
      </c>
      <c r="L997" s="39">
        <v>0</v>
      </c>
      <c r="M997" s="39">
        <v>0</v>
      </c>
      <c r="N997" s="39">
        <v>0</v>
      </c>
      <c r="O997" s="39">
        <v>0</v>
      </c>
      <c r="P997" s="39">
        <v>0</v>
      </c>
      <c r="Q997" s="39">
        <v>0</v>
      </c>
      <c r="R997" s="39">
        <v>0</v>
      </c>
      <c r="S997" s="39">
        <v>0</v>
      </c>
      <c r="T997" s="39">
        <v>0</v>
      </c>
      <c r="U997" s="39">
        <v>0</v>
      </c>
      <c r="V997" s="39">
        <v>590</v>
      </c>
      <c r="W997" s="40" t="s">
        <v>7679</v>
      </c>
      <c r="X997" s="39">
        <v>1</v>
      </c>
    </row>
    <row r="998" spans="1:24">
      <c r="A998" s="39">
        <v>807</v>
      </c>
      <c r="B998" s="40" t="s">
        <v>7038</v>
      </c>
      <c r="C998" s="39">
        <v>1</v>
      </c>
      <c r="E998" s="39">
        <v>1</v>
      </c>
      <c r="F998" s="39">
        <v>280</v>
      </c>
      <c r="G998" s="39">
        <v>1</v>
      </c>
      <c r="H998" s="39">
        <v>1</v>
      </c>
      <c r="I998" s="39">
        <v>1</v>
      </c>
      <c r="J998" s="39">
        <v>0</v>
      </c>
      <c r="K998" s="39">
        <v>0</v>
      </c>
      <c r="L998" s="39">
        <v>0</v>
      </c>
      <c r="M998" s="39">
        <v>0</v>
      </c>
      <c r="N998" s="39">
        <v>0</v>
      </c>
      <c r="O998" s="39">
        <v>0</v>
      </c>
      <c r="P998" s="39">
        <v>0</v>
      </c>
      <c r="Q998" s="39">
        <v>0</v>
      </c>
      <c r="R998" s="39">
        <v>0</v>
      </c>
      <c r="S998" s="39">
        <v>0</v>
      </c>
      <c r="T998" s="39">
        <v>0</v>
      </c>
      <c r="U998" s="39">
        <v>0</v>
      </c>
      <c r="V998" s="39">
        <v>733</v>
      </c>
      <c r="W998" s="40" t="s">
        <v>7680</v>
      </c>
      <c r="X998" s="39">
        <v>1</v>
      </c>
    </row>
    <row r="999" spans="1:24">
      <c r="A999" s="39">
        <v>122</v>
      </c>
      <c r="B999" s="50" t="s">
        <v>7695</v>
      </c>
      <c r="C999" s="39">
        <v>1</v>
      </c>
      <c r="E999" s="39">
        <v>1</v>
      </c>
      <c r="F999" s="39">
        <v>680</v>
      </c>
      <c r="G999" s="39">
        <v>0</v>
      </c>
      <c r="H999" s="39">
        <v>0</v>
      </c>
      <c r="I999" s="39">
        <v>0</v>
      </c>
      <c r="J999" s="39">
        <v>0</v>
      </c>
      <c r="K999" s="39">
        <v>0</v>
      </c>
      <c r="L999" s="39">
        <v>0</v>
      </c>
      <c r="M999" s="39">
        <v>0</v>
      </c>
      <c r="N999" s="39">
        <v>0</v>
      </c>
      <c r="O999" s="39">
        <v>0</v>
      </c>
      <c r="P999" s="39">
        <v>0</v>
      </c>
      <c r="Q999" s="39">
        <v>0</v>
      </c>
      <c r="R999" s="39">
        <v>0</v>
      </c>
      <c r="S999" s="39">
        <v>0</v>
      </c>
      <c r="T999" s="39">
        <v>0</v>
      </c>
      <c r="U999" s="39">
        <v>0</v>
      </c>
      <c r="V999" s="39">
        <v>1</v>
      </c>
      <c r="W999" s="40" t="s">
        <v>518</v>
      </c>
      <c r="X999" s="39">
        <v>1</v>
      </c>
    </row>
    <row r="1000" spans="1:24">
      <c r="A1000" s="39">
        <v>34</v>
      </c>
      <c r="B1000" s="40" t="s">
        <v>7695</v>
      </c>
      <c r="C1000" s="39">
        <v>1</v>
      </c>
      <c r="D1000" s="40" t="s">
        <v>7861</v>
      </c>
      <c r="E1000" s="39">
        <v>1</v>
      </c>
      <c r="F1000" s="39">
        <v>31</v>
      </c>
      <c r="G1000" s="39">
        <v>0</v>
      </c>
      <c r="H1000" s="39">
        <v>0</v>
      </c>
      <c r="I1000" s="39">
        <v>0</v>
      </c>
      <c r="J1000" s="39">
        <v>0</v>
      </c>
      <c r="K1000" s="39">
        <v>0</v>
      </c>
      <c r="L1000" s="39">
        <v>0</v>
      </c>
      <c r="M1000" s="39">
        <v>0</v>
      </c>
      <c r="N1000" s="39">
        <v>0</v>
      </c>
      <c r="O1000" s="39">
        <v>0</v>
      </c>
      <c r="P1000" s="39">
        <v>0</v>
      </c>
      <c r="Q1000" s="39">
        <v>0</v>
      </c>
      <c r="R1000" s="39">
        <v>0</v>
      </c>
      <c r="S1000" s="39">
        <v>0</v>
      </c>
      <c r="T1000" s="39">
        <v>0</v>
      </c>
      <c r="U1000" s="39">
        <v>0</v>
      </c>
      <c r="V1000" s="39">
        <v>2</v>
      </c>
      <c r="W1000" s="40" t="s">
        <v>40</v>
      </c>
      <c r="X1000" s="39">
        <v>1</v>
      </c>
    </row>
    <row r="1001" spans="1:24">
      <c r="A1001" s="39">
        <v>990</v>
      </c>
      <c r="B1001" s="40" t="s">
        <v>7695</v>
      </c>
      <c r="C1001" s="39">
        <v>1</v>
      </c>
      <c r="E1001" s="39">
        <v>1</v>
      </c>
      <c r="F1001" s="39">
        <v>680</v>
      </c>
      <c r="G1001" s="39">
        <v>1</v>
      </c>
      <c r="H1001" s="39">
        <v>1</v>
      </c>
      <c r="I1001" s="39">
        <v>1</v>
      </c>
      <c r="J1001" s="39">
        <v>0</v>
      </c>
      <c r="K1001" s="39">
        <v>0</v>
      </c>
      <c r="L1001" s="39">
        <v>0</v>
      </c>
      <c r="M1001" s="39">
        <v>0</v>
      </c>
      <c r="N1001" s="39">
        <v>0</v>
      </c>
      <c r="O1001" s="39">
        <v>0</v>
      </c>
      <c r="P1001" s="39">
        <v>0</v>
      </c>
      <c r="Q1001" s="39">
        <v>0</v>
      </c>
      <c r="R1001" s="39">
        <v>0</v>
      </c>
      <c r="S1001" s="39">
        <v>0</v>
      </c>
      <c r="T1001" s="39">
        <v>0</v>
      </c>
      <c r="U1001" s="39">
        <v>0</v>
      </c>
      <c r="V1001" s="39">
        <v>158</v>
      </c>
      <c r="W1001" s="40" t="s">
        <v>7667</v>
      </c>
      <c r="X1001" s="39">
        <v>1</v>
      </c>
    </row>
    <row r="1002" spans="1:24">
      <c r="A1002" s="39">
        <v>480</v>
      </c>
      <c r="B1002" s="40" t="s">
        <v>7695</v>
      </c>
      <c r="C1002" s="39">
        <v>1</v>
      </c>
      <c r="E1002" s="39">
        <v>1</v>
      </c>
      <c r="F1002" s="39">
        <v>680</v>
      </c>
      <c r="G1002" s="39">
        <v>0</v>
      </c>
      <c r="H1002" s="39">
        <v>0</v>
      </c>
      <c r="I1002" s="39">
        <v>0</v>
      </c>
      <c r="J1002" s="39">
        <v>0</v>
      </c>
      <c r="K1002" s="39">
        <v>0</v>
      </c>
      <c r="L1002" s="39">
        <v>0</v>
      </c>
      <c r="M1002" s="39">
        <v>0</v>
      </c>
      <c r="N1002" s="39">
        <v>0</v>
      </c>
      <c r="O1002" s="39">
        <v>0</v>
      </c>
      <c r="P1002" s="39">
        <v>0</v>
      </c>
      <c r="Q1002" s="39">
        <v>0</v>
      </c>
      <c r="R1002" s="39">
        <v>0</v>
      </c>
      <c r="S1002" s="39">
        <v>0</v>
      </c>
      <c r="T1002" s="39">
        <v>0</v>
      </c>
      <c r="U1002" s="39">
        <v>0</v>
      </c>
      <c r="V1002" s="39">
        <v>175</v>
      </c>
      <c r="W1002" s="40" t="s">
        <v>7689</v>
      </c>
      <c r="X1002" s="39">
        <v>1</v>
      </c>
    </row>
    <row r="1003" spans="1:24">
      <c r="A1003" s="39">
        <v>369</v>
      </c>
      <c r="B1003" s="40" t="s">
        <v>7695</v>
      </c>
      <c r="C1003" s="39">
        <v>1</v>
      </c>
      <c r="E1003" s="39">
        <v>1</v>
      </c>
      <c r="F1003" s="39">
        <v>680</v>
      </c>
      <c r="G1003" s="39">
        <v>1</v>
      </c>
      <c r="H1003" s="39">
        <v>1</v>
      </c>
      <c r="I1003" s="39">
        <v>1</v>
      </c>
      <c r="J1003" s="39">
        <v>0</v>
      </c>
      <c r="K1003" s="39">
        <v>0</v>
      </c>
      <c r="L1003" s="39">
        <v>0</v>
      </c>
      <c r="M1003" s="39">
        <v>0</v>
      </c>
      <c r="N1003" s="39">
        <v>0</v>
      </c>
      <c r="O1003" s="39">
        <v>0</v>
      </c>
      <c r="P1003" s="39">
        <v>0</v>
      </c>
      <c r="Q1003" s="39">
        <v>0</v>
      </c>
      <c r="R1003" s="39">
        <v>0</v>
      </c>
      <c r="S1003" s="39">
        <v>0</v>
      </c>
      <c r="T1003" s="39">
        <v>0</v>
      </c>
      <c r="U1003" s="39">
        <v>0</v>
      </c>
      <c r="V1003" s="39">
        <v>228</v>
      </c>
      <c r="W1003" s="40" t="s">
        <v>7669</v>
      </c>
      <c r="X1003" s="39">
        <v>1</v>
      </c>
    </row>
    <row r="1004" spans="1:24">
      <c r="A1004" s="39">
        <v>1733</v>
      </c>
      <c r="B1004" s="40" t="s">
        <v>7695</v>
      </c>
      <c r="C1004" s="39">
        <v>1</v>
      </c>
      <c r="E1004" s="39">
        <v>1</v>
      </c>
      <c r="F1004" s="39">
        <v>680</v>
      </c>
      <c r="G1004" s="39">
        <v>0</v>
      </c>
      <c r="H1004" s="39">
        <v>0</v>
      </c>
      <c r="I1004" s="39">
        <v>0</v>
      </c>
      <c r="J1004" s="39">
        <v>0</v>
      </c>
      <c r="K1004" s="39">
        <v>0</v>
      </c>
      <c r="L1004" s="39">
        <v>0</v>
      </c>
      <c r="M1004" s="39">
        <v>0</v>
      </c>
      <c r="N1004" s="39">
        <v>0</v>
      </c>
      <c r="O1004" s="39">
        <v>0</v>
      </c>
      <c r="P1004" s="39">
        <v>0</v>
      </c>
      <c r="Q1004" s="39">
        <v>0</v>
      </c>
      <c r="R1004" s="39">
        <v>0</v>
      </c>
      <c r="S1004" s="39">
        <v>0</v>
      </c>
      <c r="T1004" s="39">
        <v>0</v>
      </c>
      <c r="U1004" s="39">
        <v>0</v>
      </c>
      <c r="V1004" s="39">
        <v>244</v>
      </c>
      <c r="W1004" s="40" t="s">
        <v>682</v>
      </c>
      <c r="X1004" s="39">
        <v>1</v>
      </c>
    </row>
    <row r="1005" spans="1:24">
      <c r="A1005" s="39">
        <v>739</v>
      </c>
      <c r="B1005" s="40" t="s">
        <v>7695</v>
      </c>
      <c r="C1005" s="39">
        <v>1</v>
      </c>
      <c r="E1005" s="39">
        <v>1</v>
      </c>
      <c r="F1005" s="39">
        <v>680</v>
      </c>
      <c r="G1005" s="39">
        <v>0</v>
      </c>
      <c r="H1005" s="39">
        <v>0</v>
      </c>
      <c r="I1005" s="39">
        <v>0</v>
      </c>
      <c r="J1005" s="39">
        <v>0</v>
      </c>
      <c r="K1005" s="39">
        <v>0</v>
      </c>
      <c r="L1005" s="39">
        <v>0</v>
      </c>
      <c r="M1005" s="39">
        <v>0</v>
      </c>
      <c r="N1005" s="39">
        <v>0</v>
      </c>
      <c r="O1005" s="39">
        <v>0</v>
      </c>
      <c r="P1005" s="39">
        <v>0</v>
      </c>
      <c r="Q1005" s="39">
        <v>0</v>
      </c>
      <c r="R1005" s="39">
        <v>0</v>
      </c>
      <c r="S1005" s="39">
        <v>0</v>
      </c>
      <c r="T1005" s="39">
        <v>0</v>
      </c>
      <c r="U1005" s="39">
        <v>0</v>
      </c>
      <c r="V1005" s="39">
        <v>381</v>
      </c>
      <c r="W1005" s="40" t="s">
        <v>7805</v>
      </c>
      <c r="X1005" s="39">
        <v>1</v>
      </c>
    </row>
    <row r="1006" spans="1:24">
      <c r="A1006" s="39">
        <v>1265</v>
      </c>
      <c r="B1006" s="40" t="s">
        <v>7695</v>
      </c>
      <c r="C1006" s="39">
        <v>1</v>
      </c>
      <c r="E1006" s="39">
        <v>1</v>
      </c>
      <c r="F1006" s="39">
        <v>680</v>
      </c>
      <c r="G1006" s="39">
        <v>1</v>
      </c>
      <c r="H1006" s="39">
        <v>1</v>
      </c>
      <c r="I1006" s="39">
        <v>1</v>
      </c>
      <c r="J1006" s="39">
        <v>1</v>
      </c>
      <c r="K1006" s="39">
        <v>0</v>
      </c>
      <c r="L1006" s="39">
        <v>0</v>
      </c>
      <c r="M1006" s="39">
        <v>0</v>
      </c>
      <c r="N1006" s="39">
        <v>0</v>
      </c>
      <c r="O1006" s="39">
        <v>0</v>
      </c>
      <c r="P1006" s="39">
        <v>0</v>
      </c>
      <c r="Q1006" s="39">
        <v>0</v>
      </c>
      <c r="R1006" s="39">
        <v>0</v>
      </c>
      <c r="S1006" s="39">
        <v>0</v>
      </c>
      <c r="T1006" s="39">
        <v>0</v>
      </c>
      <c r="U1006" s="39">
        <v>0</v>
      </c>
      <c r="V1006" s="39">
        <v>418</v>
      </c>
      <c r="W1006" s="40" t="s">
        <v>7671</v>
      </c>
      <c r="X1006" s="39">
        <v>1</v>
      </c>
    </row>
    <row r="1007" spans="1:24">
      <c r="A1007" s="39">
        <v>1394</v>
      </c>
      <c r="B1007" s="40" t="s">
        <v>7695</v>
      </c>
      <c r="C1007" s="39">
        <v>1</v>
      </c>
      <c r="E1007" s="39">
        <v>1</v>
      </c>
      <c r="F1007" s="39">
        <v>680</v>
      </c>
      <c r="G1007" s="39">
        <v>0</v>
      </c>
      <c r="H1007" s="39">
        <v>0</v>
      </c>
      <c r="I1007" s="39">
        <v>0</v>
      </c>
      <c r="J1007" s="39">
        <v>0</v>
      </c>
      <c r="K1007" s="39">
        <v>0</v>
      </c>
      <c r="L1007" s="39">
        <v>0</v>
      </c>
      <c r="M1007" s="39">
        <v>0</v>
      </c>
      <c r="N1007" s="39">
        <v>0</v>
      </c>
      <c r="O1007" s="39">
        <v>0</v>
      </c>
      <c r="P1007" s="39">
        <v>0</v>
      </c>
      <c r="Q1007" s="39">
        <v>0</v>
      </c>
      <c r="R1007" s="39">
        <v>0</v>
      </c>
      <c r="S1007" s="39">
        <v>0</v>
      </c>
      <c r="T1007" s="39">
        <v>0</v>
      </c>
      <c r="U1007" s="39">
        <v>0</v>
      </c>
      <c r="V1007" s="39">
        <v>456</v>
      </c>
      <c r="W1007" s="40" t="s">
        <v>7673</v>
      </c>
      <c r="X1007" s="39">
        <v>1</v>
      </c>
    </row>
    <row r="1008" spans="1:24">
      <c r="A1008" s="39">
        <v>876</v>
      </c>
      <c r="B1008" s="40" t="s">
        <v>7695</v>
      </c>
      <c r="C1008" s="39">
        <v>1</v>
      </c>
      <c r="E1008" s="39">
        <v>1</v>
      </c>
      <c r="F1008" s="39">
        <v>680</v>
      </c>
      <c r="G1008" s="39">
        <v>1</v>
      </c>
      <c r="H1008" s="39">
        <v>1</v>
      </c>
      <c r="I1008" s="39">
        <v>1</v>
      </c>
      <c r="J1008" s="39">
        <v>0</v>
      </c>
      <c r="K1008" s="39">
        <v>0</v>
      </c>
      <c r="L1008" s="39">
        <v>0</v>
      </c>
      <c r="M1008" s="39">
        <v>0</v>
      </c>
      <c r="N1008" s="39">
        <v>0</v>
      </c>
      <c r="O1008" s="39">
        <v>0</v>
      </c>
      <c r="P1008" s="39">
        <v>0</v>
      </c>
      <c r="Q1008" s="39">
        <v>0</v>
      </c>
      <c r="R1008" s="39">
        <v>0</v>
      </c>
      <c r="S1008" s="39">
        <v>0</v>
      </c>
      <c r="T1008" s="39">
        <v>0</v>
      </c>
      <c r="U1008" s="39">
        <v>0</v>
      </c>
      <c r="V1008" s="39">
        <v>458</v>
      </c>
      <c r="W1008" s="40" t="s">
        <v>7694</v>
      </c>
      <c r="X1008" s="39">
        <v>1</v>
      </c>
    </row>
    <row r="1009" spans="1:24">
      <c r="A1009" s="39">
        <v>1169</v>
      </c>
      <c r="B1009" s="40" t="s">
        <v>7695</v>
      </c>
      <c r="C1009" s="39">
        <v>1</v>
      </c>
      <c r="E1009" s="39">
        <v>1</v>
      </c>
      <c r="F1009" s="39">
        <v>680</v>
      </c>
      <c r="G1009" s="39">
        <v>1</v>
      </c>
      <c r="H1009" s="39">
        <v>1</v>
      </c>
      <c r="I1009" s="39">
        <v>1</v>
      </c>
      <c r="J1009" s="39">
        <v>0</v>
      </c>
      <c r="K1009" s="39">
        <v>0</v>
      </c>
      <c r="L1009" s="39">
        <v>0</v>
      </c>
      <c r="M1009" s="39">
        <v>0</v>
      </c>
      <c r="N1009" s="39">
        <v>0</v>
      </c>
      <c r="O1009" s="39">
        <v>0</v>
      </c>
      <c r="P1009" s="39">
        <v>0</v>
      </c>
      <c r="Q1009" s="39">
        <v>0</v>
      </c>
      <c r="R1009" s="39">
        <v>0</v>
      </c>
      <c r="S1009" s="39">
        <v>0</v>
      </c>
      <c r="T1009" s="39">
        <v>0</v>
      </c>
      <c r="U1009" s="39">
        <v>0</v>
      </c>
      <c r="V1009" s="39">
        <v>459</v>
      </c>
      <c r="W1009" s="40" t="s">
        <v>7674</v>
      </c>
      <c r="X1009" s="39">
        <v>1</v>
      </c>
    </row>
    <row r="1010" spans="1:24">
      <c r="A1010" s="39">
        <v>624</v>
      </c>
      <c r="B1010" s="40" t="s">
        <v>7695</v>
      </c>
      <c r="C1010" s="39">
        <v>1</v>
      </c>
      <c r="E1010" s="39">
        <v>1</v>
      </c>
      <c r="F1010" s="39">
        <v>680</v>
      </c>
      <c r="G1010" s="39">
        <v>1</v>
      </c>
      <c r="H1010" s="39">
        <v>1</v>
      </c>
      <c r="I1010" s="39">
        <v>1</v>
      </c>
      <c r="J1010" s="39">
        <v>0</v>
      </c>
      <c r="K1010" s="39">
        <v>0</v>
      </c>
      <c r="L1010" s="39">
        <v>0</v>
      </c>
      <c r="M1010" s="39">
        <v>0</v>
      </c>
      <c r="N1010" s="39">
        <v>0</v>
      </c>
      <c r="O1010" s="39">
        <v>0</v>
      </c>
      <c r="P1010" s="39">
        <v>0</v>
      </c>
      <c r="Q1010" s="39">
        <v>0</v>
      </c>
      <c r="R1010" s="39">
        <v>0</v>
      </c>
      <c r="S1010" s="39">
        <v>0</v>
      </c>
      <c r="T1010" s="39">
        <v>0</v>
      </c>
      <c r="U1010" s="39">
        <v>0</v>
      </c>
      <c r="V1010" s="39">
        <v>468</v>
      </c>
      <c r="W1010" s="40" t="s">
        <v>7677</v>
      </c>
      <c r="X1010" s="39">
        <v>1</v>
      </c>
    </row>
    <row r="1011" spans="1:24">
      <c r="A1011" s="39">
        <v>1072</v>
      </c>
      <c r="B1011" s="40" t="s">
        <v>7695</v>
      </c>
      <c r="C1011" s="39">
        <v>1</v>
      </c>
      <c r="E1011" s="39">
        <v>1</v>
      </c>
      <c r="F1011" s="39">
        <v>680</v>
      </c>
      <c r="G1011" s="39">
        <v>1</v>
      </c>
      <c r="H1011" s="39">
        <v>1</v>
      </c>
      <c r="I1011" s="39">
        <v>1</v>
      </c>
      <c r="J1011" s="39">
        <v>0</v>
      </c>
      <c r="K1011" s="39">
        <v>0</v>
      </c>
      <c r="L1011" s="39">
        <v>0</v>
      </c>
      <c r="M1011" s="39">
        <v>0</v>
      </c>
      <c r="N1011" s="39">
        <v>0</v>
      </c>
      <c r="O1011" s="39">
        <v>0</v>
      </c>
      <c r="P1011" s="39">
        <v>0</v>
      </c>
      <c r="Q1011" s="39">
        <v>0</v>
      </c>
      <c r="R1011" s="39">
        <v>0</v>
      </c>
      <c r="S1011" s="39">
        <v>0</v>
      </c>
      <c r="T1011" s="39">
        <v>0</v>
      </c>
      <c r="U1011" s="39">
        <v>0</v>
      </c>
      <c r="V1011" s="39">
        <v>477</v>
      </c>
      <c r="W1011" s="40" t="s">
        <v>7697</v>
      </c>
      <c r="X1011" s="39">
        <v>1</v>
      </c>
    </row>
    <row r="1012" spans="1:24">
      <c r="A1012" s="39">
        <v>260</v>
      </c>
      <c r="B1012" s="40" t="s">
        <v>7695</v>
      </c>
      <c r="C1012" s="39">
        <v>1</v>
      </c>
      <c r="E1012" s="39">
        <v>1</v>
      </c>
      <c r="F1012" s="39">
        <v>680</v>
      </c>
      <c r="G1012" s="39">
        <v>1</v>
      </c>
      <c r="H1012" s="39">
        <v>1</v>
      </c>
      <c r="I1012" s="39">
        <v>1</v>
      </c>
      <c r="J1012" s="39">
        <v>0</v>
      </c>
      <c r="K1012" s="39">
        <v>0</v>
      </c>
      <c r="L1012" s="39">
        <v>0</v>
      </c>
      <c r="M1012" s="39">
        <v>0</v>
      </c>
      <c r="N1012" s="39">
        <v>0</v>
      </c>
      <c r="O1012" s="39">
        <v>0</v>
      </c>
      <c r="P1012" s="39">
        <v>0</v>
      </c>
      <c r="Q1012" s="39">
        <v>0</v>
      </c>
      <c r="R1012" s="39">
        <v>0</v>
      </c>
      <c r="S1012" s="39">
        <v>0</v>
      </c>
      <c r="T1012" s="39">
        <v>0</v>
      </c>
      <c r="U1012" s="39">
        <v>0</v>
      </c>
      <c r="V1012" s="39">
        <v>590</v>
      </c>
      <c r="W1012" s="40" t="s">
        <v>7679</v>
      </c>
      <c r="X1012" s="39">
        <v>1</v>
      </c>
    </row>
    <row r="1013" spans="1:24">
      <c r="A1013" s="39">
        <v>808</v>
      </c>
      <c r="B1013" s="40" t="s">
        <v>7695</v>
      </c>
      <c r="C1013" s="39">
        <v>1</v>
      </c>
      <c r="E1013" s="39">
        <v>1</v>
      </c>
      <c r="F1013" s="39">
        <v>680</v>
      </c>
      <c r="G1013" s="39">
        <v>1</v>
      </c>
      <c r="H1013" s="39">
        <v>1</v>
      </c>
      <c r="I1013" s="39">
        <v>1</v>
      </c>
      <c r="J1013" s="39">
        <v>0</v>
      </c>
      <c r="K1013" s="39">
        <v>0</v>
      </c>
      <c r="L1013" s="39">
        <v>0</v>
      </c>
      <c r="M1013" s="39">
        <v>0</v>
      </c>
      <c r="N1013" s="39">
        <v>0</v>
      </c>
      <c r="O1013" s="39">
        <v>0</v>
      </c>
      <c r="P1013" s="39">
        <v>0</v>
      </c>
      <c r="Q1013" s="39">
        <v>0</v>
      </c>
      <c r="R1013" s="39">
        <v>0</v>
      </c>
      <c r="S1013" s="39">
        <v>0</v>
      </c>
      <c r="T1013" s="39">
        <v>0</v>
      </c>
      <c r="U1013" s="39">
        <v>0</v>
      </c>
      <c r="V1013" s="39">
        <v>733</v>
      </c>
      <c r="W1013" s="40" t="s">
        <v>7680</v>
      </c>
      <c r="X1013" s="39">
        <v>1</v>
      </c>
    </row>
    <row r="1014" spans="1:24">
      <c r="A1014" s="39">
        <v>123</v>
      </c>
      <c r="B1014" s="50" t="s">
        <v>6261</v>
      </c>
      <c r="C1014" s="39">
        <v>1</v>
      </c>
      <c r="E1014" s="39">
        <v>1</v>
      </c>
      <c r="F1014" s="39">
        <v>700</v>
      </c>
      <c r="G1014" s="39">
        <v>0</v>
      </c>
      <c r="H1014" s="39">
        <v>0</v>
      </c>
      <c r="I1014" s="39">
        <v>0</v>
      </c>
      <c r="J1014" s="39">
        <v>0</v>
      </c>
      <c r="K1014" s="39">
        <v>0</v>
      </c>
      <c r="L1014" s="39">
        <v>0</v>
      </c>
      <c r="M1014" s="39">
        <v>0</v>
      </c>
      <c r="N1014" s="39">
        <v>0</v>
      </c>
      <c r="O1014" s="39">
        <v>0</v>
      </c>
      <c r="P1014" s="39">
        <v>0</v>
      </c>
      <c r="Q1014" s="39">
        <v>0</v>
      </c>
      <c r="R1014" s="39">
        <v>0</v>
      </c>
      <c r="S1014" s="39">
        <v>0</v>
      </c>
      <c r="T1014" s="39">
        <v>0</v>
      </c>
      <c r="U1014" s="39">
        <v>0</v>
      </c>
      <c r="V1014" s="39">
        <v>1</v>
      </c>
      <c r="W1014" s="40" t="s">
        <v>518</v>
      </c>
      <c r="X1014" s="39">
        <v>1</v>
      </c>
    </row>
    <row r="1015" spans="1:24">
      <c r="A1015" s="39">
        <v>35</v>
      </c>
      <c r="B1015" s="40" t="s">
        <v>6261</v>
      </c>
      <c r="C1015" s="39">
        <v>1</v>
      </c>
      <c r="D1015" s="40" t="s">
        <v>7862</v>
      </c>
      <c r="E1015" s="39">
        <v>1</v>
      </c>
      <c r="F1015" s="39">
        <v>10</v>
      </c>
      <c r="G1015" s="39">
        <v>0</v>
      </c>
      <c r="H1015" s="39">
        <v>0</v>
      </c>
      <c r="I1015" s="39">
        <v>0</v>
      </c>
      <c r="J1015" s="39">
        <v>0</v>
      </c>
      <c r="K1015" s="39">
        <v>0</v>
      </c>
      <c r="L1015" s="39">
        <v>0</v>
      </c>
      <c r="M1015" s="39">
        <v>0</v>
      </c>
      <c r="N1015" s="39">
        <v>0</v>
      </c>
      <c r="O1015" s="39">
        <v>0</v>
      </c>
      <c r="P1015" s="39">
        <v>0</v>
      </c>
      <c r="Q1015" s="39">
        <v>0</v>
      </c>
      <c r="R1015" s="39">
        <v>0</v>
      </c>
      <c r="S1015" s="39">
        <v>0</v>
      </c>
      <c r="T1015" s="39">
        <v>0</v>
      </c>
      <c r="U1015" s="39">
        <v>0</v>
      </c>
      <c r="V1015" s="39">
        <v>2</v>
      </c>
      <c r="W1015" s="40" t="s">
        <v>40</v>
      </c>
      <c r="X1015" s="39">
        <v>1</v>
      </c>
    </row>
    <row r="1016" spans="1:24">
      <c r="A1016" s="39">
        <v>991</v>
      </c>
      <c r="B1016" s="40" t="s">
        <v>6261</v>
      </c>
      <c r="C1016" s="39">
        <v>1</v>
      </c>
      <c r="E1016" s="39">
        <v>1</v>
      </c>
      <c r="F1016" s="39">
        <v>700</v>
      </c>
      <c r="G1016" s="39">
        <v>1</v>
      </c>
      <c r="H1016" s="39">
        <v>1</v>
      </c>
      <c r="I1016" s="39">
        <v>1</v>
      </c>
      <c r="J1016" s="39">
        <v>0</v>
      </c>
      <c r="K1016" s="39">
        <v>0</v>
      </c>
      <c r="L1016" s="39">
        <v>0</v>
      </c>
      <c r="M1016" s="39">
        <v>0</v>
      </c>
      <c r="N1016" s="39">
        <v>0</v>
      </c>
      <c r="O1016" s="39">
        <v>0</v>
      </c>
      <c r="P1016" s="39">
        <v>0</v>
      </c>
      <c r="Q1016" s="39">
        <v>0</v>
      </c>
      <c r="R1016" s="39">
        <v>0</v>
      </c>
      <c r="S1016" s="39">
        <v>0</v>
      </c>
      <c r="T1016" s="39">
        <v>0</v>
      </c>
      <c r="U1016" s="39">
        <v>0</v>
      </c>
      <c r="V1016" s="39">
        <v>158</v>
      </c>
      <c r="W1016" s="40" t="s">
        <v>7667</v>
      </c>
      <c r="X1016" s="39">
        <v>1</v>
      </c>
    </row>
    <row r="1017" spans="1:24">
      <c r="A1017" s="39">
        <v>481</v>
      </c>
      <c r="B1017" s="40" t="s">
        <v>6261</v>
      </c>
      <c r="C1017" s="39">
        <v>1</v>
      </c>
      <c r="E1017" s="39">
        <v>1</v>
      </c>
      <c r="F1017" s="39">
        <v>700</v>
      </c>
      <c r="G1017" s="39">
        <v>0</v>
      </c>
      <c r="H1017" s="39">
        <v>0</v>
      </c>
      <c r="I1017" s="39">
        <v>0</v>
      </c>
      <c r="J1017" s="39">
        <v>0</v>
      </c>
      <c r="K1017" s="39">
        <v>0</v>
      </c>
      <c r="L1017" s="39">
        <v>0</v>
      </c>
      <c r="M1017" s="39">
        <v>0</v>
      </c>
      <c r="N1017" s="39">
        <v>0</v>
      </c>
      <c r="O1017" s="39">
        <v>0</v>
      </c>
      <c r="P1017" s="39">
        <v>0</v>
      </c>
      <c r="Q1017" s="39">
        <v>0</v>
      </c>
      <c r="R1017" s="39">
        <v>0</v>
      </c>
      <c r="S1017" s="39">
        <v>0</v>
      </c>
      <c r="T1017" s="39">
        <v>0</v>
      </c>
      <c r="U1017" s="39">
        <v>0</v>
      </c>
      <c r="V1017" s="39">
        <v>175</v>
      </c>
      <c r="W1017" s="40" t="s">
        <v>7689</v>
      </c>
      <c r="X1017" s="39">
        <v>1</v>
      </c>
    </row>
    <row r="1018" spans="1:24">
      <c r="A1018" s="39">
        <v>370</v>
      </c>
      <c r="B1018" s="40" t="s">
        <v>6261</v>
      </c>
      <c r="C1018" s="39">
        <v>1</v>
      </c>
      <c r="E1018" s="39">
        <v>1</v>
      </c>
      <c r="F1018" s="39">
        <v>700</v>
      </c>
      <c r="G1018" s="39">
        <v>1</v>
      </c>
      <c r="H1018" s="39">
        <v>1</v>
      </c>
      <c r="I1018" s="39">
        <v>1</v>
      </c>
      <c r="J1018" s="39">
        <v>0</v>
      </c>
      <c r="K1018" s="39">
        <v>0</v>
      </c>
      <c r="L1018" s="39">
        <v>0</v>
      </c>
      <c r="M1018" s="39">
        <v>0</v>
      </c>
      <c r="N1018" s="39">
        <v>0</v>
      </c>
      <c r="O1018" s="39">
        <v>0</v>
      </c>
      <c r="P1018" s="39">
        <v>0</v>
      </c>
      <c r="Q1018" s="39">
        <v>0</v>
      </c>
      <c r="R1018" s="39">
        <v>0</v>
      </c>
      <c r="S1018" s="39">
        <v>0</v>
      </c>
      <c r="T1018" s="39">
        <v>0</v>
      </c>
      <c r="U1018" s="39">
        <v>0</v>
      </c>
      <c r="V1018" s="39">
        <v>228</v>
      </c>
      <c r="W1018" s="40" t="s">
        <v>7669</v>
      </c>
      <c r="X1018" s="39">
        <v>1</v>
      </c>
    </row>
    <row r="1019" spans="1:24">
      <c r="A1019" s="39">
        <v>1734</v>
      </c>
      <c r="B1019" s="40" t="s">
        <v>6261</v>
      </c>
      <c r="C1019" s="39">
        <v>1</v>
      </c>
      <c r="E1019" s="39">
        <v>1</v>
      </c>
      <c r="F1019" s="39">
        <v>700</v>
      </c>
      <c r="G1019" s="39">
        <v>0</v>
      </c>
      <c r="H1019" s="39">
        <v>0</v>
      </c>
      <c r="I1019" s="39">
        <v>0</v>
      </c>
      <c r="J1019" s="39">
        <v>0</v>
      </c>
      <c r="K1019" s="39">
        <v>0</v>
      </c>
      <c r="L1019" s="39">
        <v>0</v>
      </c>
      <c r="M1019" s="39">
        <v>0</v>
      </c>
      <c r="N1019" s="39">
        <v>0</v>
      </c>
      <c r="O1019" s="39">
        <v>0</v>
      </c>
      <c r="P1019" s="39">
        <v>0</v>
      </c>
      <c r="Q1019" s="39">
        <v>0</v>
      </c>
      <c r="R1019" s="39">
        <v>0</v>
      </c>
      <c r="S1019" s="39">
        <v>0</v>
      </c>
      <c r="T1019" s="39">
        <v>0</v>
      </c>
      <c r="U1019" s="39">
        <v>0</v>
      </c>
      <c r="V1019" s="39">
        <v>244</v>
      </c>
      <c r="W1019" s="40" t="s">
        <v>682</v>
      </c>
      <c r="X1019" s="39">
        <v>1</v>
      </c>
    </row>
    <row r="1020" spans="1:24">
      <c r="A1020" s="39">
        <v>740</v>
      </c>
      <c r="B1020" s="40" t="s">
        <v>6261</v>
      </c>
      <c r="C1020" s="39">
        <v>1</v>
      </c>
      <c r="E1020" s="39">
        <v>1</v>
      </c>
      <c r="F1020" s="39">
        <v>700</v>
      </c>
      <c r="G1020" s="39">
        <v>0</v>
      </c>
      <c r="H1020" s="39">
        <v>0</v>
      </c>
      <c r="I1020" s="39">
        <v>0</v>
      </c>
      <c r="J1020" s="39">
        <v>0</v>
      </c>
      <c r="K1020" s="39">
        <v>0</v>
      </c>
      <c r="L1020" s="39">
        <v>0</v>
      </c>
      <c r="M1020" s="39">
        <v>0</v>
      </c>
      <c r="N1020" s="39">
        <v>0</v>
      </c>
      <c r="O1020" s="39">
        <v>0</v>
      </c>
      <c r="P1020" s="39">
        <v>0</v>
      </c>
      <c r="Q1020" s="39">
        <v>0</v>
      </c>
      <c r="R1020" s="39">
        <v>0</v>
      </c>
      <c r="S1020" s="39">
        <v>0</v>
      </c>
      <c r="T1020" s="39">
        <v>0</v>
      </c>
      <c r="U1020" s="39">
        <v>0</v>
      </c>
      <c r="V1020" s="39">
        <v>381</v>
      </c>
      <c r="W1020" s="40" t="s">
        <v>7805</v>
      </c>
      <c r="X1020" s="39">
        <v>1</v>
      </c>
    </row>
    <row r="1021" spans="1:24">
      <c r="A1021" s="39">
        <v>1266</v>
      </c>
      <c r="B1021" s="40" t="s">
        <v>6261</v>
      </c>
      <c r="C1021" s="39">
        <v>1</v>
      </c>
      <c r="E1021" s="39">
        <v>1</v>
      </c>
      <c r="F1021" s="39">
        <v>700</v>
      </c>
      <c r="G1021" s="39">
        <v>1</v>
      </c>
      <c r="H1021" s="39">
        <v>1</v>
      </c>
      <c r="I1021" s="39">
        <v>1</v>
      </c>
      <c r="J1021" s="39">
        <v>1</v>
      </c>
      <c r="K1021" s="39">
        <v>0</v>
      </c>
      <c r="L1021" s="39">
        <v>0</v>
      </c>
      <c r="M1021" s="39">
        <v>0</v>
      </c>
      <c r="N1021" s="39">
        <v>0</v>
      </c>
      <c r="O1021" s="39">
        <v>0</v>
      </c>
      <c r="P1021" s="39">
        <v>0</v>
      </c>
      <c r="Q1021" s="39">
        <v>0</v>
      </c>
      <c r="R1021" s="39">
        <v>0</v>
      </c>
      <c r="S1021" s="39">
        <v>0</v>
      </c>
      <c r="T1021" s="39">
        <v>0</v>
      </c>
      <c r="U1021" s="39">
        <v>0</v>
      </c>
      <c r="V1021" s="39">
        <v>418</v>
      </c>
      <c r="W1021" s="40" t="s">
        <v>7671</v>
      </c>
      <c r="X1021" s="39">
        <v>1</v>
      </c>
    </row>
    <row r="1022" spans="1:24">
      <c r="A1022" s="39">
        <v>1395</v>
      </c>
      <c r="B1022" s="40" t="s">
        <v>6261</v>
      </c>
      <c r="C1022" s="39">
        <v>1</v>
      </c>
      <c r="E1022" s="39">
        <v>1</v>
      </c>
      <c r="F1022" s="39">
        <v>700</v>
      </c>
      <c r="G1022" s="39">
        <v>0</v>
      </c>
      <c r="H1022" s="39">
        <v>0</v>
      </c>
      <c r="I1022" s="39">
        <v>0</v>
      </c>
      <c r="J1022" s="39">
        <v>0</v>
      </c>
      <c r="K1022" s="39">
        <v>0</v>
      </c>
      <c r="L1022" s="39">
        <v>0</v>
      </c>
      <c r="M1022" s="39">
        <v>0</v>
      </c>
      <c r="N1022" s="39">
        <v>0</v>
      </c>
      <c r="O1022" s="39">
        <v>0</v>
      </c>
      <c r="P1022" s="39">
        <v>0</v>
      </c>
      <c r="Q1022" s="39">
        <v>0</v>
      </c>
      <c r="R1022" s="39">
        <v>0</v>
      </c>
      <c r="S1022" s="39">
        <v>0</v>
      </c>
      <c r="T1022" s="39">
        <v>0</v>
      </c>
      <c r="U1022" s="39">
        <v>0</v>
      </c>
      <c r="V1022" s="39">
        <v>456</v>
      </c>
      <c r="W1022" s="40" t="s">
        <v>7673</v>
      </c>
      <c r="X1022" s="39">
        <v>1</v>
      </c>
    </row>
    <row r="1023" spans="1:24">
      <c r="A1023" s="39">
        <v>877</v>
      </c>
      <c r="B1023" s="40" t="s">
        <v>6261</v>
      </c>
      <c r="C1023" s="39">
        <v>1</v>
      </c>
      <c r="E1023" s="39">
        <v>1</v>
      </c>
      <c r="F1023" s="39">
        <v>700</v>
      </c>
      <c r="G1023" s="39">
        <v>1</v>
      </c>
      <c r="H1023" s="39">
        <v>1</v>
      </c>
      <c r="I1023" s="39">
        <v>1</v>
      </c>
      <c r="J1023" s="39">
        <v>0</v>
      </c>
      <c r="K1023" s="39">
        <v>0</v>
      </c>
      <c r="L1023" s="39">
        <v>0</v>
      </c>
      <c r="M1023" s="39">
        <v>0</v>
      </c>
      <c r="N1023" s="39">
        <v>0</v>
      </c>
      <c r="O1023" s="39">
        <v>0</v>
      </c>
      <c r="P1023" s="39">
        <v>0</v>
      </c>
      <c r="Q1023" s="39">
        <v>0</v>
      </c>
      <c r="R1023" s="39">
        <v>0</v>
      </c>
      <c r="S1023" s="39">
        <v>0</v>
      </c>
      <c r="T1023" s="39">
        <v>0</v>
      </c>
      <c r="U1023" s="39">
        <v>0</v>
      </c>
      <c r="V1023" s="39">
        <v>458</v>
      </c>
      <c r="W1023" s="40" t="s">
        <v>7694</v>
      </c>
      <c r="X1023" s="39">
        <v>1</v>
      </c>
    </row>
    <row r="1024" spans="1:24">
      <c r="A1024" s="39">
        <v>1170</v>
      </c>
      <c r="B1024" s="40" t="s">
        <v>6261</v>
      </c>
      <c r="C1024" s="39">
        <v>1</v>
      </c>
      <c r="E1024" s="39">
        <v>1</v>
      </c>
      <c r="F1024" s="39">
        <v>700</v>
      </c>
      <c r="G1024" s="39">
        <v>1</v>
      </c>
      <c r="H1024" s="39">
        <v>1</v>
      </c>
      <c r="I1024" s="39">
        <v>1</v>
      </c>
      <c r="J1024" s="39">
        <v>0</v>
      </c>
      <c r="K1024" s="39">
        <v>0</v>
      </c>
      <c r="L1024" s="39">
        <v>0</v>
      </c>
      <c r="M1024" s="39">
        <v>0</v>
      </c>
      <c r="N1024" s="39">
        <v>0</v>
      </c>
      <c r="O1024" s="39">
        <v>0</v>
      </c>
      <c r="P1024" s="39">
        <v>0</v>
      </c>
      <c r="Q1024" s="39">
        <v>0</v>
      </c>
      <c r="R1024" s="39">
        <v>0</v>
      </c>
      <c r="S1024" s="39">
        <v>0</v>
      </c>
      <c r="T1024" s="39">
        <v>0</v>
      </c>
      <c r="U1024" s="39">
        <v>0</v>
      </c>
      <c r="V1024" s="39">
        <v>459</v>
      </c>
      <c r="W1024" s="40" t="s">
        <v>7674</v>
      </c>
      <c r="X1024" s="39">
        <v>1</v>
      </c>
    </row>
    <row r="1025" spans="1:24">
      <c r="A1025" s="39">
        <v>648</v>
      </c>
      <c r="B1025" s="40" t="s">
        <v>6261</v>
      </c>
      <c r="C1025" s="39">
        <v>1</v>
      </c>
      <c r="E1025" s="39">
        <v>1</v>
      </c>
      <c r="F1025" s="39">
        <v>700</v>
      </c>
      <c r="G1025" s="39">
        <v>1</v>
      </c>
      <c r="H1025" s="39">
        <v>1</v>
      </c>
      <c r="I1025" s="39">
        <v>1</v>
      </c>
      <c r="J1025" s="39">
        <v>0</v>
      </c>
      <c r="K1025" s="39">
        <v>0</v>
      </c>
      <c r="L1025" s="39">
        <v>0</v>
      </c>
      <c r="M1025" s="39">
        <v>0</v>
      </c>
      <c r="N1025" s="39">
        <v>0</v>
      </c>
      <c r="O1025" s="39">
        <v>0</v>
      </c>
      <c r="P1025" s="39">
        <v>0</v>
      </c>
      <c r="Q1025" s="39">
        <v>0</v>
      </c>
      <c r="R1025" s="39">
        <v>0</v>
      </c>
      <c r="S1025" s="39">
        <v>0</v>
      </c>
      <c r="T1025" s="39">
        <v>0</v>
      </c>
      <c r="U1025" s="39">
        <v>0</v>
      </c>
      <c r="V1025" s="39">
        <v>468</v>
      </c>
      <c r="W1025" s="40" t="s">
        <v>7677</v>
      </c>
      <c r="X1025" s="39">
        <v>1</v>
      </c>
    </row>
    <row r="1026" spans="1:24">
      <c r="A1026" s="39">
        <v>1073</v>
      </c>
      <c r="B1026" s="40" t="s">
        <v>6261</v>
      </c>
      <c r="C1026" s="39">
        <v>1</v>
      </c>
      <c r="E1026" s="39">
        <v>1</v>
      </c>
      <c r="F1026" s="39">
        <v>700</v>
      </c>
      <c r="G1026" s="39">
        <v>1</v>
      </c>
      <c r="H1026" s="39">
        <v>1</v>
      </c>
      <c r="I1026" s="39">
        <v>1</v>
      </c>
      <c r="J1026" s="39">
        <v>0</v>
      </c>
      <c r="K1026" s="39">
        <v>0</v>
      </c>
      <c r="L1026" s="39">
        <v>0</v>
      </c>
      <c r="M1026" s="39">
        <v>0</v>
      </c>
      <c r="N1026" s="39">
        <v>0</v>
      </c>
      <c r="O1026" s="39">
        <v>0</v>
      </c>
      <c r="P1026" s="39">
        <v>0</v>
      </c>
      <c r="Q1026" s="39">
        <v>0</v>
      </c>
      <c r="R1026" s="39">
        <v>0</v>
      </c>
      <c r="S1026" s="39">
        <v>0</v>
      </c>
      <c r="T1026" s="39">
        <v>0</v>
      </c>
      <c r="U1026" s="39">
        <v>0</v>
      </c>
      <c r="V1026" s="39">
        <v>477</v>
      </c>
      <c r="W1026" s="40" t="s">
        <v>7697</v>
      </c>
      <c r="X1026" s="39">
        <v>1</v>
      </c>
    </row>
    <row r="1027" spans="1:24">
      <c r="A1027" s="39">
        <v>261</v>
      </c>
      <c r="B1027" s="40" t="s">
        <v>6261</v>
      </c>
      <c r="C1027" s="39">
        <v>1</v>
      </c>
      <c r="E1027" s="39">
        <v>1</v>
      </c>
      <c r="F1027" s="39">
        <v>700</v>
      </c>
      <c r="G1027" s="39">
        <v>1</v>
      </c>
      <c r="H1027" s="39">
        <v>1</v>
      </c>
      <c r="I1027" s="39">
        <v>1</v>
      </c>
      <c r="J1027" s="39">
        <v>0</v>
      </c>
      <c r="K1027" s="39">
        <v>0</v>
      </c>
      <c r="L1027" s="39">
        <v>0</v>
      </c>
      <c r="M1027" s="39">
        <v>0</v>
      </c>
      <c r="N1027" s="39">
        <v>0</v>
      </c>
      <c r="O1027" s="39">
        <v>0</v>
      </c>
      <c r="P1027" s="39">
        <v>0</v>
      </c>
      <c r="Q1027" s="39">
        <v>0</v>
      </c>
      <c r="R1027" s="39">
        <v>0</v>
      </c>
      <c r="S1027" s="39">
        <v>0</v>
      </c>
      <c r="T1027" s="39">
        <v>0</v>
      </c>
      <c r="U1027" s="39">
        <v>0</v>
      </c>
      <c r="V1027" s="39">
        <v>590</v>
      </c>
      <c r="W1027" s="40" t="s">
        <v>7679</v>
      </c>
      <c r="X1027" s="39">
        <v>1</v>
      </c>
    </row>
    <row r="1028" spans="1:24">
      <c r="A1028" s="39">
        <v>809</v>
      </c>
      <c r="B1028" s="40" t="s">
        <v>6261</v>
      </c>
      <c r="C1028" s="39">
        <v>1</v>
      </c>
      <c r="E1028" s="39">
        <v>1</v>
      </c>
      <c r="F1028" s="39">
        <v>700</v>
      </c>
      <c r="G1028" s="39">
        <v>1</v>
      </c>
      <c r="H1028" s="39">
        <v>1</v>
      </c>
      <c r="I1028" s="39">
        <v>1</v>
      </c>
      <c r="J1028" s="39">
        <v>0</v>
      </c>
      <c r="K1028" s="39">
        <v>0</v>
      </c>
      <c r="L1028" s="39">
        <v>0</v>
      </c>
      <c r="M1028" s="39">
        <v>0</v>
      </c>
      <c r="N1028" s="39">
        <v>0</v>
      </c>
      <c r="O1028" s="39">
        <v>0</v>
      </c>
      <c r="P1028" s="39">
        <v>0</v>
      </c>
      <c r="Q1028" s="39">
        <v>0</v>
      </c>
      <c r="R1028" s="39">
        <v>0</v>
      </c>
      <c r="S1028" s="39">
        <v>0</v>
      </c>
      <c r="T1028" s="39">
        <v>0</v>
      </c>
      <c r="U1028" s="39">
        <v>0</v>
      </c>
      <c r="V1028" s="39">
        <v>733</v>
      </c>
      <c r="W1028" s="40" t="s">
        <v>7680</v>
      </c>
      <c r="X1028" s="39">
        <v>1</v>
      </c>
    </row>
    <row r="1029" spans="1:24">
      <c r="A1029" s="39">
        <v>124</v>
      </c>
      <c r="B1029" s="50" t="s">
        <v>7698</v>
      </c>
      <c r="C1029" s="39">
        <v>1</v>
      </c>
      <c r="E1029" s="39">
        <v>1</v>
      </c>
      <c r="F1029" s="39">
        <v>720</v>
      </c>
      <c r="G1029" s="39">
        <v>0</v>
      </c>
      <c r="H1029" s="39">
        <v>0</v>
      </c>
      <c r="I1029" s="39">
        <v>0</v>
      </c>
      <c r="J1029" s="39">
        <v>0</v>
      </c>
      <c r="K1029" s="39">
        <v>0</v>
      </c>
      <c r="L1029" s="39">
        <v>0</v>
      </c>
      <c r="M1029" s="39">
        <v>0</v>
      </c>
      <c r="N1029" s="39">
        <v>0</v>
      </c>
      <c r="O1029" s="39">
        <v>0</v>
      </c>
      <c r="P1029" s="39">
        <v>0</v>
      </c>
      <c r="Q1029" s="39">
        <v>0</v>
      </c>
      <c r="R1029" s="39">
        <v>0</v>
      </c>
      <c r="S1029" s="39">
        <v>0</v>
      </c>
      <c r="T1029" s="39">
        <v>0</v>
      </c>
      <c r="U1029" s="39">
        <v>0</v>
      </c>
      <c r="V1029" s="39">
        <v>1</v>
      </c>
      <c r="W1029" s="40" t="s">
        <v>518</v>
      </c>
      <c r="X1029" s="39">
        <v>1</v>
      </c>
    </row>
    <row r="1030" spans="1:24">
      <c r="A1030" s="39">
        <v>36</v>
      </c>
      <c r="B1030" s="40" t="s">
        <v>7698</v>
      </c>
      <c r="C1030" s="39">
        <v>1</v>
      </c>
      <c r="D1030" s="40" t="s">
        <v>7863</v>
      </c>
      <c r="E1030" s="39">
        <v>1</v>
      </c>
      <c r="F1030" s="39">
        <v>40</v>
      </c>
      <c r="G1030" s="39">
        <v>0</v>
      </c>
      <c r="H1030" s="39">
        <v>0</v>
      </c>
      <c r="I1030" s="39">
        <v>0</v>
      </c>
      <c r="J1030" s="39">
        <v>0</v>
      </c>
      <c r="K1030" s="39">
        <v>0</v>
      </c>
      <c r="L1030" s="39">
        <v>0</v>
      </c>
      <c r="M1030" s="39">
        <v>0</v>
      </c>
      <c r="N1030" s="39">
        <v>0</v>
      </c>
      <c r="O1030" s="39">
        <v>0</v>
      </c>
      <c r="P1030" s="39">
        <v>0</v>
      </c>
      <c r="Q1030" s="39">
        <v>0</v>
      </c>
      <c r="R1030" s="39">
        <v>0</v>
      </c>
      <c r="S1030" s="39">
        <v>0</v>
      </c>
      <c r="T1030" s="39">
        <v>0</v>
      </c>
      <c r="U1030" s="39">
        <v>0</v>
      </c>
      <c r="V1030" s="39">
        <v>2</v>
      </c>
      <c r="W1030" s="40" t="s">
        <v>40</v>
      </c>
      <c r="X1030" s="39">
        <v>1</v>
      </c>
    </row>
    <row r="1031" spans="1:24">
      <c r="A1031" s="39">
        <v>482</v>
      </c>
      <c r="B1031" s="40" t="s">
        <v>7698</v>
      </c>
      <c r="C1031" s="39">
        <v>1</v>
      </c>
      <c r="E1031" s="39">
        <v>1</v>
      </c>
      <c r="F1031" s="39">
        <v>720</v>
      </c>
      <c r="G1031" s="39">
        <v>0</v>
      </c>
      <c r="H1031" s="39">
        <v>0</v>
      </c>
      <c r="I1031" s="39">
        <v>0</v>
      </c>
      <c r="J1031" s="39">
        <v>0</v>
      </c>
      <c r="K1031" s="39">
        <v>0</v>
      </c>
      <c r="L1031" s="39">
        <v>0</v>
      </c>
      <c r="M1031" s="39">
        <v>0</v>
      </c>
      <c r="N1031" s="39">
        <v>0</v>
      </c>
      <c r="O1031" s="39">
        <v>0</v>
      </c>
      <c r="P1031" s="39">
        <v>0</v>
      </c>
      <c r="Q1031" s="39">
        <v>0</v>
      </c>
      <c r="R1031" s="39">
        <v>0</v>
      </c>
      <c r="S1031" s="39">
        <v>0</v>
      </c>
      <c r="T1031" s="39">
        <v>0</v>
      </c>
      <c r="U1031" s="39">
        <v>0</v>
      </c>
      <c r="V1031" s="39">
        <v>175</v>
      </c>
      <c r="W1031" s="40" t="s">
        <v>7689</v>
      </c>
      <c r="X1031" s="39">
        <v>1</v>
      </c>
    </row>
    <row r="1032" spans="1:24">
      <c r="A1032" s="39">
        <v>371</v>
      </c>
      <c r="B1032" s="40" t="s">
        <v>7698</v>
      </c>
      <c r="C1032" s="39">
        <v>1</v>
      </c>
      <c r="E1032" s="39">
        <v>1</v>
      </c>
      <c r="F1032" s="39">
        <v>720</v>
      </c>
      <c r="G1032" s="39">
        <v>1</v>
      </c>
      <c r="H1032" s="39">
        <v>1</v>
      </c>
      <c r="I1032" s="39">
        <v>1</v>
      </c>
      <c r="J1032" s="39">
        <v>0</v>
      </c>
      <c r="K1032" s="39">
        <v>0</v>
      </c>
      <c r="L1032" s="39">
        <v>0</v>
      </c>
      <c r="M1032" s="39">
        <v>0</v>
      </c>
      <c r="N1032" s="39">
        <v>0</v>
      </c>
      <c r="O1032" s="39">
        <v>0</v>
      </c>
      <c r="P1032" s="39">
        <v>0</v>
      </c>
      <c r="Q1032" s="39">
        <v>0</v>
      </c>
      <c r="R1032" s="39">
        <v>0</v>
      </c>
      <c r="S1032" s="39">
        <v>0</v>
      </c>
      <c r="T1032" s="39">
        <v>0</v>
      </c>
      <c r="U1032" s="39">
        <v>0</v>
      </c>
      <c r="V1032" s="39">
        <v>228</v>
      </c>
      <c r="W1032" s="40" t="s">
        <v>7669</v>
      </c>
      <c r="X1032" s="39">
        <v>1</v>
      </c>
    </row>
    <row r="1033" spans="1:24">
      <c r="A1033" s="39">
        <v>1735</v>
      </c>
      <c r="B1033" s="40" t="s">
        <v>7698</v>
      </c>
      <c r="C1033" s="39">
        <v>1</v>
      </c>
      <c r="E1033" s="39">
        <v>1</v>
      </c>
      <c r="F1033" s="39">
        <v>720</v>
      </c>
      <c r="G1033" s="39">
        <v>0</v>
      </c>
      <c r="H1033" s="39">
        <v>0</v>
      </c>
      <c r="I1033" s="39">
        <v>0</v>
      </c>
      <c r="J1033" s="39">
        <v>0</v>
      </c>
      <c r="K1033" s="39">
        <v>0</v>
      </c>
      <c r="L1033" s="39">
        <v>0</v>
      </c>
      <c r="M1033" s="39">
        <v>0</v>
      </c>
      <c r="N1033" s="39">
        <v>0</v>
      </c>
      <c r="O1033" s="39">
        <v>0</v>
      </c>
      <c r="P1033" s="39">
        <v>0</v>
      </c>
      <c r="Q1033" s="39">
        <v>0</v>
      </c>
      <c r="R1033" s="39">
        <v>0</v>
      </c>
      <c r="S1033" s="39">
        <v>0</v>
      </c>
      <c r="T1033" s="39">
        <v>0</v>
      </c>
      <c r="U1033" s="39">
        <v>0</v>
      </c>
      <c r="V1033" s="39">
        <v>244</v>
      </c>
      <c r="W1033" s="40" t="s">
        <v>682</v>
      </c>
      <c r="X1033" s="39">
        <v>1</v>
      </c>
    </row>
    <row r="1034" spans="1:24">
      <c r="A1034" s="39">
        <v>741</v>
      </c>
      <c r="B1034" s="40" t="s">
        <v>7698</v>
      </c>
      <c r="C1034" s="39">
        <v>1</v>
      </c>
      <c r="E1034" s="39">
        <v>1</v>
      </c>
      <c r="F1034" s="39">
        <v>720</v>
      </c>
      <c r="G1034" s="39">
        <v>0</v>
      </c>
      <c r="H1034" s="39">
        <v>0</v>
      </c>
      <c r="I1034" s="39">
        <v>0</v>
      </c>
      <c r="J1034" s="39">
        <v>0</v>
      </c>
      <c r="K1034" s="39">
        <v>0</v>
      </c>
      <c r="L1034" s="39">
        <v>0</v>
      </c>
      <c r="M1034" s="39">
        <v>0</v>
      </c>
      <c r="N1034" s="39">
        <v>0</v>
      </c>
      <c r="O1034" s="39">
        <v>0</v>
      </c>
      <c r="P1034" s="39">
        <v>0</v>
      </c>
      <c r="Q1034" s="39">
        <v>0</v>
      </c>
      <c r="R1034" s="39">
        <v>0</v>
      </c>
      <c r="S1034" s="39">
        <v>0</v>
      </c>
      <c r="T1034" s="39">
        <v>0</v>
      </c>
      <c r="U1034" s="39">
        <v>0</v>
      </c>
      <c r="V1034" s="39">
        <v>381</v>
      </c>
      <c r="W1034" s="40" t="s">
        <v>7805</v>
      </c>
      <c r="X1034" s="39">
        <v>1</v>
      </c>
    </row>
    <row r="1035" spans="1:24">
      <c r="A1035" s="39">
        <v>1267</v>
      </c>
      <c r="B1035" s="40" t="s">
        <v>7698</v>
      </c>
      <c r="C1035" s="39">
        <v>1</v>
      </c>
      <c r="E1035" s="39">
        <v>1</v>
      </c>
      <c r="F1035" s="39">
        <v>720</v>
      </c>
      <c r="G1035" s="39">
        <v>1</v>
      </c>
      <c r="H1035" s="39">
        <v>1</v>
      </c>
      <c r="I1035" s="39">
        <v>1</v>
      </c>
      <c r="J1035" s="39">
        <v>1</v>
      </c>
      <c r="K1035" s="39">
        <v>0</v>
      </c>
      <c r="L1035" s="39">
        <v>0</v>
      </c>
      <c r="M1035" s="39">
        <v>0</v>
      </c>
      <c r="N1035" s="39">
        <v>0</v>
      </c>
      <c r="O1035" s="39">
        <v>0</v>
      </c>
      <c r="P1035" s="39">
        <v>0</v>
      </c>
      <c r="Q1035" s="39">
        <v>0</v>
      </c>
      <c r="R1035" s="39">
        <v>0</v>
      </c>
      <c r="S1035" s="39">
        <v>0</v>
      </c>
      <c r="T1035" s="39">
        <v>0</v>
      </c>
      <c r="U1035" s="39">
        <v>0</v>
      </c>
      <c r="V1035" s="39">
        <v>418</v>
      </c>
      <c r="W1035" s="40" t="s">
        <v>7671</v>
      </c>
      <c r="X1035" s="39">
        <v>1</v>
      </c>
    </row>
    <row r="1036" spans="1:24">
      <c r="A1036" s="39">
        <v>1396</v>
      </c>
      <c r="B1036" s="40" t="s">
        <v>7698</v>
      </c>
      <c r="C1036" s="39">
        <v>1</v>
      </c>
      <c r="E1036" s="39">
        <v>1</v>
      </c>
      <c r="F1036" s="39">
        <v>720</v>
      </c>
      <c r="G1036" s="39">
        <v>0</v>
      </c>
      <c r="H1036" s="39">
        <v>0</v>
      </c>
      <c r="I1036" s="39">
        <v>0</v>
      </c>
      <c r="J1036" s="39">
        <v>0</v>
      </c>
      <c r="K1036" s="39">
        <v>0</v>
      </c>
      <c r="L1036" s="39">
        <v>0</v>
      </c>
      <c r="M1036" s="39">
        <v>0</v>
      </c>
      <c r="N1036" s="39">
        <v>0</v>
      </c>
      <c r="O1036" s="39">
        <v>0</v>
      </c>
      <c r="P1036" s="39">
        <v>0</v>
      </c>
      <c r="Q1036" s="39">
        <v>0</v>
      </c>
      <c r="R1036" s="39">
        <v>0</v>
      </c>
      <c r="S1036" s="39">
        <v>0</v>
      </c>
      <c r="T1036" s="39">
        <v>0</v>
      </c>
      <c r="U1036" s="39">
        <v>0</v>
      </c>
      <c r="V1036" s="39">
        <v>456</v>
      </c>
      <c r="W1036" s="40" t="s">
        <v>7673</v>
      </c>
      <c r="X1036" s="39">
        <v>1</v>
      </c>
    </row>
    <row r="1037" spans="1:24">
      <c r="A1037" s="39">
        <v>625</v>
      </c>
      <c r="B1037" s="40" t="s">
        <v>7698</v>
      </c>
      <c r="C1037" s="39">
        <v>1</v>
      </c>
      <c r="E1037" s="39">
        <v>1</v>
      </c>
      <c r="F1037" s="39">
        <v>720</v>
      </c>
      <c r="G1037" s="39">
        <v>1</v>
      </c>
      <c r="H1037" s="39">
        <v>1</v>
      </c>
      <c r="I1037" s="39">
        <v>1</v>
      </c>
      <c r="J1037" s="39">
        <v>0</v>
      </c>
      <c r="K1037" s="39">
        <v>0</v>
      </c>
      <c r="L1037" s="39">
        <v>0</v>
      </c>
      <c r="M1037" s="39">
        <v>0</v>
      </c>
      <c r="N1037" s="39">
        <v>0</v>
      </c>
      <c r="O1037" s="39">
        <v>0</v>
      </c>
      <c r="P1037" s="39">
        <v>0</v>
      </c>
      <c r="Q1037" s="39">
        <v>0</v>
      </c>
      <c r="R1037" s="39">
        <v>0</v>
      </c>
      <c r="S1037" s="39">
        <v>0</v>
      </c>
      <c r="T1037" s="39">
        <v>0</v>
      </c>
      <c r="U1037" s="39">
        <v>0</v>
      </c>
      <c r="V1037" s="39">
        <v>468</v>
      </c>
      <c r="W1037" s="40" t="s">
        <v>7677</v>
      </c>
      <c r="X1037" s="39">
        <v>1</v>
      </c>
    </row>
    <row r="1038" spans="1:24">
      <c r="A1038" s="39">
        <v>262</v>
      </c>
      <c r="B1038" s="40" t="s">
        <v>7698</v>
      </c>
      <c r="C1038" s="39">
        <v>1</v>
      </c>
      <c r="E1038" s="39">
        <v>1</v>
      </c>
      <c r="F1038" s="39">
        <v>720</v>
      </c>
      <c r="G1038" s="39">
        <v>1</v>
      </c>
      <c r="H1038" s="39">
        <v>1</v>
      </c>
      <c r="I1038" s="39">
        <v>1</v>
      </c>
      <c r="J1038" s="39">
        <v>0</v>
      </c>
      <c r="K1038" s="39">
        <v>0</v>
      </c>
      <c r="L1038" s="39">
        <v>0</v>
      </c>
      <c r="M1038" s="39">
        <v>0</v>
      </c>
      <c r="N1038" s="39">
        <v>0</v>
      </c>
      <c r="O1038" s="39">
        <v>0</v>
      </c>
      <c r="P1038" s="39">
        <v>0</v>
      </c>
      <c r="Q1038" s="39">
        <v>0</v>
      </c>
      <c r="R1038" s="39">
        <v>0</v>
      </c>
      <c r="S1038" s="39">
        <v>0</v>
      </c>
      <c r="T1038" s="39">
        <v>0</v>
      </c>
      <c r="U1038" s="39">
        <v>0</v>
      </c>
      <c r="V1038" s="39">
        <v>590</v>
      </c>
      <c r="W1038" s="40" t="s">
        <v>7679</v>
      </c>
      <c r="X1038" s="39">
        <v>1</v>
      </c>
    </row>
    <row r="1039" spans="1:24">
      <c r="A1039" s="39">
        <v>810</v>
      </c>
      <c r="B1039" s="40" t="s">
        <v>7698</v>
      </c>
      <c r="C1039" s="39">
        <v>1</v>
      </c>
      <c r="E1039" s="39">
        <v>1</v>
      </c>
      <c r="F1039" s="39">
        <v>720</v>
      </c>
      <c r="G1039" s="39">
        <v>1</v>
      </c>
      <c r="H1039" s="39">
        <v>1</v>
      </c>
      <c r="I1039" s="39">
        <v>1</v>
      </c>
      <c r="J1039" s="39">
        <v>0</v>
      </c>
      <c r="K1039" s="39">
        <v>0</v>
      </c>
      <c r="L1039" s="39">
        <v>0</v>
      </c>
      <c r="M1039" s="39">
        <v>0</v>
      </c>
      <c r="N1039" s="39">
        <v>0</v>
      </c>
      <c r="O1039" s="39">
        <v>0</v>
      </c>
      <c r="P1039" s="39">
        <v>0</v>
      </c>
      <c r="Q1039" s="39">
        <v>0</v>
      </c>
      <c r="R1039" s="39">
        <v>0</v>
      </c>
      <c r="S1039" s="39">
        <v>0</v>
      </c>
      <c r="T1039" s="39">
        <v>0</v>
      </c>
      <c r="U1039" s="39">
        <v>0</v>
      </c>
      <c r="V1039" s="39">
        <v>733</v>
      </c>
      <c r="W1039" s="40" t="s">
        <v>7680</v>
      </c>
      <c r="X1039" s="39">
        <v>1</v>
      </c>
    </row>
    <row r="1040" spans="1:24">
      <c r="A1040" s="39">
        <v>125</v>
      </c>
      <c r="B1040" s="50" t="s">
        <v>7699</v>
      </c>
      <c r="C1040" s="39">
        <v>1</v>
      </c>
      <c r="E1040" s="39">
        <v>1</v>
      </c>
      <c r="F1040" s="39">
        <v>740</v>
      </c>
      <c r="G1040" s="39">
        <v>0</v>
      </c>
      <c r="H1040" s="39">
        <v>0</v>
      </c>
      <c r="I1040" s="39">
        <v>0</v>
      </c>
      <c r="J1040" s="39">
        <v>0</v>
      </c>
      <c r="K1040" s="39">
        <v>0</v>
      </c>
      <c r="L1040" s="39">
        <v>0</v>
      </c>
      <c r="M1040" s="39">
        <v>0</v>
      </c>
      <c r="N1040" s="39">
        <v>0</v>
      </c>
      <c r="O1040" s="39">
        <v>0</v>
      </c>
      <c r="P1040" s="39">
        <v>0</v>
      </c>
      <c r="Q1040" s="39">
        <v>0</v>
      </c>
      <c r="R1040" s="39">
        <v>0</v>
      </c>
      <c r="S1040" s="39">
        <v>0</v>
      </c>
      <c r="T1040" s="39">
        <v>0</v>
      </c>
      <c r="U1040" s="39">
        <v>0</v>
      </c>
      <c r="V1040" s="39">
        <v>1</v>
      </c>
      <c r="W1040" s="40" t="s">
        <v>518</v>
      </c>
      <c r="X1040" s="39">
        <v>1</v>
      </c>
    </row>
    <row r="1041" spans="1:24">
      <c r="A1041" s="39">
        <v>37</v>
      </c>
      <c r="B1041" s="40" t="s">
        <v>7699</v>
      </c>
      <c r="C1041" s="39">
        <v>1</v>
      </c>
      <c r="D1041" s="40" t="s">
        <v>7864</v>
      </c>
      <c r="E1041" s="39">
        <v>1</v>
      </c>
      <c r="F1041" s="39">
        <v>50</v>
      </c>
      <c r="G1041" s="39">
        <v>0</v>
      </c>
      <c r="H1041" s="39">
        <v>0</v>
      </c>
      <c r="I1041" s="39">
        <v>0</v>
      </c>
      <c r="J1041" s="39">
        <v>0</v>
      </c>
      <c r="K1041" s="39">
        <v>0</v>
      </c>
      <c r="L1041" s="39">
        <v>0</v>
      </c>
      <c r="M1041" s="39">
        <v>0</v>
      </c>
      <c r="N1041" s="39">
        <v>0</v>
      </c>
      <c r="O1041" s="39">
        <v>0</v>
      </c>
      <c r="P1041" s="39">
        <v>0</v>
      </c>
      <c r="Q1041" s="39">
        <v>0</v>
      </c>
      <c r="R1041" s="39">
        <v>0</v>
      </c>
      <c r="S1041" s="39">
        <v>0</v>
      </c>
      <c r="T1041" s="39">
        <v>0</v>
      </c>
      <c r="U1041" s="39">
        <v>0</v>
      </c>
      <c r="V1041" s="39">
        <v>2</v>
      </c>
      <c r="W1041" s="40" t="s">
        <v>40</v>
      </c>
      <c r="X1041" s="39">
        <v>1</v>
      </c>
    </row>
    <row r="1042" spans="1:24">
      <c r="A1042" s="39">
        <v>483</v>
      </c>
      <c r="B1042" s="40" t="s">
        <v>7699</v>
      </c>
      <c r="C1042" s="39">
        <v>1</v>
      </c>
      <c r="E1042" s="39">
        <v>1</v>
      </c>
      <c r="F1042" s="39">
        <v>740</v>
      </c>
      <c r="G1042" s="39">
        <v>0</v>
      </c>
      <c r="H1042" s="39">
        <v>0</v>
      </c>
      <c r="I1042" s="39">
        <v>0</v>
      </c>
      <c r="J1042" s="39">
        <v>0</v>
      </c>
      <c r="K1042" s="39">
        <v>0</v>
      </c>
      <c r="L1042" s="39">
        <v>0</v>
      </c>
      <c r="M1042" s="39">
        <v>0</v>
      </c>
      <c r="N1042" s="39">
        <v>0</v>
      </c>
      <c r="O1042" s="39">
        <v>0</v>
      </c>
      <c r="P1042" s="39">
        <v>0</v>
      </c>
      <c r="Q1042" s="39">
        <v>0</v>
      </c>
      <c r="R1042" s="39">
        <v>0</v>
      </c>
      <c r="S1042" s="39">
        <v>0</v>
      </c>
      <c r="T1042" s="39">
        <v>0</v>
      </c>
      <c r="U1042" s="39">
        <v>0</v>
      </c>
      <c r="V1042" s="39">
        <v>175</v>
      </c>
      <c r="W1042" s="40" t="s">
        <v>7689</v>
      </c>
      <c r="X1042" s="39">
        <v>1</v>
      </c>
    </row>
    <row r="1043" spans="1:24">
      <c r="A1043" s="39">
        <v>372</v>
      </c>
      <c r="B1043" s="40" t="s">
        <v>7699</v>
      </c>
      <c r="C1043" s="39">
        <v>1</v>
      </c>
      <c r="E1043" s="39">
        <v>1</v>
      </c>
      <c r="F1043" s="39">
        <v>740</v>
      </c>
      <c r="G1043" s="39">
        <v>1</v>
      </c>
      <c r="H1043" s="39">
        <v>1</v>
      </c>
      <c r="I1043" s="39">
        <v>1</v>
      </c>
      <c r="J1043" s="39">
        <v>0</v>
      </c>
      <c r="K1043" s="39">
        <v>0</v>
      </c>
      <c r="L1043" s="39">
        <v>0</v>
      </c>
      <c r="M1043" s="39">
        <v>0</v>
      </c>
      <c r="N1043" s="39">
        <v>0</v>
      </c>
      <c r="O1043" s="39">
        <v>0</v>
      </c>
      <c r="P1043" s="39">
        <v>0</v>
      </c>
      <c r="Q1043" s="39">
        <v>0</v>
      </c>
      <c r="R1043" s="39">
        <v>0</v>
      </c>
      <c r="S1043" s="39">
        <v>0</v>
      </c>
      <c r="T1043" s="39">
        <v>0</v>
      </c>
      <c r="U1043" s="39">
        <v>0</v>
      </c>
      <c r="V1043" s="39">
        <v>228</v>
      </c>
      <c r="W1043" s="40" t="s">
        <v>7669</v>
      </c>
      <c r="X1043" s="39">
        <v>1</v>
      </c>
    </row>
    <row r="1044" spans="1:24">
      <c r="A1044" s="39">
        <v>1736</v>
      </c>
      <c r="B1044" s="40" t="s">
        <v>7699</v>
      </c>
      <c r="C1044" s="39">
        <v>1</v>
      </c>
      <c r="E1044" s="39">
        <v>1</v>
      </c>
      <c r="F1044" s="39">
        <v>740</v>
      </c>
      <c r="G1044" s="39">
        <v>0</v>
      </c>
      <c r="H1044" s="39">
        <v>0</v>
      </c>
      <c r="I1044" s="39">
        <v>0</v>
      </c>
      <c r="J1044" s="39">
        <v>0</v>
      </c>
      <c r="K1044" s="39">
        <v>0</v>
      </c>
      <c r="L1044" s="39">
        <v>0</v>
      </c>
      <c r="M1044" s="39">
        <v>0</v>
      </c>
      <c r="N1044" s="39">
        <v>0</v>
      </c>
      <c r="O1044" s="39">
        <v>0</v>
      </c>
      <c r="P1044" s="39">
        <v>0</v>
      </c>
      <c r="Q1044" s="39">
        <v>0</v>
      </c>
      <c r="R1044" s="39">
        <v>0</v>
      </c>
      <c r="S1044" s="39">
        <v>0</v>
      </c>
      <c r="T1044" s="39">
        <v>0</v>
      </c>
      <c r="U1044" s="39">
        <v>0</v>
      </c>
      <c r="V1044" s="39">
        <v>244</v>
      </c>
      <c r="W1044" s="40" t="s">
        <v>682</v>
      </c>
      <c r="X1044" s="39">
        <v>1</v>
      </c>
    </row>
    <row r="1045" spans="1:24">
      <c r="A1045" s="39">
        <v>743</v>
      </c>
      <c r="B1045" s="40" t="s">
        <v>7699</v>
      </c>
      <c r="C1045" s="39">
        <v>1</v>
      </c>
      <c r="E1045" s="39">
        <v>1</v>
      </c>
      <c r="F1045" s="39">
        <v>740</v>
      </c>
      <c r="G1045" s="39">
        <v>0</v>
      </c>
      <c r="H1045" s="39">
        <v>0</v>
      </c>
      <c r="I1045" s="39">
        <v>0</v>
      </c>
      <c r="J1045" s="39">
        <v>0</v>
      </c>
      <c r="K1045" s="39">
        <v>0</v>
      </c>
      <c r="L1045" s="39">
        <v>0</v>
      </c>
      <c r="M1045" s="39">
        <v>0</v>
      </c>
      <c r="N1045" s="39">
        <v>0</v>
      </c>
      <c r="O1045" s="39">
        <v>0</v>
      </c>
      <c r="P1045" s="39">
        <v>0</v>
      </c>
      <c r="Q1045" s="39">
        <v>0</v>
      </c>
      <c r="R1045" s="39">
        <v>0</v>
      </c>
      <c r="S1045" s="39">
        <v>0</v>
      </c>
      <c r="T1045" s="39">
        <v>0</v>
      </c>
      <c r="U1045" s="39">
        <v>0</v>
      </c>
      <c r="V1045" s="39">
        <v>381</v>
      </c>
      <c r="W1045" s="40" t="s">
        <v>7805</v>
      </c>
      <c r="X1045" s="39">
        <v>1</v>
      </c>
    </row>
    <row r="1046" spans="1:24">
      <c r="A1046" s="39">
        <v>1268</v>
      </c>
      <c r="B1046" s="40" t="s">
        <v>7699</v>
      </c>
      <c r="C1046" s="39">
        <v>1</v>
      </c>
      <c r="E1046" s="39">
        <v>1</v>
      </c>
      <c r="F1046" s="39">
        <v>740</v>
      </c>
      <c r="G1046" s="39">
        <v>1</v>
      </c>
      <c r="H1046" s="39">
        <v>1</v>
      </c>
      <c r="I1046" s="39">
        <v>1</v>
      </c>
      <c r="J1046" s="39">
        <v>1</v>
      </c>
      <c r="K1046" s="39">
        <v>0</v>
      </c>
      <c r="L1046" s="39">
        <v>0</v>
      </c>
      <c r="M1046" s="39">
        <v>0</v>
      </c>
      <c r="N1046" s="39">
        <v>0</v>
      </c>
      <c r="O1046" s="39">
        <v>0</v>
      </c>
      <c r="P1046" s="39">
        <v>0</v>
      </c>
      <c r="Q1046" s="39">
        <v>0</v>
      </c>
      <c r="R1046" s="39">
        <v>0</v>
      </c>
      <c r="S1046" s="39">
        <v>0</v>
      </c>
      <c r="T1046" s="39">
        <v>0</v>
      </c>
      <c r="U1046" s="39">
        <v>0</v>
      </c>
      <c r="V1046" s="39">
        <v>418</v>
      </c>
      <c r="W1046" s="40" t="s">
        <v>7671</v>
      </c>
      <c r="X1046" s="39">
        <v>1</v>
      </c>
    </row>
    <row r="1047" spans="1:24">
      <c r="A1047" s="39">
        <v>1397</v>
      </c>
      <c r="B1047" s="40" t="s">
        <v>7699</v>
      </c>
      <c r="C1047" s="39">
        <v>1</v>
      </c>
      <c r="E1047" s="39">
        <v>1</v>
      </c>
      <c r="F1047" s="39">
        <v>740</v>
      </c>
      <c r="G1047" s="39">
        <v>0</v>
      </c>
      <c r="H1047" s="39">
        <v>0</v>
      </c>
      <c r="I1047" s="39">
        <v>0</v>
      </c>
      <c r="J1047" s="39">
        <v>0</v>
      </c>
      <c r="K1047" s="39">
        <v>0</v>
      </c>
      <c r="L1047" s="39">
        <v>0</v>
      </c>
      <c r="M1047" s="39">
        <v>0</v>
      </c>
      <c r="N1047" s="39">
        <v>0</v>
      </c>
      <c r="O1047" s="39">
        <v>0</v>
      </c>
      <c r="P1047" s="39">
        <v>0</v>
      </c>
      <c r="Q1047" s="39">
        <v>0</v>
      </c>
      <c r="R1047" s="39">
        <v>0</v>
      </c>
      <c r="S1047" s="39">
        <v>0</v>
      </c>
      <c r="T1047" s="39">
        <v>0</v>
      </c>
      <c r="U1047" s="39">
        <v>0</v>
      </c>
      <c r="V1047" s="39">
        <v>456</v>
      </c>
      <c r="W1047" s="40" t="s">
        <v>7673</v>
      </c>
      <c r="X1047" s="39">
        <v>1</v>
      </c>
    </row>
    <row r="1048" spans="1:24">
      <c r="A1048" s="39">
        <v>626</v>
      </c>
      <c r="B1048" s="40" t="s">
        <v>7699</v>
      </c>
      <c r="C1048" s="39">
        <v>1</v>
      </c>
      <c r="E1048" s="39">
        <v>1</v>
      </c>
      <c r="F1048" s="39">
        <v>740</v>
      </c>
      <c r="G1048" s="39">
        <v>1</v>
      </c>
      <c r="H1048" s="39">
        <v>1</v>
      </c>
      <c r="I1048" s="39">
        <v>1</v>
      </c>
      <c r="J1048" s="39">
        <v>0</v>
      </c>
      <c r="K1048" s="39">
        <v>0</v>
      </c>
      <c r="L1048" s="39">
        <v>0</v>
      </c>
      <c r="M1048" s="39">
        <v>0</v>
      </c>
      <c r="N1048" s="39">
        <v>0</v>
      </c>
      <c r="O1048" s="39">
        <v>0</v>
      </c>
      <c r="P1048" s="39">
        <v>0</v>
      </c>
      <c r="Q1048" s="39">
        <v>0</v>
      </c>
      <c r="R1048" s="39">
        <v>0</v>
      </c>
      <c r="S1048" s="39">
        <v>0</v>
      </c>
      <c r="T1048" s="39">
        <v>0</v>
      </c>
      <c r="U1048" s="39">
        <v>0</v>
      </c>
      <c r="V1048" s="39">
        <v>468</v>
      </c>
      <c r="W1048" s="40" t="s">
        <v>7677</v>
      </c>
      <c r="X1048" s="39">
        <v>1</v>
      </c>
    </row>
    <row r="1049" spans="1:24">
      <c r="A1049" s="39">
        <v>263</v>
      </c>
      <c r="B1049" s="40" t="s">
        <v>7699</v>
      </c>
      <c r="C1049" s="39">
        <v>1</v>
      </c>
      <c r="E1049" s="39">
        <v>1</v>
      </c>
      <c r="F1049" s="39">
        <v>740</v>
      </c>
      <c r="G1049" s="39">
        <v>1</v>
      </c>
      <c r="H1049" s="39">
        <v>1</v>
      </c>
      <c r="I1049" s="39">
        <v>1</v>
      </c>
      <c r="J1049" s="39">
        <v>0</v>
      </c>
      <c r="K1049" s="39">
        <v>0</v>
      </c>
      <c r="L1049" s="39">
        <v>0</v>
      </c>
      <c r="M1049" s="39">
        <v>0</v>
      </c>
      <c r="N1049" s="39">
        <v>0</v>
      </c>
      <c r="O1049" s="39">
        <v>0</v>
      </c>
      <c r="P1049" s="39">
        <v>0</v>
      </c>
      <c r="Q1049" s="39">
        <v>0</v>
      </c>
      <c r="R1049" s="39">
        <v>0</v>
      </c>
      <c r="S1049" s="39">
        <v>0</v>
      </c>
      <c r="T1049" s="39">
        <v>0</v>
      </c>
      <c r="U1049" s="39">
        <v>0</v>
      </c>
      <c r="V1049" s="39">
        <v>590</v>
      </c>
      <c r="W1049" s="40" t="s">
        <v>7679</v>
      </c>
      <c r="X1049" s="39">
        <v>1</v>
      </c>
    </row>
    <row r="1050" spans="1:24">
      <c r="A1050" s="39">
        <v>811</v>
      </c>
      <c r="B1050" s="40" t="s">
        <v>7699</v>
      </c>
      <c r="C1050" s="39">
        <v>1</v>
      </c>
      <c r="E1050" s="39">
        <v>1</v>
      </c>
      <c r="F1050" s="39">
        <v>740</v>
      </c>
      <c r="G1050" s="39">
        <v>1</v>
      </c>
      <c r="H1050" s="39">
        <v>1</v>
      </c>
      <c r="I1050" s="39">
        <v>1</v>
      </c>
      <c r="J1050" s="39">
        <v>0</v>
      </c>
      <c r="K1050" s="39">
        <v>0</v>
      </c>
      <c r="L1050" s="39">
        <v>0</v>
      </c>
      <c r="M1050" s="39">
        <v>0</v>
      </c>
      <c r="N1050" s="39">
        <v>0</v>
      </c>
      <c r="O1050" s="39">
        <v>0</v>
      </c>
      <c r="P1050" s="39">
        <v>0</v>
      </c>
      <c r="Q1050" s="39">
        <v>0</v>
      </c>
      <c r="R1050" s="39">
        <v>0</v>
      </c>
      <c r="S1050" s="39">
        <v>0</v>
      </c>
      <c r="T1050" s="39">
        <v>0</v>
      </c>
      <c r="U1050" s="39">
        <v>0</v>
      </c>
      <c r="V1050" s="39">
        <v>733</v>
      </c>
      <c r="W1050" s="40" t="s">
        <v>7680</v>
      </c>
      <c r="X1050" s="39">
        <v>1</v>
      </c>
    </row>
    <row r="1051" spans="1:24">
      <c r="A1051" s="39">
        <v>126</v>
      </c>
      <c r="B1051" s="50" t="s">
        <v>7700</v>
      </c>
      <c r="C1051" s="39">
        <v>1</v>
      </c>
      <c r="E1051" s="39">
        <v>1</v>
      </c>
      <c r="F1051" s="39">
        <v>760</v>
      </c>
      <c r="G1051" s="39">
        <v>0</v>
      </c>
      <c r="H1051" s="39">
        <v>0</v>
      </c>
      <c r="I1051" s="39">
        <v>0</v>
      </c>
      <c r="J1051" s="39">
        <v>0</v>
      </c>
      <c r="K1051" s="39">
        <v>0</v>
      </c>
      <c r="L1051" s="39">
        <v>0</v>
      </c>
      <c r="M1051" s="39">
        <v>0</v>
      </c>
      <c r="N1051" s="39">
        <v>0</v>
      </c>
      <c r="O1051" s="39">
        <v>0</v>
      </c>
      <c r="P1051" s="39">
        <v>0</v>
      </c>
      <c r="Q1051" s="39">
        <v>0</v>
      </c>
      <c r="R1051" s="39">
        <v>0</v>
      </c>
      <c r="S1051" s="39">
        <v>0</v>
      </c>
      <c r="T1051" s="39">
        <v>0</v>
      </c>
      <c r="U1051" s="39">
        <v>0</v>
      </c>
      <c r="V1051" s="39">
        <v>1</v>
      </c>
      <c r="W1051" s="40" t="s">
        <v>518</v>
      </c>
      <c r="X1051" s="39">
        <v>1</v>
      </c>
    </row>
    <row r="1052" spans="1:24">
      <c r="A1052" s="39">
        <v>38</v>
      </c>
      <c r="B1052" s="40" t="s">
        <v>7700</v>
      </c>
      <c r="C1052" s="39">
        <v>1</v>
      </c>
      <c r="D1052" s="40" t="s">
        <v>7865</v>
      </c>
      <c r="E1052" s="39">
        <v>1</v>
      </c>
      <c r="F1052" s="39">
        <v>10</v>
      </c>
      <c r="G1052" s="39">
        <v>0</v>
      </c>
      <c r="H1052" s="39">
        <v>0</v>
      </c>
      <c r="I1052" s="39">
        <v>0</v>
      </c>
      <c r="J1052" s="39">
        <v>0</v>
      </c>
      <c r="K1052" s="39">
        <v>0</v>
      </c>
      <c r="L1052" s="39">
        <v>0</v>
      </c>
      <c r="M1052" s="39">
        <v>0</v>
      </c>
      <c r="N1052" s="39">
        <v>0</v>
      </c>
      <c r="O1052" s="39">
        <v>0</v>
      </c>
      <c r="P1052" s="39">
        <v>0</v>
      </c>
      <c r="Q1052" s="39">
        <v>0</v>
      </c>
      <c r="R1052" s="39">
        <v>0</v>
      </c>
      <c r="S1052" s="39">
        <v>0</v>
      </c>
      <c r="T1052" s="39">
        <v>0</v>
      </c>
      <c r="U1052" s="39">
        <v>0</v>
      </c>
      <c r="V1052" s="39">
        <v>2</v>
      </c>
      <c r="W1052" s="40" t="s">
        <v>40</v>
      </c>
      <c r="X1052" s="39">
        <v>1</v>
      </c>
    </row>
    <row r="1053" spans="1:24">
      <c r="A1053" s="39">
        <v>484</v>
      </c>
      <c r="B1053" s="40" t="s">
        <v>7700</v>
      </c>
      <c r="C1053" s="39">
        <v>1</v>
      </c>
      <c r="E1053" s="39">
        <v>1</v>
      </c>
      <c r="F1053" s="39">
        <v>760</v>
      </c>
      <c r="G1053" s="39">
        <v>0</v>
      </c>
      <c r="H1053" s="39">
        <v>0</v>
      </c>
      <c r="I1053" s="39">
        <v>0</v>
      </c>
      <c r="J1053" s="39">
        <v>0</v>
      </c>
      <c r="K1053" s="39">
        <v>0</v>
      </c>
      <c r="L1053" s="39">
        <v>0</v>
      </c>
      <c r="M1053" s="39">
        <v>0</v>
      </c>
      <c r="N1053" s="39">
        <v>0</v>
      </c>
      <c r="O1053" s="39">
        <v>0</v>
      </c>
      <c r="P1053" s="39">
        <v>0</v>
      </c>
      <c r="Q1053" s="39">
        <v>0</v>
      </c>
      <c r="R1053" s="39">
        <v>0</v>
      </c>
      <c r="S1053" s="39">
        <v>0</v>
      </c>
      <c r="T1053" s="39">
        <v>0</v>
      </c>
      <c r="U1053" s="39">
        <v>0</v>
      </c>
      <c r="V1053" s="39">
        <v>175</v>
      </c>
      <c r="W1053" s="40" t="s">
        <v>7689</v>
      </c>
      <c r="X1053" s="39">
        <v>1</v>
      </c>
    </row>
    <row r="1054" spans="1:24">
      <c r="A1054" s="39">
        <v>373</v>
      </c>
      <c r="B1054" s="40" t="s">
        <v>7700</v>
      </c>
      <c r="C1054" s="39">
        <v>1</v>
      </c>
      <c r="E1054" s="39">
        <v>1</v>
      </c>
      <c r="F1054" s="39">
        <v>760</v>
      </c>
      <c r="G1054" s="39">
        <v>1</v>
      </c>
      <c r="H1054" s="39">
        <v>1</v>
      </c>
      <c r="I1054" s="39">
        <v>1</v>
      </c>
      <c r="J1054" s="39">
        <v>0</v>
      </c>
      <c r="K1054" s="39">
        <v>0</v>
      </c>
      <c r="L1054" s="39">
        <v>0</v>
      </c>
      <c r="M1054" s="39">
        <v>0</v>
      </c>
      <c r="N1054" s="39">
        <v>0</v>
      </c>
      <c r="O1054" s="39">
        <v>0</v>
      </c>
      <c r="P1054" s="39">
        <v>0</v>
      </c>
      <c r="Q1054" s="39">
        <v>0</v>
      </c>
      <c r="R1054" s="39">
        <v>0</v>
      </c>
      <c r="S1054" s="39">
        <v>0</v>
      </c>
      <c r="T1054" s="39">
        <v>0</v>
      </c>
      <c r="U1054" s="39">
        <v>0</v>
      </c>
      <c r="V1054" s="39">
        <v>228</v>
      </c>
      <c r="W1054" s="40" t="s">
        <v>7669</v>
      </c>
      <c r="X1054" s="39">
        <v>1</v>
      </c>
    </row>
    <row r="1055" spans="1:24">
      <c r="A1055" s="39">
        <v>1737</v>
      </c>
      <c r="B1055" s="40" t="s">
        <v>7700</v>
      </c>
      <c r="C1055" s="39">
        <v>1</v>
      </c>
      <c r="E1055" s="39">
        <v>1</v>
      </c>
      <c r="F1055" s="39">
        <v>760</v>
      </c>
      <c r="G1055" s="39">
        <v>0</v>
      </c>
      <c r="H1055" s="39">
        <v>0</v>
      </c>
      <c r="I1055" s="39">
        <v>0</v>
      </c>
      <c r="J1055" s="39">
        <v>0</v>
      </c>
      <c r="K1055" s="39">
        <v>0</v>
      </c>
      <c r="L1055" s="39">
        <v>0</v>
      </c>
      <c r="M1055" s="39">
        <v>0</v>
      </c>
      <c r="N1055" s="39">
        <v>0</v>
      </c>
      <c r="O1055" s="39">
        <v>0</v>
      </c>
      <c r="P1055" s="39">
        <v>0</v>
      </c>
      <c r="Q1055" s="39">
        <v>0</v>
      </c>
      <c r="R1055" s="39">
        <v>0</v>
      </c>
      <c r="S1055" s="39">
        <v>0</v>
      </c>
      <c r="T1055" s="39">
        <v>0</v>
      </c>
      <c r="U1055" s="39">
        <v>0</v>
      </c>
      <c r="V1055" s="39">
        <v>244</v>
      </c>
      <c r="W1055" s="40" t="s">
        <v>682</v>
      </c>
      <c r="X1055" s="39">
        <v>1</v>
      </c>
    </row>
    <row r="1056" spans="1:24">
      <c r="A1056" s="39">
        <v>744</v>
      </c>
      <c r="B1056" s="40" t="s">
        <v>7700</v>
      </c>
      <c r="C1056" s="39">
        <v>1</v>
      </c>
      <c r="E1056" s="39">
        <v>1</v>
      </c>
      <c r="F1056" s="39">
        <v>760</v>
      </c>
      <c r="G1056" s="39">
        <v>0</v>
      </c>
      <c r="H1056" s="39">
        <v>0</v>
      </c>
      <c r="I1056" s="39">
        <v>0</v>
      </c>
      <c r="J1056" s="39">
        <v>0</v>
      </c>
      <c r="K1056" s="39">
        <v>0</v>
      </c>
      <c r="L1056" s="39">
        <v>0</v>
      </c>
      <c r="M1056" s="39">
        <v>0</v>
      </c>
      <c r="N1056" s="39">
        <v>0</v>
      </c>
      <c r="O1056" s="39">
        <v>0</v>
      </c>
      <c r="P1056" s="39">
        <v>0</v>
      </c>
      <c r="Q1056" s="39">
        <v>0</v>
      </c>
      <c r="R1056" s="39">
        <v>0</v>
      </c>
      <c r="S1056" s="39">
        <v>0</v>
      </c>
      <c r="T1056" s="39">
        <v>0</v>
      </c>
      <c r="U1056" s="39">
        <v>0</v>
      </c>
      <c r="V1056" s="39">
        <v>381</v>
      </c>
      <c r="W1056" s="40" t="s">
        <v>7805</v>
      </c>
      <c r="X1056" s="39">
        <v>1</v>
      </c>
    </row>
    <row r="1057" spans="1:24">
      <c r="A1057" s="39">
        <v>1269</v>
      </c>
      <c r="B1057" s="40" t="s">
        <v>7700</v>
      </c>
      <c r="C1057" s="39">
        <v>1</v>
      </c>
      <c r="E1057" s="39">
        <v>1</v>
      </c>
      <c r="F1057" s="39">
        <v>760</v>
      </c>
      <c r="G1057" s="39">
        <v>1</v>
      </c>
      <c r="H1057" s="39">
        <v>1</v>
      </c>
      <c r="I1057" s="39">
        <v>1</v>
      </c>
      <c r="J1057" s="39">
        <v>1</v>
      </c>
      <c r="K1057" s="39">
        <v>0</v>
      </c>
      <c r="L1057" s="39">
        <v>0</v>
      </c>
      <c r="M1057" s="39">
        <v>0</v>
      </c>
      <c r="N1057" s="39">
        <v>0</v>
      </c>
      <c r="O1057" s="39">
        <v>0</v>
      </c>
      <c r="P1057" s="39">
        <v>0</v>
      </c>
      <c r="Q1057" s="39">
        <v>0</v>
      </c>
      <c r="R1057" s="39">
        <v>0</v>
      </c>
      <c r="S1057" s="39">
        <v>0</v>
      </c>
      <c r="T1057" s="39">
        <v>0</v>
      </c>
      <c r="U1057" s="39">
        <v>0</v>
      </c>
      <c r="V1057" s="39">
        <v>418</v>
      </c>
      <c r="W1057" s="40" t="s">
        <v>7671</v>
      </c>
      <c r="X1057" s="39">
        <v>1</v>
      </c>
    </row>
    <row r="1058" spans="1:24">
      <c r="A1058" s="39">
        <v>1398</v>
      </c>
      <c r="B1058" s="40" t="s">
        <v>7700</v>
      </c>
      <c r="C1058" s="39">
        <v>1</v>
      </c>
      <c r="E1058" s="39">
        <v>1</v>
      </c>
      <c r="F1058" s="39">
        <v>760</v>
      </c>
      <c r="G1058" s="39">
        <v>0</v>
      </c>
      <c r="H1058" s="39">
        <v>0</v>
      </c>
      <c r="I1058" s="39">
        <v>0</v>
      </c>
      <c r="J1058" s="39">
        <v>0</v>
      </c>
      <c r="K1058" s="39">
        <v>0</v>
      </c>
      <c r="L1058" s="39">
        <v>0</v>
      </c>
      <c r="M1058" s="39">
        <v>0</v>
      </c>
      <c r="N1058" s="39">
        <v>0</v>
      </c>
      <c r="O1058" s="39">
        <v>0</v>
      </c>
      <c r="P1058" s="39">
        <v>0</v>
      </c>
      <c r="Q1058" s="39">
        <v>0</v>
      </c>
      <c r="R1058" s="39">
        <v>0</v>
      </c>
      <c r="S1058" s="39">
        <v>0</v>
      </c>
      <c r="T1058" s="39">
        <v>0</v>
      </c>
      <c r="U1058" s="39">
        <v>0</v>
      </c>
      <c r="V1058" s="39">
        <v>456</v>
      </c>
      <c r="W1058" s="40" t="s">
        <v>7673</v>
      </c>
      <c r="X1058" s="39">
        <v>1</v>
      </c>
    </row>
    <row r="1059" spans="1:24">
      <c r="A1059" s="39">
        <v>627</v>
      </c>
      <c r="B1059" s="40" t="s">
        <v>7700</v>
      </c>
      <c r="C1059" s="39">
        <v>1</v>
      </c>
      <c r="E1059" s="39">
        <v>1</v>
      </c>
      <c r="F1059" s="39">
        <v>760</v>
      </c>
      <c r="G1059" s="39">
        <v>1</v>
      </c>
      <c r="H1059" s="39">
        <v>1</v>
      </c>
      <c r="I1059" s="39">
        <v>1</v>
      </c>
      <c r="J1059" s="39">
        <v>0</v>
      </c>
      <c r="K1059" s="39">
        <v>0</v>
      </c>
      <c r="L1059" s="39">
        <v>0</v>
      </c>
      <c r="M1059" s="39">
        <v>0</v>
      </c>
      <c r="N1059" s="39">
        <v>0</v>
      </c>
      <c r="O1059" s="39">
        <v>0</v>
      </c>
      <c r="P1059" s="39">
        <v>0</v>
      </c>
      <c r="Q1059" s="39">
        <v>0</v>
      </c>
      <c r="R1059" s="39">
        <v>0</v>
      </c>
      <c r="S1059" s="39">
        <v>0</v>
      </c>
      <c r="T1059" s="39">
        <v>0</v>
      </c>
      <c r="U1059" s="39">
        <v>0</v>
      </c>
      <c r="V1059" s="39">
        <v>468</v>
      </c>
      <c r="W1059" s="40" t="s">
        <v>7677</v>
      </c>
      <c r="X1059" s="39">
        <v>1</v>
      </c>
    </row>
    <row r="1060" spans="1:24">
      <c r="A1060" s="39">
        <v>264</v>
      </c>
      <c r="B1060" s="40" t="s">
        <v>7700</v>
      </c>
      <c r="C1060" s="39">
        <v>1</v>
      </c>
      <c r="E1060" s="39">
        <v>1</v>
      </c>
      <c r="F1060" s="39">
        <v>760</v>
      </c>
      <c r="G1060" s="39">
        <v>1</v>
      </c>
      <c r="H1060" s="39">
        <v>1</v>
      </c>
      <c r="I1060" s="39">
        <v>1</v>
      </c>
      <c r="J1060" s="39">
        <v>0</v>
      </c>
      <c r="K1060" s="39">
        <v>0</v>
      </c>
      <c r="L1060" s="39">
        <v>0</v>
      </c>
      <c r="M1060" s="39">
        <v>0</v>
      </c>
      <c r="N1060" s="39">
        <v>0</v>
      </c>
      <c r="O1060" s="39">
        <v>0</v>
      </c>
      <c r="P1060" s="39">
        <v>0</v>
      </c>
      <c r="Q1060" s="39">
        <v>0</v>
      </c>
      <c r="R1060" s="39">
        <v>0</v>
      </c>
      <c r="S1060" s="39">
        <v>0</v>
      </c>
      <c r="T1060" s="39">
        <v>0</v>
      </c>
      <c r="U1060" s="39">
        <v>0</v>
      </c>
      <c r="V1060" s="39">
        <v>590</v>
      </c>
      <c r="W1060" s="40" t="s">
        <v>7679</v>
      </c>
      <c r="X1060" s="39">
        <v>1</v>
      </c>
    </row>
    <row r="1061" spans="1:24">
      <c r="A1061" s="39">
        <v>812</v>
      </c>
      <c r="B1061" s="40" t="s">
        <v>7700</v>
      </c>
      <c r="C1061" s="39">
        <v>1</v>
      </c>
      <c r="E1061" s="39">
        <v>1</v>
      </c>
      <c r="F1061" s="39">
        <v>760</v>
      </c>
      <c r="G1061" s="39">
        <v>1</v>
      </c>
      <c r="H1061" s="39">
        <v>1</v>
      </c>
      <c r="I1061" s="39">
        <v>1</v>
      </c>
      <c r="J1061" s="39">
        <v>0</v>
      </c>
      <c r="K1061" s="39">
        <v>0</v>
      </c>
      <c r="L1061" s="39">
        <v>0</v>
      </c>
      <c r="M1061" s="39">
        <v>0</v>
      </c>
      <c r="N1061" s="39">
        <v>0</v>
      </c>
      <c r="O1061" s="39">
        <v>0</v>
      </c>
      <c r="P1061" s="39">
        <v>0</v>
      </c>
      <c r="Q1061" s="39">
        <v>0</v>
      </c>
      <c r="R1061" s="39">
        <v>0</v>
      </c>
      <c r="S1061" s="39">
        <v>0</v>
      </c>
      <c r="T1061" s="39">
        <v>0</v>
      </c>
      <c r="U1061" s="39">
        <v>0</v>
      </c>
      <c r="V1061" s="39">
        <v>733</v>
      </c>
      <c r="W1061" s="40" t="s">
        <v>7680</v>
      </c>
      <c r="X1061" s="39">
        <v>1</v>
      </c>
    </row>
    <row r="1062" spans="1:24">
      <c r="A1062" s="39">
        <v>127</v>
      </c>
      <c r="B1062" s="50" t="s">
        <v>7702</v>
      </c>
      <c r="C1062" s="39">
        <v>1</v>
      </c>
      <c r="E1062" s="39">
        <v>1</v>
      </c>
      <c r="F1062" s="39">
        <v>780</v>
      </c>
      <c r="G1062" s="39">
        <v>0</v>
      </c>
      <c r="H1062" s="39">
        <v>0</v>
      </c>
      <c r="I1062" s="39">
        <v>0</v>
      </c>
      <c r="J1062" s="39">
        <v>0</v>
      </c>
      <c r="K1062" s="39">
        <v>0</v>
      </c>
      <c r="L1062" s="39">
        <v>0</v>
      </c>
      <c r="M1062" s="39">
        <v>0</v>
      </c>
      <c r="N1062" s="39">
        <v>0</v>
      </c>
      <c r="O1062" s="39">
        <v>0</v>
      </c>
      <c r="P1062" s="39">
        <v>0</v>
      </c>
      <c r="Q1062" s="39">
        <v>0</v>
      </c>
      <c r="R1062" s="39">
        <v>0</v>
      </c>
      <c r="S1062" s="39">
        <v>0</v>
      </c>
      <c r="T1062" s="39">
        <v>0</v>
      </c>
      <c r="U1062" s="39">
        <v>0</v>
      </c>
      <c r="V1062" s="39">
        <v>1</v>
      </c>
      <c r="W1062" s="40" t="s">
        <v>518</v>
      </c>
      <c r="X1062" s="39">
        <v>1</v>
      </c>
    </row>
    <row r="1063" spans="1:24">
      <c r="A1063" s="39">
        <v>39</v>
      </c>
      <c r="B1063" s="40" t="s">
        <v>7702</v>
      </c>
      <c r="C1063" s="39">
        <v>1</v>
      </c>
      <c r="D1063" s="40" t="s">
        <v>7866</v>
      </c>
      <c r="E1063" s="39">
        <v>1</v>
      </c>
      <c r="F1063" s="39">
        <v>70</v>
      </c>
      <c r="G1063" s="39">
        <v>0</v>
      </c>
      <c r="H1063" s="39">
        <v>0</v>
      </c>
      <c r="I1063" s="39">
        <v>0</v>
      </c>
      <c r="J1063" s="39">
        <v>0</v>
      </c>
      <c r="K1063" s="39">
        <v>0</v>
      </c>
      <c r="L1063" s="39">
        <v>0</v>
      </c>
      <c r="M1063" s="39">
        <v>0</v>
      </c>
      <c r="N1063" s="39">
        <v>0</v>
      </c>
      <c r="O1063" s="39">
        <v>0</v>
      </c>
      <c r="P1063" s="39">
        <v>0</v>
      </c>
      <c r="Q1063" s="39">
        <v>0</v>
      </c>
      <c r="R1063" s="39">
        <v>0</v>
      </c>
      <c r="S1063" s="39">
        <v>0</v>
      </c>
      <c r="T1063" s="39">
        <v>0</v>
      </c>
      <c r="U1063" s="39">
        <v>0</v>
      </c>
      <c r="V1063" s="39">
        <v>2</v>
      </c>
      <c r="W1063" s="40" t="s">
        <v>40</v>
      </c>
      <c r="X1063" s="39">
        <v>1</v>
      </c>
    </row>
    <row r="1064" spans="1:24">
      <c r="A1064" s="39">
        <v>485</v>
      </c>
      <c r="B1064" s="40" t="s">
        <v>7702</v>
      </c>
      <c r="C1064" s="39">
        <v>1</v>
      </c>
      <c r="E1064" s="39">
        <v>1</v>
      </c>
      <c r="F1064" s="39">
        <v>780</v>
      </c>
      <c r="G1064" s="39">
        <v>0</v>
      </c>
      <c r="H1064" s="39">
        <v>0</v>
      </c>
      <c r="I1064" s="39">
        <v>0</v>
      </c>
      <c r="J1064" s="39">
        <v>0</v>
      </c>
      <c r="K1064" s="39">
        <v>0</v>
      </c>
      <c r="L1064" s="39">
        <v>0</v>
      </c>
      <c r="M1064" s="39">
        <v>0</v>
      </c>
      <c r="N1064" s="39">
        <v>0</v>
      </c>
      <c r="O1064" s="39">
        <v>0</v>
      </c>
      <c r="P1064" s="39">
        <v>0</v>
      </c>
      <c r="Q1064" s="39">
        <v>0</v>
      </c>
      <c r="R1064" s="39">
        <v>0</v>
      </c>
      <c r="S1064" s="39">
        <v>0</v>
      </c>
      <c r="T1064" s="39">
        <v>0</v>
      </c>
      <c r="U1064" s="39">
        <v>0</v>
      </c>
      <c r="V1064" s="39">
        <v>175</v>
      </c>
      <c r="W1064" s="40" t="s">
        <v>7689</v>
      </c>
      <c r="X1064" s="39">
        <v>1</v>
      </c>
    </row>
    <row r="1065" spans="1:24">
      <c r="A1065" s="39">
        <v>374</v>
      </c>
      <c r="B1065" s="40" t="s">
        <v>7702</v>
      </c>
      <c r="C1065" s="39">
        <v>1</v>
      </c>
      <c r="E1065" s="39">
        <v>1</v>
      </c>
      <c r="F1065" s="39">
        <v>780</v>
      </c>
      <c r="G1065" s="39">
        <v>1</v>
      </c>
      <c r="H1065" s="39">
        <v>1</v>
      </c>
      <c r="I1065" s="39">
        <v>1</v>
      </c>
      <c r="J1065" s="39">
        <v>0</v>
      </c>
      <c r="K1065" s="39">
        <v>0</v>
      </c>
      <c r="L1065" s="39">
        <v>0</v>
      </c>
      <c r="M1065" s="39">
        <v>0</v>
      </c>
      <c r="N1065" s="39">
        <v>0</v>
      </c>
      <c r="O1065" s="39">
        <v>0</v>
      </c>
      <c r="P1065" s="39">
        <v>0</v>
      </c>
      <c r="Q1065" s="39">
        <v>0</v>
      </c>
      <c r="R1065" s="39">
        <v>0</v>
      </c>
      <c r="S1065" s="39">
        <v>0</v>
      </c>
      <c r="T1065" s="39">
        <v>0</v>
      </c>
      <c r="U1065" s="39">
        <v>0</v>
      </c>
      <c r="V1065" s="39">
        <v>228</v>
      </c>
      <c r="W1065" s="40" t="s">
        <v>7669</v>
      </c>
      <c r="X1065" s="39">
        <v>1</v>
      </c>
    </row>
    <row r="1066" spans="1:24">
      <c r="A1066" s="39">
        <v>1738</v>
      </c>
      <c r="B1066" s="40" t="s">
        <v>7702</v>
      </c>
      <c r="C1066" s="39">
        <v>1</v>
      </c>
      <c r="E1066" s="39">
        <v>1</v>
      </c>
      <c r="F1066" s="39">
        <v>780</v>
      </c>
      <c r="G1066" s="39">
        <v>0</v>
      </c>
      <c r="H1066" s="39">
        <v>0</v>
      </c>
      <c r="I1066" s="39">
        <v>0</v>
      </c>
      <c r="J1066" s="39">
        <v>0</v>
      </c>
      <c r="K1066" s="39">
        <v>0</v>
      </c>
      <c r="L1066" s="39">
        <v>0</v>
      </c>
      <c r="M1066" s="39">
        <v>0</v>
      </c>
      <c r="N1066" s="39">
        <v>0</v>
      </c>
      <c r="O1066" s="39">
        <v>0</v>
      </c>
      <c r="P1066" s="39">
        <v>0</v>
      </c>
      <c r="Q1066" s="39">
        <v>0</v>
      </c>
      <c r="R1066" s="39">
        <v>0</v>
      </c>
      <c r="S1066" s="39">
        <v>0</v>
      </c>
      <c r="T1066" s="39">
        <v>0</v>
      </c>
      <c r="U1066" s="39">
        <v>0</v>
      </c>
      <c r="V1066" s="39">
        <v>244</v>
      </c>
      <c r="W1066" s="40" t="s">
        <v>682</v>
      </c>
      <c r="X1066" s="39">
        <v>1</v>
      </c>
    </row>
    <row r="1067" spans="1:24">
      <c r="A1067" s="39">
        <v>745</v>
      </c>
      <c r="B1067" s="40" t="s">
        <v>7702</v>
      </c>
      <c r="C1067" s="39">
        <v>1</v>
      </c>
      <c r="E1067" s="39">
        <v>1</v>
      </c>
      <c r="F1067" s="39">
        <v>780</v>
      </c>
      <c r="G1067" s="39">
        <v>0</v>
      </c>
      <c r="H1067" s="39">
        <v>0</v>
      </c>
      <c r="I1067" s="39">
        <v>0</v>
      </c>
      <c r="J1067" s="39">
        <v>0</v>
      </c>
      <c r="K1067" s="39">
        <v>0</v>
      </c>
      <c r="L1067" s="39">
        <v>0</v>
      </c>
      <c r="M1067" s="39">
        <v>0</v>
      </c>
      <c r="N1067" s="39">
        <v>0</v>
      </c>
      <c r="O1067" s="39">
        <v>0</v>
      </c>
      <c r="P1067" s="39">
        <v>0</v>
      </c>
      <c r="Q1067" s="39">
        <v>0</v>
      </c>
      <c r="R1067" s="39">
        <v>0</v>
      </c>
      <c r="S1067" s="39">
        <v>0</v>
      </c>
      <c r="T1067" s="39">
        <v>0</v>
      </c>
      <c r="U1067" s="39">
        <v>0</v>
      </c>
      <c r="V1067" s="39">
        <v>381</v>
      </c>
      <c r="W1067" s="40" t="s">
        <v>7805</v>
      </c>
      <c r="X1067" s="39">
        <v>1</v>
      </c>
    </row>
    <row r="1068" spans="1:24">
      <c r="A1068" s="39">
        <v>1270</v>
      </c>
      <c r="B1068" s="40" t="s">
        <v>7702</v>
      </c>
      <c r="C1068" s="39">
        <v>1</v>
      </c>
      <c r="E1068" s="39">
        <v>1</v>
      </c>
      <c r="F1068" s="39">
        <v>780</v>
      </c>
      <c r="G1068" s="39">
        <v>1</v>
      </c>
      <c r="H1068" s="39">
        <v>1</v>
      </c>
      <c r="I1068" s="39">
        <v>1</v>
      </c>
      <c r="J1068" s="39">
        <v>1</v>
      </c>
      <c r="K1068" s="39">
        <v>0</v>
      </c>
      <c r="L1068" s="39">
        <v>0</v>
      </c>
      <c r="M1068" s="39">
        <v>0</v>
      </c>
      <c r="N1068" s="39">
        <v>0</v>
      </c>
      <c r="O1068" s="39">
        <v>0</v>
      </c>
      <c r="P1068" s="39">
        <v>0</v>
      </c>
      <c r="Q1068" s="39">
        <v>0</v>
      </c>
      <c r="R1068" s="39">
        <v>0</v>
      </c>
      <c r="S1068" s="39">
        <v>0</v>
      </c>
      <c r="T1068" s="39">
        <v>0</v>
      </c>
      <c r="U1068" s="39">
        <v>0</v>
      </c>
      <c r="V1068" s="39">
        <v>418</v>
      </c>
      <c r="W1068" s="40" t="s">
        <v>7671</v>
      </c>
      <c r="X1068" s="39">
        <v>1</v>
      </c>
    </row>
    <row r="1069" spans="1:24">
      <c r="A1069" s="39">
        <v>1399</v>
      </c>
      <c r="B1069" s="40" t="s">
        <v>7702</v>
      </c>
      <c r="C1069" s="39">
        <v>1</v>
      </c>
      <c r="E1069" s="39">
        <v>1</v>
      </c>
      <c r="F1069" s="39">
        <v>780</v>
      </c>
      <c r="G1069" s="39">
        <v>0</v>
      </c>
      <c r="H1069" s="39">
        <v>0</v>
      </c>
      <c r="I1069" s="39">
        <v>0</v>
      </c>
      <c r="J1069" s="39">
        <v>0</v>
      </c>
      <c r="K1069" s="39">
        <v>0</v>
      </c>
      <c r="L1069" s="39">
        <v>0</v>
      </c>
      <c r="M1069" s="39">
        <v>0</v>
      </c>
      <c r="N1069" s="39">
        <v>0</v>
      </c>
      <c r="O1069" s="39">
        <v>0</v>
      </c>
      <c r="P1069" s="39">
        <v>0</v>
      </c>
      <c r="Q1069" s="39">
        <v>0</v>
      </c>
      <c r="R1069" s="39">
        <v>0</v>
      </c>
      <c r="S1069" s="39">
        <v>0</v>
      </c>
      <c r="T1069" s="39">
        <v>0</v>
      </c>
      <c r="U1069" s="39">
        <v>0</v>
      </c>
      <c r="V1069" s="39">
        <v>456</v>
      </c>
      <c r="W1069" s="40" t="s">
        <v>7673</v>
      </c>
      <c r="X1069" s="39">
        <v>1</v>
      </c>
    </row>
    <row r="1070" spans="1:24">
      <c r="A1070" s="39">
        <v>628</v>
      </c>
      <c r="B1070" s="40" t="s">
        <v>7702</v>
      </c>
      <c r="C1070" s="39">
        <v>1</v>
      </c>
      <c r="E1070" s="39">
        <v>1</v>
      </c>
      <c r="F1070" s="39">
        <v>780</v>
      </c>
      <c r="G1070" s="39">
        <v>1</v>
      </c>
      <c r="H1070" s="39">
        <v>1</v>
      </c>
      <c r="I1070" s="39">
        <v>1</v>
      </c>
      <c r="J1070" s="39">
        <v>0</v>
      </c>
      <c r="K1070" s="39">
        <v>0</v>
      </c>
      <c r="L1070" s="39">
        <v>0</v>
      </c>
      <c r="M1070" s="39">
        <v>0</v>
      </c>
      <c r="N1070" s="39">
        <v>0</v>
      </c>
      <c r="O1070" s="39">
        <v>0</v>
      </c>
      <c r="P1070" s="39">
        <v>0</v>
      </c>
      <c r="Q1070" s="39">
        <v>0</v>
      </c>
      <c r="R1070" s="39">
        <v>0</v>
      </c>
      <c r="S1070" s="39">
        <v>0</v>
      </c>
      <c r="T1070" s="39">
        <v>0</v>
      </c>
      <c r="U1070" s="39">
        <v>0</v>
      </c>
      <c r="V1070" s="39">
        <v>468</v>
      </c>
      <c r="W1070" s="40" t="s">
        <v>7677</v>
      </c>
      <c r="X1070" s="39">
        <v>1</v>
      </c>
    </row>
    <row r="1071" spans="1:24">
      <c r="A1071" s="39">
        <v>265</v>
      </c>
      <c r="B1071" s="40" t="s">
        <v>7702</v>
      </c>
      <c r="C1071" s="39">
        <v>1</v>
      </c>
      <c r="E1071" s="39">
        <v>1</v>
      </c>
      <c r="F1071" s="39">
        <v>780</v>
      </c>
      <c r="G1071" s="39">
        <v>1</v>
      </c>
      <c r="H1071" s="39">
        <v>1</v>
      </c>
      <c r="I1071" s="39">
        <v>1</v>
      </c>
      <c r="J1071" s="39">
        <v>0</v>
      </c>
      <c r="K1071" s="39">
        <v>0</v>
      </c>
      <c r="L1071" s="39">
        <v>0</v>
      </c>
      <c r="M1071" s="39">
        <v>0</v>
      </c>
      <c r="N1071" s="39">
        <v>0</v>
      </c>
      <c r="O1071" s="39">
        <v>0</v>
      </c>
      <c r="P1071" s="39">
        <v>0</v>
      </c>
      <c r="Q1071" s="39">
        <v>0</v>
      </c>
      <c r="R1071" s="39">
        <v>0</v>
      </c>
      <c r="S1071" s="39">
        <v>0</v>
      </c>
      <c r="T1071" s="39">
        <v>0</v>
      </c>
      <c r="U1071" s="39">
        <v>0</v>
      </c>
      <c r="V1071" s="39">
        <v>590</v>
      </c>
      <c r="W1071" s="40" t="s">
        <v>7679</v>
      </c>
      <c r="X1071" s="39">
        <v>1</v>
      </c>
    </row>
    <row r="1072" spans="1:24">
      <c r="A1072" s="39">
        <v>813</v>
      </c>
      <c r="B1072" s="40" t="s">
        <v>7702</v>
      </c>
      <c r="C1072" s="39">
        <v>1</v>
      </c>
      <c r="E1072" s="39">
        <v>1</v>
      </c>
      <c r="F1072" s="39">
        <v>780</v>
      </c>
      <c r="G1072" s="39">
        <v>1</v>
      </c>
      <c r="H1072" s="39">
        <v>1</v>
      </c>
      <c r="I1072" s="39">
        <v>1</v>
      </c>
      <c r="J1072" s="39">
        <v>0</v>
      </c>
      <c r="K1072" s="39">
        <v>0</v>
      </c>
      <c r="L1072" s="39">
        <v>0</v>
      </c>
      <c r="M1072" s="39">
        <v>0</v>
      </c>
      <c r="N1072" s="39">
        <v>0</v>
      </c>
      <c r="O1072" s="39">
        <v>0</v>
      </c>
      <c r="P1072" s="39">
        <v>0</v>
      </c>
      <c r="Q1072" s="39">
        <v>0</v>
      </c>
      <c r="R1072" s="39">
        <v>0</v>
      </c>
      <c r="S1072" s="39">
        <v>0</v>
      </c>
      <c r="T1072" s="39">
        <v>0</v>
      </c>
      <c r="U1072" s="39">
        <v>0</v>
      </c>
      <c r="V1072" s="39">
        <v>733</v>
      </c>
      <c r="W1072" s="40" t="s">
        <v>7680</v>
      </c>
      <c r="X1072" s="39">
        <v>1</v>
      </c>
    </row>
    <row r="1073" spans="1:24">
      <c r="A1073" s="39">
        <v>128</v>
      </c>
      <c r="B1073" s="50" t="s">
        <v>7703</v>
      </c>
      <c r="C1073" s="39">
        <v>1</v>
      </c>
      <c r="E1073" s="39">
        <v>1</v>
      </c>
      <c r="F1073" s="39">
        <v>800</v>
      </c>
      <c r="G1073" s="39">
        <v>0</v>
      </c>
      <c r="H1073" s="39">
        <v>0</v>
      </c>
      <c r="I1073" s="39">
        <v>0</v>
      </c>
      <c r="J1073" s="39">
        <v>0</v>
      </c>
      <c r="K1073" s="39">
        <v>0</v>
      </c>
      <c r="L1073" s="39">
        <v>0</v>
      </c>
      <c r="M1073" s="39">
        <v>0</v>
      </c>
      <c r="N1073" s="39">
        <v>0</v>
      </c>
      <c r="O1073" s="39">
        <v>0</v>
      </c>
      <c r="P1073" s="39">
        <v>0</v>
      </c>
      <c r="Q1073" s="39">
        <v>0</v>
      </c>
      <c r="R1073" s="39">
        <v>0</v>
      </c>
      <c r="S1073" s="39">
        <v>0</v>
      </c>
      <c r="T1073" s="39">
        <v>0</v>
      </c>
      <c r="U1073" s="39">
        <v>0</v>
      </c>
      <c r="V1073" s="39">
        <v>1</v>
      </c>
      <c r="W1073" s="40" t="s">
        <v>518</v>
      </c>
      <c r="X1073" s="39">
        <v>1</v>
      </c>
    </row>
    <row r="1074" spans="1:24">
      <c r="A1074" s="39">
        <v>40</v>
      </c>
      <c r="B1074" s="40" t="s">
        <v>7703</v>
      </c>
      <c r="C1074" s="39">
        <v>1</v>
      </c>
      <c r="D1074" s="40" t="s">
        <v>7867</v>
      </c>
      <c r="E1074" s="39">
        <v>1</v>
      </c>
      <c r="F1074" s="39">
        <v>80</v>
      </c>
      <c r="G1074" s="39">
        <v>0</v>
      </c>
      <c r="H1074" s="39">
        <v>0</v>
      </c>
      <c r="I1074" s="39">
        <v>0</v>
      </c>
      <c r="J1074" s="39">
        <v>0</v>
      </c>
      <c r="K1074" s="39">
        <v>0</v>
      </c>
      <c r="L1074" s="39">
        <v>0</v>
      </c>
      <c r="M1074" s="39">
        <v>0</v>
      </c>
      <c r="N1074" s="39">
        <v>0</v>
      </c>
      <c r="O1074" s="39">
        <v>0</v>
      </c>
      <c r="P1074" s="39">
        <v>0</v>
      </c>
      <c r="Q1074" s="39">
        <v>0</v>
      </c>
      <c r="R1074" s="39">
        <v>0</v>
      </c>
      <c r="S1074" s="39">
        <v>0</v>
      </c>
      <c r="T1074" s="39">
        <v>0</v>
      </c>
      <c r="U1074" s="39">
        <v>0</v>
      </c>
      <c r="V1074" s="39">
        <v>2</v>
      </c>
      <c r="W1074" s="40" t="s">
        <v>40</v>
      </c>
      <c r="X1074" s="39">
        <v>1</v>
      </c>
    </row>
    <row r="1075" spans="1:24">
      <c r="A1075" s="39">
        <v>486</v>
      </c>
      <c r="B1075" s="40" t="s">
        <v>7703</v>
      </c>
      <c r="C1075" s="39">
        <v>1</v>
      </c>
      <c r="E1075" s="39">
        <v>1</v>
      </c>
      <c r="F1075" s="39">
        <v>800</v>
      </c>
      <c r="G1075" s="39">
        <v>0</v>
      </c>
      <c r="H1075" s="39">
        <v>0</v>
      </c>
      <c r="I1075" s="39">
        <v>0</v>
      </c>
      <c r="J1075" s="39">
        <v>0</v>
      </c>
      <c r="K1075" s="39">
        <v>0</v>
      </c>
      <c r="L1075" s="39">
        <v>0</v>
      </c>
      <c r="M1075" s="39">
        <v>0</v>
      </c>
      <c r="N1075" s="39">
        <v>0</v>
      </c>
      <c r="O1075" s="39">
        <v>0</v>
      </c>
      <c r="P1075" s="39">
        <v>0</v>
      </c>
      <c r="Q1075" s="39">
        <v>0</v>
      </c>
      <c r="R1075" s="39">
        <v>0</v>
      </c>
      <c r="S1075" s="39">
        <v>0</v>
      </c>
      <c r="T1075" s="39">
        <v>0</v>
      </c>
      <c r="U1075" s="39">
        <v>0</v>
      </c>
      <c r="V1075" s="39">
        <v>175</v>
      </c>
      <c r="W1075" s="40" t="s">
        <v>7689</v>
      </c>
      <c r="X1075" s="39">
        <v>1</v>
      </c>
    </row>
    <row r="1076" spans="1:24">
      <c r="A1076" s="39">
        <v>375</v>
      </c>
      <c r="B1076" s="40" t="s">
        <v>7703</v>
      </c>
      <c r="C1076" s="39">
        <v>1</v>
      </c>
      <c r="E1076" s="39">
        <v>1</v>
      </c>
      <c r="F1076" s="39">
        <v>800</v>
      </c>
      <c r="G1076" s="39">
        <v>1</v>
      </c>
      <c r="H1076" s="39">
        <v>1</v>
      </c>
      <c r="I1076" s="39">
        <v>1</v>
      </c>
      <c r="J1076" s="39">
        <v>0</v>
      </c>
      <c r="K1076" s="39">
        <v>0</v>
      </c>
      <c r="L1076" s="39">
        <v>0</v>
      </c>
      <c r="M1076" s="39">
        <v>0</v>
      </c>
      <c r="N1076" s="39">
        <v>0</v>
      </c>
      <c r="O1076" s="39">
        <v>0</v>
      </c>
      <c r="P1076" s="39">
        <v>0</v>
      </c>
      <c r="Q1076" s="39">
        <v>0</v>
      </c>
      <c r="R1076" s="39">
        <v>0</v>
      </c>
      <c r="S1076" s="39">
        <v>0</v>
      </c>
      <c r="T1076" s="39">
        <v>0</v>
      </c>
      <c r="U1076" s="39">
        <v>0</v>
      </c>
      <c r="V1076" s="39">
        <v>228</v>
      </c>
      <c r="W1076" s="40" t="s">
        <v>7669</v>
      </c>
      <c r="X1076" s="39">
        <v>1</v>
      </c>
    </row>
    <row r="1077" spans="1:24">
      <c r="A1077" s="39">
        <v>1739</v>
      </c>
      <c r="B1077" s="40" t="s">
        <v>7703</v>
      </c>
      <c r="C1077" s="39">
        <v>1</v>
      </c>
      <c r="E1077" s="39">
        <v>1</v>
      </c>
      <c r="F1077" s="39">
        <v>800</v>
      </c>
      <c r="G1077" s="39">
        <v>0</v>
      </c>
      <c r="H1077" s="39">
        <v>0</v>
      </c>
      <c r="I1077" s="39">
        <v>0</v>
      </c>
      <c r="J1077" s="39">
        <v>0</v>
      </c>
      <c r="K1077" s="39">
        <v>0</v>
      </c>
      <c r="L1077" s="39">
        <v>0</v>
      </c>
      <c r="M1077" s="39">
        <v>0</v>
      </c>
      <c r="N1077" s="39">
        <v>0</v>
      </c>
      <c r="O1077" s="39">
        <v>0</v>
      </c>
      <c r="P1077" s="39">
        <v>0</v>
      </c>
      <c r="Q1077" s="39">
        <v>0</v>
      </c>
      <c r="R1077" s="39">
        <v>0</v>
      </c>
      <c r="S1077" s="39">
        <v>0</v>
      </c>
      <c r="T1077" s="39">
        <v>0</v>
      </c>
      <c r="U1077" s="39">
        <v>0</v>
      </c>
      <c r="V1077" s="39">
        <v>244</v>
      </c>
      <c r="W1077" s="40" t="s">
        <v>682</v>
      </c>
      <c r="X1077" s="39">
        <v>1</v>
      </c>
    </row>
    <row r="1078" spans="1:24">
      <c r="A1078" s="39">
        <v>746</v>
      </c>
      <c r="B1078" s="40" t="s">
        <v>7703</v>
      </c>
      <c r="C1078" s="39">
        <v>1</v>
      </c>
      <c r="E1078" s="39">
        <v>1</v>
      </c>
      <c r="F1078" s="39">
        <v>800</v>
      </c>
      <c r="G1078" s="39">
        <v>0</v>
      </c>
      <c r="H1078" s="39">
        <v>0</v>
      </c>
      <c r="I1078" s="39">
        <v>0</v>
      </c>
      <c r="J1078" s="39">
        <v>0</v>
      </c>
      <c r="K1078" s="39">
        <v>0</v>
      </c>
      <c r="L1078" s="39">
        <v>0</v>
      </c>
      <c r="M1078" s="39">
        <v>0</v>
      </c>
      <c r="N1078" s="39">
        <v>0</v>
      </c>
      <c r="O1078" s="39">
        <v>0</v>
      </c>
      <c r="P1078" s="39">
        <v>0</v>
      </c>
      <c r="Q1078" s="39">
        <v>0</v>
      </c>
      <c r="R1078" s="39">
        <v>0</v>
      </c>
      <c r="S1078" s="39">
        <v>0</v>
      </c>
      <c r="T1078" s="39">
        <v>0</v>
      </c>
      <c r="U1078" s="39">
        <v>0</v>
      </c>
      <c r="V1078" s="39">
        <v>381</v>
      </c>
      <c r="W1078" s="40" t="s">
        <v>7805</v>
      </c>
      <c r="X1078" s="39">
        <v>1</v>
      </c>
    </row>
    <row r="1079" spans="1:24">
      <c r="A1079" s="39">
        <v>1271</v>
      </c>
      <c r="B1079" s="40" t="s">
        <v>7703</v>
      </c>
      <c r="C1079" s="39">
        <v>1</v>
      </c>
      <c r="E1079" s="39">
        <v>1</v>
      </c>
      <c r="F1079" s="39">
        <v>800</v>
      </c>
      <c r="G1079" s="39">
        <v>1</v>
      </c>
      <c r="H1079" s="39">
        <v>1</v>
      </c>
      <c r="I1079" s="39">
        <v>1</v>
      </c>
      <c r="J1079" s="39">
        <v>1</v>
      </c>
      <c r="K1079" s="39">
        <v>0</v>
      </c>
      <c r="L1079" s="39">
        <v>0</v>
      </c>
      <c r="M1079" s="39">
        <v>0</v>
      </c>
      <c r="N1079" s="39">
        <v>0</v>
      </c>
      <c r="O1079" s="39">
        <v>0</v>
      </c>
      <c r="P1079" s="39">
        <v>0</v>
      </c>
      <c r="Q1079" s="39">
        <v>0</v>
      </c>
      <c r="R1079" s="39">
        <v>0</v>
      </c>
      <c r="S1079" s="39">
        <v>0</v>
      </c>
      <c r="T1079" s="39">
        <v>0</v>
      </c>
      <c r="U1079" s="39">
        <v>0</v>
      </c>
      <c r="V1079" s="39">
        <v>418</v>
      </c>
      <c r="W1079" s="40" t="s">
        <v>7671</v>
      </c>
      <c r="X1079" s="39">
        <v>1</v>
      </c>
    </row>
    <row r="1080" spans="1:24">
      <c r="A1080" s="39">
        <v>1400</v>
      </c>
      <c r="B1080" s="40" t="s">
        <v>7703</v>
      </c>
      <c r="C1080" s="39">
        <v>1</v>
      </c>
      <c r="E1080" s="39">
        <v>1</v>
      </c>
      <c r="F1080" s="39">
        <v>800</v>
      </c>
      <c r="G1080" s="39">
        <v>0</v>
      </c>
      <c r="H1080" s="39">
        <v>0</v>
      </c>
      <c r="I1080" s="39">
        <v>0</v>
      </c>
      <c r="J1080" s="39">
        <v>0</v>
      </c>
      <c r="K1080" s="39">
        <v>0</v>
      </c>
      <c r="L1080" s="39">
        <v>0</v>
      </c>
      <c r="M1080" s="39">
        <v>0</v>
      </c>
      <c r="N1080" s="39">
        <v>0</v>
      </c>
      <c r="O1080" s="39">
        <v>0</v>
      </c>
      <c r="P1080" s="39">
        <v>0</v>
      </c>
      <c r="Q1080" s="39">
        <v>0</v>
      </c>
      <c r="R1080" s="39">
        <v>0</v>
      </c>
      <c r="S1080" s="39">
        <v>0</v>
      </c>
      <c r="T1080" s="39">
        <v>0</v>
      </c>
      <c r="U1080" s="39">
        <v>0</v>
      </c>
      <c r="V1080" s="39">
        <v>456</v>
      </c>
      <c r="W1080" s="40" t="s">
        <v>7673</v>
      </c>
      <c r="X1080" s="39">
        <v>1</v>
      </c>
    </row>
    <row r="1081" spans="1:24">
      <c r="A1081" s="39">
        <v>629</v>
      </c>
      <c r="B1081" s="40" t="s">
        <v>7703</v>
      </c>
      <c r="C1081" s="39">
        <v>1</v>
      </c>
      <c r="E1081" s="39">
        <v>1</v>
      </c>
      <c r="F1081" s="39">
        <v>800</v>
      </c>
      <c r="G1081" s="39">
        <v>1</v>
      </c>
      <c r="H1081" s="39">
        <v>1</v>
      </c>
      <c r="I1081" s="39">
        <v>1</v>
      </c>
      <c r="J1081" s="39">
        <v>0</v>
      </c>
      <c r="K1081" s="39">
        <v>0</v>
      </c>
      <c r="L1081" s="39">
        <v>0</v>
      </c>
      <c r="M1081" s="39">
        <v>0</v>
      </c>
      <c r="N1081" s="39">
        <v>0</v>
      </c>
      <c r="O1081" s="39">
        <v>0</v>
      </c>
      <c r="P1081" s="39">
        <v>0</v>
      </c>
      <c r="Q1081" s="39">
        <v>0</v>
      </c>
      <c r="R1081" s="39">
        <v>0</v>
      </c>
      <c r="S1081" s="39">
        <v>0</v>
      </c>
      <c r="T1081" s="39">
        <v>0</v>
      </c>
      <c r="U1081" s="39">
        <v>0</v>
      </c>
      <c r="V1081" s="39">
        <v>468</v>
      </c>
      <c r="W1081" s="40" t="s">
        <v>7677</v>
      </c>
      <c r="X1081" s="39">
        <v>1</v>
      </c>
    </row>
    <row r="1082" spans="1:24">
      <c r="A1082" s="39">
        <v>266</v>
      </c>
      <c r="B1082" s="40" t="s">
        <v>7703</v>
      </c>
      <c r="C1082" s="39">
        <v>1</v>
      </c>
      <c r="E1082" s="39">
        <v>1</v>
      </c>
      <c r="F1082" s="39">
        <v>800</v>
      </c>
      <c r="G1082" s="39">
        <v>1</v>
      </c>
      <c r="H1082" s="39">
        <v>1</v>
      </c>
      <c r="I1082" s="39">
        <v>1</v>
      </c>
      <c r="J1082" s="39">
        <v>0</v>
      </c>
      <c r="K1082" s="39">
        <v>0</v>
      </c>
      <c r="L1082" s="39">
        <v>0</v>
      </c>
      <c r="M1082" s="39">
        <v>0</v>
      </c>
      <c r="N1082" s="39">
        <v>0</v>
      </c>
      <c r="O1082" s="39">
        <v>0</v>
      </c>
      <c r="P1082" s="39">
        <v>0</v>
      </c>
      <c r="Q1082" s="39">
        <v>0</v>
      </c>
      <c r="R1082" s="39">
        <v>0</v>
      </c>
      <c r="S1082" s="39">
        <v>0</v>
      </c>
      <c r="T1082" s="39">
        <v>0</v>
      </c>
      <c r="U1082" s="39">
        <v>0</v>
      </c>
      <c r="V1082" s="39">
        <v>590</v>
      </c>
      <c r="W1082" s="40" t="s">
        <v>7679</v>
      </c>
      <c r="X1082" s="39">
        <v>1</v>
      </c>
    </row>
    <row r="1083" spans="1:24">
      <c r="A1083" s="39">
        <v>814</v>
      </c>
      <c r="B1083" s="40" t="s">
        <v>7703</v>
      </c>
      <c r="C1083" s="39">
        <v>1</v>
      </c>
      <c r="E1083" s="39">
        <v>1</v>
      </c>
      <c r="F1083" s="39">
        <v>800</v>
      </c>
      <c r="G1083" s="39">
        <v>1</v>
      </c>
      <c r="H1083" s="39">
        <v>1</v>
      </c>
      <c r="I1083" s="39">
        <v>1</v>
      </c>
      <c r="J1083" s="39">
        <v>0</v>
      </c>
      <c r="K1083" s="39">
        <v>0</v>
      </c>
      <c r="L1083" s="39">
        <v>0</v>
      </c>
      <c r="M1083" s="39">
        <v>0</v>
      </c>
      <c r="N1083" s="39">
        <v>0</v>
      </c>
      <c r="O1083" s="39">
        <v>0</v>
      </c>
      <c r="P1083" s="39">
        <v>0</v>
      </c>
      <c r="Q1083" s="39">
        <v>0</v>
      </c>
      <c r="R1083" s="39">
        <v>0</v>
      </c>
      <c r="S1083" s="39">
        <v>0</v>
      </c>
      <c r="T1083" s="39">
        <v>0</v>
      </c>
      <c r="U1083" s="39">
        <v>0</v>
      </c>
      <c r="V1083" s="39">
        <v>733</v>
      </c>
      <c r="W1083" s="40" t="s">
        <v>7680</v>
      </c>
      <c r="X1083" s="39">
        <v>1</v>
      </c>
    </row>
    <row r="1084" spans="1:24">
      <c r="A1084" s="39">
        <v>129</v>
      </c>
      <c r="B1084" s="50" t="s">
        <v>7704</v>
      </c>
      <c r="C1084" s="39">
        <v>1</v>
      </c>
      <c r="E1084" s="39">
        <v>1</v>
      </c>
      <c r="F1084" s="39">
        <v>805</v>
      </c>
      <c r="G1084" s="39">
        <v>0</v>
      </c>
      <c r="H1084" s="39">
        <v>0</v>
      </c>
      <c r="I1084" s="39">
        <v>0</v>
      </c>
      <c r="J1084" s="39">
        <v>0</v>
      </c>
      <c r="K1084" s="39">
        <v>0</v>
      </c>
      <c r="L1084" s="39">
        <v>0</v>
      </c>
      <c r="M1084" s="39">
        <v>0</v>
      </c>
      <c r="N1084" s="39">
        <v>0</v>
      </c>
      <c r="O1084" s="39">
        <v>0</v>
      </c>
      <c r="P1084" s="39">
        <v>0</v>
      </c>
      <c r="Q1084" s="39">
        <v>0</v>
      </c>
      <c r="R1084" s="39">
        <v>0</v>
      </c>
      <c r="S1084" s="39">
        <v>0</v>
      </c>
      <c r="T1084" s="39">
        <v>0</v>
      </c>
      <c r="U1084" s="39">
        <v>0</v>
      </c>
      <c r="V1084" s="39">
        <v>1</v>
      </c>
      <c r="W1084" s="40" t="s">
        <v>518</v>
      </c>
      <c r="X1084" s="39">
        <v>1</v>
      </c>
    </row>
    <row r="1085" spans="1:24">
      <c r="A1085" s="39">
        <v>41</v>
      </c>
      <c r="B1085" s="40" t="s">
        <v>7704</v>
      </c>
      <c r="C1085" s="39">
        <v>1</v>
      </c>
      <c r="D1085" s="40" t="s">
        <v>7868</v>
      </c>
      <c r="E1085" s="39">
        <v>1</v>
      </c>
      <c r="F1085" s="39">
        <v>90</v>
      </c>
      <c r="G1085" s="39">
        <v>0</v>
      </c>
      <c r="H1085" s="39">
        <v>0</v>
      </c>
      <c r="I1085" s="39">
        <v>0</v>
      </c>
      <c r="J1085" s="39">
        <v>0</v>
      </c>
      <c r="K1085" s="39">
        <v>0</v>
      </c>
      <c r="L1085" s="39">
        <v>0</v>
      </c>
      <c r="M1085" s="39">
        <v>0</v>
      </c>
      <c r="N1085" s="39">
        <v>0</v>
      </c>
      <c r="O1085" s="39">
        <v>0</v>
      </c>
      <c r="P1085" s="39">
        <v>0</v>
      </c>
      <c r="Q1085" s="39">
        <v>0</v>
      </c>
      <c r="R1085" s="39">
        <v>0</v>
      </c>
      <c r="S1085" s="39">
        <v>0</v>
      </c>
      <c r="T1085" s="39">
        <v>0</v>
      </c>
      <c r="U1085" s="39">
        <v>0</v>
      </c>
      <c r="V1085" s="39">
        <v>2</v>
      </c>
      <c r="W1085" s="40" t="s">
        <v>40</v>
      </c>
      <c r="X1085" s="39">
        <v>1</v>
      </c>
    </row>
    <row r="1086" spans="1:24">
      <c r="A1086" s="39">
        <v>1087</v>
      </c>
      <c r="B1086" s="40" t="s">
        <v>7704</v>
      </c>
      <c r="C1086" s="39">
        <v>1</v>
      </c>
      <c r="E1086" s="39">
        <v>1</v>
      </c>
      <c r="F1086" s="39">
        <v>805</v>
      </c>
      <c r="G1086" s="39">
        <v>1</v>
      </c>
      <c r="H1086" s="39">
        <v>1</v>
      </c>
      <c r="I1086" s="39">
        <v>1</v>
      </c>
      <c r="J1086" s="39">
        <v>0</v>
      </c>
      <c r="K1086" s="39">
        <v>0</v>
      </c>
      <c r="L1086" s="39">
        <v>0</v>
      </c>
      <c r="M1086" s="39">
        <v>0</v>
      </c>
      <c r="N1086" s="39">
        <v>0</v>
      </c>
      <c r="O1086" s="39">
        <v>0</v>
      </c>
      <c r="P1086" s="39">
        <v>0</v>
      </c>
      <c r="Q1086" s="39">
        <v>0</v>
      </c>
      <c r="R1086" s="39">
        <v>0</v>
      </c>
      <c r="S1086" s="39">
        <v>0</v>
      </c>
      <c r="T1086" s="39">
        <v>0</v>
      </c>
      <c r="U1086" s="39">
        <v>0</v>
      </c>
      <c r="V1086" s="39">
        <v>158</v>
      </c>
      <c r="W1086" s="40" t="s">
        <v>7667</v>
      </c>
      <c r="X1086" s="39">
        <v>1</v>
      </c>
    </row>
    <row r="1087" spans="1:24">
      <c r="A1087" s="39">
        <v>487</v>
      </c>
      <c r="B1087" s="40" t="s">
        <v>7704</v>
      </c>
      <c r="C1087" s="39">
        <v>1</v>
      </c>
      <c r="E1087" s="39">
        <v>1</v>
      </c>
      <c r="F1087" s="39">
        <v>805</v>
      </c>
      <c r="G1087" s="39">
        <v>0</v>
      </c>
      <c r="H1087" s="39">
        <v>0</v>
      </c>
      <c r="I1087" s="39">
        <v>0</v>
      </c>
      <c r="J1087" s="39">
        <v>0</v>
      </c>
      <c r="K1087" s="39">
        <v>0</v>
      </c>
      <c r="L1087" s="39">
        <v>0</v>
      </c>
      <c r="M1087" s="39">
        <v>0</v>
      </c>
      <c r="N1087" s="39">
        <v>0</v>
      </c>
      <c r="O1087" s="39">
        <v>0</v>
      </c>
      <c r="P1087" s="39">
        <v>0</v>
      </c>
      <c r="Q1087" s="39">
        <v>0</v>
      </c>
      <c r="R1087" s="39">
        <v>0</v>
      </c>
      <c r="S1087" s="39">
        <v>0</v>
      </c>
      <c r="T1087" s="39">
        <v>0</v>
      </c>
      <c r="U1087" s="39">
        <v>0</v>
      </c>
      <c r="V1087" s="39">
        <v>175</v>
      </c>
      <c r="W1087" s="40" t="s">
        <v>7689</v>
      </c>
      <c r="X1087" s="39">
        <v>1</v>
      </c>
    </row>
    <row r="1088" spans="1:24">
      <c r="A1088" s="39">
        <v>376</v>
      </c>
      <c r="B1088" s="40" t="s">
        <v>7704</v>
      </c>
      <c r="C1088" s="39">
        <v>1</v>
      </c>
      <c r="E1088" s="39">
        <v>1</v>
      </c>
      <c r="F1088" s="39">
        <v>805</v>
      </c>
      <c r="G1088" s="39">
        <v>1</v>
      </c>
      <c r="H1088" s="39">
        <v>1</v>
      </c>
      <c r="I1088" s="39">
        <v>1</v>
      </c>
      <c r="J1088" s="39">
        <v>0</v>
      </c>
      <c r="K1088" s="39">
        <v>0</v>
      </c>
      <c r="L1088" s="39">
        <v>0</v>
      </c>
      <c r="M1088" s="39">
        <v>0</v>
      </c>
      <c r="N1088" s="39">
        <v>0</v>
      </c>
      <c r="O1088" s="39">
        <v>0</v>
      </c>
      <c r="P1088" s="39">
        <v>0</v>
      </c>
      <c r="Q1088" s="39">
        <v>0</v>
      </c>
      <c r="R1088" s="39">
        <v>0</v>
      </c>
      <c r="S1088" s="39">
        <v>0</v>
      </c>
      <c r="T1088" s="39">
        <v>0</v>
      </c>
      <c r="U1088" s="39">
        <v>0</v>
      </c>
      <c r="V1088" s="39">
        <v>228</v>
      </c>
      <c r="W1088" s="40" t="s">
        <v>7669</v>
      </c>
      <c r="X1088" s="39">
        <v>1</v>
      </c>
    </row>
    <row r="1089" spans="1:24">
      <c r="A1089" s="39">
        <v>1740</v>
      </c>
      <c r="B1089" s="40" t="s">
        <v>7704</v>
      </c>
      <c r="C1089" s="39">
        <v>1</v>
      </c>
      <c r="E1089" s="39">
        <v>1</v>
      </c>
      <c r="F1089" s="39">
        <v>805</v>
      </c>
      <c r="G1089" s="39">
        <v>0</v>
      </c>
      <c r="H1089" s="39">
        <v>0</v>
      </c>
      <c r="I1089" s="39">
        <v>0</v>
      </c>
      <c r="J1089" s="39">
        <v>0</v>
      </c>
      <c r="K1089" s="39">
        <v>0</v>
      </c>
      <c r="L1089" s="39">
        <v>0</v>
      </c>
      <c r="M1089" s="39">
        <v>0</v>
      </c>
      <c r="N1089" s="39">
        <v>0</v>
      </c>
      <c r="O1089" s="39">
        <v>0</v>
      </c>
      <c r="P1089" s="39">
        <v>0</v>
      </c>
      <c r="Q1089" s="39">
        <v>0</v>
      </c>
      <c r="R1089" s="39">
        <v>0</v>
      </c>
      <c r="S1089" s="39">
        <v>0</v>
      </c>
      <c r="T1089" s="39">
        <v>0</v>
      </c>
      <c r="U1089" s="39">
        <v>0</v>
      </c>
      <c r="V1089" s="39">
        <v>244</v>
      </c>
      <c r="W1089" s="40" t="s">
        <v>682</v>
      </c>
      <c r="X1089" s="39">
        <v>1</v>
      </c>
    </row>
    <row r="1090" spans="1:24">
      <c r="A1090" s="39">
        <v>747</v>
      </c>
      <c r="B1090" s="40" t="s">
        <v>7704</v>
      </c>
      <c r="C1090" s="39">
        <v>1</v>
      </c>
      <c r="E1090" s="39">
        <v>1</v>
      </c>
      <c r="F1090" s="39">
        <v>805</v>
      </c>
      <c r="G1090" s="39">
        <v>0</v>
      </c>
      <c r="H1090" s="39">
        <v>0</v>
      </c>
      <c r="I1090" s="39">
        <v>0</v>
      </c>
      <c r="J1090" s="39">
        <v>0</v>
      </c>
      <c r="K1090" s="39">
        <v>0</v>
      </c>
      <c r="L1090" s="39">
        <v>0</v>
      </c>
      <c r="M1090" s="39">
        <v>0</v>
      </c>
      <c r="N1090" s="39">
        <v>0</v>
      </c>
      <c r="O1090" s="39">
        <v>0</v>
      </c>
      <c r="P1090" s="39">
        <v>0</v>
      </c>
      <c r="Q1090" s="39">
        <v>0</v>
      </c>
      <c r="R1090" s="39">
        <v>0</v>
      </c>
      <c r="S1090" s="39">
        <v>0</v>
      </c>
      <c r="T1090" s="39">
        <v>0</v>
      </c>
      <c r="U1090" s="39">
        <v>0</v>
      </c>
      <c r="V1090" s="39">
        <v>381</v>
      </c>
      <c r="W1090" s="40" t="s">
        <v>7805</v>
      </c>
      <c r="X1090" s="39">
        <v>1</v>
      </c>
    </row>
    <row r="1091" spans="1:24">
      <c r="A1091" s="39">
        <v>1272</v>
      </c>
      <c r="B1091" s="40" t="s">
        <v>7704</v>
      </c>
      <c r="C1091" s="39">
        <v>1</v>
      </c>
      <c r="E1091" s="39">
        <v>1</v>
      </c>
      <c r="F1091" s="39">
        <v>805</v>
      </c>
      <c r="G1091" s="39">
        <v>1</v>
      </c>
      <c r="H1091" s="39">
        <v>1</v>
      </c>
      <c r="I1091" s="39">
        <v>1</v>
      </c>
      <c r="J1091" s="39">
        <v>0</v>
      </c>
      <c r="K1091" s="39">
        <v>0</v>
      </c>
      <c r="L1091" s="39">
        <v>0</v>
      </c>
      <c r="M1091" s="39">
        <v>0</v>
      </c>
      <c r="N1091" s="39">
        <v>0</v>
      </c>
      <c r="O1091" s="39">
        <v>0</v>
      </c>
      <c r="P1091" s="39">
        <v>0</v>
      </c>
      <c r="Q1091" s="39">
        <v>0</v>
      </c>
      <c r="R1091" s="39">
        <v>0</v>
      </c>
      <c r="S1091" s="39">
        <v>0</v>
      </c>
      <c r="T1091" s="39">
        <v>0</v>
      </c>
      <c r="U1091" s="39">
        <v>0</v>
      </c>
      <c r="V1091" s="39">
        <v>418</v>
      </c>
      <c r="W1091" s="40" t="s">
        <v>7671</v>
      </c>
      <c r="X1091" s="39">
        <v>1</v>
      </c>
    </row>
    <row r="1092" spans="1:24">
      <c r="A1092" s="39">
        <v>1401</v>
      </c>
      <c r="B1092" s="40" t="s">
        <v>7704</v>
      </c>
      <c r="C1092" s="39">
        <v>1</v>
      </c>
      <c r="E1092" s="39">
        <v>1</v>
      </c>
      <c r="F1092" s="39">
        <v>805</v>
      </c>
      <c r="G1092" s="39">
        <v>0</v>
      </c>
      <c r="H1092" s="39">
        <v>0</v>
      </c>
      <c r="I1092" s="39">
        <v>0</v>
      </c>
      <c r="J1092" s="39">
        <v>0</v>
      </c>
      <c r="K1092" s="39">
        <v>0</v>
      </c>
      <c r="L1092" s="39">
        <v>0</v>
      </c>
      <c r="M1092" s="39">
        <v>0</v>
      </c>
      <c r="N1092" s="39">
        <v>0</v>
      </c>
      <c r="O1092" s="39">
        <v>0</v>
      </c>
      <c r="P1092" s="39">
        <v>0</v>
      </c>
      <c r="Q1092" s="39">
        <v>0</v>
      </c>
      <c r="R1092" s="39">
        <v>0</v>
      </c>
      <c r="S1092" s="39">
        <v>0</v>
      </c>
      <c r="T1092" s="39">
        <v>0</v>
      </c>
      <c r="U1092" s="39">
        <v>0</v>
      </c>
      <c r="V1092" s="39">
        <v>456</v>
      </c>
      <c r="W1092" s="40" t="s">
        <v>7673</v>
      </c>
      <c r="X1092" s="39">
        <v>1</v>
      </c>
    </row>
    <row r="1093" spans="1:24">
      <c r="A1093" s="39">
        <v>1088</v>
      </c>
      <c r="B1093" s="40" t="s">
        <v>7704</v>
      </c>
      <c r="C1093" s="39">
        <v>1</v>
      </c>
      <c r="E1093" s="39">
        <v>1</v>
      </c>
      <c r="F1093" s="39">
        <v>805</v>
      </c>
      <c r="G1093" s="39">
        <v>1</v>
      </c>
      <c r="H1093" s="39">
        <v>1</v>
      </c>
      <c r="I1093" s="39">
        <v>1</v>
      </c>
      <c r="J1093" s="39">
        <v>0</v>
      </c>
      <c r="K1093" s="39">
        <v>0</v>
      </c>
      <c r="L1093" s="39">
        <v>0</v>
      </c>
      <c r="M1093" s="39">
        <v>0</v>
      </c>
      <c r="N1093" s="39">
        <v>0</v>
      </c>
      <c r="O1093" s="39">
        <v>0</v>
      </c>
      <c r="P1093" s="39">
        <v>0</v>
      </c>
      <c r="Q1093" s="39">
        <v>0</v>
      </c>
      <c r="R1093" s="39">
        <v>0</v>
      </c>
      <c r="S1093" s="39">
        <v>0</v>
      </c>
      <c r="T1093" s="39">
        <v>0</v>
      </c>
      <c r="U1093" s="39">
        <v>0</v>
      </c>
      <c r="V1093" s="39">
        <v>458</v>
      </c>
      <c r="W1093" s="40" t="s">
        <v>7694</v>
      </c>
      <c r="X1093" s="39">
        <v>1</v>
      </c>
    </row>
    <row r="1094" spans="1:24">
      <c r="A1094" s="39">
        <v>1171</v>
      </c>
      <c r="B1094" s="40" t="s">
        <v>7704</v>
      </c>
      <c r="C1094" s="39">
        <v>1</v>
      </c>
      <c r="E1094" s="39">
        <v>1</v>
      </c>
      <c r="F1094" s="39">
        <v>805</v>
      </c>
      <c r="G1094" s="39">
        <v>1</v>
      </c>
      <c r="H1094" s="39">
        <v>1</v>
      </c>
      <c r="I1094" s="39">
        <v>1</v>
      </c>
      <c r="J1094" s="39">
        <v>0</v>
      </c>
      <c r="K1094" s="39">
        <v>0</v>
      </c>
      <c r="L1094" s="39">
        <v>0</v>
      </c>
      <c r="M1094" s="39">
        <v>0</v>
      </c>
      <c r="N1094" s="39">
        <v>0</v>
      </c>
      <c r="O1094" s="39">
        <v>0</v>
      </c>
      <c r="P1094" s="39">
        <v>0</v>
      </c>
      <c r="Q1094" s="39">
        <v>0</v>
      </c>
      <c r="R1094" s="39">
        <v>0</v>
      </c>
      <c r="S1094" s="39">
        <v>0</v>
      </c>
      <c r="T1094" s="39">
        <v>0</v>
      </c>
      <c r="U1094" s="39">
        <v>0</v>
      </c>
      <c r="V1094" s="39">
        <v>459</v>
      </c>
      <c r="W1094" s="40" t="s">
        <v>7674</v>
      </c>
      <c r="X1094" s="39">
        <v>1</v>
      </c>
    </row>
    <row r="1095" spans="1:24">
      <c r="A1095" s="39">
        <v>630</v>
      </c>
      <c r="B1095" s="40" t="s">
        <v>7704</v>
      </c>
      <c r="C1095" s="39">
        <v>1</v>
      </c>
      <c r="E1095" s="39">
        <v>1</v>
      </c>
      <c r="F1095" s="39">
        <v>805</v>
      </c>
      <c r="G1095" s="39">
        <v>1</v>
      </c>
      <c r="H1095" s="39">
        <v>1</v>
      </c>
      <c r="I1095" s="39">
        <v>1</v>
      </c>
      <c r="J1095" s="39">
        <v>0</v>
      </c>
      <c r="K1095" s="39">
        <v>0</v>
      </c>
      <c r="L1095" s="39">
        <v>0</v>
      </c>
      <c r="M1095" s="39">
        <v>0</v>
      </c>
      <c r="N1095" s="39">
        <v>0</v>
      </c>
      <c r="O1095" s="39">
        <v>0</v>
      </c>
      <c r="P1095" s="39">
        <v>0</v>
      </c>
      <c r="Q1095" s="39">
        <v>0</v>
      </c>
      <c r="R1095" s="39">
        <v>0</v>
      </c>
      <c r="S1095" s="39">
        <v>0</v>
      </c>
      <c r="T1095" s="39">
        <v>0</v>
      </c>
      <c r="U1095" s="39">
        <v>0</v>
      </c>
      <c r="V1095" s="39">
        <v>468</v>
      </c>
      <c r="W1095" s="40" t="s">
        <v>7677</v>
      </c>
      <c r="X1095" s="39">
        <v>1</v>
      </c>
    </row>
    <row r="1096" spans="1:24">
      <c r="A1096" s="39">
        <v>1083</v>
      </c>
      <c r="B1096" s="40" t="s">
        <v>7704</v>
      </c>
      <c r="C1096" s="39">
        <v>1</v>
      </c>
      <c r="E1096" s="39">
        <v>1</v>
      </c>
      <c r="F1096" s="39">
        <v>805</v>
      </c>
      <c r="G1096" s="39">
        <v>1</v>
      </c>
      <c r="H1096" s="39">
        <v>1</v>
      </c>
      <c r="I1096" s="39">
        <v>1</v>
      </c>
      <c r="J1096" s="39">
        <v>0</v>
      </c>
      <c r="K1096" s="39">
        <v>0</v>
      </c>
      <c r="L1096" s="39">
        <v>0</v>
      </c>
      <c r="M1096" s="39">
        <v>0</v>
      </c>
      <c r="N1096" s="39">
        <v>0</v>
      </c>
      <c r="O1096" s="39">
        <v>0</v>
      </c>
      <c r="P1096" s="39">
        <v>0</v>
      </c>
      <c r="Q1096" s="39">
        <v>0</v>
      </c>
      <c r="R1096" s="39">
        <v>0</v>
      </c>
      <c r="S1096" s="39">
        <v>0</v>
      </c>
      <c r="T1096" s="39">
        <v>0</v>
      </c>
      <c r="U1096" s="39">
        <v>0</v>
      </c>
      <c r="V1096" s="39">
        <v>477</v>
      </c>
      <c r="W1096" s="40" t="s">
        <v>7697</v>
      </c>
      <c r="X1096" s="39">
        <v>1</v>
      </c>
    </row>
    <row r="1097" spans="1:24">
      <c r="A1097" s="39">
        <v>267</v>
      </c>
      <c r="B1097" s="40" t="s">
        <v>7704</v>
      </c>
      <c r="C1097" s="39">
        <v>1</v>
      </c>
      <c r="E1097" s="39">
        <v>1</v>
      </c>
      <c r="F1097" s="39">
        <v>805</v>
      </c>
      <c r="G1097" s="39">
        <v>1</v>
      </c>
      <c r="H1097" s="39">
        <v>1</v>
      </c>
      <c r="I1097" s="39">
        <v>1</v>
      </c>
      <c r="J1097" s="39">
        <v>0</v>
      </c>
      <c r="K1097" s="39">
        <v>0</v>
      </c>
      <c r="L1097" s="39">
        <v>0</v>
      </c>
      <c r="M1097" s="39">
        <v>0</v>
      </c>
      <c r="N1097" s="39">
        <v>0</v>
      </c>
      <c r="O1097" s="39">
        <v>0</v>
      </c>
      <c r="P1097" s="39">
        <v>0</v>
      </c>
      <c r="Q1097" s="39">
        <v>0</v>
      </c>
      <c r="R1097" s="39">
        <v>0</v>
      </c>
      <c r="S1097" s="39">
        <v>0</v>
      </c>
      <c r="T1097" s="39">
        <v>0</v>
      </c>
      <c r="U1097" s="39">
        <v>0</v>
      </c>
      <c r="V1097" s="39">
        <v>590</v>
      </c>
      <c r="W1097" s="40" t="s">
        <v>7679</v>
      </c>
      <c r="X1097" s="39">
        <v>1</v>
      </c>
    </row>
    <row r="1098" spans="1:24">
      <c r="A1098" s="39">
        <v>815</v>
      </c>
      <c r="B1098" s="40" t="s">
        <v>7704</v>
      </c>
      <c r="C1098" s="39">
        <v>1</v>
      </c>
      <c r="E1098" s="39">
        <v>1</v>
      </c>
      <c r="F1098" s="39">
        <v>805</v>
      </c>
      <c r="G1098" s="39">
        <v>1</v>
      </c>
      <c r="H1098" s="39">
        <v>1</v>
      </c>
      <c r="I1098" s="39">
        <v>1</v>
      </c>
      <c r="J1098" s="39">
        <v>0</v>
      </c>
      <c r="K1098" s="39">
        <v>0</v>
      </c>
      <c r="L1098" s="39">
        <v>0</v>
      </c>
      <c r="M1098" s="39">
        <v>0</v>
      </c>
      <c r="N1098" s="39">
        <v>0</v>
      </c>
      <c r="O1098" s="39">
        <v>0</v>
      </c>
      <c r="P1098" s="39">
        <v>0</v>
      </c>
      <c r="Q1098" s="39">
        <v>0</v>
      </c>
      <c r="R1098" s="39">
        <v>0</v>
      </c>
      <c r="S1098" s="39">
        <v>0</v>
      </c>
      <c r="T1098" s="39">
        <v>0</v>
      </c>
      <c r="U1098" s="39">
        <v>0</v>
      </c>
      <c r="V1098" s="39">
        <v>733</v>
      </c>
      <c r="W1098" s="40" t="s">
        <v>7680</v>
      </c>
      <c r="X1098" s="39">
        <v>1</v>
      </c>
    </row>
    <row r="1099" spans="1:24">
      <c r="A1099" s="39">
        <v>86</v>
      </c>
      <c r="B1099" s="40" t="s">
        <v>4779</v>
      </c>
      <c r="C1099" s="39">
        <v>0</v>
      </c>
      <c r="E1099" s="39">
        <v>0</v>
      </c>
      <c r="F1099" s="39">
        <v>1880</v>
      </c>
      <c r="G1099" s="39">
        <v>0</v>
      </c>
      <c r="H1099" s="39">
        <v>0</v>
      </c>
      <c r="I1099" s="39">
        <v>0</v>
      </c>
      <c r="J1099" s="39">
        <v>0</v>
      </c>
      <c r="K1099" s="39">
        <v>0</v>
      </c>
      <c r="L1099" s="39">
        <v>0</v>
      </c>
      <c r="M1099" s="39">
        <v>0</v>
      </c>
      <c r="N1099" s="39">
        <v>0</v>
      </c>
      <c r="O1099" s="39">
        <v>0</v>
      </c>
      <c r="P1099" s="39">
        <v>0</v>
      </c>
      <c r="Q1099" s="39">
        <v>0</v>
      </c>
      <c r="R1099" s="39">
        <v>0</v>
      </c>
      <c r="S1099" s="39">
        <v>0</v>
      </c>
      <c r="T1099" s="39">
        <v>0</v>
      </c>
      <c r="U1099" s="39">
        <v>0</v>
      </c>
      <c r="V1099" s="39">
        <v>1</v>
      </c>
      <c r="W1099" s="40" t="s">
        <v>518</v>
      </c>
      <c r="X1099" s="39">
        <v>1</v>
      </c>
    </row>
    <row r="1100" spans="1:24">
      <c r="A1100" s="39">
        <v>1698</v>
      </c>
      <c r="B1100" s="40" t="s">
        <v>4779</v>
      </c>
      <c r="C1100" s="39">
        <v>0</v>
      </c>
      <c r="E1100" s="39">
        <v>0</v>
      </c>
      <c r="F1100" s="39">
        <v>1880</v>
      </c>
      <c r="G1100" s="39">
        <v>0</v>
      </c>
      <c r="H1100" s="39">
        <v>0</v>
      </c>
      <c r="I1100" s="39">
        <v>0</v>
      </c>
      <c r="J1100" s="39">
        <v>0</v>
      </c>
      <c r="K1100" s="39">
        <v>0</v>
      </c>
      <c r="L1100" s="39">
        <v>0</v>
      </c>
      <c r="M1100" s="39">
        <v>0</v>
      </c>
      <c r="N1100" s="39">
        <v>0</v>
      </c>
      <c r="O1100" s="39">
        <v>0</v>
      </c>
      <c r="P1100" s="39">
        <v>0</v>
      </c>
      <c r="Q1100" s="39">
        <v>0</v>
      </c>
      <c r="R1100" s="39">
        <v>0</v>
      </c>
      <c r="S1100" s="39">
        <v>0</v>
      </c>
      <c r="T1100" s="39">
        <v>0</v>
      </c>
      <c r="U1100" s="39">
        <v>0</v>
      </c>
      <c r="V1100" s="39">
        <v>244</v>
      </c>
      <c r="W1100" s="40" t="s">
        <v>682</v>
      </c>
      <c r="X1100" s="39">
        <v>1</v>
      </c>
    </row>
    <row r="1101" spans="1:24">
      <c r="A1101" s="39">
        <v>1359</v>
      </c>
      <c r="B1101" s="40" t="s">
        <v>4779</v>
      </c>
      <c r="C1101" s="39">
        <v>0</v>
      </c>
      <c r="E1101" s="39">
        <v>0</v>
      </c>
      <c r="F1101" s="39">
        <v>1880</v>
      </c>
      <c r="G1101" s="39">
        <v>0</v>
      </c>
      <c r="H1101" s="39">
        <v>0</v>
      </c>
      <c r="I1101" s="39">
        <v>0</v>
      </c>
      <c r="J1101" s="39">
        <v>0</v>
      </c>
      <c r="K1101" s="39">
        <v>0</v>
      </c>
      <c r="L1101" s="39">
        <v>0</v>
      </c>
      <c r="M1101" s="39">
        <v>0</v>
      </c>
      <c r="N1101" s="39">
        <v>0</v>
      </c>
      <c r="O1101" s="39">
        <v>0</v>
      </c>
      <c r="P1101" s="39">
        <v>0</v>
      </c>
      <c r="Q1101" s="39">
        <v>0</v>
      </c>
      <c r="R1101" s="39">
        <v>0</v>
      </c>
      <c r="S1101" s="39">
        <v>0</v>
      </c>
      <c r="T1101" s="39">
        <v>0</v>
      </c>
      <c r="U1101" s="39">
        <v>0</v>
      </c>
      <c r="V1101" s="39">
        <v>456</v>
      </c>
      <c r="W1101" s="40" t="s">
        <v>7673</v>
      </c>
      <c r="X1101" s="39">
        <v>1</v>
      </c>
    </row>
    <row r="1102" spans="1:24">
      <c r="A1102" s="39">
        <v>841</v>
      </c>
      <c r="B1102" s="40" t="s">
        <v>4779</v>
      </c>
      <c r="C1102" s="39">
        <v>0</v>
      </c>
      <c r="E1102" s="39">
        <v>0</v>
      </c>
      <c r="F1102" s="39">
        <v>1880</v>
      </c>
      <c r="G1102" s="39">
        <v>0</v>
      </c>
      <c r="H1102" s="39">
        <v>0</v>
      </c>
      <c r="I1102" s="39">
        <v>0</v>
      </c>
      <c r="J1102" s="39">
        <v>0</v>
      </c>
      <c r="K1102" s="39">
        <v>0</v>
      </c>
      <c r="L1102" s="39">
        <v>0</v>
      </c>
      <c r="M1102" s="39">
        <v>0</v>
      </c>
      <c r="N1102" s="39">
        <v>0</v>
      </c>
      <c r="O1102" s="39">
        <v>0</v>
      </c>
      <c r="P1102" s="39">
        <v>0</v>
      </c>
      <c r="Q1102" s="39">
        <v>0</v>
      </c>
      <c r="R1102" s="39">
        <v>0</v>
      </c>
      <c r="S1102" s="39">
        <v>0</v>
      </c>
      <c r="T1102" s="39">
        <v>0</v>
      </c>
      <c r="U1102" s="39">
        <v>0</v>
      </c>
      <c r="V1102" s="39">
        <v>733</v>
      </c>
      <c r="W1102" s="40" t="s">
        <v>7680</v>
      </c>
      <c r="X1102" s="39">
        <v>1</v>
      </c>
    </row>
    <row r="1103" spans="1:24">
      <c r="A1103" s="39">
        <v>307</v>
      </c>
      <c r="B1103" s="40" t="s">
        <v>7869</v>
      </c>
      <c r="C1103" s="39">
        <v>0</v>
      </c>
      <c r="D1103" s="40" t="s">
        <v>7870</v>
      </c>
      <c r="E1103" s="39">
        <v>0</v>
      </c>
      <c r="F1103" s="39">
        <v>2042</v>
      </c>
      <c r="G1103" s="39">
        <v>0</v>
      </c>
      <c r="H1103" s="39">
        <v>0</v>
      </c>
      <c r="I1103" s="39">
        <v>0</v>
      </c>
      <c r="J1103" s="39">
        <v>0</v>
      </c>
      <c r="K1103" s="39">
        <v>0</v>
      </c>
      <c r="L1103" s="39">
        <v>0</v>
      </c>
      <c r="M1103" s="39">
        <v>0</v>
      </c>
      <c r="N1103" s="39">
        <v>0</v>
      </c>
      <c r="O1103" s="39">
        <v>0</v>
      </c>
      <c r="P1103" s="39">
        <v>0</v>
      </c>
      <c r="Q1103" s="39">
        <v>0</v>
      </c>
      <c r="R1103" s="39">
        <v>0</v>
      </c>
      <c r="S1103" s="39">
        <v>0</v>
      </c>
      <c r="T1103" s="39">
        <v>0</v>
      </c>
      <c r="U1103" s="39">
        <v>0</v>
      </c>
      <c r="V1103" s="39">
        <v>590</v>
      </c>
      <c r="W1103" s="40" t="s">
        <v>7679</v>
      </c>
      <c r="X1103" s="39">
        <v>1</v>
      </c>
    </row>
    <row r="1104" spans="1:24">
      <c r="A1104" s="39">
        <v>93</v>
      </c>
      <c r="B1104" s="40" t="s">
        <v>7871</v>
      </c>
      <c r="C1104" s="39">
        <v>0</v>
      </c>
      <c r="E1104" s="39">
        <v>1</v>
      </c>
      <c r="F1104" s="39">
        <v>55</v>
      </c>
      <c r="G1104" s="39">
        <v>1</v>
      </c>
      <c r="H1104" s="39">
        <v>1</v>
      </c>
      <c r="I1104" s="39">
        <v>1</v>
      </c>
      <c r="J1104" s="39">
        <v>1</v>
      </c>
      <c r="K1104" s="39">
        <v>0</v>
      </c>
      <c r="L1104" s="39">
        <v>0</v>
      </c>
      <c r="M1104" s="39">
        <v>0</v>
      </c>
      <c r="N1104" s="39">
        <v>0</v>
      </c>
      <c r="O1104" s="39">
        <v>0</v>
      </c>
      <c r="P1104" s="39">
        <v>0</v>
      </c>
      <c r="Q1104" s="39">
        <v>0</v>
      </c>
      <c r="R1104" s="39">
        <v>0</v>
      </c>
      <c r="S1104" s="39">
        <v>0</v>
      </c>
      <c r="T1104" s="39">
        <v>0</v>
      </c>
      <c r="U1104" s="39">
        <v>0</v>
      </c>
      <c r="V1104" s="39">
        <v>1</v>
      </c>
      <c r="W1104" s="40" t="s">
        <v>518</v>
      </c>
      <c r="X1104" s="39">
        <v>1</v>
      </c>
    </row>
    <row r="1105" spans="1:24">
      <c r="A1105" s="39">
        <v>1952</v>
      </c>
      <c r="B1105" s="40" t="s">
        <v>7871</v>
      </c>
      <c r="C1105" s="39">
        <v>0</v>
      </c>
      <c r="D1105" s="40" t="s">
        <v>7872</v>
      </c>
      <c r="E1105" s="39">
        <v>1</v>
      </c>
      <c r="F1105" s="39">
        <v>9</v>
      </c>
      <c r="G1105" s="39">
        <v>0</v>
      </c>
      <c r="H1105" s="39">
        <v>1</v>
      </c>
      <c r="I1105" s="39">
        <v>1</v>
      </c>
      <c r="J1105" s="39">
        <v>0</v>
      </c>
      <c r="K1105" s="39">
        <v>0</v>
      </c>
      <c r="L1105" s="39">
        <v>0</v>
      </c>
      <c r="M1105" s="39">
        <v>0</v>
      </c>
      <c r="N1105" s="39">
        <v>0</v>
      </c>
      <c r="O1105" s="39">
        <v>0</v>
      </c>
      <c r="P1105" s="39">
        <v>0</v>
      </c>
      <c r="Q1105" s="39">
        <v>0</v>
      </c>
      <c r="R1105" s="39">
        <v>0</v>
      </c>
      <c r="S1105" s="39">
        <v>0</v>
      </c>
      <c r="T1105" s="39">
        <v>0</v>
      </c>
      <c r="U1105" s="39">
        <v>0</v>
      </c>
      <c r="V1105" s="39">
        <v>2</v>
      </c>
      <c r="W1105" s="40" t="s">
        <v>40</v>
      </c>
      <c r="X1105" s="39">
        <v>1</v>
      </c>
    </row>
    <row r="1106" spans="1:24">
      <c r="A1106" s="39">
        <v>667</v>
      </c>
      <c r="B1106" s="40" t="s">
        <v>7871</v>
      </c>
      <c r="C1106" s="39">
        <v>0</v>
      </c>
      <c r="E1106" s="39">
        <v>1</v>
      </c>
      <c r="F1106" s="39">
        <v>55</v>
      </c>
      <c r="G1106" s="39">
        <v>0</v>
      </c>
      <c r="H1106" s="39">
        <v>0</v>
      </c>
      <c r="I1106" s="39">
        <v>0</v>
      </c>
      <c r="J1106" s="39">
        <v>0</v>
      </c>
      <c r="K1106" s="39">
        <v>0</v>
      </c>
      <c r="L1106" s="39">
        <v>0</v>
      </c>
      <c r="M1106" s="39">
        <v>0</v>
      </c>
      <c r="N1106" s="39">
        <v>0</v>
      </c>
      <c r="O1106" s="39">
        <v>0</v>
      </c>
      <c r="P1106" s="39">
        <v>0</v>
      </c>
      <c r="Q1106" s="39">
        <v>0</v>
      </c>
      <c r="R1106" s="39">
        <v>0</v>
      </c>
      <c r="S1106" s="39">
        <v>0</v>
      </c>
      <c r="T1106" s="39">
        <v>0</v>
      </c>
      <c r="U1106" s="39">
        <v>0</v>
      </c>
      <c r="V1106" s="39">
        <v>228</v>
      </c>
      <c r="W1106" s="40" t="s">
        <v>7669</v>
      </c>
      <c r="X1106" s="39">
        <v>1</v>
      </c>
    </row>
    <row r="1107" spans="1:24">
      <c r="A1107" s="39">
        <v>1705</v>
      </c>
      <c r="B1107" s="40" t="s">
        <v>7871</v>
      </c>
      <c r="C1107" s="39">
        <v>0</v>
      </c>
      <c r="E1107" s="39">
        <v>1</v>
      </c>
      <c r="F1107" s="39">
        <v>55</v>
      </c>
      <c r="G1107" s="39">
        <v>1</v>
      </c>
      <c r="H1107" s="39">
        <v>1</v>
      </c>
      <c r="I1107" s="39">
        <v>1</v>
      </c>
      <c r="J1107" s="39">
        <v>1</v>
      </c>
      <c r="K1107" s="39">
        <v>0</v>
      </c>
      <c r="L1107" s="39">
        <v>0</v>
      </c>
      <c r="M1107" s="39">
        <v>0</v>
      </c>
      <c r="N1107" s="39">
        <v>0</v>
      </c>
      <c r="O1107" s="39">
        <v>0</v>
      </c>
      <c r="P1107" s="39">
        <v>0</v>
      </c>
      <c r="Q1107" s="39">
        <v>0</v>
      </c>
      <c r="R1107" s="39">
        <v>0</v>
      </c>
      <c r="S1107" s="39">
        <v>0</v>
      </c>
      <c r="T1107" s="39">
        <v>0</v>
      </c>
      <c r="U1107" s="39">
        <v>0</v>
      </c>
      <c r="V1107" s="39">
        <v>244</v>
      </c>
      <c r="W1107" s="40" t="s">
        <v>682</v>
      </c>
      <c r="X1107" s="39">
        <v>1</v>
      </c>
    </row>
    <row r="1108" spans="1:24">
      <c r="A1108" s="39">
        <v>1366</v>
      </c>
      <c r="B1108" s="40" t="s">
        <v>7871</v>
      </c>
      <c r="C1108" s="39">
        <v>0</v>
      </c>
      <c r="E1108" s="39">
        <v>1</v>
      </c>
      <c r="F1108" s="39">
        <v>55</v>
      </c>
      <c r="G1108" s="39">
        <v>1</v>
      </c>
      <c r="H1108" s="39">
        <v>1</v>
      </c>
      <c r="I1108" s="39">
        <v>1</v>
      </c>
      <c r="J1108" s="39">
        <v>1</v>
      </c>
      <c r="K1108" s="39">
        <v>0</v>
      </c>
      <c r="L1108" s="39">
        <v>0</v>
      </c>
      <c r="M1108" s="39">
        <v>0</v>
      </c>
      <c r="N1108" s="39">
        <v>0</v>
      </c>
      <c r="O1108" s="39">
        <v>0</v>
      </c>
      <c r="P1108" s="39">
        <v>0</v>
      </c>
      <c r="Q1108" s="39">
        <v>0</v>
      </c>
      <c r="R1108" s="39">
        <v>0</v>
      </c>
      <c r="S1108" s="39">
        <v>0</v>
      </c>
      <c r="T1108" s="39">
        <v>0</v>
      </c>
      <c r="U1108" s="39">
        <v>0</v>
      </c>
      <c r="V1108" s="39">
        <v>456</v>
      </c>
      <c r="W1108" s="40" t="s">
        <v>7673</v>
      </c>
      <c r="X1108" s="39">
        <v>1</v>
      </c>
    </row>
    <row r="1109" spans="1:24">
      <c r="A1109" s="39">
        <v>308</v>
      </c>
      <c r="B1109" s="40" t="s">
        <v>7871</v>
      </c>
      <c r="C1109" s="39">
        <v>0</v>
      </c>
      <c r="D1109" s="40" t="s">
        <v>7873</v>
      </c>
      <c r="E1109" s="39">
        <v>1</v>
      </c>
      <c r="F1109" s="39">
        <v>55</v>
      </c>
      <c r="G1109" s="39">
        <v>0</v>
      </c>
      <c r="H1109" s="39">
        <v>0</v>
      </c>
      <c r="I1109" s="39">
        <v>0</v>
      </c>
      <c r="J1109" s="39">
        <v>0</v>
      </c>
      <c r="K1109" s="39">
        <v>0</v>
      </c>
      <c r="L1109" s="39">
        <v>0</v>
      </c>
      <c r="M1109" s="39">
        <v>0</v>
      </c>
      <c r="N1109" s="39">
        <v>0</v>
      </c>
      <c r="O1109" s="39">
        <v>0</v>
      </c>
      <c r="P1109" s="39">
        <v>0</v>
      </c>
      <c r="Q1109" s="39">
        <v>0</v>
      </c>
      <c r="R1109" s="39">
        <v>0</v>
      </c>
      <c r="S1109" s="39">
        <v>0</v>
      </c>
      <c r="T1109" s="39">
        <v>0</v>
      </c>
      <c r="U1109" s="39">
        <v>0</v>
      </c>
      <c r="V1109" s="39">
        <v>590</v>
      </c>
      <c r="W1109" s="40" t="s">
        <v>7679</v>
      </c>
      <c r="X1109" s="39">
        <v>1</v>
      </c>
    </row>
    <row r="1110" spans="1:24">
      <c r="A1110" s="39">
        <v>842</v>
      </c>
      <c r="B1110" s="40" t="s">
        <v>7871</v>
      </c>
      <c r="C1110" s="39">
        <v>0</v>
      </c>
      <c r="E1110" s="39">
        <v>1</v>
      </c>
      <c r="F1110" s="39">
        <v>55</v>
      </c>
      <c r="G1110" s="39">
        <v>1</v>
      </c>
      <c r="H1110" s="39">
        <v>1</v>
      </c>
      <c r="I1110" s="39">
        <v>1</v>
      </c>
      <c r="J1110" s="39">
        <v>1</v>
      </c>
      <c r="K1110" s="39">
        <v>0</v>
      </c>
      <c r="L1110" s="39">
        <v>0</v>
      </c>
      <c r="M1110" s="39">
        <v>0</v>
      </c>
      <c r="N1110" s="39">
        <v>0</v>
      </c>
      <c r="O1110" s="39">
        <v>0</v>
      </c>
      <c r="P1110" s="39">
        <v>0</v>
      </c>
      <c r="Q1110" s="39">
        <v>0</v>
      </c>
      <c r="R1110" s="39">
        <v>0</v>
      </c>
      <c r="S1110" s="39">
        <v>0</v>
      </c>
      <c r="T1110" s="39">
        <v>0</v>
      </c>
      <c r="U1110" s="39">
        <v>0</v>
      </c>
      <c r="V1110" s="39">
        <v>733</v>
      </c>
      <c r="W1110" s="40" t="s">
        <v>7680</v>
      </c>
      <c r="X1110" s="39">
        <v>1</v>
      </c>
    </row>
    <row r="1111" spans="1:24">
      <c r="A1111" s="39">
        <v>668</v>
      </c>
      <c r="B1111" s="40" t="s">
        <v>7874</v>
      </c>
      <c r="C1111" s="39">
        <v>0</v>
      </c>
      <c r="E1111" s="39">
        <v>1</v>
      </c>
      <c r="F1111" s="39">
        <v>2041</v>
      </c>
      <c r="G1111" s="39">
        <v>0</v>
      </c>
      <c r="H1111" s="39">
        <v>0</v>
      </c>
      <c r="I1111" s="39">
        <v>0</v>
      </c>
      <c r="J1111" s="39">
        <v>0</v>
      </c>
      <c r="K1111" s="39">
        <v>0</v>
      </c>
      <c r="L1111" s="39">
        <v>0</v>
      </c>
      <c r="M1111" s="39">
        <v>0</v>
      </c>
      <c r="N1111" s="39">
        <v>0</v>
      </c>
      <c r="O1111" s="39">
        <v>0</v>
      </c>
      <c r="P1111" s="39">
        <v>0</v>
      </c>
      <c r="Q1111" s="39">
        <v>0</v>
      </c>
      <c r="R1111" s="39">
        <v>0</v>
      </c>
      <c r="S1111" s="39">
        <v>0</v>
      </c>
      <c r="T1111" s="39">
        <v>0</v>
      </c>
      <c r="U1111" s="39">
        <v>0</v>
      </c>
      <c r="V1111" s="39">
        <v>228</v>
      </c>
      <c r="W1111" s="40" t="s">
        <v>7669</v>
      </c>
      <c r="X1111" s="39">
        <v>1</v>
      </c>
    </row>
    <row r="1112" spans="1:24">
      <c r="A1112" s="39">
        <v>309</v>
      </c>
      <c r="B1112" s="40" t="s">
        <v>7874</v>
      </c>
      <c r="C1112" s="39">
        <v>0</v>
      </c>
      <c r="D1112" s="40" t="s">
        <v>7875</v>
      </c>
      <c r="E1112" s="39">
        <v>0</v>
      </c>
      <c r="F1112" s="39">
        <v>2041</v>
      </c>
      <c r="G1112" s="39">
        <v>0</v>
      </c>
      <c r="H1112" s="39">
        <v>0</v>
      </c>
      <c r="I1112" s="39">
        <v>0</v>
      </c>
      <c r="J1112" s="39">
        <v>0</v>
      </c>
      <c r="K1112" s="39">
        <v>0</v>
      </c>
      <c r="L1112" s="39">
        <v>0</v>
      </c>
      <c r="M1112" s="39">
        <v>0</v>
      </c>
      <c r="N1112" s="39">
        <v>0</v>
      </c>
      <c r="O1112" s="39">
        <v>0</v>
      </c>
      <c r="P1112" s="39">
        <v>0</v>
      </c>
      <c r="Q1112" s="39">
        <v>0</v>
      </c>
      <c r="R1112" s="39">
        <v>0</v>
      </c>
      <c r="S1112" s="39">
        <v>0</v>
      </c>
      <c r="T1112" s="39">
        <v>0</v>
      </c>
      <c r="U1112" s="39">
        <v>0</v>
      </c>
      <c r="V1112" s="39">
        <v>590</v>
      </c>
      <c r="W1112" s="40" t="s">
        <v>7679</v>
      </c>
      <c r="X1112" s="39">
        <v>1</v>
      </c>
    </row>
    <row r="1113" spans="1:24">
      <c r="A1113" s="39">
        <v>1551</v>
      </c>
      <c r="B1113" s="40" t="s">
        <v>7876</v>
      </c>
      <c r="C1113" s="39">
        <v>0</v>
      </c>
      <c r="D1113" s="40" t="s">
        <v>7877</v>
      </c>
      <c r="E1113" s="39">
        <v>0</v>
      </c>
      <c r="F1113" s="39">
        <v>45</v>
      </c>
      <c r="G1113" s="39">
        <v>0</v>
      </c>
      <c r="H1113" s="39">
        <v>1</v>
      </c>
      <c r="I1113" s="39">
        <v>1</v>
      </c>
      <c r="J1113" s="39">
        <v>0</v>
      </c>
      <c r="K1113" s="39">
        <v>0</v>
      </c>
      <c r="L1113" s="39">
        <v>0</v>
      </c>
      <c r="M1113" s="39">
        <v>0</v>
      </c>
      <c r="N1113" s="39">
        <v>0</v>
      </c>
      <c r="O1113" s="39">
        <v>0</v>
      </c>
      <c r="P1113" s="39">
        <v>0</v>
      </c>
      <c r="Q1113" s="39">
        <v>0</v>
      </c>
      <c r="R1113" s="39">
        <v>0</v>
      </c>
      <c r="S1113" s="39">
        <v>0</v>
      </c>
      <c r="T1113" s="39">
        <v>0</v>
      </c>
      <c r="U1113" s="39">
        <v>0</v>
      </c>
      <c r="V1113" s="39">
        <v>2</v>
      </c>
      <c r="W1113" s="40" t="s">
        <v>40</v>
      </c>
      <c r="X1113" s="39">
        <v>1</v>
      </c>
    </row>
    <row r="1114" spans="1:24">
      <c r="A1114" s="39">
        <v>669</v>
      </c>
      <c r="B1114" s="40" t="s">
        <v>627</v>
      </c>
      <c r="C1114" s="39">
        <v>0</v>
      </c>
      <c r="E1114" s="39">
        <v>0</v>
      </c>
      <c r="F1114" s="39">
        <v>2040</v>
      </c>
      <c r="G1114" s="39">
        <v>0</v>
      </c>
      <c r="H1114" s="39">
        <v>0</v>
      </c>
      <c r="I1114" s="39">
        <v>0</v>
      </c>
      <c r="J1114" s="39">
        <v>0</v>
      </c>
      <c r="K1114" s="39">
        <v>0</v>
      </c>
      <c r="L1114" s="39">
        <v>0</v>
      </c>
      <c r="M1114" s="39">
        <v>0</v>
      </c>
      <c r="N1114" s="39">
        <v>0</v>
      </c>
      <c r="O1114" s="39">
        <v>0</v>
      </c>
      <c r="P1114" s="39">
        <v>0</v>
      </c>
      <c r="Q1114" s="39">
        <v>0</v>
      </c>
      <c r="R1114" s="39">
        <v>0</v>
      </c>
      <c r="S1114" s="39">
        <v>0</v>
      </c>
      <c r="T1114" s="39">
        <v>0</v>
      </c>
      <c r="U1114" s="39">
        <v>0</v>
      </c>
      <c r="V1114" s="39">
        <v>228</v>
      </c>
      <c r="W1114" s="40" t="s">
        <v>7669</v>
      </c>
      <c r="X1114" s="39">
        <v>1</v>
      </c>
    </row>
    <row r="1115" spans="1:24">
      <c r="A1115" s="39">
        <v>692</v>
      </c>
      <c r="B1115" s="40" t="s">
        <v>627</v>
      </c>
      <c r="C1115" s="39">
        <v>0</v>
      </c>
      <c r="E1115" s="39">
        <v>0</v>
      </c>
      <c r="F1115" s="39">
        <v>2040</v>
      </c>
      <c r="G1115" s="39">
        <v>0</v>
      </c>
      <c r="H1115" s="39">
        <v>0</v>
      </c>
      <c r="I1115" s="39">
        <v>0</v>
      </c>
      <c r="J1115" s="39">
        <v>0</v>
      </c>
      <c r="K1115" s="39">
        <v>0</v>
      </c>
      <c r="L1115" s="39">
        <v>0</v>
      </c>
      <c r="M1115" s="39">
        <v>0</v>
      </c>
      <c r="N1115" s="39">
        <v>0</v>
      </c>
      <c r="O1115" s="39">
        <v>0</v>
      </c>
      <c r="P1115" s="39">
        <v>0</v>
      </c>
      <c r="Q1115" s="39">
        <v>0</v>
      </c>
      <c r="R1115" s="39">
        <v>0</v>
      </c>
      <c r="S1115" s="39">
        <v>0</v>
      </c>
      <c r="T1115" s="39">
        <v>0</v>
      </c>
      <c r="U1115" s="39">
        <v>0</v>
      </c>
      <c r="V1115" s="39">
        <v>468</v>
      </c>
      <c r="W1115" s="40" t="s">
        <v>7677</v>
      </c>
      <c r="X1115" s="39">
        <v>1</v>
      </c>
    </row>
    <row r="1116" spans="1:24">
      <c r="A1116" s="39">
        <v>310</v>
      </c>
      <c r="B1116" s="40" t="s">
        <v>627</v>
      </c>
      <c r="C1116" s="39">
        <v>0</v>
      </c>
      <c r="D1116" s="40" t="s">
        <v>7878</v>
      </c>
      <c r="E1116" s="39">
        <v>0</v>
      </c>
      <c r="F1116" s="39">
        <v>2040</v>
      </c>
      <c r="G1116" s="39">
        <v>0</v>
      </c>
      <c r="H1116" s="39">
        <v>0</v>
      </c>
      <c r="I1116" s="39">
        <v>0</v>
      </c>
      <c r="J1116" s="39">
        <v>0</v>
      </c>
      <c r="K1116" s="39">
        <v>0</v>
      </c>
      <c r="L1116" s="39">
        <v>0</v>
      </c>
      <c r="M1116" s="39">
        <v>0</v>
      </c>
      <c r="N1116" s="39">
        <v>0</v>
      </c>
      <c r="O1116" s="39">
        <v>0</v>
      </c>
      <c r="P1116" s="39">
        <v>0</v>
      </c>
      <c r="Q1116" s="39">
        <v>0</v>
      </c>
      <c r="R1116" s="39">
        <v>0</v>
      </c>
      <c r="S1116" s="39">
        <v>0</v>
      </c>
      <c r="T1116" s="39">
        <v>0</v>
      </c>
      <c r="U1116" s="39">
        <v>0</v>
      </c>
      <c r="V1116" s="39">
        <v>590</v>
      </c>
      <c r="W1116" s="40" t="s">
        <v>7679</v>
      </c>
      <c r="X1116" s="39">
        <v>1</v>
      </c>
    </row>
    <row r="1117" spans="1:24">
      <c r="A1117" s="39">
        <v>670</v>
      </c>
      <c r="B1117" s="40" t="s">
        <v>7879</v>
      </c>
      <c r="C1117" s="39">
        <v>0</v>
      </c>
      <c r="E1117" s="39">
        <v>0</v>
      </c>
      <c r="F1117" s="39">
        <v>2070</v>
      </c>
      <c r="G1117" s="39">
        <v>0</v>
      </c>
      <c r="H1117" s="39">
        <v>0</v>
      </c>
      <c r="I1117" s="39">
        <v>0</v>
      </c>
      <c r="J1117" s="39">
        <v>0</v>
      </c>
      <c r="K1117" s="39">
        <v>0</v>
      </c>
      <c r="L1117" s="39">
        <v>0</v>
      </c>
      <c r="M1117" s="39">
        <v>0</v>
      </c>
      <c r="N1117" s="39">
        <v>0</v>
      </c>
      <c r="O1117" s="39">
        <v>0</v>
      </c>
      <c r="P1117" s="39">
        <v>0</v>
      </c>
      <c r="Q1117" s="39">
        <v>0</v>
      </c>
      <c r="R1117" s="39">
        <v>0</v>
      </c>
      <c r="S1117" s="39">
        <v>0</v>
      </c>
      <c r="T1117" s="39">
        <v>0</v>
      </c>
      <c r="U1117" s="39">
        <v>0</v>
      </c>
      <c r="V1117" s="39">
        <v>228</v>
      </c>
      <c r="W1117" s="40" t="s">
        <v>7669</v>
      </c>
      <c r="X1117" s="39">
        <v>1</v>
      </c>
    </row>
    <row r="1118" spans="1:24">
      <c r="A1118" s="39">
        <v>650</v>
      </c>
      <c r="B1118" s="40" t="s">
        <v>7880</v>
      </c>
      <c r="C1118" s="39">
        <v>0</v>
      </c>
      <c r="E1118" s="39">
        <v>0</v>
      </c>
      <c r="F1118" s="39">
        <v>2039</v>
      </c>
      <c r="G1118" s="39">
        <v>0</v>
      </c>
      <c r="H1118" s="39">
        <v>0</v>
      </c>
      <c r="I1118" s="39">
        <v>0</v>
      </c>
      <c r="J1118" s="39">
        <v>0</v>
      </c>
      <c r="K1118" s="39">
        <v>0</v>
      </c>
      <c r="L1118" s="39">
        <v>0</v>
      </c>
      <c r="M1118" s="39">
        <v>0</v>
      </c>
      <c r="N1118" s="39">
        <v>0</v>
      </c>
      <c r="O1118" s="39">
        <v>0</v>
      </c>
      <c r="P1118" s="39">
        <v>0</v>
      </c>
      <c r="Q1118" s="39">
        <v>0</v>
      </c>
      <c r="R1118" s="39">
        <v>0</v>
      </c>
      <c r="S1118" s="39">
        <v>0</v>
      </c>
      <c r="T1118" s="39">
        <v>0</v>
      </c>
      <c r="U1118" s="39">
        <v>0</v>
      </c>
      <c r="V1118" s="39">
        <v>468</v>
      </c>
      <c r="W1118" s="40" t="s">
        <v>7677</v>
      </c>
      <c r="X1118" s="39">
        <v>1</v>
      </c>
    </row>
    <row r="1119" spans="1:24">
      <c r="A1119" s="39">
        <v>311</v>
      </c>
      <c r="B1119" s="40" t="s">
        <v>7880</v>
      </c>
      <c r="C1119" s="39">
        <v>0</v>
      </c>
      <c r="D1119" s="40" t="s">
        <v>7881</v>
      </c>
      <c r="E1119" s="39">
        <v>0</v>
      </c>
      <c r="F1119" s="39">
        <v>2039</v>
      </c>
      <c r="G1119" s="39">
        <v>0</v>
      </c>
      <c r="H1119" s="39">
        <v>0</v>
      </c>
      <c r="I1119" s="39">
        <v>0</v>
      </c>
      <c r="J1119" s="39">
        <v>0</v>
      </c>
      <c r="K1119" s="39">
        <v>0</v>
      </c>
      <c r="L1119" s="39">
        <v>0</v>
      </c>
      <c r="M1119" s="39">
        <v>0</v>
      </c>
      <c r="N1119" s="39">
        <v>0</v>
      </c>
      <c r="O1119" s="39">
        <v>0</v>
      </c>
      <c r="P1119" s="39">
        <v>0</v>
      </c>
      <c r="Q1119" s="39">
        <v>0</v>
      </c>
      <c r="R1119" s="39">
        <v>0</v>
      </c>
      <c r="S1119" s="39">
        <v>0</v>
      </c>
      <c r="T1119" s="39">
        <v>0</v>
      </c>
      <c r="U1119" s="39">
        <v>0</v>
      </c>
      <c r="V1119" s="39">
        <v>590</v>
      </c>
      <c r="W1119" s="40" t="s">
        <v>7679</v>
      </c>
      <c r="X1119" s="39">
        <v>1</v>
      </c>
    </row>
    <row r="1120" spans="1:24">
      <c r="A1120" s="39">
        <v>671</v>
      </c>
      <c r="B1120" s="40" t="s">
        <v>7882</v>
      </c>
      <c r="C1120" s="39">
        <v>0</v>
      </c>
      <c r="E1120" s="39">
        <v>0</v>
      </c>
      <c r="F1120" s="39">
        <v>2038</v>
      </c>
      <c r="G1120" s="39">
        <v>0</v>
      </c>
      <c r="H1120" s="39">
        <v>0</v>
      </c>
      <c r="I1120" s="39">
        <v>0</v>
      </c>
      <c r="J1120" s="39">
        <v>0</v>
      </c>
      <c r="K1120" s="39">
        <v>0</v>
      </c>
      <c r="L1120" s="39">
        <v>0</v>
      </c>
      <c r="M1120" s="39">
        <v>0</v>
      </c>
      <c r="N1120" s="39">
        <v>0</v>
      </c>
      <c r="O1120" s="39">
        <v>0</v>
      </c>
      <c r="P1120" s="39">
        <v>0</v>
      </c>
      <c r="Q1120" s="39">
        <v>0</v>
      </c>
      <c r="R1120" s="39">
        <v>0</v>
      </c>
      <c r="S1120" s="39">
        <v>0</v>
      </c>
      <c r="T1120" s="39">
        <v>0</v>
      </c>
      <c r="U1120" s="39">
        <v>0</v>
      </c>
      <c r="V1120" s="39">
        <v>228</v>
      </c>
      <c r="W1120" s="40" t="s">
        <v>7669</v>
      </c>
      <c r="X1120" s="39">
        <v>1</v>
      </c>
    </row>
    <row r="1121" spans="1:24">
      <c r="A1121" s="39">
        <v>312</v>
      </c>
      <c r="B1121" s="40" t="s">
        <v>7882</v>
      </c>
      <c r="C1121" s="39">
        <v>0</v>
      </c>
      <c r="D1121" s="40" t="s">
        <v>7883</v>
      </c>
      <c r="E1121" s="39">
        <v>0</v>
      </c>
      <c r="F1121" s="39">
        <v>2038</v>
      </c>
      <c r="G1121" s="39">
        <v>0</v>
      </c>
      <c r="H1121" s="39">
        <v>0</v>
      </c>
      <c r="I1121" s="39">
        <v>0</v>
      </c>
      <c r="J1121" s="39">
        <v>0</v>
      </c>
      <c r="K1121" s="39">
        <v>0</v>
      </c>
      <c r="L1121" s="39">
        <v>0</v>
      </c>
      <c r="M1121" s="39">
        <v>0</v>
      </c>
      <c r="N1121" s="39">
        <v>0</v>
      </c>
      <c r="O1121" s="39">
        <v>0</v>
      </c>
      <c r="P1121" s="39">
        <v>0</v>
      </c>
      <c r="Q1121" s="39">
        <v>0</v>
      </c>
      <c r="R1121" s="39">
        <v>0</v>
      </c>
      <c r="S1121" s="39">
        <v>0</v>
      </c>
      <c r="T1121" s="39">
        <v>0</v>
      </c>
      <c r="U1121" s="39">
        <v>0</v>
      </c>
      <c r="V1121" s="39">
        <v>590</v>
      </c>
      <c r="W1121" s="40" t="s">
        <v>7679</v>
      </c>
      <c r="X1121" s="39">
        <v>1</v>
      </c>
    </row>
    <row r="1122" spans="1:24">
      <c r="A1122" s="39">
        <v>313</v>
      </c>
      <c r="B1122" s="40" t="s">
        <v>7884</v>
      </c>
      <c r="C1122" s="39">
        <v>0</v>
      </c>
      <c r="D1122" s="40" t="s">
        <v>7885</v>
      </c>
      <c r="E1122" s="39">
        <v>0</v>
      </c>
      <c r="F1122" s="39">
        <v>2037</v>
      </c>
      <c r="G1122" s="39">
        <v>0</v>
      </c>
      <c r="H1122" s="39">
        <v>0</v>
      </c>
      <c r="I1122" s="39">
        <v>0</v>
      </c>
      <c r="J1122" s="39">
        <v>0</v>
      </c>
      <c r="K1122" s="39">
        <v>0</v>
      </c>
      <c r="L1122" s="39">
        <v>0</v>
      </c>
      <c r="M1122" s="39">
        <v>0</v>
      </c>
      <c r="N1122" s="39">
        <v>0</v>
      </c>
      <c r="O1122" s="39">
        <v>0</v>
      </c>
      <c r="P1122" s="39">
        <v>0</v>
      </c>
      <c r="Q1122" s="39">
        <v>0</v>
      </c>
      <c r="R1122" s="39">
        <v>0</v>
      </c>
      <c r="S1122" s="39">
        <v>0</v>
      </c>
      <c r="T1122" s="39">
        <v>0</v>
      </c>
      <c r="U1122" s="39">
        <v>0</v>
      </c>
      <c r="V1122" s="39">
        <v>590</v>
      </c>
      <c r="W1122" s="40" t="s">
        <v>7679</v>
      </c>
      <c r="X1122" s="39">
        <v>1</v>
      </c>
    </row>
    <row r="1123" spans="1:24">
      <c r="A1123" s="39">
        <v>63</v>
      </c>
      <c r="B1123" s="40" t="s">
        <v>427</v>
      </c>
      <c r="C1123" s="39">
        <v>0</v>
      </c>
      <c r="E1123" s="39">
        <v>0</v>
      </c>
      <c r="F1123" s="39">
        <v>47</v>
      </c>
      <c r="G1123" s="39">
        <v>0</v>
      </c>
      <c r="H1123" s="39">
        <v>0</v>
      </c>
      <c r="I1123" s="39">
        <v>0</v>
      </c>
      <c r="J1123" s="39">
        <v>0</v>
      </c>
      <c r="K1123" s="39">
        <v>0</v>
      </c>
      <c r="L1123" s="39">
        <v>0</v>
      </c>
      <c r="M1123" s="39">
        <v>0</v>
      </c>
      <c r="N1123" s="39">
        <v>0</v>
      </c>
      <c r="O1123" s="39">
        <v>0</v>
      </c>
      <c r="P1123" s="39">
        <v>0</v>
      </c>
      <c r="Q1123" s="39">
        <v>0</v>
      </c>
      <c r="R1123" s="39">
        <v>0</v>
      </c>
      <c r="S1123" s="39">
        <v>0</v>
      </c>
      <c r="T1123" s="39">
        <v>0</v>
      </c>
      <c r="U1123" s="39">
        <v>0</v>
      </c>
      <c r="V1123" s="39">
        <v>2</v>
      </c>
      <c r="W1123" s="40" t="s">
        <v>40</v>
      </c>
      <c r="X1123" s="39">
        <v>1</v>
      </c>
    </row>
    <row r="1124" spans="1:24">
      <c r="A1124" s="39">
        <v>68</v>
      </c>
      <c r="B1124" s="40" t="s">
        <v>7886</v>
      </c>
      <c r="C1124" s="39">
        <v>0</v>
      </c>
      <c r="E1124" s="39">
        <v>0</v>
      </c>
      <c r="F1124" s="39">
        <v>84</v>
      </c>
      <c r="G1124" s="39">
        <v>0</v>
      </c>
      <c r="H1124" s="39">
        <v>0</v>
      </c>
      <c r="I1124" s="39">
        <v>0</v>
      </c>
      <c r="J1124" s="39">
        <v>0</v>
      </c>
      <c r="K1124" s="39">
        <v>0</v>
      </c>
      <c r="L1124" s="39">
        <v>0</v>
      </c>
      <c r="M1124" s="39">
        <v>0</v>
      </c>
      <c r="N1124" s="39">
        <v>0</v>
      </c>
      <c r="O1124" s="39">
        <v>0</v>
      </c>
      <c r="P1124" s="39">
        <v>0</v>
      </c>
      <c r="Q1124" s="39">
        <v>0</v>
      </c>
      <c r="R1124" s="39">
        <v>0</v>
      </c>
      <c r="S1124" s="39">
        <v>0</v>
      </c>
      <c r="T1124" s="39">
        <v>0</v>
      </c>
      <c r="U1124" s="39">
        <v>0</v>
      </c>
      <c r="V1124" s="39">
        <v>2</v>
      </c>
      <c r="W1124" s="40" t="s">
        <v>40</v>
      </c>
      <c r="X1124" s="39">
        <v>1</v>
      </c>
    </row>
    <row r="1125" spans="1:24">
      <c r="A1125" s="39">
        <v>401</v>
      </c>
      <c r="B1125" s="40" t="s">
        <v>7887</v>
      </c>
      <c r="C1125" s="39">
        <v>0</v>
      </c>
      <c r="E1125" s="39">
        <v>0</v>
      </c>
      <c r="F1125" s="39">
        <v>850</v>
      </c>
      <c r="G1125" s="39">
        <v>0</v>
      </c>
      <c r="H1125" s="39">
        <v>0</v>
      </c>
      <c r="I1125" s="39">
        <v>0</v>
      </c>
      <c r="J1125" s="39">
        <v>0</v>
      </c>
      <c r="K1125" s="39">
        <v>0</v>
      </c>
      <c r="L1125" s="39">
        <v>0</v>
      </c>
      <c r="M1125" s="39">
        <v>0</v>
      </c>
      <c r="N1125" s="39">
        <v>0</v>
      </c>
      <c r="O1125" s="39">
        <v>0</v>
      </c>
      <c r="P1125" s="39">
        <v>0</v>
      </c>
      <c r="Q1125" s="39">
        <v>0</v>
      </c>
      <c r="R1125" s="39">
        <v>0</v>
      </c>
      <c r="S1125" s="39">
        <v>0</v>
      </c>
      <c r="T1125" s="39">
        <v>0</v>
      </c>
      <c r="U1125" s="39">
        <v>0</v>
      </c>
      <c r="V1125" s="39">
        <v>1</v>
      </c>
      <c r="W1125" s="40" t="s">
        <v>518</v>
      </c>
      <c r="X1125" s="39">
        <v>1</v>
      </c>
    </row>
    <row r="1126" spans="1:24">
      <c r="A1126" s="39">
        <v>1778</v>
      </c>
      <c r="B1126" s="40" t="s">
        <v>7887</v>
      </c>
      <c r="C1126" s="39">
        <v>0</v>
      </c>
      <c r="E1126" s="39">
        <v>0</v>
      </c>
      <c r="F1126" s="39">
        <v>850</v>
      </c>
      <c r="G1126" s="39">
        <v>0</v>
      </c>
      <c r="H1126" s="39">
        <v>0</v>
      </c>
      <c r="I1126" s="39">
        <v>0</v>
      </c>
      <c r="J1126" s="39">
        <v>0</v>
      </c>
      <c r="K1126" s="39">
        <v>0</v>
      </c>
      <c r="L1126" s="39">
        <v>0</v>
      </c>
      <c r="M1126" s="39">
        <v>0</v>
      </c>
      <c r="N1126" s="39">
        <v>0</v>
      </c>
      <c r="O1126" s="39">
        <v>0</v>
      </c>
      <c r="P1126" s="39">
        <v>0</v>
      </c>
      <c r="Q1126" s="39">
        <v>0</v>
      </c>
      <c r="R1126" s="39">
        <v>0</v>
      </c>
      <c r="S1126" s="39">
        <v>0</v>
      </c>
      <c r="T1126" s="39">
        <v>0</v>
      </c>
      <c r="U1126" s="39">
        <v>0</v>
      </c>
      <c r="V1126" s="39">
        <v>244</v>
      </c>
      <c r="W1126" s="40" t="s">
        <v>682</v>
      </c>
      <c r="X1126" s="39">
        <v>1</v>
      </c>
    </row>
    <row r="1127" spans="1:24">
      <c r="A1127" s="39">
        <v>1439</v>
      </c>
      <c r="B1127" s="40" t="s">
        <v>7887</v>
      </c>
      <c r="C1127" s="39">
        <v>0</v>
      </c>
      <c r="E1127" s="39">
        <v>0</v>
      </c>
      <c r="F1127" s="39">
        <v>850</v>
      </c>
      <c r="G1127" s="39">
        <v>0</v>
      </c>
      <c r="H1127" s="39">
        <v>0</v>
      </c>
      <c r="I1127" s="39">
        <v>0</v>
      </c>
      <c r="J1127" s="39">
        <v>0</v>
      </c>
      <c r="K1127" s="39">
        <v>0</v>
      </c>
      <c r="L1127" s="39">
        <v>0</v>
      </c>
      <c r="M1127" s="39">
        <v>0</v>
      </c>
      <c r="N1127" s="39">
        <v>0</v>
      </c>
      <c r="O1127" s="39">
        <v>0</v>
      </c>
      <c r="P1127" s="39">
        <v>0</v>
      </c>
      <c r="Q1127" s="39">
        <v>0</v>
      </c>
      <c r="R1127" s="39">
        <v>0</v>
      </c>
      <c r="S1127" s="39">
        <v>0</v>
      </c>
      <c r="T1127" s="39">
        <v>0</v>
      </c>
      <c r="U1127" s="39">
        <v>0</v>
      </c>
      <c r="V1127" s="39">
        <v>456</v>
      </c>
      <c r="W1127" s="40" t="s">
        <v>7673</v>
      </c>
      <c r="X1127" s="39">
        <v>1</v>
      </c>
    </row>
    <row r="1128" spans="1:24">
      <c r="A1128" s="39">
        <v>402</v>
      </c>
      <c r="B1128" s="40" t="s">
        <v>7888</v>
      </c>
      <c r="C1128" s="39">
        <v>0</v>
      </c>
      <c r="E1128" s="39">
        <v>0</v>
      </c>
      <c r="F1128" s="39">
        <v>855</v>
      </c>
      <c r="G1128" s="39">
        <v>0</v>
      </c>
      <c r="H1128" s="39">
        <v>0</v>
      </c>
      <c r="I1128" s="39">
        <v>0</v>
      </c>
      <c r="J1128" s="39">
        <v>0</v>
      </c>
      <c r="K1128" s="39">
        <v>0</v>
      </c>
      <c r="L1128" s="39">
        <v>0</v>
      </c>
      <c r="M1128" s="39">
        <v>0</v>
      </c>
      <c r="N1128" s="39">
        <v>0</v>
      </c>
      <c r="O1128" s="39">
        <v>0</v>
      </c>
      <c r="P1128" s="39">
        <v>0</v>
      </c>
      <c r="Q1128" s="39">
        <v>0</v>
      </c>
      <c r="R1128" s="39">
        <v>0</v>
      </c>
      <c r="S1128" s="39">
        <v>0</v>
      </c>
      <c r="T1128" s="39">
        <v>0</v>
      </c>
      <c r="U1128" s="39">
        <v>0</v>
      </c>
      <c r="V1128" s="39">
        <v>1</v>
      </c>
      <c r="W1128" s="40" t="s">
        <v>518</v>
      </c>
      <c r="X1128" s="39">
        <v>1</v>
      </c>
    </row>
    <row r="1129" spans="1:24">
      <c r="A1129" s="39">
        <v>1779</v>
      </c>
      <c r="B1129" s="40" t="s">
        <v>7888</v>
      </c>
      <c r="C1129" s="39">
        <v>0</v>
      </c>
      <c r="E1129" s="39">
        <v>0</v>
      </c>
      <c r="F1129" s="39">
        <v>855</v>
      </c>
      <c r="G1129" s="39">
        <v>0</v>
      </c>
      <c r="H1129" s="39">
        <v>0</v>
      </c>
      <c r="I1129" s="39">
        <v>0</v>
      </c>
      <c r="J1129" s="39">
        <v>0</v>
      </c>
      <c r="K1129" s="39">
        <v>0</v>
      </c>
      <c r="L1129" s="39">
        <v>0</v>
      </c>
      <c r="M1129" s="39">
        <v>0</v>
      </c>
      <c r="N1129" s="39">
        <v>0</v>
      </c>
      <c r="O1129" s="39">
        <v>0</v>
      </c>
      <c r="P1129" s="39">
        <v>0</v>
      </c>
      <c r="Q1129" s="39">
        <v>0</v>
      </c>
      <c r="R1129" s="39">
        <v>0</v>
      </c>
      <c r="S1129" s="39">
        <v>0</v>
      </c>
      <c r="T1129" s="39">
        <v>0</v>
      </c>
      <c r="U1129" s="39">
        <v>0</v>
      </c>
      <c r="V1129" s="39">
        <v>244</v>
      </c>
      <c r="W1129" s="40" t="s">
        <v>682</v>
      </c>
      <c r="X1129" s="39">
        <v>1</v>
      </c>
    </row>
    <row r="1130" spans="1:24">
      <c r="A1130" s="39">
        <v>1440</v>
      </c>
      <c r="B1130" s="40" t="s">
        <v>7888</v>
      </c>
      <c r="C1130" s="39">
        <v>0</v>
      </c>
      <c r="E1130" s="39">
        <v>0</v>
      </c>
      <c r="F1130" s="39">
        <v>855</v>
      </c>
      <c r="G1130" s="39">
        <v>0</v>
      </c>
      <c r="H1130" s="39">
        <v>0</v>
      </c>
      <c r="I1130" s="39">
        <v>0</v>
      </c>
      <c r="J1130" s="39">
        <v>0</v>
      </c>
      <c r="K1130" s="39">
        <v>0</v>
      </c>
      <c r="L1130" s="39">
        <v>0</v>
      </c>
      <c r="M1130" s="39">
        <v>0</v>
      </c>
      <c r="N1130" s="39">
        <v>0</v>
      </c>
      <c r="O1130" s="39">
        <v>0</v>
      </c>
      <c r="P1130" s="39">
        <v>0</v>
      </c>
      <c r="Q1130" s="39">
        <v>0</v>
      </c>
      <c r="R1130" s="39">
        <v>0</v>
      </c>
      <c r="S1130" s="39">
        <v>0</v>
      </c>
      <c r="T1130" s="39">
        <v>0</v>
      </c>
      <c r="U1130" s="39">
        <v>0</v>
      </c>
      <c r="V1130" s="39">
        <v>456</v>
      </c>
      <c r="W1130" s="40" t="s">
        <v>7673</v>
      </c>
      <c r="X1130" s="39">
        <v>1</v>
      </c>
    </row>
    <row r="1131" spans="1:24">
      <c r="A1131" s="39">
        <v>98</v>
      </c>
      <c r="B1131" s="40" t="s">
        <v>571</v>
      </c>
      <c r="C1131" s="39">
        <v>0</v>
      </c>
      <c r="E1131" s="39">
        <v>1</v>
      </c>
      <c r="F1131" s="39">
        <v>825</v>
      </c>
      <c r="G1131" s="39">
        <v>1</v>
      </c>
      <c r="H1131" s="39">
        <v>1</v>
      </c>
      <c r="I1131" s="39">
        <v>1</v>
      </c>
      <c r="J1131" s="39">
        <v>1</v>
      </c>
      <c r="K1131" s="39">
        <v>0</v>
      </c>
      <c r="L1131" s="39">
        <v>0</v>
      </c>
      <c r="M1131" s="39">
        <v>0</v>
      </c>
      <c r="N1131" s="39">
        <v>0</v>
      </c>
      <c r="O1131" s="39">
        <v>0</v>
      </c>
      <c r="P1131" s="39">
        <v>0</v>
      </c>
      <c r="Q1131" s="39">
        <v>0</v>
      </c>
      <c r="R1131" s="39">
        <v>0</v>
      </c>
      <c r="S1131" s="39">
        <v>0</v>
      </c>
      <c r="T1131" s="39">
        <v>0</v>
      </c>
      <c r="U1131" s="39">
        <v>0</v>
      </c>
      <c r="V1131" s="39">
        <v>1</v>
      </c>
      <c r="W1131" s="40" t="s">
        <v>518</v>
      </c>
      <c r="X1131" s="39">
        <v>1</v>
      </c>
    </row>
    <row r="1132" spans="1:24">
      <c r="A1132" s="39">
        <v>10</v>
      </c>
      <c r="B1132" s="40" t="s">
        <v>571</v>
      </c>
      <c r="C1132" s="39">
        <v>0</v>
      </c>
      <c r="D1132" s="40" t="s">
        <v>7889</v>
      </c>
      <c r="E1132" s="39">
        <v>1</v>
      </c>
      <c r="F1132" s="39">
        <v>40</v>
      </c>
      <c r="G1132" s="39">
        <v>1</v>
      </c>
      <c r="H1132" s="39">
        <v>1</v>
      </c>
      <c r="I1132" s="39">
        <v>1</v>
      </c>
      <c r="J1132" s="39">
        <v>1</v>
      </c>
      <c r="K1132" s="39">
        <v>0</v>
      </c>
      <c r="L1132" s="39">
        <v>0</v>
      </c>
      <c r="M1132" s="39">
        <v>0</v>
      </c>
      <c r="N1132" s="39">
        <v>0</v>
      </c>
      <c r="O1132" s="39">
        <v>0</v>
      </c>
      <c r="P1132" s="39">
        <v>0</v>
      </c>
      <c r="Q1132" s="39">
        <v>0</v>
      </c>
      <c r="R1132" s="39">
        <v>0</v>
      </c>
      <c r="S1132" s="39">
        <v>0</v>
      </c>
      <c r="T1132" s="39">
        <v>0</v>
      </c>
      <c r="U1132" s="39">
        <v>0</v>
      </c>
      <c r="V1132" s="39">
        <v>2</v>
      </c>
      <c r="W1132" s="40" t="s">
        <v>40</v>
      </c>
      <c r="X1132" s="39">
        <v>1</v>
      </c>
    </row>
    <row r="1133" spans="1:24">
      <c r="A1133" s="39">
        <v>992</v>
      </c>
      <c r="B1133" s="40" t="s">
        <v>571</v>
      </c>
      <c r="C1133" s="39">
        <v>0</v>
      </c>
      <c r="E1133" s="39">
        <v>1</v>
      </c>
      <c r="F1133" s="39">
        <v>825</v>
      </c>
      <c r="G1133" s="39">
        <v>1</v>
      </c>
      <c r="H1133" s="39">
        <v>1</v>
      </c>
      <c r="I1133" s="39">
        <v>1</v>
      </c>
      <c r="J1133" s="39">
        <v>0</v>
      </c>
      <c r="K1133" s="39">
        <v>0</v>
      </c>
      <c r="L1133" s="39">
        <v>0</v>
      </c>
      <c r="M1133" s="39">
        <v>0</v>
      </c>
      <c r="N1133" s="39">
        <v>0</v>
      </c>
      <c r="O1133" s="39">
        <v>0</v>
      </c>
      <c r="P1133" s="39">
        <v>0</v>
      </c>
      <c r="Q1133" s="39">
        <v>0</v>
      </c>
      <c r="R1133" s="39">
        <v>0</v>
      </c>
      <c r="S1133" s="39">
        <v>0</v>
      </c>
      <c r="T1133" s="39">
        <v>0</v>
      </c>
      <c r="U1133" s="39">
        <v>0</v>
      </c>
      <c r="V1133" s="39">
        <v>158</v>
      </c>
      <c r="W1133" s="40" t="s">
        <v>7667</v>
      </c>
      <c r="X1133" s="39">
        <v>1</v>
      </c>
    </row>
    <row r="1134" spans="1:24">
      <c r="A1134" s="39">
        <v>488</v>
      </c>
      <c r="B1134" s="40" t="s">
        <v>571</v>
      </c>
      <c r="C1134" s="39">
        <v>0</v>
      </c>
      <c r="E1134" s="39">
        <v>1</v>
      </c>
      <c r="F1134" s="39">
        <v>825</v>
      </c>
      <c r="G1134" s="39">
        <v>1</v>
      </c>
      <c r="H1134" s="39">
        <v>0</v>
      </c>
      <c r="I1134" s="39">
        <v>1</v>
      </c>
      <c r="J1134" s="39">
        <v>0</v>
      </c>
      <c r="K1134" s="39">
        <v>0</v>
      </c>
      <c r="L1134" s="39">
        <v>0</v>
      </c>
      <c r="M1134" s="39">
        <v>0</v>
      </c>
      <c r="N1134" s="39">
        <v>0</v>
      </c>
      <c r="O1134" s="39">
        <v>0</v>
      </c>
      <c r="P1134" s="39">
        <v>0</v>
      </c>
      <c r="Q1134" s="39">
        <v>0</v>
      </c>
      <c r="R1134" s="39">
        <v>0</v>
      </c>
      <c r="S1134" s="39">
        <v>0</v>
      </c>
      <c r="T1134" s="39">
        <v>0</v>
      </c>
      <c r="U1134" s="39">
        <v>0</v>
      </c>
      <c r="V1134" s="39">
        <v>175</v>
      </c>
      <c r="W1134" s="40" t="s">
        <v>7689</v>
      </c>
      <c r="X1134" s="39">
        <v>1</v>
      </c>
    </row>
    <row r="1135" spans="1:24">
      <c r="A1135" s="39">
        <v>377</v>
      </c>
      <c r="B1135" s="40" t="s">
        <v>571</v>
      </c>
      <c r="C1135" s="39">
        <v>0</v>
      </c>
      <c r="E1135" s="39">
        <v>1</v>
      </c>
      <c r="F1135" s="39">
        <v>825</v>
      </c>
      <c r="G1135" s="39">
        <v>1</v>
      </c>
      <c r="H1135" s="39">
        <v>1</v>
      </c>
      <c r="I1135" s="39">
        <v>1</v>
      </c>
      <c r="J1135" s="39">
        <v>0</v>
      </c>
      <c r="K1135" s="39">
        <v>0</v>
      </c>
      <c r="L1135" s="39">
        <v>0</v>
      </c>
      <c r="M1135" s="39">
        <v>0</v>
      </c>
      <c r="N1135" s="39">
        <v>0</v>
      </c>
      <c r="O1135" s="39">
        <v>0</v>
      </c>
      <c r="P1135" s="39">
        <v>0</v>
      </c>
      <c r="Q1135" s="39">
        <v>0</v>
      </c>
      <c r="R1135" s="39">
        <v>0</v>
      </c>
      <c r="S1135" s="39">
        <v>0</v>
      </c>
      <c r="T1135" s="39">
        <v>0</v>
      </c>
      <c r="U1135" s="39">
        <v>0</v>
      </c>
      <c r="V1135" s="39">
        <v>228</v>
      </c>
      <c r="W1135" s="40" t="s">
        <v>7669</v>
      </c>
      <c r="X1135" s="39">
        <v>1</v>
      </c>
    </row>
    <row r="1136" spans="1:24">
      <c r="A1136" s="39">
        <v>1709</v>
      </c>
      <c r="B1136" s="40" t="s">
        <v>571</v>
      </c>
      <c r="C1136" s="39">
        <v>0</v>
      </c>
      <c r="E1136" s="39">
        <v>1</v>
      </c>
      <c r="F1136" s="39">
        <v>825</v>
      </c>
      <c r="G1136" s="39">
        <v>1</v>
      </c>
      <c r="H1136" s="39">
        <v>1</v>
      </c>
      <c r="I1136" s="39">
        <v>1</v>
      </c>
      <c r="J1136" s="39">
        <v>1</v>
      </c>
      <c r="K1136" s="39">
        <v>0</v>
      </c>
      <c r="L1136" s="39">
        <v>0</v>
      </c>
      <c r="M1136" s="39">
        <v>0</v>
      </c>
      <c r="N1136" s="39">
        <v>0</v>
      </c>
      <c r="O1136" s="39">
        <v>0</v>
      </c>
      <c r="P1136" s="39">
        <v>0</v>
      </c>
      <c r="Q1136" s="39">
        <v>0</v>
      </c>
      <c r="R1136" s="39">
        <v>0</v>
      </c>
      <c r="S1136" s="39">
        <v>0</v>
      </c>
      <c r="T1136" s="39">
        <v>0</v>
      </c>
      <c r="U1136" s="39">
        <v>0</v>
      </c>
      <c r="V1136" s="39">
        <v>244</v>
      </c>
      <c r="W1136" s="40" t="s">
        <v>682</v>
      </c>
      <c r="X1136" s="39">
        <v>1</v>
      </c>
    </row>
    <row r="1137" spans="1:24">
      <c r="A1137" s="39">
        <v>1273</v>
      </c>
      <c r="B1137" s="40" t="s">
        <v>571</v>
      </c>
      <c r="C1137" s="39">
        <v>0</v>
      </c>
      <c r="E1137" s="39">
        <v>0</v>
      </c>
      <c r="F1137" s="39">
        <v>825</v>
      </c>
      <c r="G1137" s="39">
        <v>0</v>
      </c>
      <c r="H1137" s="39">
        <v>0</v>
      </c>
      <c r="I1137" s="39">
        <v>0</v>
      </c>
      <c r="J1137" s="39">
        <v>0</v>
      </c>
      <c r="K1137" s="39">
        <v>0</v>
      </c>
      <c r="L1137" s="39">
        <v>0</v>
      </c>
      <c r="M1137" s="39">
        <v>0</v>
      </c>
      <c r="N1137" s="39">
        <v>0</v>
      </c>
      <c r="O1137" s="39">
        <v>0</v>
      </c>
      <c r="P1137" s="39">
        <v>0</v>
      </c>
      <c r="Q1137" s="39">
        <v>0</v>
      </c>
      <c r="R1137" s="39">
        <v>0</v>
      </c>
      <c r="S1137" s="39">
        <v>0</v>
      </c>
      <c r="T1137" s="39">
        <v>0</v>
      </c>
      <c r="U1137" s="39">
        <v>0</v>
      </c>
      <c r="V1137" s="39">
        <v>418</v>
      </c>
      <c r="W1137" s="40" t="s">
        <v>7671</v>
      </c>
      <c r="X1137" s="39">
        <v>1</v>
      </c>
    </row>
    <row r="1138" spans="1:24">
      <c r="A1138" s="39">
        <v>1370</v>
      </c>
      <c r="B1138" s="40" t="s">
        <v>571</v>
      </c>
      <c r="C1138" s="39">
        <v>0</v>
      </c>
      <c r="E1138" s="39">
        <v>1</v>
      </c>
      <c r="F1138" s="39">
        <v>825</v>
      </c>
      <c r="G1138" s="39">
        <v>1</v>
      </c>
      <c r="H1138" s="39">
        <v>1</v>
      </c>
      <c r="I1138" s="39">
        <v>1</v>
      </c>
      <c r="J1138" s="39">
        <v>1</v>
      </c>
      <c r="K1138" s="39">
        <v>0</v>
      </c>
      <c r="L1138" s="39">
        <v>0</v>
      </c>
      <c r="M1138" s="39">
        <v>0</v>
      </c>
      <c r="N1138" s="39">
        <v>0</v>
      </c>
      <c r="O1138" s="39">
        <v>0</v>
      </c>
      <c r="P1138" s="39">
        <v>0</v>
      </c>
      <c r="Q1138" s="39">
        <v>0</v>
      </c>
      <c r="R1138" s="39">
        <v>0</v>
      </c>
      <c r="S1138" s="39">
        <v>0</v>
      </c>
      <c r="T1138" s="39">
        <v>0</v>
      </c>
      <c r="U1138" s="39">
        <v>0</v>
      </c>
      <c r="V1138" s="39">
        <v>456</v>
      </c>
      <c r="W1138" s="40" t="s">
        <v>7673</v>
      </c>
      <c r="X1138" s="39">
        <v>1</v>
      </c>
    </row>
    <row r="1139" spans="1:24">
      <c r="A1139" s="39">
        <v>908</v>
      </c>
      <c r="B1139" s="40" t="s">
        <v>571</v>
      </c>
      <c r="C1139" s="39">
        <v>0</v>
      </c>
      <c r="E1139" s="39">
        <v>1</v>
      </c>
      <c r="F1139" s="39">
        <v>825</v>
      </c>
      <c r="G1139" s="39">
        <v>1</v>
      </c>
      <c r="H1139" s="39">
        <v>1</v>
      </c>
      <c r="I1139" s="39">
        <v>1</v>
      </c>
      <c r="J1139" s="39">
        <v>0</v>
      </c>
      <c r="K1139" s="39">
        <v>0</v>
      </c>
      <c r="L1139" s="39">
        <v>0</v>
      </c>
      <c r="M1139" s="39">
        <v>0</v>
      </c>
      <c r="N1139" s="39">
        <v>0</v>
      </c>
      <c r="O1139" s="39">
        <v>0</v>
      </c>
      <c r="P1139" s="39">
        <v>0</v>
      </c>
      <c r="Q1139" s="39">
        <v>0</v>
      </c>
      <c r="R1139" s="39">
        <v>0</v>
      </c>
      <c r="S1139" s="39">
        <v>0</v>
      </c>
      <c r="T1139" s="39">
        <v>0</v>
      </c>
      <c r="U1139" s="39">
        <v>0</v>
      </c>
      <c r="V1139" s="39">
        <v>458</v>
      </c>
      <c r="W1139" s="40" t="s">
        <v>7694</v>
      </c>
      <c r="X1139" s="39">
        <v>1</v>
      </c>
    </row>
    <row r="1140" spans="1:24">
      <c r="A1140" s="39">
        <v>1172</v>
      </c>
      <c r="B1140" s="40" t="s">
        <v>571</v>
      </c>
      <c r="C1140" s="39">
        <v>0</v>
      </c>
      <c r="E1140" s="39">
        <v>1</v>
      </c>
      <c r="F1140" s="39">
        <v>825</v>
      </c>
      <c r="G1140" s="39">
        <v>1</v>
      </c>
      <c r="H1140" s="39">
        <v>1</v>
      </c>
      <c r="I1140" s="39">
        <v>1</v>
      </c>
      <c r="J1140" s="39">
        <v>0</v>
      </c>
      <c r="K1140" s="39">
        <v>0</v>
      </c>
      <c r="L1140" s="39">
        <v>0</v>
      </c>
      <c r="M1140" s="39">
        <v>0</v>
      </c>
      <c r="N1140" s="39">
        <v>0</v>
      </c>
      <c r="O1140" s="39">
        <v>0</v>
      </c>
      <c r="P1140" s="39">
        <v>0</v>
      </c>
      <c r="Q1140" s="39">
        <v>0</v>
      </c>
      <c r="R1140" s="39">
        <v>0</v>
      </c>
      <c r="S1140" s="39">
        <v>0</v>
      </c>
      <c r="T1140" s="39">
        <v>0</v>
      </c>
      <c r="U1140" s="39">
        <v>0</v>
      </c>
      <c r="V1140" s="39">
        <v>459</v>
      </c>
      <c r="W1140" s="40" t="s">
        <v>7674</v>
      </c>
      <c r="X1140" s="39">
        <v>1</v>
      </c>
    </row>
    <row r="1141" spans="1:24">
      <c r="A1141" s="39">
        <v>631</v>
      </c>
      <c r="B1141" s="40" t="s">
        <v>571</v>
      </c>
      <c r="C1141" s="39">
        <v>0</v>
      </c>
      <c r="E1141" s="39">
        <v>1</v>
      </c>
      <c r="F1141" s="39">
        <v>825</v>
      </c>
      <c r="G1141" s="39">
        <v>1</v>
      </c>
      <c r="H1141" s="39">
        <v>1</v>
      </c>
      <c r="I1141" s="39">
        <v>1</v>
      </c>
      <c r="J1141" s="39">
        <v>0</v>
      </c>
      <c r="K1141" s="39">
        <v>0</v>
      </c>
      <c r="L1141" s="39">
        <v>0</v>
      </c>
      <c r="M1141" s="39">
        <v>0</v>
      </c>
      <c r="N1141" s="39">
        <v>0</v>
      </c>
      <c r="O1141" s="39">
        <v>0</v>
      </c>
      <c r="P1141" s="39">
        <v>0</v>
      </c>
      <c r="Q1141" s="39">
        <v>0</v>
      </c>
      <c r="R1141" s="39">
        <v>0</v>
      </c>
      <c r="S1141" s="39">
        <v>0</v>
      </c>
      <c r="T1141" s="39">
        <v>0</v>
      </c>
      <c r="U1141" s="39">
        <v>0</v>
      </c>
      <c r="V1141" s="39">
        <v>468</v>
      </c>
      <c r="W1141" s="40" t="s">
        <v>7677</v>
      </c>
      <c r="X1141" s="39">
        <v>1</v>
      </c>
    </row>
    <row r="1142" spans="1:24">
      <c r="A1142" s="39">
        <v>1074</v>
      </c>
      <c r="B1142" s="40" t="s">
        <v>571</v>
      </c>
      <c r="C1142" s="39">
        <v>0</v>
      </c>
      <c r="E1142" s="39">
        <v>1</v>
      </c>
      <c r="F1142" s="39">
        <v>825</v>
      </c>
      <c r="G1142" s="39">
        <v>1</v>
      </c>
      <c r="H1142" s="39">
        <v>1</v>
      </c>
      <c r="I1142" s="39">
        <v>1</v>
      </c>
      <c r="J1142" s="39">
        <v>0</v>
      </c>
      <c r="K1142" s="39">
        <v>0</v>
      </c>
      <c r="L1142" s="39">
        <v>0</v>
      </c>
      <c r="M1142" s="39">
        <v>0</v>
      </c>
      <c r="N1142" s="39">
        <v>0</v>
      </c>
      <c r="O1142" s="39">
        <v>0</v>
      </c>
      <c r="P1142" s="39">
        <v>0</v>
      </c>
      <c r="Q1142" s="39">
        <v>0</v>
      </c>
      <c r="R1142" s="39">
        <v>0</v>
      </c>
      <c r="S1142" s="39">
        <v>0</v>
      </c>
      <c r="T1142" s="39">
        <v>0</v>
      </c>
      <c r="U1142" s="39">
        <v>0</v>
      </c>
      <c r="V1142" s="39">
        <v>477</v>
      </c>
      <c r="W1142" s="40" t="s">
        <v>7697</v>
      </c>
      <c r="X1142" s="39">
        <v>1</v>
      </c>
    </row>
    <row r="1143" spans="1:24">
      <c r="A1143" s="39">
        <v>268</v>
      </c>
      <c r="B1143" s="40" t="s">
        <v>571</v>
      </c>
      <c r="C1143" s="39">
        <v>0</v>
      </c>
      <c r="E1143" s="39">
        <v>1</v>
      </c>
      <c r="F1143" s="39">
        <v>825</v>
      </c>
      <c r="G1143" s="39">
        <v>1</v>
      </c>
      <c r="H1143" s="39">
        <v>1</v>
      </c>
      <c r="I1143" s="39">
        <v>1</v>
      </c>
      <c r="J1143" s="39">
        <v>0</v>
      </c>
      <c r="K1143" s="39">
        <v>0</v>
      </c>
      <c r="L1143" s="39">
        <v>0</v>
      </c>
      <c r="M1143" s="39">
        <v>0</v>
      </c>
      <c r="N1143" s="39">
        <v>0</v>
      </c>
      <c r="O1143" s="39">
        <v>0</v>
      </c>
      <c r="P1143" s="39">
        <v>0</v>
      </c>
      <c r="Q1143" s="39">
        <v>0</v>
      </c>
      <c r="R1143" s="39">
        <v>0</v>
      </c>
      <c r="S1143" s="39">
        <v>0</v>
      </c>
      <c r="T1143" s="39">
        <v>0</v>
      </c>
      <c r="U1143" s="39">
        <v>0</v>
      </c>
      <c r="V1143" s="39">
        <v>590</v>
      </c>
      <c r="W1143" s="40" t="s">
        <v>7679</v>
      </c>
      <c r="X1143" s="39">
        <v>1</v>
      </c>
    </row>
    <row r="1144" spans="1:24">
      <c r="A1144" s="39">
        <v>816</v>
      </c>
      <c r="B1144" s="40" t="s">
        <v>571</v>
      </c>
      <c r="C1144" s="39">
        <v>0</v>
      </c>
      <c r="E1144" s="39">
        <v>1</v>
      </c>
      <c r="F1144" s="39">
        <v>825</v>
      </c>
      <c r="G1144" s="39">
        <v>1</v>
      </c>
      <c r="H1144" s="39">
        <v>1</v>
      </c>
      <c r="I1144" s="39">
        <v>1</v>
      </c>
      <c r="J1144" s="39">
        <v>1</v>
      </c>
      <c r="K1144" s="39">
        <v>0</v>
      </c>
      <c r="L1144" s="39">
        <v>0</v>
      </c>
      <c r="M1144" s="39">
        <v>0</v>
      </c>
      <c r="N1144" s="39">
        <v>0</v>
      </c>
      <c r="O1144" s="39">
        <v>0</v>
      </c>
      <c r="P1144" s="39">
        <v>0</v>
      </c>
      <c r="Q1144" s="39">
        <v>0</v>
      </c>
      <c r="R1144" s="39">
        <v>0</v>
      </c>
      <c r="S1144" s="39">
        <v>0</v>
      </c>
      <c r="T1144" s="39">
        <v>0</v>
      </c>
      <c r="U1144" s="39">
        <v>0</v>
      </c>
      <c r="V1144" s="39">
        <v>733</v>
      </c>
      <c r="W1144" s="40" t="s">
        <v>7680</v>
      </c>
      <c r="X1144" s="39">
        <v>1</v>
      </c>
    </row>
    <row r="1145" spans="1:24">
      <c r="A1145" s="39">
        <v>672</v>
      </c>
      <c r="B1145" s="40" t="s">
        <v>7890</v>
      </c>
      <c r="C1145" s="39">
        <v>0</v>
      </c>
      <c r="E1145" s="39">
        <v>0</v>
      </c>
      <c r="F1145" s="39">
        <v>2036</v>
      </c>
      <c r="G1145" s="39">
        <v>0</v>
      </c>
      <c r="H1145" s="39">
        <v>0</v>
      </c>
      <c r="I1145" s="39">
        <v>0</v>
      </c>
      <c r="J1145" s="39">
        <v>0</v>
      </c>
      <c r="K1145" s="39">
        <v>0</v>
      </c>
      <c r="L1145" s="39">
        <v>0</v>
      </c>
      <c r="M1145" s="39">
        <v>0</v>
      </c>
      <c r="N1145" s="39">
        <v>0</v>
      </c>
      <c r="O1145" s="39">
        <v>0</v>
      </c>
      <c r="P1145" s="39">
        <v>0</v>
      </c>
      <c r="Q1145" s="39">
        <v>0</v>
      </c>
      <c r="R1145" s="39">
        <v>0</v>
      </c>
      <c r="S1145" s="39">
        <v>0</v>
      </c>
      <c r="T1145" s="39">
        <v>0</v>
      </c>
      <c r="U1145" s="39">
        <v>0</v>
      </c>
      <c r="V1145" s="39">
        <v>228</v>
      </c>
      <c r="W1145" s="40" t="s">
        <v>7669</v>
      </c>
      <c r="X1145" s="39">
        <v>1</v>
      </c>
    </row>
    <row r="1146" spans="1:24">
      <c r="A1146" s="39">
        <v>314</v>
      </c>
      <c r="B1146" s="40" t="s">
        <v>7890</v>
      </c>
      <c r="C1146" s="39">
        <v>0</v>
      </c>
      <c r="D1146" s="40" t="s">
        <v>7891</v>
      </c>
      <c r="E1146" s="39">
        <v>0</v>
      </c>
      <c r="F1146" s="39">
        <v>2036</v>
      </c>
      <c r="G1146" s="39">
        <v>0</v>
      </c>
      <c r="H1146" s="39">
        <v>0</v>
      </c>
      <c r="I1146" s="39">
        <v>0</v>
      </c>
      <c r="J1146" s="39">
        <v>0</v>
      </c>
      <c r="K1146" s="39">
        <v>0</v>
      </c>
      <c r="L1146" s="39">
        <v>0</v>
      </c>
      <c r="M1146" s="39">
        <v>0</v>
      </c>
      <c r="N1146" s="39">
        <v>0</v>
      </c>
      <c r="O1146" s="39">
        <v>0</v>
      </c>
      <c r="P1146" s="39">
        <v>0</v>
      </c>
      <c r="Q1146" s="39">
        <v>0</v>
      </c>
      <c r="R1146" s="39">
        <v>0</v>
      </c>
      <c r="S1146" s="39">
        <v>0</v>
      </c>
      <c r="T1146" s="39">
        <v>0</v>
      </c>
      <c r="U1146" s="39">
        <v>0</v>
      </c>
      <c r="V1146" s="39">
        <v>590</v>
      </c>
      <c r="W1146" s="40" t="s">
        <v>7679</v>
      </c>
      <c r="X1146" s="39">
        <v>1</v>
      </c>
    </row>
    <row r="1147" spans="1:24">
      <c r="A1147" s="39">
        <v>673</v>
      </c>
      <c r="B1147" s="40" t="s">
        <v>7892</v>
      </c>
      <c r="C1147" s="39">
        <v>0</v>
      </c>
      <c r="E1147" s="39">
        <v>0</v>
      </c>
      <c r="F1147" s="39">
        <v>2038</v>
      </c>
      <c r="G1147" s="39">
        <v>0</v>
      </c>
      <c r="H1147" s="39">
        <v>0</v>
      </c>
      <c r="I1147" s="39">
        <v>0</v>
      </c>
      <c r="J1147" s="39">
        <v>0</v>
      </c>
      <c r="K1147" s="39">
        <v>0</v>
      </c>
      <c r="L1147" s="39">
        <v>0</v>
      </c>
      <c r="M1147" s="39">
        <v>0</v>
      </c>
      <c r="N1147" s="39">
        <v>0</v>
      </c>
      <c r="O1147" s="39">
        <v>0</v>
      </c>
      <c r="P1147" s="39">
        <v>0</v>
      </c>
      <c r="Q1147" s="39">
        <v>0</v>
      </c>
      <c r="R1147" s="39">
        <v>0</v>
      </c>
      <c r="S1147" s="39">
        <v>0</v>
      </c>
      <c r="T1147" s="39">
        <v>0</v>
      </c>
      <c r="U1147" s="39">
        <v>0</v>
      </c>
      <c r="V1147" s="39">
        <v>228</v>
      </c>
      <c r="W1147" s="40" t="s">
        <v>7669</v>
      </c>
      <c r="X1147" s="39">
        <v>1</v>
      </c>
    </row>
    <row r="1148" spans="1:24">
      <c r="A1148" s="39">
        <v>315</v>
      </c>
      <c r="B1148" s="40" t="s">
        <v>7892</v>
      </c>
      <c r="C1148" s="39">
        <v>0</v>
      </c>
      <c r="D1148" s="40" t="s">
        <v>473</v>
      </c>
      <c r="E1148" s="39">
        <v>0</v>
      </c>
      <c r="F1148" s="39">
        <v>2035</v>
      </c>
      <c r="G1148" s="39">
        <v>0</v>
      </c>
      <c r="H1148" s="39">
        <v>0</v>
      </c>
      <c r="I1148" s="39">
        <v>0</v>
      </c>
      <c r="J1148" s="39">
        <v>0</v>
      </c>
      <c r="K1148" s="39">
        <v>0</v>
      </c>
      <c r="L1148" s="39">
        <v>0</v>
      </c>
      <c r="M1148" s="39">
        <v>0</v>
      </c>
      <c r="N1148" s="39">
        <v>0</v>
      </c>
      <c r="O1148" s="39">
        <v>0</v>
      </c>
      <c r="P1148" s="39">
        <v>0</v>
      </c>
      <c r="Q1148" s="39">
        <v>0</v>
      </c>
      <c r="R1148" s="39">
        <v>0</v>
      </c>
      <c r="S1148" s="39">
        <v>0</v>
      </c>
      <c r="T1148" s="39">
        <v>0</v>
      </c>
      <c r="U1148" s="39">
        <v>0</v>
      </c>
      <c r="V1148" s="39">
        <v>590</v>
      </c>
      <c r="W1148" s="40" t="s">
        <v>7679</v>
      </c>
      <c r="X1148" s="39">
        <v>1</v>
      </c>
    </row>
    <row r="1149" spans="1:24">
      <c r="A1149" s="39">
        <v>11</v>
      </c>
      <c r="B1149" s="40" t="s">
        <v>2359</v>
      </c>
      <c r="C1149" s="39">
        <v>0</v>
      </c>
      <c r="E1149" s="39">
        <v>0</v>
      </c>
      <c r="F1149" s="39">
        <v>41</v>
      </c>
      <c r="G1149" s="39">
        <v>0</v>
      </c>
      <c r="H1149" s="39">
        <v>0</v>
      </c>
      <c r="I1149" s="39">
        <v>0</v>
      </c>
      <c r="J1149" s="39">
        <v>0</v>
      </c>
      <c r="K1149" s="39">
        <v>0</v>
      </c>
      <c r="L1149" s="39">
        <v>0</v>
      </c>
      <c r="M1149" s="39">
        <v>0</v>
      </c>
      <c r="N1149" s="39">
        <v>0</v>
      </c>
      <c r="O1149" s="39">
        <v>0</v>
      </c>
      <c r="P1149" s="39">
        <v>0</v>
      </c>
      <c r="Q1149" s="39">
        <v>0</v>
      </c>
      <c r="R1149" s="39">
        <v>0</v>
      </c>
      <c r="S1149" s="39">
        <v>0</v>
      </c>
      <c r="T1149" s="39">
        <v>0</v>
      </c>
      <c r="U1149" s="39">
        <v>0</v>
      </c>
      <c r="V1149" s="39">
        <v>2</v>
      </c>
      <c r="W1149" s="40" t="s">
        <v>40</v>
      </c>
      <c r="X1149" s="39">
        <v>1</v>
      </c>
    </row>
    <row r="1150" spans="1:24">
      <c r="A1150" s="39">
        <v>674</v>
      </c>
      <c r="B1150" s="40" t="s">
        <v>2359</v>
      </c>
      <c r="C1150" s="39">
        <v>0</v>
      </c>
      <c r="E1150" s="39">
        <v>0</v>
      </c>
      <c r="F1150" s="39">
        <v>2034</v>
      </c>
      <c r="G1150" s="39">
        <v>0</v>
      </c>
      <c r="H1150" s="39">
        <v>0</v>
      </c>
      <c r="I1150" s="39">
        <v>0</v>
      </c>
      <c r="J1150" s="39">
        <v>0</v>
      </c>
      <c r="K1150" s="39">
        <v>0</v>
      </c>
      <c r="L1150" s="39">
        <v>0</v>
      </c>
      <c r="M1150" s="39">
        <v>0</v>
      </c>
      <c r="N1150" s="39">
        <v>0</v>
      </c>
      <c r="O1150" s="39">
        <v>0</v>
      </c>
      <c r="P1150" s="39">
        <v>0</v>
      </c>
      <c r="Q1150" s="39">
        <v>0</v>
      </c>
      <c r="R1150" s="39">
        <v>0</v>
      </c>
      <c r="S1150" s="39">
        <v>0</v>
      </c>
      <c r="T1150" s="39">
        <v>0</v>
      </c>
      <c r="U1150" s="39">
        <v>0</v>
      </c>
      <c r="V1150" s="39">
        <v>228</v>
      </c>
      <c r="W1150" s="40" t="s">
        <v>7669</v>
      </c>
      <c r="X1150" s="39">
        <v>1</v>
      </c>
    </row>
    <row r="1151" spans="1:24">
      <c r="A1151" s="39">
        <v>316</v>
      </c>
      <c r="B1151" s="40" t="s">
        <v>2359</v>
      </c>
      <c r="C1151" s="39">
        <v>0</v>
      </c>
      <c r="D1151" s="40" t="s">
        <v>7893</v>
      </c>
      <c r="E1151" s="39">
        <v>0</v>
      </c>
      <c r="F1151" s="39">
        <v>2034</v>
      </c>
      <c r="G1151" s="39">
        <v>0</v>
      </c>
      <c r="H1151" s="39">
        <v>0</v>
      </c>
      <c r="I1151" s="39">
        <v>0</v>
      </c>
      <c r="J1151" s="39">
        <v>0</v>
      </c>
      <c r="K1151" s="39">
        <v>0</v>
      </c>
      <c r="L1151" s="39">
        <v>0</v>
      </c>
      <c r="M1151" s="39">
        <v>0</v>
      </c>
      <c r="N1151" s="39">
        <v>0</v>
      </c>
      <c r="O1151" s="39">
        <v>0</v>
      </c>
      <c r="P1151" s="39">
        <v>0</v>
      </c>
      <c r="Q1151" s="39">
        <v>0</v>
      </c>
      <c r="R1151" s="39">
        <v>0</v>
      </c>
      <c r="S1151" s="39">
        <v>0</v>
      </c>
      <c r="T1151" s="39">
        <v>0</v>
      </c>
      <c r="U1151" s="39">
        <v>0</v>
      </c>
      <c r="V1151" s="39">
        <v>590</v>
      </c>
      <c r="W1151" s="40" t="s">
        <v>7679</v>
      </c>
      <c r="X1151" s="39">
        <v>1</v>
      </c>
    </row>
    <row r="1152" spans="1:24">
      <c r="A1152" s="39">
        <v>426</v>
      </c>
      <c r="B1152" s="40" t="s">
        <v>7894</v>
      </c>
      <c r="C1152" s="39">
        <v>0</v>
      </c>
      <c r="E1152" s="39">
        <v>1</v>
      </c>
      <c r="F1152" s="39">
        <v>99</v>
      </c>
      <c r="G1152" s="39">
        <v>0</v>
      </c>
      <c r="H1152" s="39">
        <v>0</v>
      </c>
      <c r="I1152" s="39">
        <v>0</v>
      </c>
      <c r="J1152" s="39">
        <v>0</v>
      </c>
      <c r="K1152" s="39">
        <v>0</v>
      </c>
      <c r="L1152" s="39">
        <v>0</v>
      </c>
      <c r="M1152" s="39">
        <v>0</v>
      </c>
      <c r="N1152" s="39">
        <v>0</v>
      </c>
      <c r="O1152" s="39">
        <v>0</v>
      </c>
      <c r="P1152" s="39">
        <v>0</v>
      </c>
      <c r="Q1152" s="39">
        <v>0</v>
      </c>
      <c r="R1152" s="39">
        <v>0</v>
      </c>
      <c r="S1152" s="39">
        <v>0</v>
      </c>
      <c r="T1152" s="39">
        <v>0</v>
      </c>
      <c r="U1152" s="39">
        <v>0</v>
      </c>
      <c r="V1152" s="39">
        <v>175</v>
      </c>
      <c r="W1152" s="40" t="s">
        <v>7689</v>
      </c>
      <c r="X1152" s="39">
        <v>1</v>
      </c>
    </row>
    <row r="1153" spans="1:24">
      <c r="A1153" s="39">
        <v>1089</v>
      </c>
      <c r="B1153" s="40" t="s">
        <v>7895</v>
      </c>
      <c r="C1153" s="39">
        <v>0</v>
      </c>
      <c r="E1153" s="39">
        <v>0</v>
      </c>
      <c r="F1153" s="39">
        <v>900</v>
      </c>
      <c r="G1153" s="39">
        <v>0</v>
      </c>
      <c r="H1153" s="39">
        <v>0</v>
      </c>
      <c r="I1153" s="39">
        <v>0</v>
      </c>
      <c r="J1153" s="39">
        <v>0</v>
      </c>
      <c r="K1153" s="39">
        <v>0</v>
      </c>
      <c r="L1153" s="39">
        <v>0</v>
      </c>
      <c r="M1153" s="39">
        <v>0</v>
      </c>
      <c r="N1153" s="39">
        <v>0</v>
      </c>
      <c r="O1153" s="39">
        <v>0</v>
      </c>
      <c r="P1153" s="39">
        <v>0</v>
      </c>
      <c r="Q1153" s="39">
        <v>0</v>
      </c>
      <c r="R1153" s="39">
        <v>0</v>
      </c>
      <c r="S1153" s="39">
        <v>0</v>
      </c>
      <c r="T1153" s="39">
        <v>0</v>
      </c>
      <c r="U1153" s="39">
        <v>0</v>
      </c>
      <c r="V1153" s="39">
        <v>1</v>
      </c>
      <c r="W1153" s="40" t="s">
        <v>518</v>
      </c>
      <c r="X1153" s="39">
        <v>1</v>
      </c>
    </row>
    <row r="1154" spans="1:24">
      <c r="A1154" s="39">
        <v>427</v>
      </c>
      <c r="B1154" s="40" t="s">
        <v>7895</v>
      </c>
      <c r="C1154" s="39">
        <v>0</v>
      </c>
      <c r="E1154" s="39">
        <v>1</v>
      </c>
      <c r="F1154" s="39">
        <v>99</v>
      </c>
      <c r="G1154" s="39">
        <v>0</v>
      </c>
      <c r="H1154" s="39">
        <v>1</v>
      </c>
      <c r="I1154" s="39">
        <v>1</v>
      </c>
      <c r="J1154" s="39">
        <v>0</v>
      </c>
      <c r="K1154" s="39">
        <v>0</v>
      </c>
      <c r="L1154" s="39">
        <v>0</v>
      </c>
      <c r="M1154" s="39">
        <v>0</v>
      </c>
      <c r="N1154" s="39">
        <v>0</v>
      </c>
      <c r="O1154" s="39">
        <v>0</v>
      </c>
      <c r="P1154" s="39">
        <v>0</v>
      </c>
      <c r="Q1154" s="39">
        <v>0</v>
      </c>
      <c r="R1154" s="39">
        <v>0</v>
      </c>
      <c r="S1154" s="39">
        <v>0</v>
      </c>
      <c r="T1154" s="39">
        <v>0</v>
      </c>
      <c r="U1154" s="39">
        <v>0</v>
      </c>
      <c r="V1154" s="39">
        <v>175</v>
      </c>
      <c r="W1154" s="40" t="s">
        <v>7689</v>
      </c>
      <c r="X1154" s="39">
        <v>1</v>
      </c>
    </row>
    <row r="1155" spans="1:24">
      <c r="A1155" s="39">
        <v>1692</v>
      </c>
      <c r="B1155" s="40" t="s">
        <v>7895</v>
      </c>
      <c r="C1155" s="39">
        <v>0</v>
      </c>
      <c r="E1155" s="39">
        <v>0</v>
      </c>
      <c r="F1155" s="39">
        <v>900</v>
      </c>
      <c r="G1155" s="39">
        <v>0</v>
      </c>
      <c r="H1155" s="39">
        <v>0</v>
      </c>
      <c r="I1155" s="39">
        <v>0</v>
      </c>
      <c r="J1155" s="39">
        <v>0</v>
      </c>
      <c r="K1155" s="39">
        <v>0</v>
      </c>
      <c r="L1155" s="39">
        <v>0</v>
      </c>
      <c r="M1155" s="39">
        <v>0</v>
      </c>
      <c r="N1155" s="39">
        <v>0</v>
      </c>
      <c r="O1155" s="39">
        <v>0</v>
      </c>
      <c r="P1155" s="39">
        <v>0</v>
      </c>
      <c r="Q1155" s="39">
        <v>0</v>
      </c>
      <c r="R1155" s="39">
        <v>0</v>
      </c>
      <c r="S1155" s="39">
        <v>0</v>
      </c>
      <c r="T1155" s="39">
        <v>0</v>
      </c>
      <c r="U1155" s="39">
        <v>0</v>
      </c>
      <c r="V1155" s="39">
        <v>244</v>
      </c>
      <c r="W1155" s="40" t="s">
        <v>682</v>
      </c>
      <c r="X1155" s="39">
        <v>1</v>
      </c>
    </row>
    <row r="1156" spans="1:24">
      <c r="A1156" s="39">
        <v>1351</v>
      </c>
      <c r="B1156" s="40" t="s">
        <v>7895</v>
      </c>
      <c r="C1156" s="39">
        <v>0</v>
      </c>
      <c r="E1156" s="39">
        <v>0</v>
      </c>
      <c r="F1156" s="39">
        <v>900</v>
      </c>
      <c r="G1156" s="39">
        <v>0</v>
      </c>
      <c r="H1156" s="39">
        <v>0</v>
      </c>
      <c r="I1156" s="39">
        <v>0</v>
      </c>
      <c r="J1156" s="39">
        <v>0</v>
      </c>
      <c r="K1156" s="39">
        <v>0</v>
      </c>
      <c r="L1156" s="39">
        <v>0</v>
      </c>
      <c r="M1156" s="39">
        <v>0</v>
      </c>
      <c r="N1156" s="39">
        <v>0</v>
      </c>
      <c r="O1156" s="39">
        <v>0</v>
      </c>
      <c r="P1156" s="39">
        <v>0</v>
      </c>
      <c r="Q1156" s="39">
        <v>0</v>
      </c>
      <c r="R1156" s="39">
        <v>0</v>
      </c>
      <c r="S1156" s="39">
        <v>0</v>
      </c>
      <c r="T1156" s="39">
        <v>0</v>
      </c>
      <c r="U1156" s="39">
        <v>0</v>
      </c>
      <c r="V1156" s="39">
        <v>456</v>
      </c>
      <c r="W1156" s="40" t="s">
        <v>7673</v>
      </c>
      <c r="X1156" s="39">
        <v>1</v>
      </c>
    </row>
    <row r="1157" spans="1:24">
      <c r="A1157" s="39">
        <v>1173</v>
      </c>
      <c r="B1157" s="40" t="s">
        <v>7895</v>
      </c>
      <c r="C1157" s="39">
        <v>0</v>
      </c>
      <c r="E1157" s="39">
        <v>1</v>
      </c>
      <c r="F1157" s="39">
        <v>2033</v>
      </c>
      <c r="G1157" s="39">
        <v>0</v>
      </c>
      <c r="H1157" s="39">
        <v>1</v>
      </c>
      <c r="I1157" s="39">
        <v>0</v>
      </c>
      <c r="J1157" s="39">
        <v>0</v>
      </c>
      <c r="K1157" s="39">
        <v>0</v>
      </c>
      <c r="L1157" s="39">
        <v>0</v>
      </c>
      <c r="M1157" s="39">
        <v>0</v>
      </c>
      <c r="N1157" s="39">
        <v>0</v>
      </c>
      <c r="O1157" s="39">
        <v>0</v>
      </c>
      <c r="P1157" s="39">
        <v>0</v>
      </c>
      <c r="Q1157" s="39">
        <v>0</v>
      </c>
      <c r="R1157" s="39">
        <v>0</v>
      </c>
      <c r="S1157" s="39">
        <v>0</v>
      </c>
      <c r="T1157" s="39">
        <v>0</v>
      </c>
      <c r="U1157" s="39">
        <v>0</v>
      </c>
      <c r="V1157" s="39">
        <v>459</v>
      </c>
      <c r="W1157" s="40" t="s">
        <v>7674</v>
      </c>
      <c r="X1157" s="39">
        <v>1</v>
      </c>
    </row>
    <row r="1158" spans="1:24">
      <c r="A1158" s="39">
        <v>1084</v>
      </c>
      <c r="B1158" s="40" t="s">
        <v>7895</v>
      </c>
      <c r="C1158" s="39">
        <v>0</v>
      </c>
      <c r="E1158" s="39">
        <v>1</v>
      </c>
      <c r="F1158" s="39">
        <v>2033</v>
      </c>
      <c r="G1158" s="39">
        <v>1</v>
      </c>
      <c r="H1158" s="39">
        <v>1</v>
      </c>
      <c r="I1158" s="39">
        <v>1</v>
      </c>
      <c r="J1158" s="39">
        <v>0</v>
      </c>
      <c r="K1158" s="39">
        <v>0</v>
      </c>
      <c r="L1158" s="39">
        <v>0</v>
      </c>
      <c r="M1158" s="39">
        <v>0</v>
      </c>
      <c r="N1158" s="39">
        <v>0</v>
      </c>
      <c r="O1158" s="39">
        <v>0</v>
      </c>
      <c r="P1158" s="39">
        <v>0</v>
      </c>
      <c r="Q1158" s="39">
        <v>0</v>
      </c>
      <c r="R1158" s="39">
        <v>0</v>
      </c>
      <c r="S1158" s="39">
        <v>0</v>
      </c>
      <c r="T1158" s="39">
        <v>0</v>
      </c>
      <c r="U1158" s="39">
        <v>0</v>
      </c>
      <c r="V1158" s="39">
        <v>477</v>
      </c>
      <c r="W1158" s="40" t="s">
        <v>7697</v>
      </c>
      <c r="X1158" s="39">
        <v>1</v>
      </c>
    </row>
    <row r="1159" spans="1:24">
      <c r="A1159" s="39">
        <v>201</v>
      </c>
      <c r="B1159" s="40" t="s">
        <v>7895</v>
      </c>
      <c r="C1159" s="39">
        <v>0</v>
      </c>
      <c r="E1159" s="39">
        <v>1</v>
      </c>
      <c r="F1159" s="39">
        <v>2033</v>
      </c>
      <c r="G1159" s="39">
        <v>0</v>
      </c>
      <c r="H1159" s="39">
        <v>0</v>
      </c>
      <c r="I1159" s="39">
        <v>0</v>
      </c>
      <c r="J1159" s="39">
        <v>0</v>
      </c>
      <c r="K1159" s="39">
        <v>0</v>
      </c>
      <c r="L1159" s="39">
        <v>0</v>
      </c>
      <c r="M1159" s="39">
        <v>0</v>
      </c>
      <c r="N1159" s="39">
        <v>0</v>
      </c>
      <c r="O1159" s="39">
        <v>0</v>
      </c>
      <c r="P1159" s="39">
        <v>0</v>
      </c>
      <c r="Q1159" s="39">
        <v>0</v>
      </c>
      <c r="R1159" s="39">
        <v>0</v>
      </c>
      <c r="S1159" s="39">
        <v>0</v>
      </c>
      <c r="T1159" s="39">
        <v>0</v>
      </c>
      <c r="U1159" s="39">
        <v>0</v>
      </c>
      <c r="V1159" s="39">
        <v>590</v>
      </c>
      <c r="W1159" s="40" t="s">
        <v>7679</v>
      </c>
      <c r="X1159" s="39">
        <v>1</v>
      </c>
    </row>
    <row r="1160" spans="1:24">
      <c r="A1160" s="39">
        <v>96</v>
      </c>
      <c r="B1160" s="40" t="s">
        <v>7896</v>
      </c>
      <c r="C1160" s="39">
        <v>0</v>
      </c>
      <c r="E1160" s="39">
        <v>1</v>
      </c>
      <c r="F1160" s="39">
        <v>110</v>
      </c>
      <c r="G1160" s="39">
        <v>1</v>
      </c>
      <c r="H1160" s="39">
        <v>1</v>
      </c>
      <c r="I1160" s="39">
        <v>0</v>
      </c>
      <c r="J1160" s="39">
        <v>1</v>
      </c>
      <c r="K1160" s="39">
        <v>0</v>
      </c>
      <c r="L1160" s="39">
        <v>0</v>
      </c>
      <c r="M1160" s="39">
        <v>0</v>
      </c>
      <c r="N1160" s="39">
        <v>0</v>
      </c>
      <c r="O1160" s="39">
        <v>0</v>
      </c>
      <c r="P1160" s="39">
        <v>0</v>
      </c>
      <c r="Q1160" s="39">
        <v>0</v>
      </c>
      <c r="R1160" s="39">
        <v>0</v>
      </c>
      <c r="S1160" s="39">
        <v>0</v>
      </c>
      <c r="T1160" s="39">
        <v>0</v>
      </c>
      <c r="U1160" s="39">
        <v>0</v>
      </c>
      <c r="V1160" s="39">
        <v>1</v>
      </c>
      <c r="W1160" s="40" t="s">
        <v>518</v>
      </c>
      <c r="X1160" s="39">
        <v>1</v>
      </c>
    </row>
    <row r="1161" spans="1:24">
      <c r="A1161" s="39">
        <v>8</v>
      </c>
      <c r="B1161" s="40" t="s">
        <v>7896</v>
      </c>
      <c r="C1161" s="39">
        <v>0</v>
      </c>
      <c r="D1161" s="40" t="s">
        <v>7897</v>
      </c>
      <c r="E1161" s="39">
        <v>1</v>
      </c>
      <c r="F1161" s="39">
        <v>45</v>
      </c>
      <c r="G1161" s="39">
        <v>1</v>
      </c>
      <c r="H1161" s="39">
        <v>1</v>
      </c>
      <c r="I1161" s="39">
        <v>1</v>
      </c>
      <c r="J1161" s="39">
        <v>1</v>
      </c>
      <c r="K1161" s="39">
        <v>0</v>
      </c>
      <c r="L1161" s="39">
        <v>0</v>
      </c>
      <c r="M1161" s="39">
        <v>0</v>
      </c>
      <c r="N1161" s="39">
        <v>0</v>
      </c>
      <c r="O1161" s="39">
        <v>0</v>
      </c>
      <c r="P1161" s="39">
        <v>0</v>
      </c>
      <c r="Q1161" s="39">
        <v>0</v>
      </c>
      <c r="R1161" s="39">
        <v>0</v>
      </c>
      <c r="S1161" s="39">
        <v>0</v>
      </c>
      <c r="T1161" s="39">
        <v>0</v>
      </c>
      <c r="U1161" s="39">
        <v>0</v>
      </c>
      <c r="V1161" s="39">
        <v>2</v>
      </c>
      <c r="W1161" s="40" t="s">
        <v>40</v>
      </c>
      <c r="X1161" s="39">
        <v>1</v>
      </c>
    </row>
    <row r="1162" spans="1:24">
      <c r="A1162" s="39">
        <v>993</v>
      </c>
      <c r="B1162" s="40" t="s">
        <v>7896</v>
      </c>
      <c r="C1162" s="39">
        <v>0</v>
      </c>
      <c r="E1162" s="39">
        <v>1</v>
      </c>
      <c r="F1162" s="39">
        <v>110</v>
      </c>
      <c r="G1162" s="39">
        <v>0</v>
      </c>
      <c r="H1162" s="39">
        <v>0</v>
      </c>
      <c r="I1162" s="39">
        <v>0</v>
      </c>
      <c r="J1162" s="39">
        <v>0</v>
      </c>
      <c r="K1162" s="39">
        <v>0</v>
      </c>
      <c r="L1162" s="39">
        <v>0</v>
      </c>
      <c r="M1162" s="39">
        <v>0</v>
      </c>
      <c r="N1162" s="39">
        <v>0</v>
      </c>
      <c r="O1162" s="39">
        <v>0</v>
      </c>
      <c r="P1162" s="39">
        <v>0</v>
      </c>
      <c r="Q1162" s="39">
        <v>0</v>
      </c>
      <c r="R1162" s="39">
        <v>0</v>
      </c>
      <c r="S1162" s="39">
        <v>0</v>
      </c>
      <c r="T1162" s="39">
        <v>0</v>
      </c>
      <c r="U1162" s="39">
        <v>0</v>
      </c>
      <c r="V1162" s="39">
        <v>158</v>
      </c>
      <c r="W1162" s="40" t="s">
        <v>7667</v>
      </c>
      <c r="X1162" s="39">
        <v>1</v>
      </c>
    </row>
    <row r="1163" spans="1:24">
      <c r="A1163" s="39">
        <v>489</v>
      </c>
      <c r="B1163" s="40" t="s">
        <v>7896</v>
      </c>
      <c r="C1163" s="39">
        <v>0</v>
      </c>
      <c r="E1163" s="39">
        <v>1</v>
      </c>
      <c r="F1163" s="39">
        <v>110</v>
      </c>
      <c r="G1163" s="39">
        <v>1</v>
      </c>
      <c r="H1163" s="39">
        <v>0</v>
      </c>
      <c r="I1163" s="39">
        <v>0</v>
      </c>
      <c r="J1163" s="39">
        <v>0</v>
      </c>
      <c r="K1163" s="39">
        <v>0</v>
      </c>
      <c r="L1163" s="39">
        <v>0</v>
      </c>
      <c r="M1163" s="39">
        <v>0</v>
      </c>
      <c r="N1163" s="39">
        <v>0</v>
      </c>
      <c r="O1163" s="39">
        <v>0</v>
      </c>
      <c r="P1163" s="39">
        <v>0</v>
      </c>
      <c r="Q1163" s="39">
        <v>0</v>
      </c>
      <c r="R1163" s="39">
        <v>0</v>
      </c>
      <c r="S1163" s="39">
        <v>0</v>
      </c>
      <c r="T1163" s="39">
        <v>0</v>
      </c>
      <c r="U1163" s="39">
        <v>0</v>
      </c>
      <c r="V1163" s="39">
        <v>175</v>
      </c>
      <c r="W1163" s="40" t="s">
        <v>7689</v>
      </c>
      <c r="X1163" s="39">
        <v>1</v>
      </c>
    </row>
    <row r="1164" spans="1:24">
      <c r="A1164" s="39">
        <v>378</v>
      </c>
      <c r="B1164" s="40" t="s">
        <v>7896</v>
      </c>
      <c r="C1164" s="39">
        <v>0</v>
      </c>
      <c r="E1164" s="39">
        <v>1</v>
      </c>
      <c r="F1164" s="39">
        <v>110</v>
      </c>
      <c r="G1164" s="39">
        <v>1</v>
      </c>
      <c r="H1164" s="39">
        <v>0</v>
      </c>
      <c r="I1164" s="39">
        <v>0</v>
      </c>
      <c r="J1164" s="39">
        <v>0</v>
      </c>
      <c r="K1164" s="39">
        <v>0</v>
      </c>
      <c r="L1164" s="39">
        <v>0</v>
      </c>
      <c r="M1164" s="39">
        <v>0</v>
      </c>
      <c r="N1164" s="39">
        <v>0</v>
      </c>
      <c r="O1164" s="39">
        <v>0</v>
      </c>
      <c r="P1164" s="39">
        <v>0</v>
      </c>
      <c r="Q1164" s="39">
        <v>0</v>
      </c>
      <c r="R1164" s="39">
        <v>0</v>
      </c>
      <c r="S1164" s="39">
        <v>0</v>
      </c>
      <c r="T1164" s="39">
        <v>0</v>
      </c>
      <c r="U1164" s="39">
        <v>0</v>
      </c>
      <c r="V1164" s="39">
        <v>228</v>
      </c>
      <c r="W1164" s="40" t="s">
        <v>7669</v>
      </c>
      <c r="X1164" s="39">
        <v>1</v>
      </c>
    </row>
    <row r="1165" spans="1:24">
      <c r="A1165" s="39">
        <v>1708</v>
      </c>
      <c r="B1165" s="40" t="s">
        <v>7896</v>
      </c>
      <c r="C1165" s="39">
        <v>0</v>
      </c>
      <c r="E1165" s="39">
        <v>1</v>
      </c>
      <c r="F1165" s="39">
        <v>110</v>
      </c>
      <c r="G1165" s="39">
        <v>1</v>
      </c>
      <c r="H1165" s="39">
        <v>1</v>
      </c>
      <c r="I1165" s="39">
        <v>0</v>
      </c>
      <c r="J1165" s="39">
        <v>1</v>
      </c>
      <c r="K1165" s="39">
        <v>0</v>
      </c>
      <c r="L1165" s="39">
        <v>0</v>
      </c>
      <c r="M1165" s="39">
        <v>0</v>
      </c>
      <c r="N1165" s="39">
        <v>0</v>
      </c>
      <c r="O1165" s="39">
        <v>0</v>
      </c>
      <c r="P1165" s="39">
        <v>0</v>
      </c>
      <c r="Q1165" s="39">
        <v>0</v>
      </c>
      <c r="R1165" s="39">
        <v>0</v>
      </c>
      <c r="S1165" s="39">
        <v>0</v>
      </c>
      <c r="T1165" s="39">
        <v>0</v>
      </c>
      <c r="U1165" s="39">
        <v>0</v>
      </c>
      <c r="V1165" s="39">
        <v>244</v>
      </c>
      <c r="W1165" s="40" t="s">
        <v>682</v>
      </c>
      <c r="X1165" s="39">
        <v>1</v>
      </c>
    </row>
    <row r="1166" spans="1:24">
      <c r="A1166" s="39">
        <v>1274</v>
      </c>
      <c r="B1166" s="40" t="s">
        <v>7896</v>
      </c>
      <c r="C1166" s="39">
        <v>0</v>
      </c>
      <c r="E1166" s="39">
        <v>1</v>
      </c>
      <c r="F1166" s="39">
        <v>110</v>
      </c>
      <c r="G1166" s="39">
        <v>0</v>
      </c>
      <c r="H1166" s="39">
        <v>0</v>
      </c>
      <c r="I1166" s="39">
        <v>0</v>
      </c>
      <c r="J1166" s="39">
        <v>0</v>
      </c>
      <c r="K1166" s="39">
        <v>0</v>
      </c>
      <c r="L1166" s="39">
        <v>0</v>
      </c>
      <c r="M1166" s="39">
        <v>0</v>
      </c>
      <c r="N1166" s="39">
        <v>0</v>
      </c>
      <c r="O1166" s="39">
        <v>0</v>
      </c>
      <c r="P1166" s="39">
        <v>0</v>
      </c>
      <c r="Q1166" s="39">
        <v>0</v>
      </c>
      <c r="R1166" s="39">
        <v>0</v>
      </c>
      <c r="S1166" s="39">
        <v>0</v>
      </c>
      <c r="T1166" s="39">
        <v>0</v>
      </c>
      <c r="U1166" s="39">
        <v>0</v>
      </c>
      <c r="V1166" s="39">
        <v>418</v>
      </c>
      <c r="W1166" s="40" t="s">
        <v>7671</v>
      </c>
      <c r="X1166" s="39">
        <v>1</v>
      </c>
    </row>
    <row r="1167" spans="1:24">
      <c r="A1167" s="39">
        <v>1369</v>
      </c>
      <c r="B1167" s="40" t="s">
        <v>7896</v>
      </c>
      <c r="C1167" s="39">
        <v>0</v>
      </c>
      <c r="E1167" s="39">
        <v>1</v>
      </c>
      <c r="F1167" s="39">
        <v>110</v>
      </c>
      <c r="G1167" s="39">
        <v>1</v>
      </c>
      <c r="H1167" s="39">
        <v>1</v>
      </c>
      <c r="I1167" s="39">
        <v>1</v>
      </c>
      <c r="J1167" s="39">
        <v>1</v>
      </c>
      <c r="K1167" s="39">
        <v>0</v>
      </c>
      <c r="L1167" s="39">
        <v>0</v>
      </c>
      <c r="M1167" s="39">
        <v>0</v>
      </c>
      <c r="N1167" s="39">
        <v>0</v>
      </c>
      <c r="O1167" s="39">
        <v>0</v>
      </c>
      <c r="P1167" s="39">
        <v>0</v>
      </c>
      <c r="Q1167" s="39">
        <v>0</v>
      </c>
      <c r="R1167" s="39">
        <v>0</v>
      </c>
      <c r="S1167" s="39">
        <v>0</v>
      </c>
      <c r="T1167" s="39">
        <v>0</v>
      </c>
      <c r="U1167" s="39">
        <v>0</v>
      </c>
      <c r="V1167" s="39">
        <v>456</v>
      </c>
      <c r="W1167" s="40" t="s">
        <v>7673</v>
      </c>
      <c r="X1167" s="39">
        <v>1</v>
      </c>
    </row>
    <row r="1168" spans="1:24">
      <c r="A1168" s="39">
        <v>909</v>
      </c>
      <c r="B1168" s="40" t="s">
        <v>7896</v>
      </c>
      <c r="C1168" s="39">
        <v>0</v>
      </c>
      <c r="E1168" s="39">
        <v>1</v>
      </c>
      <c r="F1168" s="39">
        <v>110</v>
      </c>
      <c r="G1168" s="39">
        <v>0</v>
      </c>
      <c r="H1168" s="39">
        <v>0</v>
      </c>
      <c r="I1168" s="39">
        <v>0</v>
      </c>
      <c r="J1168" s="39">
        <v>0</v>
      </c>
      <c r="K1168" s="39">
        <v>0</v>
      </c>
      <c r="L1168" s="39">
        <v>0</v>
      </c>
      <c r="M1168" s="39">
        <v>0</v>
      </c>
      <c r="N1168" s="39">
        <v>0</v>
      </c>
      <c r="O1168" s="39">
        <v>0</v>
      </c>
      <c r="P1168" s="39">
        <v>0</v>
      </c>
      <c r="Q1168" s="39">
        <v>0</v>
      </c>
      <c r="R1168" s="39">
        <v>0</v>
      </c>
      <c r="S1168" s="39">
        <v>0</v>
      </c>
      <c r="T1168" s="39">
        <v>0</v>
      </c>
      <c r="U1168" s="39">
        <v>0</v>
      </c>
      <c r="V1168" s="39">
        <v>458</v>
      </c>
      <c r="W1168" s="40" t="s">
        <v>7694</v>
      </c>
      <c r="X1168" s="39">
        <v>1</v>
      </c>
    </row>
    <row r="1169" spans="1:24">
      <c r="A1169" s="39">
        <v>1174</v>
      </c>
      <c r="B1169" s="40" t="s">
        <v>7896</v>
      </c>
      <c r="C1169" s="39">
        <v>0</v>
      </c>
      <c r="E1169" s="39">
        <v>1</v>
      </c>
      <c r="F1169" s="39">
        <v>110</v>
      </c>
      <c r="G1169" s="39">
        <v>0</v>
      </c>
      <c r="H1169" s="39">
        <v>0</v>
      </c>
      <c r="I1169" s="39">
        <v>0</v>
      </c>
      <c r="J1169" s="39">
        <v>0</v>
      </c>
      <c r="K1169" s="39">
        <v>0</v>
      </c>
      <c r="L1169" s="39">
        <v>0</v>
      </c>
      <c r="M1169" s="39">
        <v>0</v>
      </c>
      <c r="N1169" s="39">
        <v>0</v>
      </c>
      <c r="O1169" s="39">
        <v>0</v>
      </c>
      <c r="P1169" s="39">
        <v>0</v>
      </c>
      <c r="Q1169" s="39">
        <v>0</v>
      </c>
      <c r="R1169" s="39">
        <v>0</v>
      </c>
      <c r="S1169" s="39">
        <v>0</v>
      </c>
      <c r="T1169" s="39">
        <v>0</v>
      </c>
      <c r="U1169" s="39">
        <v>0</v>
      </c>
      <c r="V1169" s="39">
        <v>459</v>
      </c>
      <c r="W1169" s="40" t="s">
        <v>7674</v>
      </c>
      <c r="X1169" s="39">
        <v>1</v>
      </c>
    </row>
    <row r="1170" spans="1:24">
      <c r="A1170" s="39">
        <v>632</v>
      </c>
      <c r="B1170" s="40" t="s">
        <v>7896</v>
      </c>
      <c r="C1170" s="39">
        <v>0</v>
      </c>
      <c r="E1170" s="39">
        <v>0</v>
      </c>
      <c r="F1170" s="39">
        <v>110</v>
      </c>
      <c r="G1170" s="39">
        <v>1</v>
      </c>
      <c r="H1170" s="39">
        <v>0</v>
      </c>
      <c r="I1170" s="39">
        <v>0</v>
      </c>
      <c r="J1170" s="39">
        <v>0</v>
      </c>
      <c r="K1170" s="39">
        <v>0</v>
      </c>
      <c r="L1170" s="39">
        <v>0</v>
      </c>
      <c r="M1170" s="39">
        <v>0</v>
      </c>
      <c r="N1170" s="39">
        <v>0</v>
      </c>
      <c r="O1170" s="39">
        <v>0</v>
      </c>
      <c r="P1170" s="39">
        <v>0</v>
      </c>
      <c r="Q1170" s="39">
        <v>0</v>
      </c>
      <c r="R1170" s="39">
        <v>0</v>
      </c>
      <c r="S1170" s="39">
        <v>0</v>
      </c>
      <c r="T1170" s="39">
        <v>0</v>
      </c>
      <c r="U1170" s="39">
        <v>0</v>
      </c>
      <c r="V1170" s="39">
        <v>468</v>
      </c>
      <c r="W1170" s="40" t="s">
        <v>7677</v>
      </c>
      <c r="X1170" s="39">
        <v>1</v>
      </c>
    </row>
    <row r="1171" spans="1:24">
      <c r="A1171" s="39">
        <v>1075</v>
      </c>
      <c r="B1171" s="40" t="s">
        <v>7896</v>
      </c>
      <c r="C1171" s="39">
        <v>0</v>
      </c>
      <c r="E1171" s="39">
        <v>0</v>
      </c>
      <c r="F1171" s="39">
        <v>110</v>
      </c>
      <c r="G1171" s="39">
        <v>1</v>
      </c>
      <c r="H1171" s="39">
        <v>0</v>
      </c>
      <c r="I1171" s="39">
        <v>0</v>
      </c>
      <c r="J1171" s="39">
        <v>0</v>
      </c>
      <c r="K1171" s="39">
        <v>0</v>
      </c>
      <c r="L1171" s="39">
        <v>0</v>
      </c>
      <c r="M1171" s="39">
        <v>0</v>
      </c>
      <c r="N1171" s="39">
        <v>0</v>
      </c>
      <c r="O1171" s="39">
        <v>0</v>
      </c>
      <c r="P1171" s="39">
        <v>0</v>
      </c>
      <c r="Q1171" s="39">
        <v>0</v>
      </c>
      <c r="R1171" s="39">
        <v>0</v>
      </c>
      <c r="S1171" s="39">
        <v>0</v>
      </c>
      <c r="T1171" s="39">
        <v>0</v>
      </c>
      <c r="U1171" s="39">
        <v>0</v>
      </c>
      <c r="V1171" s="39">
        <v>477</v>
      </c>
      <c r="W1171" s="40" t="s">
        <v>7697</v>
      </c>
      <c r="X1171" s="39">
        <v>1</v>
      </c>
    </row>
    <row r="1172" spans="1:24">
      <c r="A1172" s="39">
        <v>269</v>
      </c>
      <c r="B1172" s="40" t="s">
        <v>7896</v>
      </c>
      <c r="C1172" s="39">
        <v>0</v>
      </c>
      <c r="E1172" s="39">
        <v>1</v>
      </c>
      <c r="F1172" s="39">
        <v>110</v>
      </c>
      <c r="G1172" s="39">
        <v>1</v>
      </c>
      <c r="H1172" s="39">
        <v>0</v>
      </c>
      <c r="I1172" s="39">
        <v>0</v>
      </c>
      <c r="J1172" s="39">
        <v>0</v>
      </c>
      <c r="K1172" s="39">
        <v>0</v>
      </c>
      <c r="L1172" s="39">
        <v>0</v>
      </c>
      <c r="M1172" s="39">
        <v>0</v>
      </c>
      <c r="N1172" s="39">
        <v>0</v>
      </c>
      <c r="O1172" s="39">
        <v>0</v>
      </c>
      <c r="P1172" s="39">
        <v>0</v>
      </c>
      <c r="Q1172" s="39">
        <v>0</v>
      </c>
      <c r="R1172" s="39">
        <v>0</v>
      </c>
      <c r="S1172" s="39">
        <v>0</v>
      </c>
      <c r="T1172" s="39">
        <v>0</v>
      </c>
      <c r="U1172" s="39">
        <v>0</v>
      </c>
      <c r="V1172" s="39">
        <v>590</v>
      </c>
      <c r="W1172" s="40" t="s">
        <v>7679</v>
      </c>
      <c r="X1172" s="39">
        <v>1</v>
      </c>
    </row>
    <row r="1173" spans="1:24">
      <c r="A1173" s="39">
        <v>817</v>
      </c>
      <c r="B1173" s="40" t="s">
        <v>7896</v>
      </c>
      <c r="C1173" s="39">
        <v>0</v>
      </c>
      <c r="E1173" s="39">
        <v>1</v>
      </c>
      <c r="F1173" s="39">
        <v>110</v>
      </c>
      <c r="G1173" s="39">
        <v>1</v>
      </c>
      <c r="H1173" s="39">
        <v>1</v>
      </c>
      <c r="I1173" s="39">
        <v>1</v>
      </c>
      <c r="J1173" s="39">
        <v>1</v>
      </c>
      <c r="K1173" s="39">
        <v>0</v>
      </c>
      <c r="L1173" s="39">
        <v>0</v>
      </c>
      <c r="M1173" s="39">
        <v>0</v>
      </c>
      <c r="N1173" s="39">
        <v>0</v>
      </c>
      <c r="O1173" s="39">
        <v>0</v>
      </c>
      <c r="P1173" s="39">
        <v>0</v>
      </c>
      <c r="Q1173" s="39">
        <v>0</v>
      </c>
      <c r="R1173" s="39">
        <v>0</v>
      </c>
      <c r="S1173" s="39">
        <v>0</v>
      </c>
      <c r="T1173" s="39">
        <v>0</v>
      </c>
      <c r="U1173" s="39">
        <v>0</v>
      </c>
      <c r="V1173" s="39">
        <v>733</v>
      </c>
      <c r="W1173" s="40" t="s">
        <v>7680</v>
      </c>
      <c r="X1173" s="39">
        <v>1</v>
      </c>
    </row>
    <row r="1174" spans="1:24">
      <c r="A1174" s="39">
        <v>77</v>
      </c>
      <c r="B1174" s="40" t="s">
        <v>934</v>
      </c>
      <c r="C1174" s="39">
        <v>0</v>
      </c>
      <c r="E1174" s="39">
        <v>0</v>
      </c>
      <c r="F1174" s="39">
        <v>45</v>
      </c>
      <c r="G1174" s="39">
        <v>0</v>
      </c>
      <c r="H1174" s="39">
        <v>0</v>
      </c>
      <c r="I1174" s="39">
        <v>0</v>
      </c>
      <c r="J1174" s="39">
        <v>0</v>
      </c>
      <c r="K1174" s="39">
        <v>0</v>
      </c>
      <c r="L1174" s="39">
        <v>0</v>
      </c>
      <c r="M1174" s="39">
        <v>0</v>
      </c>
      <c r="N1174" s="39">
        <v>0</v>
      </c>
      <c r="O1174" s="39">
        <v>0</v>
      </c>
      <c r="P1174" s="39">
        <v>0</v>
      </c>
      <c r="Q1174" s="39">
        <v>0</v>
      </c>
      <c r="R1174" s="39">
        <v>0</v>
      </c>
      <c r="S1174" s="39">
        <v>0</v>
      </c>
      <c r="T1174" s="39">
        <v>0</v>
      </c>
      <c r="U1174" s="39">
        <v>0</v>
      </c>
      <c r="V1174" s="39">
        <v>2</v>
      </c>
      <c r="W1174" s="40" t="s">
        <v>40</v>
      </c>
      <c r="X1174" s="39">
        <v>1</v>
      </c>
    </row>
    <row r="1175" spans="1:24">
      <c r="A1175" s="39">
        <v>1892</v>
      </c>
      <c r="B1175" s="40" t="s">
        <v>934</v>
      </c>
      <c r="C1175" s="39">
        <v>0</v>
      </c>
      <c r="E1175" s="39">
        <v>0</v>
      </c>
      <c r="F1175" s="39">
        <v>961</v>
      </c>
      <c r="G1175" s="39">
        <v>0</v>
      </c>
      <c r="H1175" s="39">
        <v>0</v>
      </c>
      <c r="I1175" s="39">
        <v>0</v>
      </c>
      <c r="J1175" s="39">
        <v>0</v>
      </c>
      <c r="K1175" s="39">
        <v>0</v>
      </c>
      <c r="L1175" s="39">
        <v>0</v>
      </c>
      <c r="M1175" s="39">
        <v>0</v>
      </c>
      <c r="N1175" s="39">
        <v>0</v>
      </c>
      <c r="O1175" s="39">
        <v>0</v>
      </c>
      <c r="P1175" s="39">
        <v>0</v>
      </c>
      <c r="Q1175" s="39">
        <v>0</v>
      </c>
      <c r="R1175" s="39">
        <v>0</v>
      </c>
      <c r="S1175" s="39">
        <v>0</v>
      </c>
      <c r="T1175" s="39">
        <v>0</v>
      </c>
      <c r="U1175" s="39">
        <v>0</v>
      </c>
      <c r="V1175" s="39">
        <v>244</v>
      </c>
      <c r="W1175" s="40" t="s">
        <v>682</v>
      </c>
      <c r="X1175" s="39">
        <v>1</v>
      </c>
    </row>
    <row r="1176" spans="1:24">
      <c r="A1176" s="39">
        <v>139</v>
      </c>
      <c r="B1176" s="40" t="s">
        <v>1523</v>
      </c>
      <c r="C1176" s="39">
        <v>0</v>
      </c>
      <c r="E1176" s="39">
        <v>0</v>
      </c>
      <c r="F1176" s="39">
        <v>960</v>
      </c>
      <c r="G1176" s="39">
        <v>0</v>
      </c>
      <c r="H1176" s="39">
        <v>0</v>
      </c>
      <c r="I1176" s="39">
        <v>0</v>
      </c>
      <c r="J1176" s="39">
        <v>0</v>
      </c>
      <c r="K1176" s="39">
        <v>0</v>
      </c>
      <c r="L1176" s="39">
        <v>0</v>
      </c>
      <c r="M1176" s="39">
        <v>0</v>
      </c>
      <c r="N1176" s="39">
        <v>0</v>
      </c>
      <c r="O1176" s="39">
        <v>0</v>
      </c>
      <c r="P1176" s="39">
        <v>0</v>
      </c>
      <c r="Q1176" s="39">
        <v>0</v>
      </c>
      <c r="R1176" s="39">
        <v>0</v>
      </c>
      <c r="S1176" s="39">
        <v>0</v>
      </c>
      <c r="T1176" s="39">
        <v>0</v>
      </c>
      <c r="U1176" s="39">
        <v>0</v>
      </c>
      <c r="V1176" s="39">
        <v>1</v>
      </c>
      <c r="W1176" s="40" t="s">
        <v>518</v>
      </c>
      <c r="X1176" s="39">
        <v>1</v>
      </c>
    </row>
    <row r="1177" spans="1:24">
      <c r="A1177" s="39">
        <v>50</v>
      </c>
      <c r="B1177" s="40" t="s">
        <v>1523</v>
      </c>
      <c r="C1177" s="39">
        <v>0</v>
      </c>
      <c r="E1177" s="39">
        <v>0</v>
      </c>
      <c r="F1177" s="39">
        <v>45</v>
      </c>
      <c r="G1177" s="39">
        <v>0</v>
      </c>
      <c r="H1177" s="39">
        <v>0</v>
      </c>
      <c r="I1177" s="39">
        <v>0</v>
      </c>
      <c r="J1177" s="39">
        <v>0</v>
      </c>
      <c r="K1177" s="39">
        <v>0</v>
      </c>
      <c r="L1177" s="39">
        <v>0</v>
      </c>
      <c r="M1177" s="39">
        <v>0</v>
      </c>
      <c r="N1177" s="39">
        <v>0</v>
      </c>
      <c r="O1177" s="39">
        <v>0</v>
      </c>
      <c r="P1177" s="39">
        <v>0</v>
      </c>
      <c r="Q1177" s="39">
        <v>0</v>
      </c>
      <c r="R1177" s="39">
        <v>0</v>
      </c>
      <c r="S1177" s="39">
        <v>0</v>
      </c>
      <c r="T1177" s="39">
        <v>0</v>
      </c>
      <c r="U1177" s="39">
        <v>0</v>
      </c>
      <c r="V1177" s="39">
        <v>2</v>
      </c>
      <c r="W1177" s="40" t="s">
        <v>40</v>
      </c>
      <c r="X1177" s="39">
        <v>1</v>
      </c>
    </row>
    <row r="1178" spans="1:24">
      <c r="A1178" s="39">
        <v>994</v>
      </c>
      <c r="B1178" s="40" t="s">
        <v>1523</v>
      </c>
      <c r="C1178" s="39">
        <v>0</v>
      </c>
      <c r="E1178" s="39">
        <v>0</v>
      </c>
      <c r="F1178" s="39">
        <v>960</v>
      </c>
      <c r="G1178" s="39">
        <v>0</v>
      </c>
      <c r="H1178" s="39">
        <v>0</v>
      </c>
      <c r="I1178" s="39">
        <v>0</v>
      </c>
      <c r="J1178" s="39">
        <v>0</v>
      </c>
      <c r="K1178" s="39">
        <v>0</v>
      </c>
      <c r="L1178" s="39">
        <v>0</v>
      </c>
      <c r="M1178" s="39">
        <v>0</v>
      </c>
      <c r="N1178" s="39">
        <v>0</v>
      </c>
      <c r="O1178" s="39">
        <v>0</v>
      </c>
      <c r="P1178" s="39">
        <v>0</v>
      </c>
      <c r="Q1178" s="39">
        <v>0</v>
      </c>
      <c r="R1178" s="39">
        <v>0</v>
      </c>
      <c r="S1178" s="39">
        <v>0</v>
      </c>
      <c r="T1178" s="39">
        <v>0</v>
      </c>
      <c r="U1178" s="39">
        <v>0</v>
      </c>
      <c r="V1178" s="39">
        <v>158</v>
      </c>
      <c r="W1178" s="40" t="s">
        <v>7667</v>
      </c>
      <c r="X1178" s="39">
        <v>1</v>
      </c>
    </row>
    <row r="1179" spans="1:24">
      <c r="A1179" s="39">
        <v>490</v>
      </c>
      <c r="B1179" s="40" t="s">
        <v>1523</v>
      </c>
      <c r="C1179" s="39">
        <v>0</v>
      </c>
      <c r="E1179" s="39">
        <v>0</v>
      </c>
      <c r="F1179" s="39">
        <v>960</v>
      </c>
      <c r="G1179" s="39">
        <v>0</v>
      </c>
      <c r="H1179" s="39">
        <v>1</v>
      </c>
      <c r="I1179" s="39">
        <v>1</v>
      </c>
      <c r="J1179" s="39">
        <v>0</v>
      </c>
      <c r="K1179" s="39">
        <v>0</v>
      </c>
      <c r="L1179" s="39">
        <v>0</v>
      </c>
      <c r="M1179" s="39">
        <v>0</v>
      </c>
      <c r="N1179" s="39">
        <v>0</v>
      </c>
      <c r="O1179" s="39">
        <v>0</v>
      </c>
      <c r="P1179" s="39">
        <v>0</v>
      </c>
      <c r="Q1179" s="39">
        <v>0</v>
      </c>
      <c r="R1179" s="39">
        <v>0</v>
      </c>
      <c r="S1179" s="39">
        <v>0</v>
      </c>
      <c r="T1179" s="39">
        <v>0</v>
      </c>
      <c r="U1179" s="39">
        <v>0</v>
      </c>
      <c r="V1179" s="39">
        <v>175</v>
      </c>
      <c r="W1179" s="40" t="s">
        <v>7689</v>
      </c>
      <c r="X1179" s="39">
        <v>1</v>
      </c>
    </row>
    <row r="1180" spans="1:24">
      <c r="A1180" s="39">
        <v>379</v>
      </c>
      <c r="B1180" s="40" t="s">
        <v>1523</v>
      </c>
      <c r="C1180" s="39">
        <v>0</v>
      </c>
      <c r="E1180" s="39">
        <v>0</v>
      </c>
      <c r="F1180" s="39">
        <v>960</v>
      </c>
      <c r="G1180" s="39">
        <v>0</v>
      </c>
      <c r="H1180" s="39">
        <v>1</v>
      </c>
      <c r="I1180" s="39">
        <v>1</v>
      </c>
      <c r="J1180" s="39">
        <v>0</v>
      </c>
      <c r="K1180" s="39">
        <v>0</v>
      </c>
      <c r="L1180" s="39">
        <v>0</v>
      </c>
      <c r="M1180" s="39">
        <v>0</v>
      </c>
      <c r="N1180" s="39">
        <v>0</v>
      </c>
      <c r="O1180" s="39">
        <v>0</v>
      </c>
      <c r="P1180" s="39">
        <v>0</v>
      </c>
      <c r="Q1180" s="39">
        <v>0</v>
      </c>
      <c r="R1180" s="39">
        <v>0</v>
      </c>
      <c r="S1180" s="39">
        <v>0</v>
      </c>
      <c r="T1180" s="39">
        <v>0</v>
      </c>
      <c r="U1180" s="39">
        <v>0</v>
      </c>
      <c r="V1180" s="39">
        <v>228</v>
      </c>
      <c r="W1180" s="40" t="s">
        <v>7669</v>
      </c>
      <c r="X1180" s="39">
        <v>1</v>
      </c>
    </row>
    <row r="1181" spans="1:24">
      <c r="A1181" s="39">
        <v>1750</v>
      </c>
      <c r="B1181" s="40" t="s">
        <v>1523</v>
      </c>
      <c r="C1181" s="39">
        <v>0</v>
      </c>
      <c r="E1181" s="39">
        <v>0</v>
      </c>
      <c r="F1181" s="39">
        <v>960</v>
      </c>
      <c r="G1181" s="39">
        <v>0</v>
      </c>
      <c r="H1181" s="39">
        <v>0</v>
      </c>
      <c r="I1181" s="39">
        <v>0</v>
      </c>
      <c r="J1181" s="39">
        <v>0</v>
      </c>
      <c r="K1181" s="39">
        <v>0</v>
      </c>
      <c r="L1181" s="39">
        <v>0</v>
      </c>
      <c r="M1181" s="39">
        <v>0</v>
      </c>
      <c r="N1181" s="39">
        <v>0</v>
      </c>
      <c r="O1181" s="39">
        <v>0</v>
      </c>
      <c r="P1181" s="39">
        <v>0</v>
      </c>
      <c r="Q1181" s="39">
        <v>0</v>
      </c>
      <c r="R1181" s="39">
        <v>0</v>
      </c>
      <c r="S1181" s="39">
        <v>0</v>
      </c>
      <c r="T1181" s="39">
        <v>0</v>
      </c>
      <c r="U1181" s="39">
        <v>0</v>
      </c>
      <c r="V1181" s="39">
        <v>244</v>
      </c>
      <c r="W1181" s="40" t="s">
        <v>682</v>
      </c>
      <c r="X1181" s="39">
        <v>1</v>
      </c>
    </row>
    <row r="1182" spans="1:24">
      <c r="A1182" s="39">
        <v>1275</v>
      </c>
      <c r="B1182" s="40" t="s">
        <v>1523</v>
      </c>
      <c r="C1182" s="39">
        <v>0</v>
      </c>
      <c r="E1182" s="39">
        <v>0</v>
      </c>
      <c r="F1182" s="39">
        <v>960</v>
      </c>
      <c r="G1182" s="39">
        <v>0</v>
      </c>
      <c r="H1182" s="39">
        <v>0</v>
      </c>
      <c r="I1182" s="39">
        <v>0</v>
      </c>
      <c r="J1182" s="39">
        <v>0</v>
      </c>
      <c r="K1182" s="39">
        <v>0</v>
      </c>
      <c r="L1182" s="39">
        <v>0</v>
      </c>
      <c r="M1182" s="39">
        <v>0</v>
      </c>
      <c r="N1182" s="39">
        <v>0</v>
      </c>
      <c r="O1182" s="39">
        <v>0</v>
      </c>
      <c r="P1182" s="39">
        <v>0</v>
      </c>
      <c r="Q1182" s="39">
        <v>0</v>
      </c>
      <c r="R1182" s="39">
        <v>0</v>
      </c>
      <c r="S1182" s="39">
        <v>0</v>
      </c>
      <c r="T1182" s="39">
        <v>0</v>
      </c>
      <c r="U1182" s="39">
        <v>0</v>
      </c>
      <c r="V1182" s="39">
        <v>418</v>
      </c>
      <c r="W1182" s="40" t="s">
        <v>7671</v>
      </c>
      <c r="X1182" s="39">
        <v>1</v>
      </c>
    </row>
    <row r="1183" spans="1:24">
      <c r="A1183" s="39">
        <v>1411</v>
      </c>
      <c r="B1183" s="40" t="s">
        <v>1523</v>
      </c>
      <c r="C1183" s="39">
        <v>0</v>
      </c>
      <c r="E1183" s="39">
        <v>0</v>
      </c>
      <c r="F1183" s="39">
        <v>960</v>
      </c>
      <c r="G1183" s="39">
        <v>0</v>
      </c>
      <c r="H1183" s="39">
        <v>0</v>
      </c>
      <c r="I1183" s="39">
        <v>0</v>
      </c>
      <c r="J1183" s="39">
        <v>0</v>
      </c>
      <c r="K1183" s="39">
        <v>0</v>
      </c>
      <c r="L1183" s="39">
        <v>0</v>
      </c>
      <c r="M1183" s="39">
        <v>0</v>
      </c>
      <c r="N1183" s="39">
        <v>0</v>
      </c>
      <c r="O1183" s="39">
        <v>0</v>
      </c>
      <c r="P1183" s="39">
        <v>0</v>
      </c>
      <c r="Q1183" s="39">
        <v>0</v>
      </c>
      <c r="R1183" s="39">
        <v>0</v>
      </c>
      <c r="S1183" s="39">
        <v>0</v>
      </c>
      <c r="T1183" s="39">
        <v>0</v>
      </c>
      <c r="U1183" s="39">
        <v>0</v>
      </c>
      <c r="V1183" s="39">
        <v>456</v>
      </c>
      <c r="W1183" s="40" t="s">
        <v>7673</v>
      </c>
      <c r="X1183" s="39">
        <v>1</v>
      </c>
    </row>
    <row r="1184" spans="1:24">
      <c r="A1184" s="39">
        <v>910</v>
      </c>
      <c r="B1184" s="40" t="s">
        <v>1523</v>
      </c>
      <c r="C1184" s="39">
        <v>0</v>
      </c>
      <c r="E1184" s="39">
        <v>0</v>
      </c>
      <c r="F1184" s="39">
        <v>960</v>
      </c>
      <c r="G1184" s="39">
        <v>0</v>
      </c>
      <c r="H1184" s="39">
        <v>0</v>
      </c>
      <c r="I1184" s="39">
        <v>0</v>
      </c>
      <c r="J1184" s="39">
        <v>0</v>
      </c>
      <c r="K1184" s="39">
        <v>0</v>
      </c>
      <c r="L1184" s="39">
        <v>0</v>
      </c>
      <c r="M1184" s="39">
        <v>0</v>
      </c>
      <c r="N1184" s="39">
        <v>0</v>
      </c>
      <c r="O1184" s="39">
        <v>0</v>
      </c>
      <c r="P1184" s="39">
        <v>0</v>
      </c>
      <c r="Q1184" s="39">
        <v>0</v>
      </c>
      <c r="R1184" s="39">
        <v>0</v>
      </c>
      <c r="S1184" s="39">
        <v>0</v>
      </c>
      <c r="T1184" s="39">
        <v>0</v>
      </c>
      <c r="U1184" s="39">
        <v>0</v>
      </c>
      <c r="V1184" s="39">
        <v>458</v>
      </c>
      <c r="W1184" s="40" t="s">
        <v>7694</v>
      </c>
      <c r="X1184" s="39">
        <v>1</v>
      </c>
    </row>
    <row r="1185" spans="1:24">
      <c r="A1185" s="39">
        <v>1175</v>
      </c>
      <c r="B1185" s="40" t="s">
        <v>1523</v>
      </c>
      <c r="C1185" s="39">
        <v>0</v>
      </c>
      <c r="E1185" s="39">
        <v>1</v>
      </c>
      <c r="F1185" s="39">
        <v>960</v>
      </c>
      <c r="G1185" s="39">
        <v>0</v>
      </c>
      <c r="H1185" s="39">
        <v>0</v>
      </c>
      <c r="I1185" s="39">
        <v>0</v>
      </c>
      <c r="J1185" s="39">
        <v>0</v>
      </c>
      <c r="K1185" s="39">
        <v>0</v>
      </c>
      <c r="L1185" s="39">
        <v>0</v>
      </c>
      <c r="M1185" s="39">
        <v>0</v>
      </c>
      <c r="N1185" s="39">
        <v>0</v>
      </c>
      <c r="O1185" s="39">
        <v>0</v>
      </c>
      <c r="P1185" s="39">
        <v>0</v>
      </c>
      <c r="Q1185" s="39">
        <v>0</v>
      </c>
      <c r="R1185" s="39">
        <v>0</v>
      </c>
      <c r="S1185" s="39">
        <v>0</v>
      </c>
      <c r="T1185" s="39">
        <v>0</v>
      </c>
      <c r="U1185" s="39">
        <v>0</v>
      </c>
      <c r="V1185" s="39">
        <v>459</v>
      </c>
      <c r="W1185" s="40" t="s">
        <v>7674</v>
      </c>
      <c r="X1185" s="39">
        <v>1</v>
      </c>
    </row>
    <row r="1186" spans="1:24">
      <c r="A1186" s="39">
        <v>649</v>
      </c>
      <c r="B1186" s="40" t="s">
        <v>1523</v>
      </c>
      <c r="C1186" s="39">
        <v>0</v>
      </c>
      <c r="E1186" s="39">
        <v>0</v>
      </c>
      <c r="F1186" s="39">
        <v>960</v>
      </c>
      <c r="G1186" s="39">
        <v>0</v>
      </c>
      <c r="H1186" s="39">
        <v>0</v>
      </c>
      <c r="I1186" s="39">
        <v>0</v>
      </c>
      <c r="J1186" s="39">
        <v>0</v>
      </c>
      <c r="K1186" s="39">
        <v>0</v>
      </c>
      <c r="L1186" s="39">
        <v>0</v>
      </c>
      <c r="M1186" s="39">
        <v>0</v>
      </c>
      <c r="N1186" s="39">
        <v>0</v>
      </c>
      <c r="O1186" s="39">
        <v>0</v>
      </c>
      <c r="P1186" s="39">
        <v>0</v>
      </c>
      <c r="Q1186" s="39">
        <v>0</v>
      </c>
      <c r="R1186" s="39">
        <v>0</v>
      </c>
      <c r="S1186" s="39">
        <v>0</v>
      </c>
      <c r="T1186" s="39">
        <v>0</v>
      </c>
      <c r="U1186" s="39">
        <v>0</v>
      </c>
      <c r="V1186" s="39">
        <v>468</v>
      </c>
      <c r="W1186" s="40" t="s">
        <v>7677</v>
      </c>
      <c r="X1186" s="39">
        <v>1</v>
      </c>
    </row>
    <row r="1187" spans="1:24">
      <c r="A1187" s="39">
        <v>1076</v>
      </c>
      <c r="B1187" s="40" t="s">
        <v>1523</v>
      </c>
      <c r="C1187" s="39">
        <v>0</v>
      </c>
      <c r="E1187" s="39">
        <v>0</v>
      </c>
      <c r="F1187" s="39">
        <v>960</v>
      </c>
      <c r="G1187" s="39">
        <v>0</v>
      </c>
      <c r="H1187" s="39">
        <v>0</v>
      </c>
      <c r="I1187" s="39">
        <v>0</v>
      </c>
      <c r="J1187" s="39">
        <v>0</v>
      </c>
      <c r="K1187" s="39">
        <v>0</v>
      </c>
      <c r="L1187" s="39">
        <v>0</v>
      </c>
      <c r="M1187" s="39">
        <v>0</v>
      </c>
      <c r="N1187" s="39">
        <v>0</v>
      </c>
      <c r="O1187" s="39">
        <v>0</v>
      </c>
      <c r="P1187" s="39">
        <v>0</v>
      </c>
      <c r="Q1187" s="39">
        <v>0</v>
      </c>
      <c r="R1187" s="39">
        <v>0</v>
      </c>
      <c r="S1187" s="39">
        <v>0</v>
      </c>
      <c r="T1187" s="39">
        <v>0</v>
      </c>
      <c r="U1187" s="39">
        <v>0</v>
      </c>
      <c r="V1187" s="39">
        <v>477</v>
      </c>
      <c r="W1187" s="40" t="s">
        <v>7697</v>
      </c>
      <c r="X1187" s="39">
        <v>1</v>
      </c>
    </row>
    <row r="1188" spans="1:24">
      <c r="A1188" s="39">
        <v>270</v>
      </c>
      <c r="B1188" s="40" t="s">
        <v>1523</v>
      </c>
      <c r="C1188" s="39">
        <v>0</v>
      </c>
      <c r="E1188" s="39">
        <v>0</v>
      </c>
      <c r="F1188" s="39">
        <v>960</v>
      </c>
      <c r="G1188" s="39">
        <v>0</v>
      </c>
      <c r="H1188" s="39">
        <v>0</v>
      </c>
      <c r="I1188" s="39">
        <v>0</v>
      </c>
      <c r="J1188" s="39">
        <v>0</v>
      </c>
      <c r="K1188" s="39">
        <v>0</v>
      </c>
      <c r="L1188" s="39">
        <v>0</v>
      </c>
      <c r="M1188" s="39">
        <v>0</v>
      </c>
      <c r="N1188" s="39">
        <v>0</v>
      </c>
      <c r="O1188" s="39">
        <v>0</v>
      </c>
      <c r="P1188" s="39">
        <v>0</v>
      </c>
      <c r="Q1188" s="39">
        <v>0</v>
      </c>
      <c r="R1188" s="39">
        <v>0</v>
      </c>
      <c r="S1188" s="39">
        <v>0</v>
      </c>
      <c r="T1188" s="39">
        <v>0</v>
      </c>
      <c r="U1188" s="39">
        <v>0</v>
      </c>
      <c r="V1188" s="39">
        <v>590</v>
      </c>
      <c r="W1188" s="40" t="s">
        <v>7679</v>
      </c>
      <c r="X1188" s="39">
        <v>1</v>
      </c>
    </row>
    <row r="1189" spans="1:24">
      <c r="A1189" s="39">
        <v>818</v>
      </c>
      <c r="B1189" s="40" t="s">
        <v>1523</v>
      </c>
      <c r="C1189" s="39">
        <v>0</v>
      </c>
      <c r="E1189" s="39">
        <v>0</v>
      </c>
      <c r="F1189" s="39">
        <v>960</v>
      </c>
      <c r="G1189" s="39">
        <v>0</v>
      </c>
      <c r="H1189" s="39">
        <v>0</v>
      </c>
      <c r="I1189" s="39">
        <v>0</v>
      </c>
      <c r="J1189" s="39">
        <v>0</v>
      </c>
      <c r="K1189" s="39">
        <v>0</v>
      </c>
      <c r="L1189" s="39">
        <v>0</v>
      </c>
      <c r="M1189" s="39">
        <v>0</v>
      </c>
      <c r="N1189" s="39">
        <v>0</v>
      </c>
      <c r="O1189" s="39">
        <v>0</v>
      </c>
      <c r="P1189" s="39">
        <v>0</v>
      </c>
      <c r="Q1189" s="39">
        <v>0</v>
      </c>
      <c r="R1189" s="39">
        <v>0</v>
      </c>
      <c r="S1189" s="39">
        <v>0</v>
      </c>
      <c r="T1189" s="39">
        <v>0</v>
      </c>
      <c r="U1189" s="39">
        <v>0</v>
      </c>
      <c r="V1189" s="39">
        <v>733</v>
      </c>
      <c r="W1189" s="40" t="s">
        <v>7680</v>
      </c>
      <c r="X1189" s="39">
        <v>1</v>
      </c>
    </row>
  </sheetData>
  <conditionalFormatting sqref="W1:W1048576">
    <cfRule type="cellIs" dxfId="27" priority="2" operator="equal">
      <formula>"AF"</formula>
    </cfRule>
  </conditionalFormatting>
  <conditionalFormatting sqref="C1:C1048576">
    <cfRule type="cellIs" dxfId="26" priority="1" operator="equal">
      <formula>1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749992370372631"/>
  </sheetPr>
  <dimension ref="A1:A30"/>
  <sheetViews>
    <sheetView workbookViewId="0">
      <selection activeCell="K23" sqref="K23"/>
    </sheetView>
  </sheetViews>
  <sheetFormatPr defaultColWidth="11.42578125" defaultRowHeight="15"/>
  <cols>
    <col min="1" max="16384" width="11.42578125" style="1"/>
  </cols>
  <sheetData>
    <row r="1" spans="1:1">
      <c r="A1" s="74" t="s">
        <v>7898</v>
      </c>
    </row>
    <row r="2" spans="1:1">
      <c r="A2" s="74" t="s">
        <v>2788</v>
      </c>
    </row>
    <row r="3" spans="1:1">
      <c r="A3" s="75" t="s">
        <v>524</v>
      </c>
    </row>
    <row r="4" spans="1:1">
      <c r="A4" s="74" t="s">
        <v>7899</v>
      </c>
    </row>
    <row r="5" spans="1:1">
      <c r="A5" s="75" t="s">
        <v>676</v>
      </c>
    </row>
    <row r="6" spans="1:1">
      <c r="A6" s="75" t="s">
        <v>2975</v>
      </c>
    </row>
    <row r="7" spans="1:1">
      <c r="A7" s="75" t="s">
        <v>574</v>
      </c>
    </row>
    <row r="8" spans="1:1">
      <c r="A8" s="75" t="s">
        <v>1537</v>
      </c>
    </row>
    <row r="9" spans="1:1">
      <c r="A9" s="75" t="s">
        <v>3012</v>
      </c>
    </row>
    <row r="10" spans="1:1">
      <c r="A10" s="75" t="s">
        <v>7900</v>
      </c>
    </row>
    <row r="11" spans="1:1">
      <c r="A11" s="76" t="s">
        <v>741</v>
      </c>
    </row>
    <row r="12" spans="1:1">
      <c r="A12" s="77" t="s">
        <v>536</v>
      </c>
    </row>
    <row r="13" spans="1:1">
      <c r="A13" s="75" t="s">
        <v>2364</v>
      </c>
    </row>
    <row r="14" spans="1:1">
      <c r="A14" s="75" t="s">
        <v>7901</v>
      </c>
    </row>
    <row r="15" spans="1:1">
      <c r="A15" s="75" t="s">
        <v>6048</v>
      </c>
    </row>
    <row r="16" spans="1:1">
      <c r="A16" s="75" t="s">
        <v>719</v>
      </c>
    </row>
    <row r="17" spans="1:1">
      <c r="A17" s="76" t="s">
        <v>2663</v>
      </c>
    </row>
    <row r="18" spans="1:1">
      <c r="A18" s="75" t="s">
        <v>7902</v>
      </c>
    </row>
    <row r="19" spans="1:1">
      <c r="A19" s="75" t="s">
        <v>2900</v>
      </c>
    </row>
    <row r="20" spans="1:1">
      <c r="A20" s="76" t="s">
        <v>733</v>
      </c>
    </row>
    <row r="21" spans="1:1">
      <c r="A21" s="77" t="s">
        <v>7903</v>
      </c>
    </row>
    <row r="22" spans="1:1">
      <c r="A22" s="75" t="s">
        <v>2834</v>
      </c>
    </row>
    <row r="23" spans="1:1">
      <c r="A23" s="75" t="s">
        <v>2980</v>
      </c>
    </row>
    <row r="24" spans="1:1">
      <c r="A24" s="75" t="s">
        <v>7904</v>
      </c>
    </row>
    <row r="25" spans="1:1">
      <c r="A25" s="75" t="s">
        <v>582</v>
      </c>
    </row>
    <row r="26" spans="1:1">
      <c r="A26" s="75" t="s">
        <v>1549</v>
      </c>
    </row>
    <row r="27" spans="1:1">
      <c r="A27" s="76" t="s">
        <v>1150</v>
      </c>
    </row>
    <row r="28" spans="1:1">
      <c r="A28" s="75" t="s">
        <v>1823</v>
      </c>
    </row>
    <row r="29" spans="1:1">
      <c r="A29" s="75" t="s">
        <v>2078</v>
      </c>
    </row>
    <row r="30" spans="1:1">
      <c r="A30" s="75" t="s">
        <v>7905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A3AC6C39644F44AC4636B50C2E1A90" ma:contentTypeVersion="26" ma:contentTypeDescription="Create a new document." ma:contentTypeScope="" ma:versionID="64b915572b8ba4e757e2454439f72909">
  <xsd:schema xmlns:xsd="http://www.w3.org/2001/XMLSchema" xmlns:xs="http://www.w3.org/2001/XMLSchema" xmlns:p="http://schemas.microsoft.com/office/2006/metadata/properties" xmlns:ns2="e3119031-a524-400b-906a-5aee6be513f5" xmlns:ns3="abe1e143-a7df-4f65-9dd5-bf384c0bd4fb" targetNamespace="http://schemas.microsoft.com/office/2006/metadata/properties" ma:root="true" ma:fieldsID="9f3eb7b35878c85c5a7b146aa01efab7" ns2:_="" ns3:_="">
    <xsd:import namespace="e3119031-a524-400b-906a-5aee6be513f5"/>
    <xsd:import namespace="abe1e143-a7df-4f65-9dd5-bf384c0bd4f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odified0" minOccurs="0"/>
                <xsd:element ref="ns2:Dat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AssignedBA" minOccurs="0"/>
                <xsd:element ref="ns2:MediaServiceLocation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119031-a524-400b-906a-5aee6be513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odified0" ma:index="18" nillable="true" ma:displayName="Modified " ma:format="DateOnly" ma:internalName="Modified0">
      <xsd:simpleType>
        <xsd:restriction base="dms:DateTime"/>
      </xsd:simpleType>
    </xsd:element>
    <xsd:element name="Date" ma:index="19" nillable="true" ma:displayName="Date " ma:default="[today]" ma:format="DateOnly" ma:internalName="Date">
      <xsd:simpleType>
        <xsd:restriction base="dms:DateTime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20f79066-3228-4f10-809b-20d663e726e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  <xsd:element name="AssignedBA" ma:index="26" nillable="true" ma:displayName="Assigned BA " ma:format="Dropdown" ma:list="UserInfo" ma:SharePointGroup="0" ma:internalName="AssignedBA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Location" ma:index="27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e1e143-a7df-4f65-9dd5-bf384c0bd4fb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c8582e71-9558-45d3-ac30-c2cdeda09234}" ma:internalName="TaxCatchAll" ma:showField="CatchAllData" ma:web="abe1e143-a7df-4f65-9dd5-bf384c0bd4f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e xmlns="e3119031-a524-400b-906a-5aee6be513f5">2023-09-26T18:51:01+00:00</Date>
    <Modified0 xmlns="e3119031-a524-400b-906a-5aee6be513f5" xsi:nil="true"/>
    <TaxCatchAll xmlns="abe1e143-a7df-4f65-9dd5-bf384c0bd4fb" xsi:nil="true"/>
    <AssignedBA xmlns="e3119031-a524-400b-906a-5aee6be513f5">
      <UserInfo>
        <DisplayName/>
        <AccountId xsi:nil="true"/>
        <AccountType/>
      </UserInfo>
    </AssignedBA>
    <lcf76f155ced4ddcb4097134ff3c332f xmlns="e3119031-a524-400b-906a-5aee6be513f5">
      <Terms xmlns="http://schemas.microsoft.com/office/infopath/2007/PartnerControls"/>
    </lcf76f155ced4ddcb4097134ff3c332f>
    <_Flow_SignoffStatus xmlns="e3119031-a524-400b-906a-5aee6be513f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854E8BF-39C3-46DF-976E-3378F59B13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3119031-a524-400b-906a-5aee6be513f5"/>
    <ds:schemaRef ds:uri="abe1e143-a7df-4f65-9dd5-bf384c0bd4f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BD73CC5-E257-4186-A7EE-93552FE16F67}">
  <ds:schemaRefs>
    <ds:schemaRef ds:uri="http://schemas.microsoft.com/office/2006/metadata/properties"/>
    <ds:schemaRef ds:uri="http://schemas.microsoft.com/office/infopath/2007/PartnerControls"/>
    <ds:schemaRef ds:uri="e3119031-a524-400b-906a-5aee6be513f5"/>
    <ds:schemaRef ds:uri="abe1e143-a7df-4f65-9dd5-bf384c0bd4fb"/>
  </ds:schemaRefs>
</ds:datastoreItem>
</file>

<file path=customXml/itemProps3.xml><?xml version="1.0" encoding="utf-8"?>
<ds:datastoreItem xmlns:ds="http://schemas.openxmlformats.org/officeDocument/2006/customXml" ds:itemID="{7FD1E5EE-14D2-46CC-97A5-0CE04FF36CB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FWB</vt:lpstr>
      <vt:lpstr>ModusOperandi</vt:lpstr>
      <vt:lpstr>DG</vt:lpstr>
      <vt:lpstr>DC_Acc&amp;ULD not closed</vt:lpstr>
      <vt:lpstr>DC_ULD closed</vt:lpstr>
      <vt:lpstr>ErrorMessages</vt:lpstr>
      <vt:lpstr>Monitoring</vt:lpstr>
      <vt:lpstr>Pretest 0911</vt:lpstr>
      <vt:lpstr>Pretest1011</vt:lpstr>
      <vt:lpstr>IBS Report RH1</vt:lpstr>
      <vt:lpstr>DG List</vt:lpstr>
      <vt:lpstr>Outstation iCargo List</vt:lpstr>
      <vt:lpstr>FWB!lnkViewLogs</vt:lpstr>
    </vt:vector>
  </TitlesOfParts>
  <Manager/>
  <Company>Air France - KLM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Bordet, Benoit (CAIM OA) - AF (ext)</dc:creator>
  <cp:keywords/>
  <dc:description/>
  <cp:lastModifiedBy>Jaison Joseph</cp:lastModifiedBy>
  <cp:revision/>
  <dcterms:created xsi:type="dcterms:W3CDTF">2023-09-25T11:21:21Z</dcterms:created>
  <dcterms:modified xsi:type="dcterms:W3CDTF">2023-11-28T07:07:31Z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0x01010095A3AC6C39644F44AC4636B50C2E1A90</vt:lpwstr>
  </property>
  <property fmtid="{D5CDD505-2E9C-101B-9397-08002B2CF9AE}" pid="3" name="MediaServiceImageTags">
    <vt:lpwstr/>
  </property>
</Properties>
</file>